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NOMINA INGENIERIA\"/>
    </mc:Choice>
  </mc:AlternateContent>
  <bookViews>
    <workbookView xWindow="0" yWindow="0" windowWidth="20490" windowHeight="7365" tabRatio="748" firstSheet="1" activeTab="1"/>
  </bookViews>
  <sheets>
    <sheet name="INCIDENCIAS" sheetId="12" state="hidden" r:id="rId1"/>
    <sheet name="CELAYA" sheetId="18" r:id="rId2"/>
    <sheet name="QM" sheetId="20" r:id="rId3"/>
    <sheet name="TABLA SEMANAL" sheetId="21" r:id="rId4"/>
    <sheet name="TABLA QUINCENAL" sheetId="22" r:id="rId5"/>
    <sheet name="FACTORES FIJOS" sheetId="23" r:id="rId6"/>
    <sheet name="Hoja2" sheetId="10" state="hidden" r:id="rId7"/>
    <sheet name="C&amp;A BANCOS" sheetId="6" state="hidden" r:id="rId8"/>
    <sheet name="SINDICATO BANCOS" sheetId="7" state="hidden" r:id="rId9"/>
    <sheet name="SINDICATO BANCOS (2)" sheetId="8" state="hidden" r:id="rId10"/>
    <sheet name="Hoja1" sheetId="9" state="hidden" r:id="rId11"/>
    <sheet name="SINDICATO (2)" sheetId="15" state="hidden" r:id="rId12"/>
    <sheet name="BANCOS" sheetId="11" state="hidden" r:id="rId13"/>
    <sheet name="Hoja3" sheetId="13" state="hidden" r:id="rId14"/>
  </sheets>
  <definedNames>
    <definedName name="_xlnm.Print_Area" localSheetId="12">BANCOS!$A$1:$J$78</definedName>
    <definedName name="_xlnm.Print_Area" localSheetId="7">'C&amp;A BANCOS'!$A$1:$N$78</definedName>
    <definedName name="_xlnm.Print_Area" localSheetId="6">Hoja2!$A$1:$J$73</definedName>
    <definedName name="_xlnm.Print_Area" localSheetId="11">'SINDICATO (2)'!$A$1:$M$72</definedName>
    <definedName name="_xlnm.Print_Area" localSheetId="8">'SINDICATO BANCOS'!$A$1:$O$69</definedName>
    <definedName name="_xlnm.Print_Area" localSheetId="9">'SINDICATO BANCOS (2)'!$A$1:$U$78</definedName>
    <definedName name="PERIODOSPAGO">'FACTORES FIJOS'!$D$2:$D$6</definedName>
  </definedNames>
  <calcPr calcId="152511"/>
</workbook>
</file>

<file path=xl/calcChain.xml><?xml version="1.0" encoding="utf-8"?>
<calcChain xmlns="http://schemas.openxmlformats.org/spreadsheetml/2006/main">
  <c r="Y86" i="18" l="1"/>
  <c r="Z86" i="18"/>
  <c r="AB86" i="18"/>
  <c r="AC86" i="18"/>
  <c r="H87" i="18"/>
  <c r="K86" i="18"/>
  <c r="I86" i="18" s="1"/>
  <c r="L86" i="18" s="1"/>
  <c r="O86" i="18" l="1"/>
  <c r="R86" i="18"/>
  <c r="M86" i="18"/>
  <c r="U86" i="18"/>
  <c r="N86" i="18"/>
  <c r="P86" i="18" s="1"/>
  <c r="Q86" i="18" s="1"/>
  <c r="AA86" i="18"/>
  <c r="AD86" i="18" s="1"/>
  <c r="AB85" i="18"/>
  <c r="AA85" i="18"/>
  <c r="AA83" i="18"/>
  <c r="AB82" i="18"/>
  <c r="AA82" i="18"/>
  <c r="AB81" i="18"/>
  <c r="AA81" i="18"/>
  <c r="AA79" i="18"/>
  <c r="AB78" i="18"/>
  <c r="AA78" i="18"/>
  <c r="AB77" i="18"/>
  <c r="AA77" i="18"/>
  <c r="AB74" i="18"/>
  <c r="AA74" i="18"/>
  <c r="AB73" i="18"/>
  <c r="AA73" i="18"/>
  <c r="AB70" i="18"/>
  <c r="AA70" i="18"/>
  <c r="AB69" i="18"/>
  <c r="AA69" i="18"/>
  <c r="AB66" i="18"/>
  <c r="AA66" i="18"/>
  <c r="AB65" i="18"/>
  <c r="AA65" i="18"/>
  <c r="AB62" i="18"/>
  <c r="AA62" i="18"/>
  <c r="AB61" i="18"/>
  <c r="AA61" i="18"/>
  <c r="AB58" i="18"/>
  <c r="AA58" i="18"/>
  <c r="AB54" i="18"/>
  <c r="AA54" i="18"/>
  <c r="AB53" i="18"/>
  <c r="AA53" i="18"/>
  <c r="AB50" i="18"/>
  <c r="AA50" i="18"/>
  <c r="AB49" i="18"/>
  <c r="AA49" i="18"/>
  <c r="AB46" i="18"/>
  <c r="AA46" i="18"/>
  <c r="AB45" i="18"/>
  <c r="AA45" i="18"/>
  <c r="AB42" i="18"/>
  <c r="AA42" i="18"/>
  <c r="AB41" i="18"/>
  <c r="AA41" i="18"/>
  <c r="AB38" i="18"/>
  <c r="AA38" i="18"/>
  <c r="AB37" i="18"/>
  <c r="AA37" i="18"/>
  <c r="AB34" i="18"/>
  <c r="AA34" i="18"/>
  <c r="AB33" i="18"/>
  <c r="AA33" i="18"/>
  <c r="AB30" i="18"/>
  <c r="AA30" i="18"/>
  <c r="AB29" i="18"/>
  <c r="AA29" i="18"/>
  <c r="AB26" i="18"/>
  <c r="AA26" i="18"/>
  <c r="AB25" i="18"/>
  <c r="AA25" i="18"/>
  <c r="AB22" i="18"/>
  <c r="AA22" i="18"/>
  <c r="AB21" i="18"/>
  <c r="AA21" i="18"/>
  <c r="AB18" i="18"/>
  <c r="AA18" i="18"/>
  <c r="AB17" i="18"/>
  <c r="AA17" i="18"/>
  <c r="AB14" i="18"/>
  <c r="AA14" i="18"/>
  <c r="AB13" i="18"/>
  <c r="AA13" i="18"/>
  <c r="AB10" i="18"/>
  <c r="AA10" i="18"/>
  <c r="AB9" i="18"/>
  <c r="AA9" i="18"/>
  <c r="AB6" i="18"/>
  <c r="AA6" i="18"/>
  <c r="AB5" i="18"/>
  <c r="AA5" i="18"/>
  <c r="K85" i="18"/>
  <c r="AC85" i="18" s="1"/>
  <c r="K84" i="18"/>
  <c r="AA84" i="18" s="1"/>
  <c r="K83" i="18"/>
  <c r="K82" i="18"/>
  <c r="AC82" i="18" s="1"/>
  <c r="K81" i="18"/>
  <c r="AC81" i="18" s="1"/>
  <c r="K80" i="18"/>
  <c r="K79" i="18"/>
  <c r="K78" i="18"/>
  <c r="AC78" i="18" s="1"/>
  <c r="K77" i="18"/>
  <c r="AC77" i="18" s="1"/>
  <c r="K76" i="18"/>
  <c r="AA76" i="18" s="1"/>
  <c r="K75" i="18"/>
  <c r="AA75" i="18" s="1"/>
  <c r="K74" i="18"/>
  <c r="AC74" i="18" s="1"/>
  <c r="K73" i="18"/>
  <c r="AC73" i="18" s="1"/>
  <c r="K72" i="18"/>
  <c r="AB72" i="18" s="1"/>
  <c r="K71" i="18"/>
  <c r="AA71" i="18" s="1"/>
  <c r="K70" i="18"/>
  <c r="AC70" i="18" s="1"/>
  <c r="K69" i="18"/>
  <c r="AC69" i="18" s="1"/>
  <c r="K68" i="18"/>
  <c r="K67" i="18"/>
  <c r="AA67" i="18" s="1"/>
  <c r="K66" i="18"/>
  <c r="AC66" i="18" s="1"/>
  <c r="K65" i="18"/>
  <c r="AC65" i="18" s="1"/>
  <c r="K64" i="18"/>
  <c r="AB64" i="18" s="1"/>
  <c r="K63" i="18"/>
  <c r="AA63" i="18" s="1"/>
  <c r="K62" i="18"/>
  <c r="AC62" i="18" s="1"/>
  <c r="K61" i="18"/>
  <c r="AC61" i="18" s="1"/>
  <c r="K60" i="18"/>
  <c r="K59" i="18"/>
  <c r="AA59" i="18" s="1"/>
  <c r="K58" i="18"/>
  <c r="AC58" i="18" s="1"/>
  <c r="K57" i="18"/>
  <c r="AC57" i="18" s="1"/>
  <c r="K56" i="18"/>
  <c r="AB56" i="18" s="1"/>
  <c r="K55" i="18"/>
  <c r="AA55" i="18" s="1"/>
  <c r="K54" i="18"/>
  <c r="AC54" i="18" s="1"/>
  <c r="K53" i="18"/>
  <c r="AC53" i="18" s="1"/>
  <c r="K52" i="18"/>
  <c r="K51" i="18"/>
  <c r="AA51" i="18" s="1"/>
  <c r="K50" i="18"/>
  <c r="AC50" i="18" s="1"/>
  <c r="K49" i="18"/>
  <c r="AC49" i="18" s="1"/>
  <c r="K48" i="18"/>
  <c r="AB48" i="18" s="1"/>
  <c r="K47" i="18"/>
  <c r="AA47" i="18" s="1"/>
  <c r="K46" i="18"/>
  <c r="AC46" i="18" s="1"/>
  <c r="K45" i="18"/>
  <c r="AC45" i="18" s="1"/>
  <c r="K44" i="18"/>
  <c r="K43" i="18"/>
  <c r="AA43" i="18" s="1"/>
  <c r="K42" i="18"/>
  <c r="AC42" i="18" s="1"/>
  <c r="K41" i="18"/>
  <c r="AC41" i="18" s="1"/>
  <c r="K40" i="18"/>
  <c r="AB40" i="18" s="1"/>
  <c r="K39" i="18"/>
  <c r="AA39" i="18" s="1"/>
  <c r="K38" i="18"/>
  <c r="AC38" i="18" s="1"/>
  <c r="K37" i="18"/>
  <c r="AC37" i="18" s="1"/>
  <c r="K36" i="18"/>
  <c r="K35" i="18"/>
  <c r="AA35" i="18" s="1"/>
  <c r="K34" i="18"/>
  <c r="AC34" i="18" s="1"/>
  <c r="K33" i="18"/>
  <c r="AC33" i="18" s="1"/>
  <c r="K32" i="18"/>
  <c r="AB32" i="18" s="1"/>
  <c r="K31" i="18"/>
  <c r="AA31" i="18" s="1"/>
  <c r="K30" i="18"/>
  <c r="AC30" i="18" s="1"/>
  <c r="K29" i="18"/>
  <c r="AC29" i="18" s="1"/>
  <c r="K28" i="18"/>
  <c r="K27" i="18"/>
  <c r="AA27" i="18" s="1"/>
  <c r="K26" i="18"/>
  <c r="AC26" i="18" s="1"/>
  <c r="K25" i="18"/>
  <c r="AC25" i="18" s="1"/>
  <c r="K24" i="18"/>
  <c r="AB24" i="18" s="1"/>
  <c r="K23" i="18"/>
  <c r="AA23" i="18" s="1"/>
  <c r="K22" i="18"/>
  <c r="AC22" i="18" s="1"/>
  <c r="K21" i="18"/>
  <c r="AC21" i="18" s="1"/>
  <c r="K20" i="18"/>
  <c r="K19" i="18"/>
  <c r="AA19" i="18" s="1"/>
  <c r="K18" i="18"/>
  <c r="AC18" i="18" s="1"/>
  <c r="K17" i="18"/>
  <c r="AC17" i="18" s="1"/>
  <c r="K16" i="18"/>
  <c r="AB16" i="18" s="1"/>
  <c r="K15" i="18"/>
  <c r="AA15" i="18" s="1"/>
  <c r="K14" i="18"/>
  <c r="AC14" i="18" s="1"/>
  <c r="K13" i="18"/>
  <c r="AC13" i="18" s="1"/>
  <c r="K12" i="18"/>
  <c r="K11" i="18"/>
  <c r="AA11" i="18" s="1"/>
  <c r="K10" i="18"/>
  <c r="AC10" i="18" s="1"/>
  <c r="K9" i="18"/>
  <c r="AC9" i="18" s="1"/>
  <c r="K8" i="18"/>
  <c r="K7" i="18"/>
  <c r="AA7" i="18" s="1"/>
  <c r="K6" i="18"/>
  <c r="AC6" i="18" s="1"/>
  <c r="K5" i="18"/>
  <c r="AC5" i="18" s="1"/>
  <c r="AA57" i="18" l="1"/>
  <c r="AB57" i="18"/>
  <c r="S86" i="18"/>
  <c r="T86" i="18" s="1"/>
  <c r="V86" i="18" s="1"/>
  <c r="AC12" i="18"/>
  <c r="Y12" i="18"/>
  <c r="AC20" i="18"/>
  <c r="Y20" i="18"/>
  <c r="AC28" i="18"/>
  <c r="Y28" i="18"/>
  <c r="AC36" i="18"/>
  <c r="Y36" i="18"/>
  <c r="AC44" i="18"/>
  <c r="Y44" i="18"/>
  <c r="AC52" i="18"/>
  <c r="Y52" i="18"/>
  <c r="AC60" i="18"/>
  <c r="Y60" i="18"/>
  <c r="AC68" i="18"/>
  <c r="Y68" i="18"/>
  <c r="AC80" i="18"/>
  <c r="Y80" i="18"/>
  <c r="AA20" i="18"/>
  <c r="AA28" i="18"/>
  <c r="AA36" i="18"/>
  <c r="AA44" i="18"/>
  <c r="AA52" i="18"/>
  <c r="AA64" i="18"/>
  <c r="AA68" i="18"/>
  <c r="AA72" i="18"/>
  <c r="AB28" i="18"/>
  <c r="AB36" i="18"/>
  <c r="AB44" i="18"/>
  <c r="AB52" i="18"/>
  <c r="AB60" i="18"/>
  <c r="AB68" i="18"/>
  <c r="AA80" i="18"/>
  <c r="AC8" i="18"/>
  <c r="Y8" i="18"/>
  <c r="AC16" i="18"/>
  <c r="Y16" i="18"/>
  <c r="AC24" i="18"/>
  <c r="Y24" i="18"/>
  <c r="AC32" i="18"/>
  <c r="Y32" i="18"/>
  <c r="AC40" i="18"/>
  <c r="Y40" i="18"/>
  <c r="AC48" i="18"/>
  <c r="Y48" i="18"/>
  <c r="AC56" i="18"/>
  <c r="Y56" i="18"/>
  <c r="AC64" i="18"/>
  <c r="Y64" i="18"/>
  <c r="AC72" i="18"/>
  <c r="Y72" i="18"/>
  <c r="AC76" i="18"/>
  <c r="AB76" i="18"/>
  <c r="Y76" i="18"/>
  <c r="AC84" i="18"/>
  <c r="AB84" i="18"/>
  <c r="Y84" i="18"/>
  <c r="AA8" i="18"/>
  <c r="AA12" i="18"/>
  <c r="AA16" i="18"/>
  <c r="AA24" i="18"/>
  <c r="AA32" i="18"/>
  <c r="AA40" i="18"/>
  <c r="AA48" i="18"/>
  <c r="AA56" i="18"/>
  <c r="AA60" i="18"/>
  <c r="AB8" i="18"/>
  <c r="AB12" i="18"/>
  <c r="AB20" i="18"/>
  <c r="AC7" i="18"/>
  <c r="Y7" i="18"/>
  <c r="AC11" i="18"/>
  <c r="Y11" i="18"/>
  <c r="AC15" i="18"/>
  <c r="Y15" i="18"/>
  <c r="AC19" i="18"/>
  <c r="Y19" i="18"/>
  <c r="AC23" i="18"/>
  <c r="Y23" i="18"/>
  <c r="AC27" i="18"/>
  <c r="Y27" i="18"/>
  <c r="AC31" i="18"/>
  <c r="Y31" i="18"/>
  <c r="AC35" i="18"/>
  <c r="Y35" i="18"/>
  <c r="AC39" i="18"/>
  <c r="Y39" i="18"/>
  <c r="AC43" i="18"/>
  <c r="Y43" i="18"/>
  <c r="AC47" i="18"/>
  <c r="Y47" i="18"/>
  <c r="AC51" i="18"/>
  <c r="Y51" i="18"/>
  <c r="AC55" i="18"/>
  <c r="Y55" i="18"/>
  <c r="AC59" i="18"/>
  <c r="Y59" i="18"/>
  <c r="AC63" i="18"/>
  <c r="Y63" i="18"/>
  <c r="AC67" i="18"/>
  <c r="Y67" i="18"/>
  <c r="AC71" i="18"/>
  <c r="Y71" i="18"/>
  <c r="AC75" i="18"/>
  <c r="Y75" i="18"/>
  <c r="AC79" i="18"/>
  <c r="AB79" i="18"/>
  <c r="Y79" i="18"/>
  <c r="AC83" i="18"/>
  <c r="AB83" i="18"/>
  <c r="Y83" i="18"/>
  <c r="AB7" i="18"/>
  <c r="AB11" i="18"/>
  <c r="AB15" i="18"/>
  <c r="AB19" i="18"/>
  <c r="AB23" i="18"/>
  <c r="AB27" i="18"/>
  <c r="AB31" i="18"/>
  <c r="AB35" i="18"/>
  <c r="AB39" i="18"/>
  <c r="AB43" i="18"/>
  <c r="AB47" i="18"/>
  <c r="AB51" i="18"/>
  <c r="AB55" i="18"/>
  <c r="AB59" i="18"/>
  <c r="AB63" i="18"/>
  <c r="AB67" i="18"/>
  <c r="AB71" i="18"/>
  <c r="AB75" i="18"/>
  <c r="AB80" i="18"/>
  <c r="Y5" i="18"/>
  <c r="Y6" i="18"/>
  <c r="Y9" i="18"/>
  <c r="Y10" i="18"/>
  <c r="Y13" i="18"/>
  <c r="Y14" i="18"/>
  <c r="Y17" i="18"/>
  <c r="Y18" i="18"/>
  <c r="Y21" i="18"/>
  <c r="Y22" i="18"/>
  <c r="Y25" i="18"/>
  <c r="Y26" i="18"/>
  <c r="Y29" i="18"/>
  <c r="Y30" i="18"/>
  <c r="Y33" i="18"/>
  <c r="Y34" i="18"/>
  <c r="Y37" i="18"/>
  <c r="Y38" i="18"/>
  <c r="Y41" i="18"/>
  <c r="Y42" i="18"/>
  <c r="Y45" i="18"/>
  <c r="Y46" i="18"/>
  <c r="Y49" i="18"/>
  <c r="Y50" i="18"/>
  <c r="Y53" i="18"/>
  <c r="Y54" i="18"/>
  <c r="Y57" i="18"/>
  <c r="Y58" i="18"/>
  <c r="Y61" i="18"/>
  <c r="Y62" i="18"/>
  <c r="Y65" i="18"/>
  <c r="Y66" i="18"/>
  <c r="Y69" i="18"/>
  <c r="Y70" i="18"/>
  <c r="Y73" i="18"/>
  <c r="Y74" i="18"/>
  <c r="Y77" i="18"/>
  <c r="Y78" i="18"/>
  <c r="Y81" i="18"/>
  <c r="Y82" i="18"/>
  <c r="Y85" i="18"/>
  <c r="I84" i="18"/>
  <c r="L84" i="18" s="1"/>
  <c r="I81" i="18"/>
  <c r="L81" i="18" s="1"/>
  <c r="I80" i="18"/>
  <c r="L80" i="18" s="1"/>
  <c r="I76" i="18"/>
  <c r="L76" i="18" s="1"/>
  <c r="I73" i="18"/>
  <c r="L73" i="18" s="1"/>
  <c r="I72" i="18"/>
  <c r="L72" i="18" s="1"/>
  <c r="I68" i="18"/>
  <c r="L68" i="18" s="1"/>
  <c r="I65" i="18"/>
  <c r="L65" i="18" s="1"/>
  <c r="I64" i="18"/>
  <c r="L64" i="18" s="1"/>
  <c r="I60" i="18"/>
  <c r="L60" i="18" s="1"/>
  <c r="I57" i="18"/>
  <c r="L57" i="18" s="1"/>
  <c r="I56" i="18"/>
  <c r="L56" i="18" s="1"/>
  <c r="I52" i="18"/>
  <c r="L52" i="18" s="1"/>
  <c r="I49" i="18"/>
  <c r="L49" i="18" s="1"/>
  <c r="I48" i="18"/>
  <c r="L48" i="18" s="1"/>
  <c r="I44" i="18"/>
  <c r="L44" i="18" s="1"/>
  <c r="I41" i="18"/>
  <c r="L41" i="18" s="1"/>
  <c r="I40" i="18"/>
  <c r="L40" i="18" s="1"/>
  <c r="I36" i="18"/>
  <c r="L36" i="18" s="1"/>
  <c r="I33" i="18"/>
  <c r="L33" i="18" s="1"/>
  <c r="I32" i="18"/>
  <c r="L32" i="18" s="1"/>
  <c r="I28" i="18"/>
  <c r="L28" i="18" s="1"/>
  <c r="I25" i="18"/>
  <c r="L25" i="18" s="1"/>
  <c r="I24" i="18"/>
  <c r="L24" i="18" s="1"/>
  <c r="I20" i="18"/>
  <c r="L20" i="18" s="1"/>
  <c r="I17" i="18"/>
  <c r="L17" i="18" s="1"/>
  <c r="I16" i="18"/>
  <c r="L16" i="18" s="1"/>
  <c r="I12" i="18"/>
  <c r="L12" i="18" s="1"/>
  <c r="I9" i="18"/>
  <c r="L9" i="18" s="1"/>
  <c r="I8" i="18"/>
  <c r="L8" i="18" s="1"/>
  <c r="I85" i="18"/>
  <c r="L85" i="18" s="1"/>
  <c r="I83" i="18"/>
  <c r="L83" i="18" s="1"/>
  <c r="I82" i="18"/>
  <c r="L82" i="18" s="1"/>
  <c r="I79" i="18"/>
  <c r="L79" i="18" s="1"/>
  <c r="I78" i="18"/>
  <c r="L78" i="18" s="1"/>
  <c r="I77" i="18"/>
  <c r="L77" i="18" s="1"/>
  <c r="I75" i="18"/>
  <c r="L75" i="18" s="1"/>
  <c r="I74" i="18"/>
  <c r="L74" i="18" s="1"/>
  <c r="I71" i="18"/>
  <c r="L71" i="18" s="1"/>
  <c r="I70" i="18"/>
  <c r="L70" i="18" s="1"/>
  <c r="I69" i="18"/>
  <c r="L69" i="18" s="1"/>
  <c r="I67" i="18"/>
  <c r="L67" i="18" s="1"/>
  <c r="I66" i="18"/>
  <c r="L66" i="18" s="1"/>
  <c r="I63" i="18"/>
  <c r="L63" i="18" s="1"/>
  <c r="I62" i="18"/>
  <c r="L62" i="18" s="1"/>
  <c r="I61" i="18"/>
  <c r="L61" i="18" s="1"/>
  <c r="I59" i="18"/>
  <c r="L59" i="18" s="1"/>
  <c r="I58" i="18"/>
  <c r="L58" i="18" s="1"/>
  <c r="I55" i="18"/>
  <c r="L55" i="18" s="1"/>
  <c r="I54" i="18"/>
  <c r="L54" i="18" s="1"/>
  <c r="I53" i="18"/>
  <c r="L53" i="18" s="1"/>
  <c r="I51" i="18"/>
  <c r="L51" i="18" s="1"/>
  <c r="I50" i="18"/>
  <c r="L50" i="18" s="1"/>
  <c r="I47" i="18"/>
  <c r="L47" i="18" s="1"/>
  <c r="I46" i="18"/>
  <c r="L46" i="18" s="1"/>
  <c r="I45" i="18"/>
  <c r="L45" i="18" s="1"/>
  <c r="I43" i="18"/>
  <c r="L43" i="18" s="1"/>
  <c r="I42" i="18"/>
  <c r="L42" i="18" s="1"/>
  <c r="I39" i="18"/>
  <c r="L39" i="18" s="1"/>
  <c r="I38" i="18"/>
  <c r="L38" i="18" s="1"/>
  <c r="I37" i="18"/>
  <c r="L37" i="18" s="1"/>
  <c r="I35" i="18"/>
  <c r="L35" i="18" s="1"/>
  <c r="I34" i="18"/>
  <c r="L34" i="18" s="1"/>
  <c r="I31" i="18"/>
  <c r="L31" i="18" s="1"/>
  <c r="I30" i="18"/>
  <c r="L30" i="18" s="1"/>
  <c r="I29" i="18"/>
  <c r="L29" i="18" s="1"/>
  <c r="I27" i="18"/>
  <c r="L27" i="18" s="1"/>
  <c r="I26" i="18"/>
  <c r="L26" i="18" s="1"/>
  <c r="I23" i="18"/>
  <c r="L23" i="18" s="1"/>
  <c r="I22" i="18"/>
  <c r="L22" i="18" s="1"/>
  <c r="I21" i="18"/>
  <c r="L21" i="18" s="1"/>
  <c r="I19" i="18"/>
  <c r="L19" i="18" s="1"/>
  <c r="I18" i="18"/>
  <c r="L18" i="18" s="1"/>
  <c r="I15" i="18"/>
  <c r="L15" i="18" s="1"/>
  <c r="I14" i="18"/>
  <c r="L14" i="18" s="1"/>
  <c r="I13" i="18"/>
  <c r="L13" i="18" s="1"/>
  <c r="I11" i="18"/>
  <c r="L11" i="18" s="1"/>
  <c r="I10" i="18"/>
  <c r="L10" i="18" s="1"/>
  <c r="I7" i="18"/>
  <c r="L7" i="18" s="1"/>
  <c r="I6" i="18"/>
  <c r="L6" i="18" s="1"/>
  <c r="I5" i="18"/>
  <c r="L5" i="18" s="1"/>
  <c r="K4" i="18"/>
  <c r="I4" i="18" s="1"/>
  <c r="I151" i="20"/>
  <c r="H151" i="20"/>
  <c r="H154" i="20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3" i="20"/>
  <c r="A4" i="20" s="1"/>
  <c r="A5" i="20" s="1"/>
  <c r="J87" i="18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C18" i="8"/>
  <c r="E18" i="8" s="1"/>
  <c r="K41" i="7"/>
  <c r="K43" i="7"/>
  <c r="K70" i="8"/>
  <c r="K36" i="8"/>
  <c r="K39" i="7"/>
  <c r="I53" i="7"/>
  <c r="G12" i="7"/>
  <c r="K21" i="7"/>
  <c r="I21" i="7"/>
  <c r="G29" i="8"/>
  <c r="K57" i="8"/>
  <c r="K22" i="8"/>
  <c r="K24" i="7"/>
  <c r="K25" i="7"/>
  <c r="K29" i="7"/>
  <c r="K37" i="7"/>
  <c r="K40" i="7"/>
  <c r="K69" i="8"/>
  <c r="K50" i="8"/>
  <c r="K52" i="7"/>
  <c r="K53" i="7"/>
  <c r="K15" i="8"/>
  <c r="E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10" i="11"/>
  <c r="G10" i="8"/>
  <c r="L60" i="7"/>
  <c r="I54" i="8"/>
  <c r="K23" i="8"/>
  <c r="J23" i="8"/>
  <c r="I23" i="8"/>
  <c r="H36" i="7"/>
  <c r="G23" i="8"/>
  <c r="I33" i="7"/>
  <c r="I25" i="8"/>
  <c r="I25" i="7"/>
  <c r="H24" i="7"/>
  <c r="R68" i="15"/>
  <c r="R66" i="15"/>
  <c r="R67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40" i="15"/>
  <c r="R29" i="15"/>
  <c r="R30" i="15"/>
  <c r="R31" i="15"/>
  <c r="R32" i="15"/>
  <c r="R33" i="15"/>
  <c r="R34" i="15"/>
  <c r="R35" i="15"/>
  <c r="R36" i="15"/>
  <c r="R37" i="15"/>
  <c r="R38" i="15"/>
  <c r="R39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11" i="15"/>
  <c r="D72" i="15"/>
  <c r="E72" i="15"/>
  <c r="F72" i="15"/>
  <c r="G72" i="15"/>
  <c r="H72" i="15"/>
  <c r="I72" i="15"/>
  <c r="J72" i="15"/>
  <c r="K72" i="15"/>
  <c r="L72" i="15"/>
  <c r="M72" i="15"/>
  <c r="M75" i="15"/>
  <c r="C72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11" i="15"/>
  <c r="K28" i="8"/>
  <c r="I69" i="11"/>
  <c r="I76" i="11" s="1"/>
  <c r="I78" i="11" s="1"/>
  <c r="I65" i="11"/>
  <c r="I75" i="11"/>
  <c r="C65" i="11"/>
  <c r="C75" i="11" s="1"/>
  <c r="I72" i="11"/>
  <c r="I77" i="11"/>
  <c r="C72" i="11"/>
  <c r="C77" i="11" s="1"/>
  <c r="C69" i="11"/>
  <c r="C76" i="11"/>
  <c r="K63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71" i="11"/>
  <c r="K59" i="11"/>
  <c r="K60" i="11"/>
  <c r="K68" i="11"/>
  <c r="K61" i="11"/>
  <c r="K62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11" i="11"/>
  <c r="K12" i="11"/>
  <c r="K13" i="11"/>
  <c r="K14" i="11"/>
  <c r="K64" i="11"/>
  <c r="K15" i="11"/>
  <c r="K16" i="11"/>
  <c r="K17" i="11"/>
  <c r="K18" i="11"/>
  <c r="K19" i="11"/>
  <c r="K20" i="11"/>
  <c r="K21" i="11"/>
  <c r="K67" i="11"/>
  <c r="K22" i="11"/>
  <c r="K23" i="11"/>
  <c r="K24" i="11"/>
  <c r="K25" i="11"/>
  <c r="K26" i="11"/>
  <c r="K27" i="11"/>
  <c r="K10" i="11"/>
  <c r="K13" i="8"/>
  <c r="H10" i="7"/>
  <c r="H68" i="7" s="1"/>
  <c r="J39" i="8"/>
  <c r="K38" i="7"/>
  <c r="I39" i="8"/>
  <c r="H39" i="8"/>
  <c r="G39" i="8"/>
  <c r="K11" i="7"/>
  <c r="H37" i="8"/>
  <c r="I13" i="8"/>
  <c r="C37" i="8"/>
  <c r="E37" i="8" s="1"/>
  <c r="C67" i="10"/>
  <c r="C64" i="10"/>
  <c r="C70" i="10"/>
  <c r="C61" i="10"/>
  <c r="C69" i="10" s="1"/>
  <c r="C72" i="10" s="1"/>
  <c r="C71" i="10"/>
  <c r="I67" i="10"/>
  <c r="I71" i="10" s="1"/>
  <c r="I72" i="10" s="1"/>
  <c r="I64" i="10"/>
  <c r="I70" i="10"/>
  <c r="I61" i="10"/>
  <c r="I69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63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66" i="10"/>
  <c r="B56" i="10"/>
  <c r="B57" i="10"/>
  <c r="B58" i="10"/>
  <c r="B59" i="10"/>
  <c r="B60" i="10"/>
  <c r="B10" i="10"/>
  <c r="D89" i="9"/>
  <c r="L21" i="8"/>
  <c r="I46" i="7"/>
  <c r="H21" i="8"/>
  <c r="L74" i="9"/>
  <c r="P74" i="9" s="1"/>
  <c r="W74" i="9" s="1"/>
  <c r="Y74" i="9" s="1"/>
  <c r="P73" i="9"/>
  <c r="W73" i="9"/>
  <c r="L72" i="9"/>
  <c r="P72" i="9"/>
  <c r="W72" i="9"/>
  <c r="P71" i="9"/>
  <c r="W71" i="9" s="1"/>
  <c r="Z71" i="9" s="1"/>
  <c r="L70" i="9"/>
  <c r="P70" i="9"/>
  <c r="W70" i="9"/>
  <c r="X70" i="9" s="1"/>
  <c r="V67" i="9"/>
  <c r="U67" i="9"/>
  <c r="T67" i="9"/>
  <c r="S67" i="9"/>
  <c r="Q67" i="9"/>
  <c r="O67" i="9"/>
  <c r="N67" i="9"/>
  <c r="M67" i="9"/>
  <c r="P65" i="9"/>
  <c r="W65" i="9"/>
  <c r="AG63" i="9"/>
  <c r="AA63" i="9"/>
  <c r="P63" i="9"/>
  <c r="AG62" i="9"/>
  <c r="AA62" i="9"/>
  <c r="L62" i="9"/>
  <c r="K62" i="9"/>
  <c r="P62" i="9"/>
  <c r="AG61" i="9"/>
  <c r="AA61" i="9"/>
  <c r="K61" i="9"/>
  <c r="P61" i="9"/>
  <c r="Z61" i="9"/>
  <c r="AG60" i="9"/>
  <c r="AA60" i="9"/>
  <c r="J60" i="9"/>
  <c r="K60" i="9"/>
  <c r="P60" i="9" s="1"/>
  <c r="W60" i="9" s="1"/>
  <c r="AG59" i="9"/>
  <c r="AA59" i="9"/>
  <c r="K59" i="9"/>
  <c r="P59" i="9" s="1"/>
  <c r="X59" i="9" s="1"/>
  <c r="AG58" i="9"/>
  <c r="AA58" i="9"/>
  <c r="K58" i="9"/>
  <c r="P58" i="9" s="1"/>
  <c r="AG57" i="9"/>
  <c r="AA57" i="9"/>
  <c r="K57" i="9"/>
  <c r="P57" i="9"/>
  <c r="AG56" i="9"/>
  <c r="AA56" i="9"/>
  <c r="K56" i="9"/>
  <c r="P56" i="9"/>
  <c r="AG55" i="9"/>
  <c r="AA55" i="9"/>
  <c r="K55" i="9"/>
  <c r="P55" i="9"/>
  <c r="X55" i="9" s="1"/>
  <c r="AG54" i="9"/>
  <c r="AA54" i="9"/>
  <c r="L54" i="9"/>
  <c r="K54" i="9"/>
  <c r="P54" i="9"/>
  <c r="AG53" i="9"/>
  <c r="AA53" i="9"/>
  <c r="K53" i="9"/>
  <c r="P53" i="9"/>
  <c r="AG52" i="9"/>
  <c r="AA52" i="9"/>
  <c r="K52" i="9"/>
  <c r="P52" i="9"/>
  <c r="W52" i="9" s="1"/>
  <c r="AA51" i="9"/>
  <c r="K51" i="9"/>
  <c r="P51" i="9"/>
  <c r="X51" i="9" s="1"/>
  <c r="AG50" i="9"/>
  <c r="AA50" i="9"/>
  <c r="K50" i="9"/>
  <c r="P50" i="9"/>
  <c r="AG49" i="9"/>
  <c r="AA49" i="9"/>
  <c r="J49" i="9"/>
  <c r="K49" i="9" s="1"/>
  <c r="P49" i="9" s="1"/>
  <c r="AG48" i="9"/>
  <c r="AA48" i="9"/>
  <c r="K48" i="9"/>
  <c r="P48" i="9"/>
  <c r="AG47" i="9"/>
  <c r="AA47" i="9"/>
  <c r="AB47" i="9" s="1"/>
  <c r="K47" i="9"/>
  <c r="P47" i="9"/>
  <c r="W47" i="9"/>
  <c r="AG46" i="9"/>
  <c r="AA46" i="9"/>
  <c r="K46" i="9"/>
  <c r="P46" i="9"/>
  <c r="AG45" i="9"/>
  <c r="AA45" i="9"/>
  <c r="K45" i="9"/>
  <c r="P45" i="9"/>
  <c r="W45" i="9" s="1"/>
  <c r="Y45" i="9" s="1"/>
  <c r="AD45" i="9" s="1"/>
  <c r="X45" i="9"/>
  <c r="AG44" i="9"/>
  <c r="AA44" i="9"/>
  <c r="K44" i="9"/>
  <c r="P44" i="9"/>
  <c r="AG43" i="9"/>
  <c r="AA43" i="9"/>
  <c r="J43" i="9"/>
  <c r="K43" i="9" s="1"/>
  <c r="P43" i="9" s="1"/>
  <c r="W43" i="9" s="1"/>
  <c r="AG42" i="9"/>
  <c r="AA42" i="9"/>
  <c r="K42" i="9"/>
  <c r="P42" i="9"/>
  <c r="AG41" i="9"/>
  <c r="AA41" i="9"/>
  <c r="K41" i="9"/>
  <c r="P41" i="9"/>
  <c r="Z41" i="9"/>
  <c r="AB41" i="9" s="1"/>
  <c r="AG40" i="9"/>
  <c r="AA40" i="9"/>
  <c r="J40" i="9"/>
  <c r="K40" i="9"/>
  <c r="P40" i="9"/>
  <c r="AG39" i="9"/>
  <c r="AA39" i="9"/>
  <c r="K39" i="9"/>
  <c r="P39" i="9" s="1"/>
  <c r="AG38" i="9"/>
  <c r="AA38" i="9"/>
  <c r="J38" i="9"/>
  <c r="K38" i="9" s="1"/>
  <c r="P38" i="9" s="1"/>
  <c r="AG37" i="9"/>
  <c r="AA37" i="9"/>
  <c r="J37" i="9"/>
  <c r="K37" i="9"/>
  <c r="P37" i="9"/>
  <c r="X37" i="9" s="1"/>
  <c r="AG36" i="9"/>
  <c r="AA36" i="9"/>
  <c r="L36" i="9"/>
  <c r="K36" i="9"/>
  <c r="P36" i="9" s="1"/>
  <c r="AG35" i="9"/>
  <c r="AA35" i="9"/>
  <c r="L35" i="9"/>
  <c r="K35" i="9"/>
  <c r="P35" i="9"/>
  <c r="X35" i="9" s="1"/>
  <c r="AG34" i="9"/>
  <c r="AA34" i="9"/>
  <c r="K34" i="9"/>
  <c r="P34" i="9"/>
  <c r="Z34" i="9"/>
  <c r="AG33" i="9"/>
  <c r="AA33" i="9"/>
  <c r="K33" i="9"/>
  <c r="P33" i="9"/>
  <c r="AG32" i="9"/>
  <c r="AA32" i="9"/>
  <c r="K32" i="9"/>
  <c r="P32" i="9"/>
  <c r="AG31" i="9"/>
  <c r="AA31" i="9"/>
  <c r="J31" i="9"/>
  <c r="K31" i="9"/>
  <c r="P31" i="9" s="1"/>
  <c r="W31" i="9" s="1"/>
  <c r="AG30" i="9"/>
  <c r="AA30" i="9"/>
  <c r="K30" i="9"/>
  <c r="P30" i="9"/>
  <c r="AG29" i="9"/>
  <c r="AA29" i="9"/>
  <c r="L29" i="9"/>
  <c r="K29" i="9"/>
  <c r="AG28" i="9"/>
  <c r="AA28" i="9"/>
  <c r="AB28" i="9" s="1"/>
  <c r="K28" i="9"/>
  <c r="P28" i="9"/>
  <c r="W28" i="9"/>
  <c r="AG27" i="9"/>
  <c r="AA27" i="9"/>
  <c r="K27" i="9"/>
  <c r="P27" i="9"/>
  <c r="AG26" i="9"/>
  <c r="AA26" i="9"/>
  <c r="L26" i="9"/>
  <c r="K26" i="9"/>
  <c r="P26" i="9"/>
  <c r="AG25" i="9"/>
  <c r="AA25" i="9"/>
  <c r="K25" i="9"/>
  <c r="P25" i="9"/>
  <c r="AG24" i="9"/>
  <c r="AA24" i="9"/>
  <c r="L24" i="9"/>
  <c r="K24" i="9"/>
  <c r="AG23" i="9"/>
  <c r="AA23" i="9"/>
  <c r="P23" i="9"/>
  <c r="W23" i="9" s="1"/>
  <c r="Y23" i="9" s="1"/>
  <c r="AD23" i="9" s="1"/>
  <c r="Z23" i="9"/>
  <c r="AG22" i="9"/>
  <c r="AA22" i="9"/>
  <c r="L22" i="9"/>
  <c r="K22" i="9"/>
  <c r="AG21" i="9"/>
  <c r="AA21" i="9"/>
  <c r="K21" i="9"/>
  <c r="P21" i="9"/>
  <c r="AG20" i="9"/>
  <c r="AA20" i="9"/>
  <c r="K20" i="9"/>
  <c r="P20" i="9"/>
  <c r="AG19" i="9"/>
  <c r="AA19" i="9"/>
  <c r="K19" i="9"/>
  <c r="P19" i="9"/>
  <c r="AG18" i="9"/>
  <c r="AA18" i="9"/>
  <c r="L18" i="9"/>
  <c r="K18" i="9"/>
  <c r="P18" i="9" s="1"/>
  <c r="X18" i="9" s="1"/>
  <c r="AG17" i="9"/>
  <c r="AA17" i="9"/>
  <c r="K17" i="9"/>
  <c r="P17" i="9" s="1"/>
  <c r="AG16" i="9"/>
  <c r="AA16" i="9"/>
  <c r="K16" i="9"/>
  <c r="P16" i="9"/>
  <c r="AG15" i="9"/>
  <c r="AA15" i="9"/>
  <c r="J15" i="9"/>
  <c r="K15" i="9"/>
  <c r="P15" i="9"/>
  <c r="AG14" i="9"/>
  <c r="AA14" i="9"/>
  <c r="J14" i="9"/>
  <c r="K14" i="9"/>
  <c r="P14" i="9"/>
  <c r="X14" i="9" s="1"/>
  <c r="AG13" i="9"/>
  <c r="AA13" i="9"/>
  <c r="K13" i="9"/>
  <c r="P13" i="9" s="1"/>
  <c r="AG12" i="9"/>
  <c r="AA12" i="9"/>
  <c r="K12" i="9"/>
  <c r="P12" i="9"/>
  <c r="W12" i="9" s="1"/>
  <c r="Y12" i="9" s="1"/>
  <c r="Z12" i="9"/>
  <c r="AG11" i="9"/>
  <c r="AA11" i="9"/>
  <c r="J11" i="9"/>
  <c r="K11" i="9"/>
  <c r="P11" i="9" s="1"/>
  <c r="AG10" i="9"/>
  <c r="AA10" i="9"/>
  <c r="K10" i="9"/>
  <c r="P10" i="9" s="1"/>
  <c r="Z10" i="9" s="1"/>
  <c r="AG9" i="9"/>
  <c r="AA9" i="9"/>
  <c r="K9" i="9"/>
  <c r="P9" i="9" s="1"/>
  <c r="AG8" i="9"/>
  <c r="AA8" i="9"/>
  <c r="K8" i="9"/>
  <c r="P8" i="9"/>
  <c r="AC7" i="9"/>
  <c r="AA7" i="9"/>
  <c r="K7" i="9"/>
  <c r="P7" i="9"/>
  <c r="AG7" i="9"/>
  <c r="X23" i="9"/>
  <c r="W42" i="9"/>
  <c r="Z48" i="9"/>
  <c r="X63" i="9"/>
  <c r="Z63" i="9"/>
  <c r="P12" i="8"/>
  <c r="F12" i="8"/>
  <c r="N12" i="8" s="1"/>
  <c r="P17" i="8"/>
  <c r="F17" i="8"/>
  <c r="N17" i="8" s="1"/>
  <c r="P10" i="8"/>
  <c r="F10" i="8"/>
  <c r="N10" i="8" s="1"/>
  <c r="P51" i="8"/>
  <c r="F51" i="8"/>
  <c r="N51" i="8" s="1"/>
  <c r="P15" i="8"/>
  <c r="F15" i="8"/>
  <c r="N15" i="8" s="1"/>
  <c r="O15" i="8" s="1"/>
  <c r="P61" i="8"/>
  <c r="F61" i="8"/>
  <c r="N61" i="8" s="1"/>
  <c r="P49" i="8"/>
  <c r="F49" i="8"/>
  <c r="N49" i="8" s="1"/>
  <c r="P24" i="8"/>
  <c r="F24" i="8"/>
  <c r="N24" i="8" s="1"/>
  <c r="P56" i="8"/>
  <c r="F56" i="8"/>
  <c r="N56" i="8" s="1"/>
  <c r="P16" i="8"/>
  <c r="F16" i="8"/>
  <c r="N16" i="8" s="1"/>
  <c r="P46" i="8"/>
  <c r="K46" i="8"/>
  <c r="G46" i="8"/>
  <c r="F46" i="8"/>
  <c r="N46" i="8"/>
  <c r="P42" i="8"/>
  <c r="F42" i="8"/>
  <c r="N42" i="8" s="1"/>
  <c r="P31" i="8"/>
  <c r="F31" i="8"/>
  <c r="N31" i="8" s="1"/>
  <c r="P40" i="8"/>
  <c r="F40" i="8"/>
  <c r="N40" i="8" s="1"/>
  <c r="P70" i="8"/>
  <c r="F70" i="8"/>
  <c r="N70" i="8" s="1"/>
  <c r="P50" i="8"/>
  <c r="F50" i="8"/>
  <c r="N50" i="8" s="1"/>
  <c r="P45" i="8"/>
  <c r="F45" i="8"/>
  <c r="N45" i="8" s="1"/>
  <c r="P54" i="8"/>
  <c r="F54" i="8"/>
  <c r="N54" i="8" s="1"/>
  <c r="P21" i="8"/>
  <c r="K21" i="8"/>
  <c r="F21" i="8"/>
  <c r="N21" i="8" s="1"/>
  <c r="P44" i="8"/>
  <c r="K44" i="8"/>
  <c r="G44" i="8"/>
  <c r="F44" i="8"/>
  <c r="N44" i="8" s="1"/>
  <c r="P69" i="8"/>
  <c r="F69" i="8"/>
  <c r="N69" i="8" s="1"/>
  <c r="P33" i="8"/>
  <c r="P35" i="8"/>
  <c r="F35" i="8"/>
  <c r="N35" i="8" s="1"/>
  <c r="P14" i="8"/>
  <c r="F14" i="8"/>
  <c r="N14" i="8" s="1"/>
  <c r="P28" i="8"/>
  <c r="F28" i="8"/>
  <c r="N28" i="8" s="1"/>
  <c r="P27" i="8"/>
  <c r="F27" i="8"/>
  <c r="N27" i="8" s="1"/>
  <c r="P39" i="8"/>
  <c r="F39" i="8"/>
  <c r="N39" i="8" s="1"/>
  <c r="P30" i="8"/>
  <c r="F30" i="8"/>
  <c r="N30" i="8" s="1"/>
  <c r="P23" i="8"/>
  <c r="F23" i="8"/>
  <c r="N23" i="8" s="1"/>
  <c r="P36" i="8"/>
  <c r="F36" i="8"/>
  <c r="N36" i="8"/>
  <c r="P38" i="8"/>
  <c r="F38" i="8"/>
  <c r="N38" i="8" s="1"/>
  <c r="P11" i="8"/>
  <c r="F11" i="8"/>
  <c r="N11" i="8" s="1"/>
  <c r="P34" i="8"/>
  <c r="F34" i="8"/>
  <c r="N34" i="8" s="1"/>
  <c r="P53" i="8"/>
  <c r="F53" i="8"/>
  <c r="N53" i="8" s="1"/>
  <c r="P55" i="8"/>
  <c r="F55" i="8"/>
  <c r="N55" i="8" s="1"/>
  <c r="P26" i="8"/>
  <c r="F26" i="8"/>
  <c r="N26" i="8" s="1"/>
  <c r="P43" i="8"/>
  <c r="F43" i="8"/>
  <c r="N43" i="8" s="1"/>
  <c r="P25" i="8"/>
  <c r="F25" i="8"/>
  <c r="N25" i="8"/>
  <c r="P58" i="8"/>
  <c r="K58" i="8"/>
  <c r="G58" i="8"/>
  <c r="P48" i="8"/>
  <c r="F48" i="8"/>
  <c r="N48" i="8" s="1"/>
  <c r="P64" i="8"/>
  <c r="F64" i="8"/>
  <c r="N64" i="8" s="1"/>
  <c r="P22" i="8"/>
  <c r="F22" i="8"/>
  <c r="N22" i="8" s="1"/>
  <c r="P52" i="8"/>
  <c r="F52" i="8"/>
  <c r="N52" i="8" s="1"/>
  <c r="P29" i="8"/>
  <c r="F29" i="8"/>
  <c r="N29" i="8" s="1"/>
  <c r="P41" i="8"/>
  <c r="F41" i="8"/>
  <c r="N41" i="8" s="1"/>
  <c r="P68" i="8"/>
  <c r="K68" i="8"/>
  <c r="G68" i="8"/>
  <c r="F68" i="8"/>
  <c r="N68" i="8" s="1"/>
  <c r="P57" i="8"/>
  <c r="F57" i="8"/>
  <c r="N57" i="8" s="1"/>
  <c r="P20" i="8"/>
  <c r="F20" i="8"/>
  <c r="N20" i="8" s="1"/>
  <c r="P67" i="8"/>
  <c r="F67" i="8"/>
  <c r="N67" i="8" s="1"/>
  <c r="P19" i="8"/>
  <c r="F19" i="8"/>
  <c r="N19" i="8" s="1"/>
  <c r="P18" i="8"/>
  <c r="F18" i="8"/>
  <c r="N18" i="8" s="1"/>
  <c r="P47" i="8"/>
  <c r="F47" i="8"/>
  <c r="N47" i="8" s="1"/>
  <c r="P32" i="8"/>
  <c r="F32" i="8"/>
  <c r="N32" i="8"/>
  <c r="P37" i="8"/>
  <c r="F37" i="8"/>
  <c r="N37" i="8" s="1"/>
  <c r="P13" i="8"/>
  <c r="F13" i="8"/>
  <c r="N13" i="8" s="1"/>
  <c r="B4" i="8"/>
  <c r="M68" i="7"/>
  <c r="D68" i="7"/>
  <c r="P64" i="7"/>
  <c r="F64" i="7"/>
  <c r="N64" i="7" s="1"/>
  <c r="P63" i="7"/>
  <c r="F63" i="7"/>
  <c r="N63" i="7" s="1"/>
  <c r="P62" i="7"/>
  <c r="F62" i="7"/>
  <c r="N62" i="7" s="1"/>
  <c r="P61" i="7"/>
  <c r="F61" i="7"/>
  <c r="N61" i="7" s="1"/>
  <c r="P60" i="7"/>
  <c r="F60" i="7"/>
  <c r="N60" i="7" s="1"/>
  <c r="P59" i="7"/>
  <c r="F59" i="7"/>
  <c r="N59" i="7" s="1"/>
  <c r="P58" i="7"/>
  <c r="F58" i="7"/>
  <c r="N58" i="7" s="1"/>
  <c r="P57" i="7"/>
  <c r="F57" i="7"/>
  <c r="N57" i="7" s="1"/>
  <c r="P56" i="7"/>
  <c r="F56" i="7"/>
  <c r="N56" i="7" s="1"/>
  <c r="P55" i="7"/>
  <c r="F55" i="7"/>
  <c r="N55" i="7" s="1"/>
  <c r="P54" i="7"/>
  <c r="K54" i="7"/>
  <c r="G54" i="7"/>
  <c r="F54" i="7"/>
  <c r="N54" i="7" s="1"/>
  <c r="P53" i="7"/>
  <c r="F53" i="7"/>
  <c r="N53" i="7" s="1"/>
  <c r="P52" i="7"/>
  <c r="F52" i="7"/>
  <c r="N52" i="7" s="1"/>
  <c r="P51" i="7"/>
  <c r="F51" i="7"/>
  <c r="N51" i="7" s="1"/>
  <c r="P50" i="7"/>
  <c r="F50" i="7"/>
  <c r="N50" i="7" s="1"/>
  <c r="P49" i="7"/>
  <c r="F49" i="7"/>
  <c r="N49" i="7" s="1"/>
  <c r="P48" i="7"/>
  <c r="F48" i="7"/>
  <c r="N48" i="7" s="1"/>
  <c r="P47" i="7"/>
  <c r="F47" i="7"/>
  <c r="N47" i="7"/>
  <c r="P46" i="7"/>
  <c r="K46" i="7"/>
  <c r="F46" i="7"/>
  <c r="N46" i="7"/>
  <c r="P45" i="7"/>
  <c r="K45" i="7"/>
  <c r="G45" i="7"/>
  <c r="F45" i="7"/>
  <c r="N45" i="7" s="1"/>
  <c r="P44" i="7"/>
  <c r="F44" i="7"/>
  <c r="N44" i="7"/>
  <c r="P43" i="7"/>
  <c r="P42" i="7"/>
  <c r="F42" i="7"/>
  <c r="N42" i="7"/>
  <c r="P41" i="7"/>
  <c r="F41" i="7"/>
  <c r="N41" i="7" s="1"/>
  <c r="P40" i="7"/>
  <c r="F40" i="7"/>
  <c r="N40" i="7"/>
  <c r="P39" i="7"/>
  <c r="F39" i="7"/>
  <c r="N39" i="7" s="1"/>
  <c r="P38" i="7"/>
  <c r="F38" i="7"/>
  <c r="N38" i="7" s="1"/>
  <c r="P37" i="7"/>
  <c r="F37" i="7"/>
  <c r="N37" i="7" s="1"/>
  <c r="P36" i="7"/>
  <c r="F36" i="7"/>
  <c r="N36" i="7" s="1"/>
  <c r="P35" i="7"/>
  <c r="F35" i="7"/>
  <c r="N35" i="7" s="1"/>
  <c r="P34" i="7"/>
  <c r="F34" i="7"/>
  <c r="N34" i="7" s="1"/>
  <c r="P33" i="7"/>
  <c r="F33" i="7"/>
  <c r="N33" i="7" s="1"/>
  <c r="P32" i="7"/>
  <c r="F32" i="7"/>
  <c r="N32" i="7" s="1"/>
  <c r="P31" i="7"/>
  <c r="F31" i="7"/>
  <c r="N31" i="7"/>
  <c r="P30" i="7"/>
  <c r="F30" i="7"/>
  <c r="N30" i="7" s="1"/>
  <c r="P29" i="7"/>
  <c r="F29" i="7"/>
  <c r="N29" i="7" s="1"/>
  <c r="P28" i="7"/>
  <c r="F28" i="7"/>
  <c r="N28" i="7" s="1"/>
  <c r="P27" i="7"/>
  <c r="F27" i="7"/>
  <c r="N27" i="7" s="1"/>
  <c r="P26" i="7"/>
  <c r="K26" i="7"/>
  <c r="G26" i="7"/>
  <c r="P25" i="7"/>
  <c r="F25" i="7"/>
  <c r="N25" i="7" s="1"/>
  <c r="P24" i="7"/>
  <c r="F24" i="7"/>
  <c r="N24" i="7" s="1"/>
  <c r="P23" i="7"/>
  <c r="F23" i="7"/>
  <c r="N23" i="7"/>
  <c r="P22" i="7"/>
  <c r="F22" i="7"/>
  <c r="N22" i="7" s="1"/>
  <c r="P21" i="7"/>
  <c r="F21" i="7"/>
  <c r="N21" i="7" s="1"/>
  <c r="P20" i="7"/>
  <c r="F20" i="7"/>
  <c r="N20" i="7" s="1"/>
  <c r="P19" i="7"/>
  <c r="K19" i="7"/>
  <c r="G19" i="7"/>
  <c r="F19" i="7"/>
  <c r="N19" i="7" s="1"/>
  <c r="P18" i="7"/>
  <c r="F18" i="7"/>
  <c r="N18" i="7" s="1"/>
  <c r="P17" i="7"/>
  <c r="F17" i="7"/>
  <c r="N17" i="7" s="1"/>
  <c r="P16" i="7"/>
  <c r="F16" i="7"/>
  <c r="N16" i="7" s="1"/>
  <c r="P15" i="7"/>
  <c r="F15" i="7"/>
  <c r="N15" i="7" s="1"/>
  <c r="P14" i="7"/>
  <c r="F14" i="7"/>
  <c r="N14" i="7" s="1"/>
  <c r="P13" i="7"/>
  <c r="F13" i="7"/>
  <c r="N13" i="7" s="1"/>
  <c r="P12" i="7"/>
  <c r="F12" i="7"/>
  <c r="N12" i="7" s="1"/>
  <c r="P11" i="7"/>
  <c r="G11" i="7"/>
  <c r="F11" i="7"/>
  <c r="N11" i="7" s="1"/>
  <c r="P10" i="7"/>
  <c r="F10" i="7"/>
  <c r="F68" i="7" s="1"/>
  <c r="B4" i="7"/>
  <c r="J12" i="6"/>
  <c r="H12" i="6"/>
  <c r="I12" i="6"/>
  <c r="J17" i="6"/>
  <c r="H17" i="6"/>
  <c r="I17" i="6"/>
  <c r="J10" i="6"/>
  <c r="H10" i="6"/>
  <c r="I10" i="6"/>
  <c r="J51" i="6"/>
  <c r="H51" i="6"/>
  <c r="I51" i="6" s="1"/>
  <c r="J15" i="6"/>
  <c r="H15" i="6"/>
  <c r="I15" i="6" s="1"/>
  <c r="J61" i="6"/>
  <c r="H61" i="6"/>
  <c r="I61" i="6"/>
  <c r="I62" i="6" s="1"/>
  <c r="I74" i="6" s="1"/>
  <c r="J49" i="6"/>
  <c r="H49" i="6"/>
  <c r="I49" i="6" s="1"/>
  <c r="J24" i="6"/>
  <c r="H24" i="6"/>
  <c r="I24" i="6"/>
  <c r="J56" i="6"/>
  <c r="H56" i="6"/>
  <c r="I56" i="6"/>
  <c r="J16" i="6"/>
  <c r="H16" i="6"/>
  <c r="I16" i="6" s="1"/>
  <c r="J46" i="6"/>
  <c r="H46" i="6"/>
  <c r="I46" i="6" s="1"/>
  <c r="J42" i="6"/>
  <c r="H42" i="6"/>
  <c r="I42" i="6"/>
  <c r="J31" i="6"/>
  <c r="H31" i="6"/>
  <c r="I31" i="6"/>
  <c r="J40" i="6"/>
  <c r="H40" i="6"/>
  <c r="I40" i="6" s="1"/>
  <c r="J70" i="6"/>
  <c r="H70" i="6"/>
  <c r="I70" i="6"/>
  <c r="J50" i="6"/>
  <c r="H50" i="6"/>
  <c r="I50" i="6"/>
  <c r="J45" i="6"/>
  <c r="H45" i="6"/>
  <c r="I45" i="6"/>
  <c r="J54" i="6"/>
  <c r="H54" i="6"/>
  <c r="I54" i="6" s="1"/>
  <c r="J21" i="6"/>
  <c r="H21" i="6"/>
  <c r="I21" i="6" s="1"/>
  <c r="J44" i="6"/>
  <c r="H44" i="6"/>
  <c r="I44" i="6"/>
  <c r="J69" i="6"/>
  <c r="H69" i="6"/>
  <c r="I69" i="6"/>
  <c r="J33" i="6"/>
  <c r="H33" i="6"/>
  <c r="I33" i="6" s="1"/>
  <c r="J35" i="6"/>
  <c r="H35" i="6"/>
  <c r="I35" i="6" s="1"/>
  <c r="J14" i="6"/>
  <c r="H14" i="6"/>
  <c r="I14" i="6"/>
  <c r="J28" i="6"/>
  <c r="H28" i="6"/>
  <c r="I28" i="6"/>
  <c r="J27" i="6"/>
  <c r="H27" i="6"/>
  <c r="I27" i="6" s="1"/>
  <c r="J39" i="6"/>
  <c r="H39" i="6"/>
  <c r="I39" i="6" s="1"/>
  <c r="J30" i="6"/>
  <c r="H30" i="6"/>
  <c r="I30" i="6"/>
  <c r="J23" i="6"/>
  <c r="H23" i="6"/>
  <c r="I23" i="6"/>
  <c r="J36" i="6"/>
  <c r="H36" i="6"/>
  <c r="I36" i="6" s="1"/>
  <c r="J38" i="6"/>
  <c r="H38" i="6"/>
  <c r="I38" i="6"/>
  <c r="J11" i="6"/>
  <c r="H11" i="6"/>
  <c r="I11" i="6"/>
  <c r="J34" i="6"/>
  <c r="H34" i="6"/>
  <c r="I34" i="6"/>
  <c r="J53" i="6"/>
  <c r="H53" i="6"/>
  <c r="I53" i="6" s="1"/>
  <c r="J55" i="6"/>
  <c r="H55" i="6"/>
  <c r="I55" i="6" s="1"/>
  <c r="J26" i="6"/>
  <c r="H26" i="6"/>
  <c r="I26" i="6"/>
  <c r="J43" i="6"/>
  <c r="H43" i="6"/>
  <c r="I43" i="6"/>
  <c r="J25" i="6"/>
  <c r="H25" i="6"/>
  <c r="I25" i="6" s="1"/>
  <c r="J58" i="6"/>
  <c r="H58" i="6"/>
  <c r="I58" i="6" s="1"/>
  <c r="J48" i="6"/>
  <c r="H48" i="6"/>
  <c r="I48" i="6"/>
  <c r="J64" i="6"/>
  <c r="H64" i="6"/>
  <c r="I64" i="6"/>
  <c r="I65" i="6"/>
  <c r="I75" i="6" s="1"/>
  <c r="J22" i="6"/>
  <c r="H22" i="6"/>
  <c r="I22" i="6"/>
  <c r="J52" i="6"/>
  <c r="H52" i="6"/>
  <c r="I52" i="6"/>
  <c r="J29" i="6"/>
  <c r="H29" i="6"/>
  <c r="I29" i="6" s="1"/>
  <c r="J41" i="6"/>
  <c r="H41" i="6"/>
  <c r="I41" i="6" s="1"/>
  <c r="J68" i="6"/>
  <c r="H68" i="6"/>
  <c r="I68" i="6"/>
  <c r="J57" i="6"/>
  <c r="H57" i="6"/>
  <c r="I57" i="6"/>
  <c r="J20" i="6"/>
  <c r="H20" i="6"/>
  <c r="I20" i="6" s="1"/>
  <c r="J67" i="6"/>
  <c r="H67" i="6"/>
  <c r="I67" i="6"/>
  <c r="I71" i="6" s="1"/>
  <c r="I76" i="6" s="1"/>
  <c r="J19" i="6"/>
  <c r="H19" i="6"/>
  <c r="I19" i="6" s="1"/>
  <c r="J18" i="6"/>
  <c r="H18" i="6"/>
  <c r="I18" i="6"/>
  <c r="J47" i="6"/>
  <c r="H47" i="6"/>
  <c r="I47" i="6"/>
  <c r="J32" i="6"/>
  <c r="H32" i="6"/>
  <c r="I32" i="6" s="1"/>
  <c r="J37" i="6"/>
  <c r="H37" i="6"/>
  <c r="I37" i="6" s="1"/>
  <c r="J13" i="6"/>
  <c r="H13" i="6"/>
  <c r="I13" i="6"/>
  <c r="E13" i="6"/>
  <c r="B4" i="6"/>
  <c r="X7" i="9"/>
  <c r="B4" i="11"/>
  <c r="G4" i="11"/>
  <c r="F58" i="8"/>
  <c r="N58" i="8" s="1"/>
  <c r="F26" i="7"/>
  <c r="N26" i="7"/>
  <c r="L46" i="8"/>
  <c r="L54" i="7"/>
  <c r="L68" i="8"/>
  <c r="L19" i="7"/>
  <c r="H46" i="8"/>
  <c r="H54" i="7"/>
  <c r="H44" i="8"/>
  <c r="H45" i="7"/>
  <c r="H58" i="8"/>
  <c r="H26" i="7"/>
  <c r="H68" i="8"/>
  <c r="H19" i="7"/>
  <c r="I44" i="8"/>
  <c r="I45" i="7"/>
  <c r="I68" i="8"/>
  <c r="I19" i="7"/>
  <c r="I37" i="8"/>
  <c r="J46" i="8"/>
  <c r="J54" i="7"/>
  <c r="J21" i="8"/>
  <c r="J46" i="7"/>
  <c r="J58" i="8"/>
  <c r="J26" i="7"/>
  <c r="F33" i="8"/>
  <c r="N33" i="8" s="1"/>
  <c r="F43" i="7"/>
  <c r="N43" i="7" s="1"/>
  <c r="L44" i="8"/>
  <c r="L45" i="7"/>
  <c r="L58" i="8"/>
  <c r="L26" i="7"/>
  <c r="C44" i="8"/>
  <c r="E44" i="8" s="1"/>
  <c r="O44" i="8" s="1"/>
  <c r="C45" i="7"/>
  <c r="E45" i="7" s="1"/>
  <c r="C58" i="8"/>
  <c r="E58" i="8" s="1"/>
  <c r="C26" i="7"/>
  <c r="E26" i="7"/>
  <c r="O26" i="7" s="1"/>
  <c r="C68" i="8"/>
  <c r="E68" i="8" s="1"/>
  <c r="C19" i="7"/>
  <c r="E19" i="7" s="1"/>
  <c r="I46" i="8"/>
  <c r="I54" i="7"/>
  <c r="I58" i="8"/>
  <c r="I73" i="8" s="1"/>
  <c r="I77" i="8" s="1"/>
  <c r="I26" i="7"/>
  <c r="J44" i="8"/>
  <c r="J45" i="7"/>
  <c r="J68" i="8"/>
  <c r="J19" i="7"/>
  <c r="J11" i="7"/>
  <c r="J37" i="8"/>
  <c r="G37" i="8"/>
  <c r="I10" i="7"/>
  <c r="I68" i="7"/>
  <c r="L11" i="7"/>
  <c r="I11" i="7"/>
  <c r="C11" i="7"/>
  <c r="E11" i="7" s="1"/>
  <c r="O11" i="7" s="1"/>
  <c r="W37" i="9"/>
  <c r="W49" i="9"/>
  <c r="X10" i="9"/>
  <c r="AB12" i="9"/>
  <c r="AD12" i="9"/>
  <c r="W16" i="9"/>
  <c r="Y16" i="9" s="1"/>
  <c r="AD16" i="9" s="1"/>
  <c r="Z27" i="9"/>
  <c r="W27" i="9"/>
  <c r="W11" i="9"/>
  <c r="Y11" i="9" s="1"/>
  <c r="AD11" i="9" s="1"/>
  <c r="X20" i="9"/>
  <c r="K33" i="8"/>
  <c r="H11" i="7"/>
  <c r="K37" i="8"/>
  <c r="K64" i="8"/>
  <c r="K31" i="8"/>
  <c r="L37" i="8"/>
  <c r="I21" i="8"/>
  <c r="L46" i="7"/>
  <c r="C46" i="7"/>
  <c r="E46" i="7" s="1"/>
  <c r="K44" i="7"/>
  <c r="K10" i="7"/>
  <c r="K68" i="7" s="1"/>
  <c r="G46" i="7"/>
  <c r="G21" i="8"/>
  <c r="C21" i="8"/>
  <c r="E21" i="8" s="1"/>
  <c r="O21" i="8" s="1"/>
  <c r="H46" i="7"/>
  <c r="H13" i="8"/>
  <c r="G10" i="7"/>
  <c r="G68" i="7"/>
  <c r="G13" i="8"/>
  <c r="J10" i="7"/>
  <c r="J68" i="7" s="1"/>
  <c r="J13" i="8"/>
  <c r="L12" i="8"/>
  <c r="J58" i="7"/>
  <c r="J49" i="7"/>
  <c r="J29" i="7"/>
  <c r="J21" i="7"/>
  <c r="J20" i="7"/>
  <c r="L13" i="8"/>
  <c r="L10" i="7"/>
  <c r="L68" i="7" s="1"/>
  <c r="K60" i="7"/>
  <c r="K50" i="7"/>
  <c r="G36" i="7"/>
  <c r="G20" i="7"/>
  <c r="I14" i="7"/>
  <c r="C10" i="7"/>
  <c r="C13" i="8"/>
  <c r="E13" i="8" s="1"/>
  <c r="I43" i="7"/>
  <c r="K30" i="8"/>
  <c r="H57" i="7"/>
  <c r="K48" i="8"/>
  <c r="I22" i="7"/>
  <c r="C23" i="8"/>
  <c r="E23" i="8" s="1"/>
  <c r="O23" i="8" s="1"/>
  <c r="I52" i="8"/>
  <c r="K35" i="7"/>
  <c r="G53" i="8"/>
  <c r="G23" i="7"/>
  <c r="K18" i="7"/>
  <c r="K23" i="7"/>
  <c r="G22" i="8"/>
  <c r="I61" i="8"/>
  <c r="I74" i="8" s="1"/>
  <c r="I10" i="8"/>
  <c r="H38" i="7"/>
  <c r="K42" i="8"/>
  <c r="K13" i="7"/>
  <c r="K47" i="8"/>
  <c r="G14" i="7"/>
  <c r="K18" i="8"/>
  <c r="K14" i="7"/>
  <c r="H15" i="7"/>
  <c r="K29" i="8"/>
  <c r="G48" i="8"/>
  <c r="J43" i="8"/>
  <c r="J34" i="8"/>
  <c r="J38" i="8"/>
  <c r="J34" i="7"/>
  <c r="G35" i="7"/>
  <c r="I36" i="8"/>
  <c r="K36" i="7"/>
  <c r="J37" i="7"/>
  <c r="K14" i="8"/>
  <c r="H47" i="7"/>
  <c r="H48" i="7"/>
  <c r="K49" i="7"/>
  <c r="G51" i="7"/>
  <c r="J24" i="8"/>
  <c r="G18" i="8"/>
  <c r="K39" i="8"/>
  <c r="I13" i="7"/>
  <c r="I16" i="7"/>
  <c r="K67" i="8"/>
  <c r="K16" i="7"/>
  <c r="J17" i="7"/>
  <c r="I18" i="7"/>
  <c r="J41" i="8"/>
  <c r="H52" i="8"/>
  <c r="H64" i="8"/>
  <c r="I48" i="8"/>
  <c r="K26" i="8"/>
  <c r="I11" i="8"/>
  <c r="I36" i="7"/>
  <c r="H30" i="8"/>
  <c r="J40" i="7"/>
  <c r="J33" i="8"/>
  <c r="I44" i="7"/>
  <c r="G50" i="8"/>
  <c r="I50" i="8"/>
  <c r="I51" i="7"/>
  <c r="K40" i="8"/>
  <c r="K51" i="7"/>
  <c r="H52" i="7"/>
  <c r="J31" i="8"/>
  <c r="G53" i="7"/>
  <c r="G56" i="7"/>
  <c r="I56" i="7"/>
  <c r="K59" i="7"/>
  <c r="K61" i="8"/>
  <c r="K61" i="7"/>
  <c r="K51" i="8"/>
  <c r="H29" i="8"/>
  <c r="J29" i="8"/>
  <c r="J22" i="8"/>
  <c r="J23" i="7"/>
  <c r="I30" i="7"/>
  <c r="I34" i="8"/>
  <c r="G34" i="7"/>
  <c r="J35" i="7"/>
  <c r="H23" i="8"/>
  <c r="I42" i="7"/>
  <c r="K16" i="8"/>
  <c r="K55" i="7"/>
  <c r="H61" i="8"/>
  <c r="J61" i="7"/>
  <c r="I12" i="7"/>
  <c r="K12" i="7"/>
  <c r="I24" i="7"/>
  <c r="K32" i="7"/>
  <c r="K34" i="8"/>
  <c r="H33" i="7"/>
  <c r="H11" i="8"/>
  <c r="K38" i="8"/>
  <c r="K34" i="7"/>
  <c r="H35" i="7"/>
  <c r="J27" i="8"/>
  <c r="H41" i="7"/>
  <c r="H14" i="8"/>
  <c r="G54" i="8"/>
  <c r="I48" i="7"/>
  <c r="K48" i="7"/>
  <c r="K45" i="8"/>
  <c r="J50" i="8"/>
  <c r="H40" i="8"/>
  <c r="J42" i="8"/>
  <c r="I16" i="8"/>
  <c r="J56" i="8"/>
  <c r="J56" i="7"/>
  <c r="G57" i="7"/>
  <c r="K24" i="8"/>
  <c r="K57" i="7"/>
  <c r="L59" i="7"/>
  <c r="L61" i="8"/>
  <c r="J15" i="8"/>
  <c r="L15" i="8"/>
  <c r="H51" i="8"/>
  <c r="H10" i="8"/>
  <c r="L10" i="8"/>
  <c r="J17" i="8"/>
  <c r="L63" i="7"/>
  <c r="L17" i="8"/>
  <c r="H64" i="7"/>
  <c r="J12" i="8"/>
  <c r="L64" i="7"/>
  <c r="I49" i="8"/>
  <c r="I64" i="8"/>
  <c r="I75" i="8" s="1"/>
  <c r="I38" i="7"/>
  <c r="I32" i="8"/>
  <c r="K15" i="7"/>
  <c r="K19" i="8"/>
  <c r="K17" i="7"/>
  <c r="K20" i="8"/>
  <c r="G41" i="8"/>
  <c r="K20" i="7"/>
  <c r="K41" i="8"/>
  <c r="G22" i="7"/>
  <c r="K52" i="8"/>
  <c r="K22" i="7"/>
  <c r="H22" i="8"/>
  <c r="G64" i="8"/>
  <c r="J48" i="8"/>
  <c r="H25" i="8"/>
  <c r="G28" i="7"/>
  <c r="J26" i="8"/>
  <c r="K55" i="8"/>
  <c r="K30" i="7"/>
  <c r="J31" i="7"/>
  <c r="G32" i="7"/>
  <c r="I30" i="8"/>
  <c r="K42" i="7"/>
  <c r="K35" i="8"/>
  <c r="G43" i="7"/>
  <c r="J69" i="8"/>
  <c r="I47" i="7"/>
  <c r="K47" i="7"/>
  <c r="K54" i="8"/>
  <c r="I50" i="7"/>
  <c r="J40" i="8"/>
  <c r="G52" i="7"/>
  <c r="I31" i="8"/>
  <c r="I52" i="7"/>
  <c r="G16" i="8"/>
  <c r="G55" i="7"/>
  <c r="G58" i="7"/>
  <c r="K58" i="7"/>
  <c r="K49" i="8"/>
  <c r="G38" i="7"/>
  <c r="K17" i="8"/>
  <c r="K63" i="7"/>
  <c r="L14" i="8"/>
  <c r="L35" i="8"/>
  <c r="L20" i="7"/>
  <c r="L43" i="8"/>
  <c r="L28" i="7"/>
  <c r="G40" i="7"/>
  <c r="I28" i="8"/>
  <c r="G42" i="7"/>
  <c r="G35" i="8"/>
  <c r="G60" i="7"/>
  <c r="I15" i="8"/>
  <c r="G62" i="7"/>
  <c r="K10" i="8"/>
  <c r="K62" i="7"/>
  <c r="G17" i="8"/>
  <c r="I63" i="7"/>
  <c r="I17" i="8"/>
  <c r="G12" i="8"/>
  <c r="K12" i="8"/>
  <c r="K64" i="7"/>
  <c r="J49" i="8"/>
  <c r="H32" i="8"/>
  <c r="H12" i="7"/>
  <c r="J32" i="8"/>
  <c r="H47" i="8"/>
  <c r="L47" i="8"/>
  <c r="H14" i="7"/>
  <c r="J18" i="8"/>
  <c r="G15" i="7"/>
  <c r="I19" i="8"/>
  <c r="H67" i="8"/>
  <c r="H16" i="7"/>
  <c r="G17" i="7"/>
  <c r="H18" i="7"/>
  <c r="I41" i="8"/>
  <c r="L31" i="7"/>
  <c r="L27" i="8"/>
  <c r="L51" i="8"/>
  <c r="K33" i="7"/>
  <c r="K11" i="8"/>
  <c r="H33" i="8"/>
  <c r="H50" i="7"/>
  <c r="L24" i="8"/>
  <c r="L12" i="7"/>
  <c r="L32" i="8"/>
  <c r="L56" i="7"/>
  <c r="L56" i="8"/>
  <c r="L28" i="8"/>
  <c r="L39" i="8"/>
  <c r="L38" i="7"/>
  <c r="L23" i="8"/>
  <c r="L23" i="7"/>
  <c r="L22" i="8"/>
  <c r="L26" i="8"/>
  <c r="L29" i="7"/>
  <c r="L34" i="7"/>
  <c r="L38" i="8"/>
  <c r="L70" i="8"/>
  <c r="L50" i="7"/>
  <c r="L16" i="8"/>
  <c r="L55" i="7"/>
  <c r="L47" i="7"/>
  <c r="L54" i="8"/>
  <c r="L49" i="8"/>
  <c r="L15" i="7"/>
  <c r="L19" i="8"/>
  <c r="L17" i="7"/>
  <c r="L20" i="8"/>
  <c r="L18" i="8"/>
  <c r="L14" i="7"/>
  <c r="L57" i="8"/>
  <c r="L18" i="7"/>
  <c r="L22" i="7"/>
  <c r="L52" i="8"/>
  <c r="L30" i="7"/>
  <c r="L55" i="8"/>
  <c r="L35" i="7"/>
  <c r="L37" i="7"/>
  <c r="L30" i="8"/>
  <c r="L21" i="7"/>
  <c r="L29" i="8"/>
  <c r="L64" i="8"/>
  <c r="L24" i="7"/>
  <c r="L27" i="7"/>
  <c r="L25" i="8"/>
  <c r="L33" i="8"/>
  <c r="L43" i="7"/>
  <c r="L45" i="8"/>
  <c r="L48" i="7"/>
  <c r="L40" i="8"/>
  <c r="L51" i="7"/>
  <c r="L33" i="7"/>
  <c r="L11" i="8"/>
  <c r="L16" i="7"/>
  <c r="L67" i="8"/>
  <c r="L44" i="7"/>
  <c r="L52" i="7"/>
  <c r="L31" i="8"/>
  <c r="L53" i="7"/>
  <c r="G40" i="8"/>
  <c r="G44" i="7"/>
  <c r="G41" i="7"/>
  <c r="G27" i="8"/>
  <c r="G31" i="7"/>
  <c r="G29" i="7"/>
  <c r="G27" i="7"/>
  <c r="H59" i="7"/>
  <c r="H24" i="8"/>
  <c r="H16" i="8"/>
  <c r="H40" i="7"/>
  <c r="H32" i="7"/>
  <c r="H30" i="7"/>
  <c r="I26" i="8"/>
  <c r="I27" i="7"/>
  <c r="J42" i="7"/>
  <c r="J35" i="8"/>
  <c r="K56" i="7"/>
  <c r="K56" i="8"/>
  <c r="K31" i="7"/>
  <c r="K53" i="8"/>
  <c r="K25" i="8"/>
  <c r="K27" i="7"/>
  <c r="H70" i="8"/>
  <c r="H12" i="8"/>
  <c r="I35" i="8"/>
  <c r="I14" i="8"/>
  <c r="H61" i="7"/>
  <c r="I62" i="7"/>
  <c r="I42" i="8"/>
  <c r="I37" i="7"/>
  <c r="I15" i="7"/>
  <c r="J32" i="7"/>
  <c r="J53" i="8"/>
  <c r="J20" i="8"/>
  <c r="L42" i="7"/>
  <c r="H43" i="7"/>
  <c r="H55" i="8"/>
  <c r="H28" i="7"/>
  <c r="H27" i="7"/>
  <c r="I55" i="7"/>
  <c r="L39" i="7"/>
  <c r="G14" i="8"/>
  <c r="G39" i="7"/>
  <c r="G30" i="8"/>
  <c r="G38" i="8"/>
  <c r="H28" i="8"/>
  <c r="H37" i="7"/>
  <c r="H19" i="8"/>
  <c r="I24" i="8"/>
  <c r="I56" i="8"/>
  <c r="L61" i="7"/>
  <c r="L13" i="7"/>
  <c r="H34" i="8"/>
  <c r="G56" i="8"/>
  <c r="G55" i="8"/>
  <c r="G26" i="8"/>
  <c r="G43" i="8"/>
  <c r="G25" i="7"/>
  <c r="G24" i="7"/>
  <c r="G21" i="7"/>
  <c r="H54" i="8"/>
  <c r="I60" i="7"/>
  <c r="I59" i="7"/>
  <c r="I58" i="7"/>
  <c r="H22" i="7"/>
  <c r="H21" i="7"/>
  <c r="H57" i="8"/>
  <c r="I40" i="7"/>
  <c r="I20" i="7"/>
  <c r="I57" i="8"/>
  <c r="G32" i="8"/>
  <c r="G64" i="7"/>
  <c r="G63" i="7"/>
  <c r="G51" i="8"/>
  <c r="G15" i="8"/>
  <c r="G61" i="8"/>
  <c r="G49" i="8"/>
  <c r="G42" i="8"/>
  <c r="G70" i="8"/>
  <c r="G49" i="7"/>
  <c r="G48" i="7"/>
  <c r="G69" i="8"/>
  <c r="G34" i="8"/>
  <c r="G57" i="8"/>
  <c r="G20" i="8"/>
  <c r="G16" i="7"/>
  <c r="H62" i="7"/>
  <c r="H55" i="7"/>
  <c r="H31" i="8"/>
  <c r="H45" i="8"/>
  <c r="H36" i="8"/>
  <c r="H13" i="7"/>
  <c r="I70" i="8"/>
  <c r="I76" i="8" s="1"/>
  <c r="I49" i="7"/>
  <c r="I45" i="8"/>
  <c r="I33" i="8"/>
  <c r="I35" i="7"/>
  <c r="I38" i="8"/>
  <c r="I55" i="8"/>
  <c r="I29" i="7"/>
  <c r="I23" i="7"/>
  <c r="I67" i="8"/>
  <c r="I47" i="8"/>
  <c r="J64" i="7"/>
  <c r="J63" i="7"/>
  <c r="J60" i="7"/>
  <c r="J59" i="7"/>
  <c r="J53" i="7"/>
  <c r="J51" i="7"/>
  <c r="J39" i="7"/>
  <c r="J11" i="8"/>
  <c r="J28" i="7"/>
  <c r="J25" i="7"/>
  <c r="J14" i="7"/>
  <c r="K32" i="8"/>
  <c r="L62" i="7"/>
  <c r="L57" i="7"/>
  <c r="L53" i="8"/>
  <c r="L41" i="7"/>
  <c r="J38" i="7"/>
  <c r="J47" i="8"/>
  <c r="J70" i="8"/>
  <c r="J16" i="8"/>
  <c r="H48" i="8"/>
  <c r="H50" i="8"/>
  <c r="H56" i="8"/>
  <c r="I29" i="8"/>
  <c r="H20" i="7"/>
  <c r="H27" i="8"/>
  <c r="H53" i="8"/>
  <c r="J67" i="8"/>
  <c r="I27" i="8"/>
  <c r="J57" i="7"/>
  <c r="J48" i="7"/>
  <c r="I40" i="8"/>
  <c r="H42" i="7"/>
  <c r="L42" i="8"/>
  <c r="L69" i="8"/>
  <c r="L36" i="8"/>
  <c r="L58" i="7"/>
  <c r="J22" i="7"/>
  <c r="L41" i="8"/>
  <c r="I34" i="7"/>
  <c r="J57" i="8"/>
  <c r="H60" i="7"/>
  <c r="H56" i="7"/>
  <c r="H51" i="7"/>
  <c r="J51" i="8"/>
  <c r="J36" i="8"/>
  <c r="I17" i="7"/>
  <c r="J55" i="8"/>
  <c r="I51" i="8"/>
  <c r="J64" i="8"/>
  <c r="J15" i="7"/>
  <c r="H34" i="7"/>
  <c r="I64" i="7"/>
  <c r="J27" i="7"/>
  <c r="J43" i="7"/>
  <c r="J10" i="8"/>
  <c r="H23" i="7"/>
  <c r="H44" i="7"/>
  <c r="J54" i="8"/>
  <c r="J30" i="7"/>
  <c r="K27" i="8"/>
  <c r="I53" i="8"/>
  <c r="L50" i="8"/>
  <c r="L32" i="7"/>
  <c r="L25" i="7"/>
  <c r="I22" i="8"/>
  <c r="J16" i="7"/>
  <c r="J13" i="7"/>
  <c r="H69" i="8"/>
  <c r="H31" i="7"/>
  <c r="I43" i="8"/>
  <c r="H25" i="7"/>
  <c r="J62" i="7"/>
  <c r="H53" i="7"/>
  <c r="J14" i="8"/>
  <c r="H39" i="7"/>
  <c r="H63" i="7"/>
  <c r="J33" i="7"/>
  <c r="J25" i="8"/>
  <c r="J55" i="7"/>
  <c r="I39" i="7"/>
  <c r="I31" i="7"/>
  <c r="H17" i="7"/>
  <c r="I18" i="8"/>
  <c r="I61" i="7"/>
  <c r="H41" i="8"/>
  <c r="J50" i="7"/>
  <c r="I12" i="8"/>
  <c r="J24" i="7"/>
  <c r="I20" i="8"/>
  <c r="H58" i="7"/>
  <c r="J19" i="8"/>
  <c r="J52" i="7"/>
  <c r="J12" i="7"/>
  <c r="I28" i="7"/>
  <c r="H35" i="8"/>
  <c r="H42" i="8"/>
  <c r="H20" i="8"/>
  <c r="H26" i="8"/>
  <c r="H15" i="8"/>
  <c r="J18" i="7"/>
  <c r="L49" i="7"/>
  <c r="L34" i="8"/>
  <c r="L48" i="8"/>
  <c r="L40" i="7"/>
  <c r="J45" i="8"/>
  <c r="H49" i="8"/>
  <c r="I57" i="7"/>
  <c r="H49" i="7"/>
  <c r="H17" i="8"/>
  <c r="J61" i="8"/>
  <c r="H29" i="7"/>
  <c r="H43" i="8"/>
  <c r="H38" i="8"/>
  <c r="J47" i="7"/>
  <c r="J41" i="7"/>
  <c r="J52" i="8"/>
  <c r="G25" i="8"/>
  <c r="G45" i="8"/>
  <c r="G33" i="8"/>
  <c r="G47" i="7"/>
  <c r="G61" i="7"/>
  <c r="I69" i="8"/>
  <c r="G11" i="8"/>
  <c r="G18" i="7"/>
  <c r="G13" i="7"/>
  <c r="G36" i="8"/>
  <c r="G52" i="8"/>
  <c r="G47" i="8"/>
  <c r="J28" i="8"/>
  <c r="G37" i="7"/>
  <c r="J36" i="7"/>
  <c r="G67" i="8"/>
  <c r="I32" i="7"/>
  <c r="J30" i="8"/>
  <c r="G31" i="8"/>
  <c r="G28" i="8"/>
  <c r="G33" i="7"/>
  <c r="G50" i="7"/>
  <c r="G30" i="7"/>
  <c r="G24" i="8"/>
  <c r="I41" i="7"/>
  <c r="G59" i="7"/>
  <c r="G19" i="8"/>
  <c r="C63" i="7"/>
  <c r="E63" i="7" s="1"/>
  <c r="O63" i="7" s="1"/>
  <c r="C26" i="8"/>
  <c r="E26" i="8" s="1"/>
  <c r="C49" i="7"/>
  <c r="E49" i="7" s="1"/>
  <c r="O49" i="7" s="1"/>
  <c r="C18" i="7"/>
  <c r="E18" i="7"/>
  <c r="O18" i="7" s="1"/>
  <c r="C60" i="7"/>
  <c r="E60" i="7" s="1"/>
  <c r="C64" i="8"/>
  <c r="E64" i="8"/>
  <c r="O64" i="8" s="1"/>
  <c r="O65" i="8" s="1"/>
  <c r="O75" i="8" s="1"/>
  <c r="C24" i="7"/>
  <c r="E24" i="7" s="1"/>
  <c r="C15" i="8"/>
  <c r="E15" i="8" s="1"/>
  <c r="C55" i="7"/>
  <c r="E55" i="7" s="1"/>
  <c r="C17" i="8"/>
  <c r="E17" i="8" s="1"/>
  <c r="O17" i="8" s="1"/>
  <c r="C69" i="8"/>
  <c r="E69" i="8" s="1"/>
  <c r="O69" i="8" s="1"/>
  <c r="C44" i="7"/>
  <c r="E44" i="7" s="1"/>
  <c r="O44" i="7" s="1"/>
  <c r="C39" i="7"/>
  <c r="E39" i="7" s="1"/>
  <c r="O39" i="7" s="1"/>
  <c r="C27" i="8"/>
  <c r="E27" i="8" s="1"/>
  <c r="C30" i="8"/>
  <c r="E30" i="8"/>
  <c r="C12" i="7"/>
  <c r="E12" i="7" s="1"/>
  <c r="O12" i="7" s="1"/>
  <c r="C56" i="8"/>
  <c r="E56" i="8"/>
  <c r="C56" i="7"/>
  <c r="E56" i="7" s="1"/>
  <c r="O56" i="7" s="1"/>
  <c r="C31" i="7"/>
  <c r="E31" i="7" s="1"/>
  <c r="C53" i="8"/>
  <c r="E53" i="8" s="1"/>
  <c r="O53" i="8" s="1"/>
  <c r="C16" i="8"/>
  <c r="E16" i="8" s="1"/>
  <c r="O16" i="8" s="1"/>
  <c r="C57" i="8"/>
  <c r="E57" i="8" s="1"/>
  <c r="O57" i="8" s="1"/>
  <c r="C21" i="7"/>
  <c r="E21" i="7" s="1"/>
  <c r="C47" i="8"/>
  <c r="E47" i="8" s="1"/>
  <c r="O47" i="8" s="1"/>
  <c r="C17" i="7"/>
  <c r="E17" i="7" s="1"/>
  <c r="C20" i="8"/>
  <c r="E20" i="8" s="1"/>
  <c r="C64" i="7"/>
  <c r="E64" i="7" s="1"/>
  <c r="C19" i="8"/>
  <c r="E19" i="8" s="1"/>
  <c r="C15" i="7"/>
  <c r="E15" i="7" s="1"/>
  <c r="O15" i="7" s="1"/>
  <c r="C41" i="7"/>
  <c r="E41" i="7"/>
  <c r="O41" i="7" s="1"/>
  <c r="C30" i="7"/>
  <c r="E30" i="7" s="1"/>
  <c r="O30" i="7" s="1"/>
  <c r="C54" i="8"/>
  <c r="E54" i="8"/>
  <c r="O54" i="8" s="1"/>
  <c r="C36" i="7"/>
  <c r="E36" i="7" s="1"/>
  <c r="O36" i="7" s="1"/>
  <c r="C51" i="7"/>
  <c r="E51" i="7"/>
  <c r="O51" i="7" s="1"/>
  <c r="C40" i="8"/>
  <c r="E40" i="8" s="1"/>
  <c r="O40" i="8" s="1"/>
  <c r="Z25" i="9"/>
  <c r="C49" i="8"/>
  <c r="E49" i="8" s="1"/>
  <c r="C39" i="8"/>
  <c r="E39" i="8" s="1"/>
  <c r="O39" i="8" s="1"/>
  <c r="C38" i="7"/>
  <c r="E38" i="7" s="1"/>
  <c r="Z32" i="9"/>
  <c r="W32" i="9"/>
  <c r="Z47" i="9"/>
  <c r="X47" i="9"/>
  <c r="Y47" i="9" s="1"/>
  <c r="AD47" i="9" s="1"/>
  <c r="Z17" i="9"/>
  <c r="W18" i="9"/>
  <c r="Y18" i="9" s="1"/>
  <c r="Z18" i="9"/>
  <c r="AD18" i="9"/>
  <c r="X19" i="9"/>
  <c r="W19" i="9"/>
  <c r="Y19" i="9" s="1"/>
  <c r="AD19" i="9" s="1"/>
  <c r="W20" i="9"/>
  <c r="Y20" i="9" s="1"/>
  <c r="AD20" i="9" s="1"/>
  <c r="W35" i="9"/>
  <c r="Z35" i="9"/>
  <c r="Z37" i="9"/>
  <c r="AB37" i="9" s="1"/>
  <c r="W44" i="9"/>
  <c r="Z46" i="9"/>
  <c r="X46" i="9"/>
  <c r="W46" i="9"/>
  <c r="Z21" i="9"/>
  <c r="AB21" i="9"/>
  <c r="X28" i="9"/>
  <c r="Y28" i="9"/>
  <c r="AD28" i="9" s="1"/>
  <c r="X52" i="9"/>
  <c r="Z52" i="9"/>
  <c r="AB52" i="9" s="1"/>
  <c r="X53" i="9"/>
  <c r="W53" i="9"/>
  <c r="Z54" i="9"/>
  <c r="X56" i="9"/>
  <c r="Y56" i="9" s="1"/>
  <c r="AD56" i="9" s="1"/>
  <c r="Z60" i="9"/>
  <c r="AB60" i="9" s="1"/>
  <c r="X62" i="9"/>
  <c r="Z65" i="9"/>
  <c r="AB65" i="9"/>
  <c r="X65" i="9"/>
  <c r="Y65" i="9"/>
  <c r="Z74" i="9"/>
  <c r="AB74" i="9"/>
  <c r="AB76" i="9" s="1"/>
  <c r="X74" i="9"/>
  <c r="H18" i="8"/>
  <c r="W56" i="9"/>
  <c r="X38" i="9"/>
  <c r="W10" i="9"/>
  <c r="Y10" i="9" s="1"/>
  <c r="AD10" i="9" s="1"/>
  <c r="AB10" i="9"/>
  <c r="X11" i="9"/>
  <c r="Z11" i="9"/>
  <c r="W14" i="9"/>
  <c r="Y14" i="9" s="1"/>
  <c r="AD14" i="9" s="1"/>
  <c r="Z14" i="9"/>
  <c r="AB14" i="9" s="1"/>
  <c r="L67" i="9"/>
  <c r="W41" i="9"/>
  <c r="X41" i="9"/>
  <c r="Y41" i="9" s="1"/>
  <c r="AD41" i="9" s="1"/>
  <c r="C14" i="7"/>
  <c r="E14" i="7" s="1"/>
  <c r="O14" i="7" s="1"/>
  <c r="L36" i="7"/>
  <c r="Z56" i="9"/>
  <c r="AB56" i="9" s="1"/>
  <c r="Z28" i="9"/>
  <c r="X36" i="9"/>
  <c r="X12" i="9"/>
  <c r="W34" i="9"/>
  <c r="X71" i="9"/>
  <c r="P29" i="9"/>
  <c r="K28" i="7"/>
  <c r="K43" i="8"/>
  <c r="P22" i="9"/>
  <c r="J44" i="7"/>
  <c r="C58" i="7"/>
  <c r="E58" i="7" s="1"/>
  <c r="C13" i="7"/>
  <c r="E13" i="7" s="1"/>
  <c r="O13" i="7" s="1"/>
  <c r="C50" i="8"/>
  <c r="E50" i="8" s="1"/>
  <c r="O50" i="8" s="1"/>
  <c r="C29" i="7"/>
  <c r="E29" i="7" s="1"/>
  <c r="C36" i="8"/>
  <c r="E36" i="8" s="1"/>
  <c r="O36" i="8" s="1"/>
  <c r="C35" i="7"/>
  <c r="E35" i="7" s="1"/>
  <c r="C12" i="8"/>
  <c r="E12" i="8" s="1"/>
  <c r="C62" i="7"/>
  <c r="E62" i="7" s="1"/>
  <c r="C10" i="8"/>
  <c r="E10" i="8" s="1"/>
  <c r="C37" i="7"/>
  <c r="E37" i="7" s="1"/>
  <c r="O37" i="7" s="1"/>
  <c r="C61" i="7"/>
  <c r="E61" i="7" s="1"/>
  <c r="C51" i="8"/>
  <c r="E51" i="8" s="1"/>
  <c r="O51" i="8" s="1"/>
  <c r="C42" i="8"/>
  <c r="E42" i="8" s="1"/>
  <c r="O42" i="8" s="1"/>
  <c r="C53" i="7"/>
  <c r="E53" i="7" s="1"/>
  <c r="C32" i="8"/>
  <c r="E32" i="8" s="1"/>
  <c r="C20" i="7"/>
  <c r="E20" i="7" s="1"/>
  <c r="O20" i="7" s="1"/>
  <c r="C41" i="8"/>
  <c r="E41" i="8" s="1"/>
  <c r="O41" i="8" s="1"/>
  <c r="C61" i="8"/>
  <c r="E61" i="8" s="1"/>
  <c r="O61" i="8" s="1"/>
  <c r="O62" i="8" s="1"/>
  <c r="O74" i="8" s="1"/>
  <c r="C59" i="7"/>
  <c r="E59" i="7" s="1"/>
  <c r="C24" i="8"/>
  <c r="E24" i="8" s="1"/>
  <c r="O24" i="8" s="1"/>
  <c r="C57" i="7"/>
  <c r="E57" i="7" s="1"/>
  <c r="O57" i="7" s="1"/>
  <c r="C38" i="8"/>
  <c r="E38" i="8" s="1"/>
  <c r="C34" i="7"/>
  <c r="E34" i="7" s="1"/>
  <c r="C43" i="8"/>
  <c r="E43" i="8" s="1"/>
  <c r="O43" i="8" s="1"/>
  <c r="C28" i="7"/>
  <c r="E28" i="7" s="1"/>
  <c r="O28" i="7" s="1"/>
  <c r="C31" i="8"/>
  <c r="E31" i="8" s="1"/>
  <c r="C52" i="7"/>
  <c r="E52" i="7" s="1"/>
  <c r="C34" i="8"/>
  <c r="E34" i="8" s="1"/>
  <c r="O34" i="8" s="1"/>
  <c r="C32" i="7"/>
  <c r="E32" i="7" s="1"/>
  <c r="C27" i="7"/>
  <c r="E27" i="7"/>
  <c r="C25" i="8"/>
  <c r="E25" i="8" s="1"/>
  <c r="C11" i="8"/>
  <c r="E11" i="8" s="1"/>
  <c r="O11" i="8" s="1"/>
  <c r="C33" i="7"/>
  <c r="E33" i="7" s="1"/>
  <c r="O33" i="7" s="1"/>
  <c r="C55" i="8"/>
  <c r="E55" i="8" s="1"/>
  <c r="C14" i="8"/>
  <c r="E14" i="8" s="1"/>
  <c r="O14" i="8" s="1"/>
  <c r="C22" i="8"/>
  <c r="E22" i="8" s="1"/>
  <c r="C23" i="7"/>
  <c r="E23" i="7" s="1"/>
  <c r="O23" i="7" s="1"/>
  <c r="C35" i="8"/>
  <c r="E35" i="8" s="1"/>
  <c r="O35" i="8" s="1"/>
  <c r="C42" i="7"/>
  <c r="E42" i="7" s="1"/>
  <c r="O42" i="7" s="1"/>
  <c r="C40" i="7"/>
  <c r="E40" i="7" s="1"/>
  <c r="C28" i="8"/>
  <c r="E28" i="8" s="1"/>
  <c r="O28" i="8" s="1"/>
  <c r="C29" i="8"/>
  <c r="E29" i="8" s="1"/>
  <c r="O29" i="8" s="1"/>
  <c r="C22" i="7"/>
  <c r="E22" i="7" s="1"/>
  <c r="O22" i="7" s="1"/>
  <c r="C52" i="8"/>
  <c r="E52" i="8" s="1"/>
  <c r="O52" i="8" s="1"/>
  <c r="C47" i="7"/>
  <c r="E47" i="7" s="1"/>
  <c r="O47" i="7" s="1"/>
  <c r="C67" i="8"/>
  <c r="E67" i="8" s="1"/>
  <c r="O67" i="8" s="1"/>
  <c r="O71" i="8" s="1"/>
  <c r="O76" i="8" s="1"/>
  <c r="C16" i="7"/>
  <c r="E16" i="7"/>
  <c r="O16" i="7" s="1"/>
  <c r="Y35" i="9"/>
  <c r="AD35" i="9" s="1"/>
  <c r="Z15" i="9"/>
  <c r="AB15" i="9" s="1"/>
  <c r="X15" i="9"/>
  <c r="W15" i="9"/>
  <c r="Y15" i="9" s="1"/>
  <c r="AD15" i="9" s="1"/>
  <c r="Z22" i="9"/>
  <c r="AB22" i="9" s="1"/>
  <c r="W22" i="9"/>
  <c r="X22" i="9"/>
  <c r="C50" i="7"/>
  <c r="E50" i="7" s="1"/>
  <c r="C45" i="8"/>
  <c r="E45" i="8" s="1"/>
  <c r="C48" i="7"/>
  <c r="E48" i="7" s="1"/>
  <c r="O48" i="7" s="1"/>
  <c r="C54" i="7"/>
  <c r="E54" i="7" s="1"/>
  <c r="C46" i="8"/>
  <c r="E46" i="8" s="1"/>
  <c r="O46" i="8" s="1"/>
  <c r="C33" i="8"/>
  <c r="E33" i="8" s="1"/>
  <c r="O33" i="8" s="1"/>
  <c r="C43" i="7"/>
  <c r="E43" i="7" s="1"/>
  <c r="O43" i="7" s="1"/>
  <c r="C25" i="7"/>
  <c r="E25" i="7" s="1"/>
  <c r="O25" i="7" s="1"/>
  <c r="C48" i="8"/>
  <c r="E48" i="8" s="1"/>
  <c r="O48" i="8" s="1"/>
  <c r="Y53" i="9"/>
  <c r="AD53" i="9" s="1"/>
  <c r="C70" i="8"/>
  <c r="E70" i="8" s="1"/>
  <c r="C74" i="10"/>
  <c r="C75" i="10" s="1"/>
  <c r="I74" i="10"/>
  <c r="Z33" i="9"/>
  <c r="AB33" i="9" s="1"/>
  <c r="W33" i="9"/>
  <c r="X33" i="9"/>
  <c r="W39" i="9"/>
  <c r="X39" i="9"/>
  <c r="Z39" i="9"/>
  <c r="X16" i="9"/>
  <c r="Z16" i="9"/>
  <c r="W57" i="9"/>
  <c r="Y57" i="9" s="1"/>
  <c r="AD57" i="9" s="1"/>
  <c r="X57" i="9"/>
  <c r="Z57" i="9"/>
  <c r="AB57" i="9" s="1"/>
  <c r="Z59" i="9"/>
  <c r="AB59" i="9" s="1"/>
  <c r="W59" i="9"/>
  <c r="Y59" i="9" s="1"/>
  <c r="AD59" i="9" s="1"/>
  <c r="Z70" i="9"/>
  <c r="AB70" i="9" s="1"/>
  <c r="Y72" i="9"/>
  <c r="Z72" i="9"/>
  <c r="AB72" i="9"/>
  <c r="X72" i="9"/>
  <c r="X73" i="9"/>
  <c r="AB16" i="9"/>
  <c r="Y27" i="9"/>
  <c r="AD27" i="9" s="1"/>
  <c r="K67" i="9"/>
  <c r="Y73" i="9"/>
  <c r="Z31" i="9"/>
  <c r="AB31" i="9" s="1"/>
  <c r="AB61" i="9"/>
  <c r="X61" i="9"/>
  <c r="Y61" i="9" s="1"/>
  <c r="AD61" i="9" s="1"/>
  <c r="X34" i="9"/>
  <c r="Y34" i="9" s="1"/>
  <c r="AD34" i="9" s="1"/>
  <c r="Y37" i="9"/>
  <c r="AD37" i="9"/>
  <c r="AB32" i="9"/>
  <c r="X32" i="9"/>
  <c r="Y32" i="9" s="1"/>
  <c r="AD32" i="9" s="1"/>
  <c r="Z73" i="9"/>
  <c r="AB73" i="9" s="1"/>
  <c r="Y70" i="9"/>
  <c r="Z8" i="9"/>
  <c r="AB8" i="9" s="1"/>
  <c r="X8" i="9"/>
  <c r="W30" i="9"/>
  <c r="Y30" i="9" s="1"/>
  <c r="AD30" i="9" s="1"/>
  <c r="X30" i="9"/>
  <c r="X43" i="9"/>
  <c r="Y43" i="9" s="1"/>
  <c r="AD43" i="9" s="1"/>
  <c r="Z45" i="9"/>
  <c r="AB45" i="9" s="1"/>
  <c r="Z49" i="9"/>
  <c r="AB49" i="9"/>
  <c r="C78" i="11"/>
  <c r="X31" i="9"/>
  <c r="Y31" i="9"/>
  <c r="AD31" i="9" s="1"/>
  <c r="AB34" i="9"/>
  <c r="W61" i="9"/>
  <c r="AB46" i="9"/>
  <c r="Z30" i="9"/>
  <c r="AB30" i="9" s="1"/>
  <c r="W8" i="9"/>
  <c r="X49" i="9"/>
  <c r="Y49" i="9" s="1"/>
  <c r="AD49" i="9" s="1"/>
  <c r="Z7" i="9"/>
  <c r="W7" i="9"/>
  <c r="AA67" i="9"/>
  <c r="AB11" i="9"/>
  <c r="X26" i="9"/>
  <c r="W26" i="9"/>
  <c r="Y26" i="9" s="1"/>
  <c r="AD26" i="9" s="1"/>
  <c r="Z26" i="9"/>
  <c r="AB26" i="9" s="1"/>
  <c r="Z42" i="9"/>
  <c r="AB42" i="9"/>
  <c r="X42" i="9"/>
  <c r="Y42" i="9" s="1"/>
  <c r="AD42" i="9" s="1"/>
  <c r="X60" i="9"/>
  <c r="Y60" i="9" s="1"/>
  <c r="AD60" i="9" s="1"/>
  <c r="AB23" i="9"/>
  <c r="AB35" i="9"/>
  <c r="Z62" i="9"/>
  <c r="AB62" i="9" s="1"/>
  <c r="W62" i="9"/>
  <c r="Y62" i="9" s="1"/>
  <c r="AD62" i="9" s="1"/>
  <c r="AB18" i="9"/>
  <c r="X27" i="9"/>
  <c r="AB27" i="9"/>
  <c r="W55" i="9"/>
  <c r="Y55" i="9"/>
  <c r="AD55" i="9" s="1"/>
  <c r="Z55" i="9"/>
  <c r="AB55" i="9" s="1"/>
  <c r="P24" i="9"/>
  <c r="W24" i="9" s="1"/>
  <c r="AB48" i="9"/>
  <c r="W48" i="9"/>
  <c r="Y48" i="9" s="1"/>
  <c r="AD48" i="9" s="1"/>
  <c r="X48" i="9"/>
  <c r="Z51" i="9"/>
  <c r="W51" i="9"/>
  <c r="Y51" i="9" s="1"/>
  <c r="AD51" i="9" s="1"/>
  <c r="W63" i="9"/>
  <c r="Y63" i="9"/>
  <c r="AD63" i="9" s="1"/>
  <c r="AB63" i="9"/>
  <c r="Y7" i="9"/>
  <c r="AD7" i="9" s="1"/>
  <c r="Y8" i="9"/>
  <c r="AD8" i="9" s="1"/>
  <c r="Z24" i="9"/>
  <c r="P67" i="9"/>
  <c r="AB7" i="9"/>
  <c r="O24" i="7"/>
  <c r="E10" i="7"/>
  <c r="C68" i="7"/>
  <c r="O53" i="7"/>
  <c r="O61" i="7"/>
  <c r="X86" i="18" l="1"/>
  <c r="W86" i="18"/>
  <c r="I59" i="6"/>
  <c r="I73" i="6" s="1"/>
  <c r="I77" i="6" s="1"/>
  <c r="O52" i="7"/>
  <c r="W9" i="9"/>
  <c r="X9" i="9"/>
  <c r="AB17" i="9"/>
  <c r="W17" i="9"/>
  <c r="Y17" i="9" s="1"/>
  <c r="AD17" i="9" s="1"/>
  <c r="X17" i="9"/>
  <c r="W38" i="9"/>
  <c r="Y38" i="9" s="1"/>
  <c r="AD38" i="9" s="1"/>
  <c r="Z38" i="9"/>
  <c r="AB38" i="9" s="1"/>
  <c r="Z50" i="9"/>
  <c r="AB50" i="9" s="1"/>
  <c r="X50" i="9"/>
  <c r="W58" i="9"/>
  <c r="Y58" i="9" s="1"/>
  <c r="AD58" i="9" s="1"/>
  <c r="X58" i="9"/>
  <c r="O34" i="7"/>
  <c r="W29" i="9"/>
  <c r="Z29" i="9"/>
  <c r="AB29" i="9" s="1"/>
  <c r="AB24" i="9"/>
  <c r="AB51" i="9"/>
  <c r="Z43" i="9"/>
  <c r="AB43" i="9" s="1"/>
  <c r="AB9" i="9"/>
  <c r="AB67" i="9" s="1"/>
  <c r="Y33" i="9"/>
  <c r="AD33" i="9" s="1"/>
  <c r="X29" i="9"/>
  <c r="Y71" i="9"/>
  <c r="Z58" i="9"/>
  <c r="AB58" i="9" s="1"/>
  <c r="O31" i="7"/>
  <c r="Z9" i="9"/>
  <c r="Z67" i="9" s="1"/>
  <c r="Y39" i="9"/>
  <c r="AD39" i="9" s="1"/>
  <c r="Y22" i="9"/>
  <c r="AD22" i="9" s="1"/>
  <c r="AB71" i="9"/>
  <c r="Y46" i="9"/>
  <c r="AD46" i="9" s="1"/>
  <c r="O30" i="8"/>
  <c r="Z40" i="9"/>
  <c r="AB40" i="9" s="1"/>
  <c r="X40" i="9"/>
  <c r="W40" i="9"/>
  <c r="Y40" i="9" s="1"/>
  <c r="AD40" i="9" s="1"/>
  <c r="H153" i="20"/>
  <c r="H155" i="20" s="1"/>
  <c r="X24" i="9"/>
  <c r="Y24" i="9" s="1"/>
  <c r="AD24" i="9" s="1"/>
  <c r="O58" i="7"/>
  <c r="O19" i="8"/>
  <c r="W50" i="9"/>
  <c r="Y50" i="9" s="1"/>
  <c r="AD50" i="9" s="1"/>
  <c r="W13" i="9"/>
  <c r="Y13" i="9" s="1"/>
  <c r="AD13" i="9" s="1"/>
  <c r="X13" i="9"/>
  <c r="Z13" i="9"/>
  <c r="AB13" i="9" s="1"/>
  <c r="Z19" i="9"/>
  <c r="AB19" i="9"/>
  <c r="Z20" i="9"/>
  <c r="AB20" i="9"/>
  <c r="X21" i="9"/>
  <c r="W21" i="9"/>
  <c r="Y21" i="9" s="1"/>
  <c r="AD21" i="9" s="1"/>
  <c r="W25" i="9"/>
  <c r="AB25" i="9"/>
  <c r="X25" i="9"/>
  <c r="Z36" i="9"/>
  <c r="W36" i="9"/>
  <c r="Y36" i="9" s="1"/>
  <c r="AD36" i="9" s="1"/>
  <c r="AB36" i="9"/>
  <c r="AB39" i="9"/>
  <c r="Z44" i="9"/>
  <c r="AB44" i="9" s="1"/>
  <c r="X44" i="9"/>
  <c r="Y44" i="9" s="1"/>
  <c r="AD44" i="9" s="1"/>
  <c r="Y52" i="9"/>
  <c r="AD52" i="9" s="1"/>
  <c r="Z53" i="9"/>
  <c r="AB53" i="9"/>
  <c r="W54" i="9"/>
  <c r="AB54" i="9"/>
  <c r="X54" i="9"/>
  <c r="O37" i="8"/>
  <c r="O64" i="7"/>
  <c r="O55" i="7"/>
  <c r="I75" i="10"/>
  <c r="O40" i="7"/>
  <c r="O38" i="8"/>
  <c r="O20" i="8"/>
  <c r="O60" i="7"/>
  <c r="O68" i="8"/>
  <c r="L4" i="18"/>
  <c r="M4" i="18" s="1"/>
  <c r="Z82" i="18"/>
  <c r="AD82" i="18" s="1"/>
  <c r="Z78" i="18"/>
  <c r="AD78" i="18" s="1"/>
  <c r="Z74" i="18"/>
  <c r="AD74" i="18" s="1"/>
  <c r="Z70" i="18"/>
  <c r="AD70" i="18" s="1"/>
  <c r="Z66" i="18"/>
  <c r="AD66" i="18" s="1"/>
  <c r="Z62" i="18"/>
  <c r="AD62" i="18" s="1"/>
  <c r="Z58" i="18"/>
  <c r="AD58" i="18" s="1"/>
  <c r="Z54" i="18"/>
  <c r="AD54" i="18" s="1"/>
  <c r="Z50" i="18"/>
  <c r="AD50" i="18" s="1"/>
  <c r="Z46" i="18"/>
  <c r="AD46" i="18" s="1"/>
  <c r="Z42" i="18"/>
  <c r="AD42" i="18" s="1"/>
  <c r="Z38" i="18"/>
  <c r="AD38" i="18" s="1"/>
  <c r="Z34" i="18"/>
  <c r="AD34" i="18" s="1"/>
  <c r="Z30" i="18"/>
  <c r="AD30" i="18" s="1"/>
  <c r="Z26" i="18"/>
  <c r="AD26" i="18" s="1"/>
  <c r="Z22" i="18"/>
  <c r="AD22" i="18" s="1"/>
  <c r="Z18" i="18"/>
  <c r="AD18" i="18" s="1"/>
  <c r="Z14" i="18"/>
  <c r="AD14" i="18" s="1"/>
  <c r="Z10" i="18"/>
  <c r="AD10" i="18" s="1"/>
  <c r="Z6" i="18"/>
  <c r="AD6" i="18" s="1"/>
  <c r="AB4" i="18"/>
  <c r="Z76" i="18"/>
  <c r="AD76" i="18" s="1"/>
  <c r="Z60" i="18"/>
  <c r="AD60" i="18" s="1"/>
  <c r="Z52" i="18"/>
  <c r="AD52" i="18" s="1"/>
  <c r="Z44" i="18"/>
  <c r="AD44" i="18" s="1"/>
  <c r="Z36" i="18"/>
  <c r="AD36" i="18" s="1"/>
  <c r="Z24" i="18"/>
  <c r="AD24" i="18" s="1"/>
  <c r="Z16" i="18"/>
  <c r="AD16" i="18" s="1"/>
  <c r="Z8" i="18"/>
  <c r="AD8" i="18" s="1"/>
  <c r="Z83" i="18"/>
  <c r="AD83" i="18" s="1"/>
  <c r="Z75" i="18"/>
  <c r="AD75" i="18" s="1"/>
  <c r="Z67" i="18"/>
  <c r="AD67" i="18" s="1"/>
  <c r="Z51" i="18"/>
  <c r="AD51" i="18" s="1"/>
  <c r="Z43" i="18"/>
  <c r="AD43" i="18" s="1"/>
  <c r="Z39" i="18"/>
  <c r="AD39" i="18" s="1"/>
  <c r="Z27" i="18"/>
  <c r="AD27" i="18" s="1"/>
  <c r="Z19" i="18"/>
  <c r="AD19" i="18" s="1"/>
  <c r="Z11" i="18"/>
  <c r="AD11" i="18" s="1"/>
  <c r="Y4" i="18"/>
  <c r="Z85" i="18"/>
  <c r="AD85" i="18" s="1"/>
  <c r="Z81" i="18"/>
  <c r="AD81" i="18" s="1"/>
  <c r="Z77" i="18"/>
  <c r="AD77" i="18" s="1"/>
  <c r="Z73" i="18"/>
  <c r="AD73" i="18" s="1"/>
  <c r="Z69" i="18"/>
  <c r="AD69" i="18" s="1"/>
  <c r="Z65" i="18"/>
  <c r="AD65" i="18" s="1"/>
  <c r="Z61" i="18"/>
  <c r="AD61" i="18" s="1"/>
  <c r="Z57" i="18"/>
  <c r="AD57" i="18" s="1"/>
  <c r="Z53" i="18"/>
  <c r="AD53" i="18" s="1"/>
  <c r="Z49" i="18"/>
  <c r="AD49" i="18" s="1"/>
  <c r="Z45" i="18"/>
  <c r="AD45" i="18" s="1"/>
  <c r="Z41" i="18"/>
  <c r="AD41" i="18" s="1"/>
  <c r="Z37" i="18"/>
  <c r="AD37" i="18" s="1"/>
  <c r="Z33" i="18"/>
  <c r="AD33" i="18" s="1"/>
  <c r="Z29" i="18"/>
  <c r="AD29" i="18" s="1"/>
  <c r="Z25" i="18"/>
  <c r="AD25" i="18" s="1"/>
  <c r="Z21" i="18"/>
  <c r="AD21" i="18" s="1"/>
  <c r="Z17" i="18"/>
  <c r="AD17" i="18" s="1"/>
  <c r="Z13" i="18"/>
  <c r="AD13" i="18" s="1"/>
  <c r="Z9" i="18"/>
  <c r="AD9" i="18" s="1"/>
  <c r="Z5" i="18"/>
  <c r="AD5" i="18" s="1"/>
  <c r="AA4" i="18"/>
  <c r="Z80" i="18"/>
  <c r="AD80" i="18" s="1"/>
  <c r="Z72" i="18"/>
  <c r="AD72" i="18" s="1"/>
  <c r="Z64" i="18"/>
  <c r="AD64" i="18" s="1"/>
  <c r="Z56" i="18"/>
  <c r="AD56" i="18" s="1"/>
  <c r="Z48" i="18"/>
  <c r="AD48" i="18" s="1"/>
  <c r="Z40" i="18"/>
  <c r="AD40" i="18" s="1"/>
  <c r="Z32" i="18"/>
  <c r="AD32" i="18" s="1"/>
  <c r="Z28" i="18"/>
  <c r="AD28" i="18" s="1"/>
  <c r="Z20" i="18"/>
  <c r="AD20" i="18" s="1"/>
  <c r="Z12" i="18"/>
  <c r="AD12" i="18" s="1"/>
  <c r="Z4" i="18"/>
  <c r="Z79" i="18"/>
  <c r="AD79" i="18" s="1"/>
  <c r="Z71" i="18"/>
  <c r="AD71" i="18" s="1"/>
  <c r="Z59" i="18"/>
  <c r="AD59" i="18" s="1"/>
  <c r="Z47" i="18"/>
  <c r="AD47" i="18" s="1"/>
  <c r="Z35" i="18"/>
  <c r="AD35" i="18" s="1"/>
  <c r="Z31" i="18"/>
  <c r="AD31" i="18" s="1"/>
  <c r="Z15" i="18"/>
  <c r="AD15" i="18" s="1"/>
  <c r="Z7" i="18"/>
  <c r="AD7" i="18" s="1"/>
  <c r="Z84" i="18"/>
  <c r="AD84" i="18" s="1"/>
  <c r="Z68" i="18"/>
  <c r="AD68" i="18" s="1"/>
  <c r="Z63" i="18"/>
  <c r="AD63" i="18" s="1"/>
  <c r="Z55" i="18"/>
  <c r="AD55" i="18" s="1"/>
  <c r="Z23" i="18"/>
  <c r="AD23" i="18" s="1"/>
  <c r="AC4" i="18"/>
  <c r="U4" i="18"/>
  <c r="R6" i="18"/>
  <c r="N6" i="18"/>
  <c r="P6" i="18" s="1"/>
  <c r="U6" i="18"/>
  <c r="O6" i="18"/>
  <c r="M6" i="18"/>
  <c r="O13" i="18"/>
  <c r="R13" i="18"/>
  <c r="N13" i="18"/>
  <c r="P13" i="18" s="1"/>
  <c r="U13" i="18"/>
  <c r="M13" i="18"/>
  <c r="O19" i="18"/>
  <c r="R19" i="18"/>
  <c r="N19" i="18"/>
  <c r="P19" i="18" s="1"/>
  <c r="U19" i="18"/>
  <c r="M19" i="18"/>
  <c r="R26" i="18"/>
  <c r="N26" i="18"/>
  <c r="P26" i="18" s="1"/>
  <c r="U26" i="18"/>
  <c r="M26" i="18"/>
  <c r="O26" i="18"/>
  <c r="O31" i="18"/>
  <c r="R31" i="18"/>
  <c r="N31" i="18"/>
  <c r="P31" i="18" s="1"/>
  <c r="U31" i="18"/>
  <c r="M31" i="18"/>
  <c r="U38" i="18"/>
  <c r="M38" i="18"/>
  <c r="O38" i="18"/>
  <c r="R38" i="18"/>
  <c r="N38" i="18"/>
  <c r="P38" i="18" s="1"/>
  <c r="R45" i="18"/>
  <c r="N45" i="18"/>
  <c r="P45" i="18" s="1"/>
  <c r="U45" i="18"/>
  <c r="O45" i="18"/>
  <c r="M45" i="18"/>
  <c r="O51" i="18"/>
  <c r="R51" i="18"/>
  <c r="N51" i="18"/>
  <c r="P51" i="18" s="1"/>
  <c r="U51" i="18"/>
  <c r="M51" i="18"/>
  <c r="R58" i="18"/>
  <c r="N58" i="18"/>
  <c r="P58" i="18" s="1"/>
  <c r="U58" i="18"/>
  <c r="M58" i="18"/>
  <c r="O58" i="18"/>
  <c r="R63" i="18"/>
  <c r="N63" i="18"/>
  <c r="P63" i="18" s="1"/>
  <c r="M63" i="18"/>
  <c r="U63" i="18"/>
  <c r="O63" i="18"/>
  <c r="U70" i="18"/>
  <c r="M70" i="18"/>
  <c r="O70" i="18"/>
  <c r="R70" i="18"/>
  <c r="N70" i="18"/>
  <c r="P70" i="18" s="1"/>
  <c r="O77" i="18"/>
  <c r="R77" i="18"/>
  <c r="N77" i="18"/>
  <c r="P77" i="18" s="1"/>
  <c r="U77" i="18"/>
  <c r="M77" i="18"/>
  <c r="O83" i="18"/>
  <c r="R83" i="18"/>
  <c r="N83" i="18"/>
  <c r="P83" i="18" s="1"/>
  <c r="U83" i="18"/>
  <c r="M83" i="18"/>
  <c r="R12" i="18"/>
  <c r="N12" i="18"/>
  <c r="P12" i="18" s="1"/>
  <c r="U12" i="18"/>
  <c r="M12" i="18"/>
  <c r="O12" i="18"/>
  <c r="R24" i="18"/>
  <c r="N24" i="18"/>
  <c r="P24" i="18" s="1"/>
  <c r="O24" i="18"/>
  <c r="U24" i="18"/>
  <c r="M24" i="18"/>
  <c r="O33" i="18"/>
  <c r="R33" i="18"/>
  <c r="N33" i="18"/>
  <c r="P33" i="18" s="1"/>
  <c r="U33" i="18"/>
  <c r="M33" i="18"/>
  <c r="U44" i="18"/>
  <c r="O44" i="18"/>
  <c r="N44" i="18"/>
  <c r="P44" i="18" s="1"/>
  <c r="R44" i="18"/>
  <c r="M44" i="18"/>
  <c r="R56" i="18"/>
  <c r="N56" i="18"/>
  <c r="P56" i="18" s="1"/>
  <c r="U56" i="18"/>
  <c r="M56" i="18"/>
  <c r="O56" i="18"/>
  <c r="R65" i="18"/>
  <c r="N65" i="18"/>
  <c r="P65" i="18" s="1"/>
  <c r="U65" i="18"/>
  <c r="O65" i="18"/>
  <c r="M65" i="18"/>
  <c r="U76" i="18"/>
  <c r="M76" i="18"/>
  <c r="O76" i="18"/>
  <c r="N76" i="18"/>
  <c r="P76" i="18" s="1"/>
  <c r="R76" i="18"/>
  <c r="O7" i="18"/>
  <c r="R7" i="18"/>
  <c r="N7" i="18"/>
  <c r="P7" i="18" s="1"/>
  <c r="U7" i="18"/>
  <c r="M7" i="18"/>
  <c r="R14" i="18"/>
  <c r="N14" i="18"/>
  <c r="P14" i="18" s="1"/>
  <c r="U14" i="18"/>
  <c r="M14" i="18"/>
  <c r="O14" i="18"/>
  <c r="O21" i="18"/>
  <c r="R21" i="18"/>
  <c r="N21" i="18"/>
  <c r="P21" i="18" s="1"/>
  <c r="U21" i="18"/>
  <c r="M21" i="18"/>
  <c r="R27" i="18"/>
  <c r="N27" i="18"/>
  <c r="P27" i="18" s="1"/>
  <c r="O27" i="18"/>
  <c r="U27" i="18"/>
  <c r="M27" i="18"/>
  <c r="U34" i="18"/>
  <c r="M34" i="18"/>
  <c r="O34" i="18"/>
  <c r="R34" i="18"/>
  <c r="N34" i="18"/>
  <c r="P34" i="18" s="1"/>
  <c r="O39" i="18"/>
  <c r="R39" i="18"/>
  <c r="N39" i="18"/>
  <c r="P39" i="18" s="1"/>
  <c r="U39" i="18"/>
  <c r="M39" i="18"/>
  <c r="R46" i="18"/>
  <c r="N46" i="18"/>
  <c r="P46" i="18" s="1"/>
  <c r="U46" i="18"/>
  <c r="M46" i="18"/>
  <c r="O46" i="18"/>
  <c r="O53" i="18"/>
  <c r="R53" i="18"/>
  <c r="N53" i="18"/>
  <c r="P53" i="18" s="1"/>
  <c r="U53" i="18"/>
  <c r="M53" i="18"/>
  <c r="O59" i="18"/>
  <c r="R59" i="18"/>
  <c r="N59" i="18"/>
  <c r="P59" i="18" s="1"/>
  <c r="U59" i="18"/>
  <c r="M59" i="18"/>
  <c r="N66" i="18"/>
  <c r="P66" i="18" s="1"/>
  <c r="R66" i="18"/>
  <c r="M66" i="18"/>
  <c r="U66" i="18"/>
  <c r="O66" i="18"/>
  <c r="O71" i="18"/>
  <c r="R71" i="18"/>
  <c r="N71" i="18"/>
  <c r="P71" i="18" s="1"/>
  <c r="U71" i="18"/>
  <c r="M71" i="18"/>
  <c r="U78" i="18"/>
  <c r="M78" i="18"/>
  <c r="O78" i="18"/>
  <c r="R78" i="18"/>
  <c r="N78" i="18"/>
  <c r="P78" i="18" s="1"/>
  <c r="O85" i="18"/>
  <c r="R85" i="18"/>
  <c r="N85" i="18"/>
  <c r="P85" i="18" s="1"/>
  <c r="U85" i="18"/>
  <c r="M85" i="18"/>
  <c r="R16" i="18"/>
  <c r="N16" i="18"/>
  <c r="P16" i="18" s="1"/>
  <c r="U16" i="18"/>
  <c r="M16" i="18"/>
  <c r="O16" i="18"/>
  <c r="R25" i="18"/>
  <c r="N25" i="18"/>
  <c r="P25" i="18" s="1"/>
  <c r="O25" i="18"/>
  <c r="U25" i="18"/>
  <c r="M25" i="18"/>
  <c r="U36" i="18"/>
  <c r="M36" i="18"/>
  <c r="O36" i="18"/>
  <c r="R36" i="18"/>
  <c r="N36" i="18"/>
  <c r="P36" i="18" s="1"/>
  <c r="R48" i="18"/>
  <c r="N48" i="18"/>
  <c r="P48" i="18" s="1"/>
  <c r="O48" i="18"/>
  <c r="U48" i="18"/>
  <c r="M48" i="18"/>
  <c r="O57" i="18"/>
  <c r="R57" i="18"/>
  <c r="N57" i="18"/>
  <c r="P57" i="18" s="1"/>
  <c r="U57" i="18"/>
  <c r="M57" i="18"/>
  <c r="R68" i="18"/>
  <c r="M68" i="18"/>
  <c r="U68" i="18"/>
  <c r="O68" i="18"/>
  <c r="N68" i="18"/>
  <c r="P68" i="18" s="1"/>
  <c r="U80" i="18"/>
  <c r="M80" i="18"/>
  <c r="O80" i="18"/>
  <c r="R80" i="18"/>
  <c r="N80" i="18"/>
  <c r="P80" i="18" s="1"/>
  <c r="R10" i="18"/>
  <c r="N10" i="18"/>
  <c r="P10" i="18" s="1"/>
  <c r="U10" i="18"/>
  <c r="M10" i="18"/>
  <c r="O10" i="18"/>
  <c r="O15" i="18"/>
  <c r="R15" i="18"/>
  <c r="N15" i="18"/>
  <c r="P15" i="18" s="1"/>
  <c r="U15" i="18"/>
  <c r="M15" i="18"/>
  <c r="R22" i="18"/>
  <c r="U22" i="18"/>
  <c r="N22" i="18"/>
  <c r="P22" i="18" s="1"/>
  <c r="M22" i="18"/>
  <c r="O22" i="18"/>
  <c r="R29" i="18"/>
  <c r="N29" i="18"/>
  <c r="P29" i="18" s="1"/>
  <c r="U29" i="18"/>
  <c r="O29" i="18"/>
  <c r="M29" i="18"/>
  <c r="O35" i="18"/>
  <c r="R35" i="18"/>
  <c r="N35" i="18"/>
  <c r="P35" i="18" s="1"/>
  <c r="U35" i="18"/>
  <c r="M35" i="18"/>
  <c r="U42" i="18"/>
  <c r="M42" i="18"/>
  <c r="O42" i="18"/>
  <c r="R42" i="18"/>
  <c r="N42" i="18"/>
  <c r="P42" i="18" s="1"/>
  <c r="R47" i="18"/>
  <c r="N47" i="18"/>
  <c r="P47" i="18" s="1"/>
  <c r="U47" i="18"/>
  <c r="M47" i="18"/>
  <c r="O47" i="18"/>
  <c r="R54" i="18"/>
  <c r="N54" i="18"/>
  <c r="P54" i="18" s="1"/>
  <c r="U54" i="18"/>
  <c r="M54" i="18"/>
  <c r="O54" i="18"/>
  <c r="O61" i="18"/>
  <c r="R61" i="18"/>
  <c r="N61" i="18"/>
  <c r="P61" i="18" s="1"/>
  <c r="U61" i="18"/>
  <c r="M61" i="18"/>
  <c r="R67" i="18"/>
  <c r="N67" i="18"/>
  <c r="P67" i="18" s="1"/>
  <c r="U67" i="18"/>
  <c r="O67" i="18"/>
  <c r="M67" i="18"/>
  <c r="U74" i="18"/>
  <c r="M74" i="18"/>
  <c r="O74" i="18"/>
  <c r="R74" i="18"/>
  <c r="N74" i="18"/>
  <c r="P74" i="18" s="1"/>
  <c r="O79" i="18"/>
  <c r="R79" i="18"/>
  <c r="N79" i="18"/>
  <c r="P79" i="18" s="1"/>
  <c r="U79" i="18"/>
  <c r="M79" i="18"/>
  <c r="R8" i="18"/>
  <c r="N8" i="18"/>
  <c r="P8" i="18" s="1"/>
  <c r="U8" i="18"/>
  <c r="M8" i="18"/>
  <c r="O8" i="18"/>
  <c r="O17" i="18"/>
  <c r="R17" i="18"/>
  <c r="N17" i="18"/>
  <c r="P17" i="18" s="1"/>
  <c r="U17" i="18"/>
  <c r="M17" i="18"/>
  <c r="R28" i="18"/>
  <c r="N28" i="18"/>
  <c r="P28" i="18" s="1"/>
  <c r="O28" i="18"/>
  <c r="U28" i="18"/>
  <c r="M28" i="18"/>
  <c r="U40" i="18"/>
  <c r="M40" i="18"/>
  <c r="O40" i="18"/>
  <c r="R40" i="18"/>
  <c r="N40" i="18"/>
  <c r="P40" i="18" s="1"/>
  <c r="R49" i="18"/>
  <c r="N49" i="18"/>
  <c r="P49" i="18" s="1"/>
  <c r="U49" i="18"/>
  <c r="M49" i="18"/>
  <c r="O49" i="18"/>
  <c r="R60" i="18"/>
  <c r="N60" i="18"/>
  <c r="P60" i="18" s="1"/>
  <c r="U60" i="18"/>
  <c r="M60" i="18"/>
  <c r="O60" i="18"/>
  <c r="U72" i="18"/>
  <c r="M72" i="18"/>
  <c r="O72" i="18"/>
  <c r="R72" i="18"/>
  <c r="N72" i="18"/>
  <c r="P72" i="18" s="1"/>
  <c r="O81" i="18"/>
  <c r="R81" i="18"/>
  <c r="N81" i="18"/>
  <c r="P81" i="18" s="1"/>
  <c r="U81" i="18"/>
  <c r="M81" i="18"/>
  <c r="O5" i="18"/>
  <c r="R5" i="18"/>
  <c r="N5" i="18"/>
  <c r="P5" i="18" s="1"/>
  <c r="U5" i="18"/>
  <c r="M5" i="18"/>
  <c r="O11" i="18"/>
  <c r="R11" i="18"/>
  <c r="N11" i="18"/>
  <c r="P11" i="18" s="1"/>
  <c r="U11" i="18"/>
  <c r="M11" i="18"/>
  <c r="R18" i="18"/>
  <c r="N18" i="18"/>
  <c r="P18" i="18" s="1"/>
  <c r="U18" i="18"/>
  <c r="M18" i="18"/>
  <c r="O18" i="18"/>
  <c r="R23" i="18"/>
  <c r="N23" i="18"/>
  <c r="P23" i="18" s="1"/>
  <c r="O23" i="18"/>
  <c r="U23" i="18"/>
  <c r="M23" i="18"/>
  <c r="U30" i="18"/>
  <c r="M30" i="18"/>
  <c r="O30" i="18"/>
  <c r="R30" i="18"/>
  <c r="N30" i="18"/>
  <c r="P30" i="18" s="1"/>
  <c r="O37" i="18"/>
  <c r="R37" i="18"/>
  <c r="N37" i="18"/>
  <c r="P37" i="18" s="1"/>
  <c r="U37" i="18"/>
  <c r="M37" i="18"/>
  <c r="O43" i="18"/>
  <c r="R43" i="18"/>
  <c r="N43" i="18"/>
  <c r="P43" i="18" s="1"/>
  <c r="U43" i="18"/>
  <c r="M43" i="18"/>
  <c r="R50" i="18"/>
  <c r="N50" i="18"/>
  <c r="P50" i="18" s="1"/>
  <c r="U50" i="18"/>
  <c r="O50" i="18"/>
  <c r="M50" i="18"/>
  <c r="O55" i="18"/>
  <c r="R55" i="18"/>
  <c r="N55" i="18"/>
  <c r="P55" i="18" s="1"/>
  <c r="U55" i="18"/>
  <c r="M55" i="18"/>
  <c r="U62" i="18"/>
  <c r="O62" i="18"/>
  <c r="N62" i="18"/>
  <c r="P62" i="18" s="1"/>
  <c r="R62" i="18"/>
  <c r="M62" i="18"/>
  <c r="R69" i="18"/>
  <c r="N69" i="18"/>
  <c r="P69" i="18" s="1"/>
  <c r="O69" i="18"/>
  <c r="M69" i="18"/>
  <c r="U69" i="18"/>
  <c r="O75" i="18"/>
  <c r="R75" i="18"/>
  <c r="N75" i="18"/>
  <c r="P75" i="18" s="1"/>
  <c r="U75" i="18"/>
  <c r="M75" i="18"/>
  <c r="U82" i="18"/>
  <c r="M82" i="18"/>
  <c r="O82" i="18"/>
  <c r="R82" i="18"/>
  <c r="N82" i="18"/>
  <c r="P82" i="18" s="1"/>
  <c r="O9" i="18"/>
  <c r="R9" i="18"/>
  <c r="N9" i="18"/>
  <c r="P9" i="18" s="1"/>
  <c r="M9" i="18"/>
  <c r="U9" i="18"/>
  <c r="R20" i="18"/>
  <c r="N20" i="18"/>
  <c r="P20" i="18" s="1"/>
  <c r="U20" i="18"/>
  <c r="M20" i="18"/>
  <c r="O20" i="18"/>
  <c r="U32" i="18"/>
  <c r="M32" i="18"/>
  <c r="O32" i="18"/>
  <c r="R32" i="18"/>
  <c r="N32" i="18"/>
  <c r="P32" i="18" s="1"/>
  <c r="O41" i="18"/>
  <c r="R41" i="18"/>
  <c r="N41" i="18"/>
  <c r="P41" i="18" s="1"/>
  <c r="U41" i="18"/>
  <c r="M41" i="18"/>
  <c r="R52" i="18"/>
  <c r="N52" i="18"/>
  <c r="P52" i="18" s="1"/>
  <c r="U52" i="18"/>
  <c r="M52" i="18"/>
  <c r="O52" i="18"/>
  <c r="U64" i="18"/>
  <c r="O64" i="18"/>
  <c r="N64" i="18"/>
  <c r="P64" i="18" s="1"/>
  <c r="R64" i="18"/>
  <c r="M64" i="18"/>
  <c r="O73" i="18"/>
  <c r="R73" i="18"/>
  <c r="N73" i="18"/>
  <c r="P73" i="18" s="1"/>
  <c r="U73" i="18"/>
  <c r="M73" i="18"/>
  <c r="R84" i="18"/>
  <c r="N84" i="18"/>
  <c r="P84" i="18" s="1"/>
  <c r="U84" i="18"/>
  <c r="M84" i="18"/>
  <c r="O84" i="18"/>
  <c r="H89" i="18"/>
  <c r="R4" i="18"/>
  <c r="N4" i="18"/>
  <c r="P4" i="18" s="1"/>
  <c r="O4" i="18"/>
  <c r="H90" i="18"/>
  <c r="H91" i="18" s="1"/>
  <c r="O70" i="8"/>
  <c r="O58" i="8"/>
  <c r="O45" i="8"/>
  <c r="O27" i="8"/>
  <c r="O10" i="8"/>
  <c r="O59" i="8" s="1"/>
  <c r="O73" i="8" s="1"/>
  <c r="O77" i="8" s="1"/>
  <c r="E68" i="7"/>
  <c r="N10" i="7"/>
  <c r="N68" i="7" s="1"/>
  <c r="O31" i="8"/>
  <c r="O59" i="7"/>
  <c r="O62" i="7"/>
  <c r="O49" i="8"/>
  <c r="O21" i="7"/>
  <c r="O56" i="8"/>
  <c r="O46" i="7"/>
  <c r="O35" i="7"/>
  <c r="O55" i="8"/>
  <c r="O32" i="7"/>
  <c r="O12" i="8"/>
  <c r="O17" i="7"/>
  <c r="O13" i="8"/>
  <c r="O19" i="7"/>
  <c r="O27" i="7"/>
  <c r="O26" i="8"/>
  <c r="O54" i="7"/>
  <c r="O50" i="7"/>
  <c r="O22" i="8"/>
  <c r="O25" i="8"/>
  <c r="O32" i="8"/>
  <c r="O29" i="7"/>
  <c r="O38" i="7"/>
  <c r="O18" i="8"/>
  <c r="O45" i="7"/>
  <c r="X67" i="9" l="1"/>
  <c r="Y54" i="9"/>
  <c r="AD54" i="9" s="1"/>
  <c r="Y25" i="9"/>
  <c r="AD25" i="9" s="1"/>
  <c r="Y29" i="9"/>
  <c r="AD29" i="9" s="1"/>
  <c r="Y9" i="9"/>
  <c r="W67" i="9"/>
  <c r="AD4" i="18"/>
  <c r="Q31" i="18"/>
  <c r="S31" i="18" s="1"/>
  <c r="T31" i="18" s="1"/>
  <c r="V31" i="18" s="1"/>
  <c r="Q23" i="18"/>
  <c r="S23" i="18" s="1"/>
  <c r="T23" i="18" s="1"/>
  <c r="Q17" i="18"/>
  <c r="Q50" i="18"/>
  <c r="S50" i="18" s="1"/>
  <c r="T50" i="18" s="1"/>
  <c r="V50" i="18" s="1"/>
  <c r="Q43" i="18"/>
  <c r="S43" i="18" s="1"/>
  <c r="T43" i="18" s="1"/>
  <c r="V43" i="18" s="1"/>
  <c r="X43" i="18" s="1"/>
  <c r="V23" i="18"/>
  <c r="Q28" i="18"/>
  <c r="S28" i="18" s="1"/>
  <c r="T28" i="18" s="1"/>
  <c r="V28" i="18" s="1"/>
  <c r="X28" i="18" s="1"/>
  <c r="S17" i="18"/>
  <c r="T17" i="18" s="1"/>
  <c r="V17" i="18" s="1"/>
  <c r="X17" i="18" s="1"/>
  <c r="Q46" i="18"/>
  <c r="S46" i="18" s="1"/>
  <c r="T46" i="18" s="1"/>
  <c r="V46" i="18" s="1"/>
  <c r="Q6" i="18"/>
  <c r="S6" i="18" s="1"/>
  <c r="T6" i="18" s="1"/>
  <c r="Q41" i="18"/>
  <c r="S41" i="18" s="1"/>
  <c r="T41" i="18" s="1"/>
  <c r="V41" i="18" s="1"/>
  <c r="W41" i="18" s="1"/>
  <c r="Q55" i="18"/>
  <c r="S55" i="18" s="1"/>
  <c r="T55" i="18" s="1"/>
  <c r="V55" i="18" s="1"/>
  <c r="Q67" i="18"/>
  <c r="Q35" i="18"/>
  <c r="S35" i="18" s="1"/>
  <c r="T35" i="18" s="1"/>
  <c r="V35" i="18" s="1"/>
  <c r="X35" i="18" s="1"/>
  <c r="Q59" i="18"/>
  <c r="S59" i="18" s="1"/>
  <c r="T59" i="18" s="1"/>
  <c r="V59" i="18" s="1"/>
  <c r="W59" i="18" s="1"/>
  <c r="Q7" i="18"/>
  <c r="S7" i="18" s="1"/>
  <c r="T7" i="18" s="1"/>
  <c r="V7" i="18" s="1"/>
  <c r="Q76" i="18"/>
  <c r="S76" i="18" s="1"/>
  <c r="T76" i="18" s="1"/>
  <c r="V76" i="18" s="1"/>
  <c r="Q44" i="18"/>
  <c r="S44" i="18" s="1"/>
  <c r="T44" i="18" s="1"/>
  <c r="V44" i="18" s="1"/>
  <c r="X44" i="18" s="1"/>
  <c r="Q24" i="18"/>
  <c r="S24" i="18" s="1"/>
  <c r="T24" i="18" s="1"/>
  <c r="V24" i="18" s="1"/>
  <c r="X24" i="18" s="1"/>
  <c r="Q84" i="18"/>
  <c r="S84" i="18" s="1"/>
  <c r="T84" i="18" s="1"/>
  <c r="V84" i="18" s="1"/>
  <c r="Q40" i="18"/>
  <c r="S40" i="18" s="1"/>
  <c r="T40" i="18" s="1"/>
  <c r="V40" i="18" s="1"/>
  <c r="Q72" i="18"/>
  <c r="S72" i="18" s="1"/>
  <c r="T72" i="18" s="1"/>
  <c r="V72" i="18" s="1"/>
  <c r="X72" i="18" s="1"/>
  <c r="Q29" i="18"/>
  <c r="S29" i="18" s="1"/>
  <c r="T29" i="18" s="1"/>
  <c r="V29" i="18" s="1"/>
  <c r="X29" i="18" s="1"/>
  <c r="Q22" i="18"/>
  <c r="S22" i="18" s="1"/>
  <c r="T22" i="18" s="1"/>
  <c r="V22" i="18" s="1"/>
  <c r="X22" i="18" s="1"/>
  <c r="Q45" i="18"/>
  <c r="S45" i="18" s="1"/>
  <c r="T45" i="18" s="1"/>
  <c r="Q15" i="18"/>
  <c r="S15" i="18" s="1"/>
  <c r="T15" i="18" s="1"/>
  <c r="Q57" i="18"/>
  <c r="S57" i="18" s="1"/>
  <c r="T57" i="18" s="1"/>
  <c r="V57" i="18" s="1"/>
  <c r="Q25" i="18"/>
  <c r="S25" i="18" s="1"/>
  <c r="T25" i="18" s="1"/>
  <c r="V25" i="18" s="1"/>
  <c r="X25" i="18" s="1"/>
  <c r="Q71" i="18"/>
  <c r="S71" i="18" s="1"/>
  <c r="T71" i="18" s="1"/>
  <c r="V71" i="18" s="1"/>
  <c r="Q27" i="18"/>
  <c r="S27" i="18" s="1"/>
  <c r="T27" i="18" s="1"/>
  <c r="V27" i="18" s="1"/>
  <c r="W27" i="18" s="1"/>
  <c r="Q21" i="18"/>
  <c r="S21" i="18" s="1"/>
  <c r="T21" i="18" s="1"/>
  <c r="V21" i="18" s="1"/>
  <c r="W21" i="18" s="1"/>
  <c r="Q83" i="18"/>
  <c r="S83" i="18" s="1"/>
  <c r="T83" i="18" s="1"/>
  <c r="V83" i="18" s="1"/>
  <c r="W83" i="18" s="1"/>
  <c r="Q63" i="18"/>
  <c r="S63" i="18" s="1"/>
  <c r="T63" i="18" s="1"/>
  <c r="Q42" i="18"/>
  <c r="S42" i="18" s="1"/>
  <c r="T42" i="18" s="1"/>
  <c r="V42" i="18" s="1"/>
  <c r="X42" i="18" s="1"/>
  <c r="Q34" i="18"/>
  <c r="S34" i="18" s="1"/>
  <c r="T34" i="18" s="1"/>
  <c r="V34" i="18" s="1"/>
  <c r="W34" i="18" s="1"/>
  <c r="Q70" i="18"/>
  <c r="S70" i="18" s="1"/>
  <c r="T70" i="18" s="1"/>
  <c r="V70" i="18" s="1"/>
  <c r="W70" i="18" s="1"/>
  <c r="V45" i="18"/>
  <c r="X45" i="18" s="1"/>
  <c r="Q32" i="18"/>
  <c r="S32" i="18" s="1"/>
  <c r="T32" i="18" s="1"/>
  <c r="V32" i="18" s="1"/>
  <c r="Q20" i="18"/>
  <c r="S20" i="18" s="1"/>
  <c r="T20" i="18" s="1"/>
  <c r="V20" i="18" s="1"/>
  <c r="W20" i="18" s="1"/>
  <c r="Q9" i="18"/>
  <c r="S9" i="18" s="1"/>
  <c r="T9" i="18" s="1"/>
  <c r="V9" i="18" s="1"/>
  <c r="X9" i="18" s="1"/>
  <c r="Q18" i="18"/>
  <c r="S18" i="18" s="1"/>
  <c r="T18" i="18" s="1"/>
  <c r="V18" i="18" s="1"/>
  <c r="W18" i="18" s="1"/>
  <c r="Q11" i="18"/>
  <c r="S11" i="18" s="1"/>
  <c r="T11" i="18" s="1"/>
  <c r="V11" i="18" s="1"/>
  <c r="Q49" i="18"/>
  <c r="S49" i="18" s="1"/>
  <c r="T49" i="18" s="1"/>
  <c r="V49" i="18" s="1"/>
  <c r="W49" i="18" s="1"/>
  <c r="Q8" i="18"/>
  <c r="S8" i="18" s="1"/>
  <c r="T8" i="18" s="1"/>
  <c r="V8" i="18" s="1"/>
  <c r="X8" i="18" s="1"/>
  <c r="Q74" i="18"/>
  <c r="S74" i="18" s="1"/>
  <c r="T74" i="18" s="1"/>
  <c r="V74" i="18" s="1"/>
  <c r="W74" i="18" s="1"/>
  <c r="Q68" i="18"/>
  <c r="S68" i="18" s="1"/>
  <c r="T68" i="18" s="1"/>
  <c r="V68" i="18" s="1"/>
  <c r="Q78" i="18"/>
  <c r="S78" i="18" s="1"/>
  <c r="T78" i="18" s="1"/>
  <c r="V78" i="18" s="1"/>
  <c r="W78" i="18" s="1"/>
  <c r="Q53" i="18"/>
  <c r="S53" i="18" s="1"/>
  <c r="T53" i="18" s="1"/>
  <c r="V53" i="18" s="1"/>
  <c r="W53" i="18" s="1"/>
  <c r="Q19" i="18"/>
  <c r="S19" i="18" s="1"/>
  <c r="T19" i="18" s="1"/>
  <c r="V19" i="18" s="1"/>
  <c r="W19" i="18" s="1"/>
  <c r="Q82" i="18"/>
  <c r="S82" i="18" s="1"/>
  <c r="T82" i="18" s="1"/>
  <c r="V82" i="18" s="1"/>
  <c r="Q30" i="18"/>
  <c r="S30" i="18" s="1"/>
  <c r="T30" i="18" s="1"/>
  <c r="V30" i="18" s="1"/>
  <c r="X30" i="18" s="1"/>
  <c r="S67" i="18"/>
  <c r="T67" i="18" s="1"/>
  <c r="V67" i="18" s="1"/>
  <c r="W67" i="18" s="1"/>
  <c r="V15" i="18"/>
  <c r="X15" i="18" s="1"/>
  <c r="Q80" i="18"/>
  <c r="S80" i="18" s="1"/>
  <c r="T80" i="18" s="1"/>
  <c r="V80" i="18" s="1"/>
  <c r="Q36" i="18"/>
  <c r="S36" i="18" s="1"/>
  <c r="T36" i="18" s="1"/>
  <c r="V36" i="18" s="1"/>
  <c r="X36" i="18" s="1"/>
  <c r="V6" i="18"/>
  <c r="W6" i="18" s="1"/>
  <c r="Q64" i="18"/>
  <c r="S64" i="18" s="1"/>
  <c r="T64" i="18" s="1"/>
  <c r="V64" i="18" s="1"/>
  <c r="W64" i="18" s="1"/>
  <c r="Q69" i="18"/>
  <c r="S69" i="18" s="1"/>
  <c r="T69" i="18" s="1"/>
  <c r="V69" i="18" s="1"/>
  <c r="W69" i="18" s="1"/>
  <c r="Q62" i="18"/>
  <c r="S62" i="18" s="1"/>
  <c r="T62" i="18" s="1"/>
  <c r="V62" i="18" s="1"/>
  <c r="W62" i="18" s="1"/>
  <c r="Q5" i="18"/>
  <c r="S5" i="18" s="1"/>
  <c r="T5" i="18" s="1"/>
  <c r="V5" i="18" s="1"/>
  <c r="X5" i="18" s="1"/>
  <c r="Q61" i="18"/>
  <c r="S61" i="18" s="1"/>
  <c r="T61" i="18" s="1"/>
  <c r="V61" i="18" s="1"/>
  <c r="X61" i="18" s="1"/>
  <c r="Q47" i="18"/>
  <c r="S47" i="18" s="1"/>
  <c r="T47" i="18" s="1"/>
  <c r="V47" i="18" s="1"/>
  <c r="W47" i="18" s="1"/>
  <c r="Q10" i="18"/>
  <c r="S10" i="18" s="1"/>
  <c r="T10" i="18" s="1"/>
  <c r="V10" i="18" s="1"/>
  <c r="W10" i="18" s="1"/>
  <c r="Q48" i="18"/>
  <c r="S48" i="18" s="1"/>
  <c r="T48" i="18" s="1"/>
  <c r="V48" i="18" s="1"/>
  <c r="X48" i="18" s="1"/>
  <c r="Q85" i="18"/>
  <c r="S85" i="18" s="1"/>
  <c r="T85" i="18" s="1"/>
  <c r="V85" i="18" s="1"/>
  <c r="W85" i="18" s="1"/>
  <c r="Q65" i="18"/>
  <c r="S65" i="18" s="1"/>
  <c r="T65" i="18" s="1"/>
  <c r="V65" i="18" s="1"/>
  <c r="X65" i="18" s="1"/>
  <c r="Q58" i="18"/>
  <c r="S58" i="18" s="1"/>
  <c r="T58" i="18" s="1"/>
  <c r="V58" i="18" s="1"/>
  <c r="W58" i="18" s="1"/>
  <c r="Q51" i="18"/>
  <c r="S51" i="18" s="1"/>
  <c r="T51" i="18" s="1"/>
  <c r="V51" i="18" s="1"/>
  <c r="X51" i="18" s="1"/>
  <c r="Q38" i="18"/>
  <c r="S38" i="18" s="1"/>
  <c r="T38" i="18" s="1"/>
  <c r="V38" i="18" s="1"/>
  <c r="X38" i="18" s="1"/>
  <c r="Q13" i="18"/>
  <c r="S13" i="18" s="1"/>
  <c r="T13" i="18" s="1"/>
  <c r="V13" i="18" s="1"/>
  <c r="W13" i="18" s="1"/>
  <c r="X82" i="18"/>
  <c r="W82" i="18"/>
  <c r="X64" i="18"/>
  <c r="X40" i="18"/>
  <c r="W40" i="18"/>
  <c r="X23" i="18"/>
  <c r="W23" i="18"/>
  <c r="X80" i="18"/>
  <c r="W80" i="18"/>
  <c r="X34" i="18"/>
  <c r="X27" i="18"/>
  <c r="X32" i="18"/>
  <c r="W32" i="18"/>
  <c r="X11" i="18"/>
  <c r="W11" i="18"/>
  <c r="X68" i="18"/>
  <c r="W68" i="18"/>
  <c r="Q73" i="18"/>
  <c r="S73" i="18" s="1"/>
  <c r="T73" i="18" s="1"/>
  <c r="V73" i="18" s="1"/>
  <c r="Q75" i="18"/>
  <c r="S75" i="18" s="1"/>
  <c r="T75" i="18" s="1"/>
  <c r="V75" i="18" s="1"/>
  <c r="Q37" i="18"/>
  <c r="S37" i="18" s="1"/>
  <c r="T37" i="18" s="1"/>
  <c r="V37" i="18" s="1"/>
  <c r="Q81" i="18"/>
  <c r="S81" i="18" s="1"/>
  <c r="T81" i="18" s="1"/>
  <c r="V81" i="18" s="1"/>
  <c r="Q79" i="18"/>
  <c r="S79" i="18" s="1"/>
  <c r="T79" i="18" s="1"/>
  <c r="V79" i="18" s="1"/>
  <c r="Q39" i="18"/>
  <c r="S39" i="18" s="1"/>
  <c r="T39" i="18" s="1"/>
  <c r="V39" i="18" s="1"/>
  <c r="Q33" i="18"/>
  <c r="S33" i="18" s="1"/>
  <c r="T33" i="18" s="1"/>
  <c r="V33" i="18" s="1"/>
  <c r="Q77" i="18"/>
  <c r="S77" i="18" s="1"/>
  <c r="T77" i="18" s="1"/>
  <c r="V77" i="18" s="1"/>
  <c r="Q52" i="18"/>
  <c r="S52" i="18" s="1"/>
  <c r="T52" i="18" s="1"/>
  <c r="V52" i="18" s="1"/>
  <c r="Q60" i="18"/>
  <c r="S60" i="18" s="1"/>
  <c r="T60" i="18" s="1"/>
  <c r="V60" i="18" s="1"/>
  <c r="Q54" i="18"/>
  <c r="S54" i="18" s="1"/>
  <c r="T54" i="18" s="1"/>
  <c r="V54" i="18" s="1"/>
  <c r="Q16" i="18"/>
  <c r="S16" i="18" s="1"/>
  <c r="T16" i="18" s="1"/>
  <c r="V16" i="18" s="1"/>
  <c r="Q66" i="18"/>
  <c r="S66" i="18" s="1"/>
  <c r="T66" i="18" s="1"/>
  <c r="V66" i="18" s="1"/>
  <c r="Q14" i="18"/>
  <c r="S14" i="18" s="1"/>
  <c r="T14" i="18" s="1"/>
  <c r="V14" i="18" s="1"/>
  <c r="Q56" i="18"/>
  <c r="S56" i="18" s="1"/>
  <c r="T56" i="18" s="1"/>
  <c r="V56" i="18" s="1"/>
  <c r="Q12" i="18"/>
  <c r="S12" i="18" s="1"/>
  <c r="T12" i="18" s="1"/>
  <c r="V12" i="18" s="1"/>
  <c r="V63" i="18"/>
  <c r="Q26" i="18"/>
  <c r="S26" i="18" s="1"/>
  <c r="T26" i="18" s="1"/>
  <c r="V26" i="18" s="1"/>
  <c r="W71" i="18"/>
  <c r="X71" i="18"/>
  <c r="W31" i="18"/>
  <c r="X31" i="18"/>
  <c r="Q4" i="18"/>
  <c r="S4" i="18" s="1"/>
  <c r="O10" i="7"/>
  <c r="O68" i="7" s="1"/>
  <c r="W24" i="18" l="1"/>
  <c r="AD9" i="9"/>
  <c r="Y67" i="9"/>
  <c r="X83" i="18"/>
  <c r="X41" i="18"/>
  <c r="W48" i="18"/>
  <c r="X6" i="18"/>
  <c r="X50" i="18"/>
  <c r="W50" i="18"/>
  <c r="W61" i="18"/>
  <c r="X74" i="18"/>
  <c r="W5" i="18"/>
  <c r="X46" i="18"/>
  <c r="W46" i="18"/>
  <c r="W43" i="18"/>
  <c r="X19" i="18"/>
  <c r="W22" i="18"/>
  <c r="W38" i="18"/>
  <c r="X85" i="18"/>
  <c r="X18" i="18"/>
  <c r="X76" i="18"/>
  <c r="W76" i="18"/>
  <c r="W15" i="18"/>
  <c r="W51" i="18"/>
  <c r="W35" i="18"/>
  <c r="W45" i="18"/>
  <c r="X59" i="18"/>
  <c r="W28" i="18"/>
  <c r="W72" i="18"/>
  <c r="W42" i="18"/>
  <c r="X84" i="18"/>
  <c r="W84" i="18"/>
  <c r="W55" i="18"/>
  <c r="X55" i="18"/>
  <c r="X7" i="18"/>
  <c r="W7" i="18"/>
  <c r="W57" i="18"/>
  <c r="X57" i="18"/>
  <c r="X78" i="18"/>
  <c r="X13" i="18"/>
  <c r="W25" i="18"/>
  <c r="X49" i="18"/>
  <c r="X21" i="18"/>
  <c r="W17" i="18"/>
  <c r="W65" i="18"/>
  <c r="W29" i="18"/>
  <c r="X20" i="18"/>
  <c r="W36" i="18"/>
  <c r="X47" i="18"/>
  <c r="W30" i="18"/>
  <c r="X69" i="18"/>
  <c r="W8" i="18"/>
  <c r="W9" i="18"/>
  <c r="W44" i="18"/>
  <c r="X67" i="18"/>
  <c r="X53" i="18"/>
  <c r="X70" i="18"/>
  <c r="X58" i="18"/>
  <c r="X10" i="18"/>
  <c r="X62" i="18"/>
  <c r="T4" i="18"/>
  <c r="V4" i="18" s="1"/>
  <c r="X26" i="18"/>
  <c r="W26" i="18"/>
  <c r="X14" i="18"/>
  <c r="W14" i="18"/>
  <c r="X60" i="18"/>
  <c r="W60" i="18"/>
  <c r="W39" i="18"/>
  <c r="X39" i="18"/>
  <c r="W75" i="18"/>
  <c r="X75" i="18"/>
  <c r="X63" i="18"/>
  <c r="W63" i="18"/>
  <c r="X66" i="18"/>
  <c r="W66" i="18"/>
  <c r="X52" i="18"/>
  <c r="W52" i="18"/>
  <c r="W79" i="18"/>
  <c r="X79" i="18"/>
  <c r="W73" i="18"/>
  <c r="X73" i="18"/>
  <c r="X16" i="18"/>
  <c r="W16" i="18"/>
  <c r="W77" i="18"/>
  <c r="X77" i="18"/>
  <c r="W81" i="18"/>
  <c r="X81" i="18"/>
  <c r="X12" i="18"/>
  <c r="W12" i="18"/>
  <c r="X56" i="18"/>
  <c r="W56" i="18"/>
  <c r="X54" i="18"/>
  <c r="W54" i="18"/>
  <c r="W33" i="18"/>
  <c r="X33" i="18"/>
  <c r="W37" i="18"/>
  <c r="X37" i="18"/>
  <c r="W4" i="18" l="1"/>
  <c r="X4" i="18"/>
</calcChain>
</file>

<file path=xl/sharedStrings.xml><?xml version="1.0" encoding="utf-8"?>
<sst xmlns="http://schemas.openxmlformats.org/spreadsheetml/2006/main" count="4022" uniqueCount="831">
  <si>
    <t>CONTPAQ i</t>
  </si>
  <si>
    <t xml:space="preserve">      NÓMINAS</t>
  </si>
  <si>
    <t>Lista de Raya (forma tabular)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</si>
  <si>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</si>
  <si>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</si>
  <si>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</si>
  <si>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</si>
  <si>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</si>
  <si>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</si>
  <si>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</si>
  <si>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</si>
  <si>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</si>
  <si>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BS22</t>
  </si>
  <si>
    <t>GM21</t>
  </si>
  <si>
    <t>Vargas Cosme Susana</t>
  </si>
  <si>
    <t xml:space="preserve">  =============</t>
  </si>
  <si>
    <t>Total Gral.</t>
  </si>
  <si>
    <t xml:space="preserve"> </t>
  </si>
  <si>
    <t>COMISIONES</t>
  </si>
  <si>
    <t>Comision 10%</t>
  </si>
  <si>
    <t>SGV</t>
  </si>
  <si>
    <t>00040</t>
  </si>
  <si>
    <t>Aguilar  Rosas Yolanda</t>
  </si>
  <si>
    <t>Bautista Sanchez Sandra Stephanie</t>
  </si>
  <si>
    <t>BH01</t>
  </si>
  <si>
    <t>Bezares Hernandez Zaire Yael</t>
  </si>
  <si>
    <t>BM11</t>
  </si>
  <si>
    <t>Bonilla Martinez Daniela Monserra</t>
  </si>
  <si>
    <t>CH02</t>
  </si>
  <si>
    <t>Camacho Hernandez Leopoldo</t>
  </si>
  <si>
    <t>0009</t>
  </si>
  <si>
    <t>Camacho Resendiz M Dolores</t>
  </si>
  <si>
    <t>0002</t>
  </si>
  <si>
    <t>Chavez Perez Beatriz</t>
  </si>
  <si>
    <t>CA07</t>
  </si>
  <si>
    <t>Colin Alvarez Othon</t>
  </si>
  <si>
    <t>CR01</t>
  </si>
  <si>
    <t>Covarrubias Rodriguez Sarahi Escar</t>
  </si>
  <si>
    <t>DM01</t>
  </si>
  <si>
    <t>Damian Melchor Magaly</t>
  </si>
  <si>
    <t>DD01</t>
  </si>
  <si>
    <t>De Santiago Dondiego J Jesus</t>
  </si>
  <si>
    <t>EZ08</t>
  </si>
  <si>
    <t>Espindola Zarazua Maria Guadalupe</t>
  </si>
  <si>
    <t>0043</t>
  </si>
  <si>
    <t>Espinoza Alvarez Armando</t>
  </si>
  <si>
    <t>FC026</t>
  </si>
  <si>
    <t>Flores  Catarino Josue</t>
  </si>
  <si>
    <t>GR002</t>
  </si>
  <si>
    <t>Gallegos Romero Cristian</t>
  </si>
  <si>
    <t>Garcia Montes Jesus Salvador</t>
  </si>
  <si>
    <t>GP00</t>
  </si>
  <si>
    <t>Garcia Perez Diana</t>
  </si>
  <si>
    <t>GT01</t>
  </si>
  <si>
    <t>Gomez Trujillo Juan Carlos</t>
  </si>
  <si>
    <t>GM01</t>
  </si>
  <si>
    <t>Gonzalez Molinero Angelica</t>
  </si>
  <si>
    <t>GO02</t>
  </si>
  <si>
    <t>Gonzalez Oregon Lizbeth</t>
  </si>
  <si>
    <t>GS02</t>
  </si>
  <si>
    <t>Gonzalez Sanchez Michelle Estefan</t>
  </si>
  <si>
    <t>GN006</t>
  </si>
  <si>
    <t>Guzman Navarro Eduardo</t>
  </si>
  <si>
    <t>HC018</t>
  </si>
  <si>
    <t>Hernandez Carpio Jesus</t>
  </si>
  <si>
    <t>HH07</t>
  </si>
  <si>
    <t>Hernandez Herrera J Hector</t>
  </si>
  <si>
    <t>HM06</t>
  </si>
  <si>
    <t>Hernandez  Martinez Alma Janet</t>
  </si>
  <si>
    <t>HP026</t>
  </si>
  <si>
    <t>Hurtado  Pajaro  Jose Eduardo</t>
  </si>
  <si>
    <t>JB01</t>
  </si>
  <si>
    <t>Juarez Bautista Juan Carlos</t>
  </si>
  <si>
    <t>JT01</t>
  </si>
  <si>
    <t>Juarez Talavera Maria Fernanda</t>
  </si>
  <si>
    <t>LU18</t>
  </si>
  <si>
    <t>Lizardi Urzua Arizbet</t>
  </si>
  <si>
    <t>MZ28</t>
  </si>
  <si>
    <t>Mancilla Zuñiga Fermin</t>
  </si>
  <si>
    <t>MM00</t>
  </si>
  <si>
    <t>Mandujano Martinez Guadalupe</t>
  </si>
  <si>
    <t>MC13</t>
  </si>
  <si>
    <t>Martinez Cabrera Erick Ignacio</t>
  </si>
  <si>
    <t>MG29</t>
  </si>
  <si>
    <t>Martinez Gonzalez Maria Dolores</t>
  </si>
  <si>
    <t>MZ27</t>
  </si>
  <si>
    <t>Morales Flores Fernando</t>
  </si>
  <si>
    <t>MS00</t>
  </si>
  <si>
    <t>Morales Sanchez Angel</t>
  </si>
  <si>
    <t>NM01</t>
  </si>
  <si>
    <t>Nieto Medina Pedro Emmanuel</t>
  </si>
  <si>
    <t>OG214</t>
  </si>
  <si>
    <t>Olvera Gonzalez Carlos Alberto</t>
  </si>
  <si>
    <t>OL001</t>
  </si>
  <si>
    <t>Olvera  Landaverde Armando</t>
  </si>
  <si>
    <t>OP01</t>
  </si>
  <si>
    <t>Ontiveros Pliego  Luis Gerardo</t>
  </si>
  <si>
    <t>PL02</t>
  </si>
  <si>
    <t>Pacheco  Lopez Mayra</t>
  </si>
  <si>
    <t>PR11</t>
  </si>
  <si>
    <t>Padilla Ruiz Jose Antonio</t>
  </si>
  <si>
    <t>PL01</t>
  </si>
  <si>
    <t>Pascual  Lopez Mayra</t>
  </si>
  <si>
    <t>RS10</t>
  </si>
  <si>
    <t>Rosas Soria Tanya Guadalupe</t>
  </si>
  <si>
    <t>RF01</t>
  </si>
  <si>
    <t>Rubio Franco Gabriela</t>
  </si>
  <si>
    <t>SS025</t>
  </si>
  <si>
    <t>Saldaña Sanchez Julio Cesar</t>
  </si>
  <si>
    <t>SM19</t>
  </si>
  <si>
    <t>Sanchez Morales Idalid</t>
  </si>
  <si>
    <t>SP014</t>
  </si>
  <si>
    <t>Sierra Polinar Cesar Alan</t>
  </si>
  <si>
    <t>TS10</t>
  </si>
  <si>
    <t>Tinoco Suarez Margarita</t>
  </si>
  <si>
    <t>TH01</t>
  </si>
  <si>
    <t>Trejo Hernandez Maria Mericela</t>
  </si>
  <si>
    <t>TT02</t>
  </si>
  <si>
    <t>Trejo Torres Erika Rocio</t>
  </si>
  <si>
    <t>VB13</t>
  </si>
  <si>
    <t>Vega Barron Jose Angel</t>
  </si>
  <si>
    <t>VA00</t>
  </si>
  <si>
    <t>Villalba Acosta Fernando</t>
  </si>
  <si>
    <t>COVARRUBIAS RODRIGUEZ</t>
  </si>
  <si>
    <t>AUXILIAR CONTABLE</t>
  </si>
  <si>
    <t>CAJERA</t>
  </si>
  <si>
    <t>AUXILIAR DE CALIDAD</t>
  </si>
  <si>
    <t>VIGILANTE</t>
  </si>
  <si>
    <t>INTENDENCIA</t>
  </si>
  <si>
    <t>SUPERVISOR DE CONTAC</t>
  </si>
  <si>
    <t>CH25</t>
  </si>
  <si>
    <t>ASESOR DE SERVICIO</t>
  </si>
  <si>
    <t>NOMINA</t>
  </si>
  <si>
    <t>JEFE DE SERVICIO</t>
  </si>
  <si>
    <t>HOSTESS</t>
  </si>
  <si>
    <t>JEFE DE TALLER</t>
  </si>
  <si>
    <t>VALUADOR</t>
  </si>
  <si>
    <t>CONTROL Y TABULACION</t>
  </si>
  <si>
    <t>CHOFER MENSAJERO</t>
  </si>
  <si>
    <t>WEB MASTER</t>
  </si>
  <si>
    <t>ATENCION A CLIENTES</t>
  </si>
  <si>
    <t>GRETEER</t>
  </si>
  <si>
    <t>INTERCAMBIOS</t>
  </si>
  <si>
    <t>TRASLADISTA</t>
  </si>
  <si>
    <t>ASISTENTE DE GTE</t>
  </si>
  <si>
    <t>INFONAVIT</t>
  </si>
  <si>
    <t>Cedeño Hernandez Juana</t>
  </si>
  <si>
    <t>MR027</t>
  </si>
  <si>
    <t>Molina Ramirez  Jesus Octavio</t>
  </si>
  <si>
    <t>11 CONSULTORES &amp; ASESORES INTEGRALES SC</t>
  </si>
  <si>
    <t>Reg Pat IMSS: E2375841103</t>
  </si>
  <si>
    <t>*Otras* *Percepciones*</t>
  </si>
  <si>
    <t>CV22</t>
  </si>
  <si>
    <t>Apoyo</t>
  </si>
  <si>
    <t>COMISIÓN EMPLEADO</t>
  </si>
  <si>
    <t>Aguilar Rosas Yolanda</t>
  </si>
  <si>
    <t>Consultores &amp; Asesores Integrales S.C.</t>
  </si>
  <si>
    <t>Servicios Prestados a : QUERETARO MOTORS, SA</t>
  </si>
  <si>
    <t>Area</t>
  </si>
  <si>
    <t>CODIGO</t>
  </si>
  <si>
    <t>Nombre</t>
  </si>
  <si>
    <t>Suc</t>
  </si>
  <si>
    <t>FECHA DE INGRESO</t>
  </si>
  <si>
    <t>Puesto</t>
  </si>
  <si>
    <t>FIJO / VARIABLE</t>
  </si>
  <si>
    <t>sub   S/N</t>
  </si>
  <si>
    <t>CONSULTORES</t>
  </si>
  <si>
    <t>SINDICATO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</si>
  <si>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</si>
  <si>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</si>
  <si>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</si>
  <si>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</si>
  <si>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</si>
  <si>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</si>
  <si>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</si>
  <si>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</si>
  <si>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</si>
  <si>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</si>
  <si>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</si>
  <si>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</si>
  <si>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</si>
  <si>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</si>
  <si>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</si>
  <si>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</si>
  <si>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</si>
  <si>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</si>
  <si>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</si>
  <si>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</si>
  <si>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</si>
  <si>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REFACCIONES</t>
  </si>
  <si>
    <t>AGUILAR ROSAS YOLANDA</t>
  </si>
  <si>
    <t>AUXILIAR DE REFACCIO</t>
  </si>
  <si>
    <t>ADMINISTRACION</t>
  </si>
  <si>
    <t>BAUTISTA SANCHEZ SANDRA</t>
  </si>
  <si>
    <t>RECEPCION</t>
  </si>
  <si>
    <t>FIJO</t>
  </si>
  <si>
    <t>COORPORATIVO</t>
  </si>
  <si>
    <t>BEZARES HERNANDEZ YAEL</t>
  </si>
  <si>
    <t>AUX CONTABLE</t>
  </si>
  <si>
    <t>ADMON VENTAS</t>
  </si>
  <si>
    <t>BONILLA MARTINEZ DANIELA</t>
  </si>
  <si>
    <t>CAMACHO HERNANDEZ LEOPOLDO</t>
  </si>
  <si>
    <t>CAMACHO RESENDIZ MARIA DOLORES</t>
  </si>
  <si>
    <t>CEDEñO HERNANDEZ JUANA</t>
  </si>
  <si>
    <t>AUX ADMINISTRATIVO</t>
  </si>
  <si>
    <t>CHAVEZ PEREZ BEATRIZ</t>
  </si>
  <si>
    <t>COLIN ALVAREZ OTHON</t>
  </si>
  <si>
    <t>ADMON SERVICIO</t>
  </si>
  <si>
    <t>DAMIAN MELCHOR MAGALY</t>
  </si>
  <si>
    <t>DE SANTIAGO DONDIEGO J DE JESUS</t>
  </si>
  <si>
    <t>SERVICIO</t>
  </si>
  <si>
    <t>ESPINDOLA ZARAZUA MA GUADALUPE</t>
  </si>
  <si>
    <t>ESPINOZA ALVAREZ ARMANDO</t>
  </si>
  <si>
    <t>FC26</t>
  </si>
  <si>
    <t>FLORES CATARINO JOSUE</t>
  </si>
  <si>
    <t>AUX. DE REFACCIONES</t>
  </si>
  <si>
    <t>BNTE NO TJ 4915667391931104</t>
  </si>
  <si>
    <t>GALLEGOS ROMERO CRISTIAN</t>
  </si>
  <si>
    <t>VENTAS</t>
  </si>
  <si>
    <t>GARCIA MONTES JESUS</t>
  </si>
  <si>
    <t>HOSTESS SEMINUEVOS</t>
  </si>
  <si>
    <t>GARCIA PEREZ DIANA</t>
  </si>
  <si>
    <t>GOMEZ TRUJILLO JUAN</t>
  </si>
  <si>
    <t>AUX DE REFACCIONES</t>
  </si>
  <si>
    <t>GONZALEZ MOLINERO ANGELICA</t>
  </si>
  <si>
    <t>AUX EN VENTAS</t>
  </si>
  <si>
    <t>GONZALEZ OREGON LIZBETH</t>
  </si>
  <si>
    <t>AUX. ADMON</t>
  </si>
  <si>
    <t>GONZALEZ SANCHEZ MICHEL</t>
  </si>
  <si>
    <t>GN06</t>
  </si>
  <si>
    <t>HC18</t>
  </si>
  <si>
    <t>HERNANDEZ HERRERA J HECTOR</t>
  </si>
  <si>
    <t>HERNANDEZ MARTINEZ ALMA</t>
  </si>
  <si>
    <t>HP16</t>
  </si>
  <si>
    <t>HURTADO PAJARO JOSE</t>
  </si>
  <si>
    <t>LIZARDI URZUA ARIZBETH</t>
  </si>
  <si>
    <t>MANCILLA ZUñIGA FERMIN</t>
  </si>
  <si>
    <t>ENC MOSTRADOR</t>
  </si>
  <si>
    <t>MARTINEZ CABRERA ERICK</t>
  </si>
  <si>
    <t>MARTINEZ GONZALEZ MARIA DOLORES</t>
  </si>
  <si>
    <t>MR27</t>
  </si>
  <si>
    <t>MOLINA RAMIREZ JESUS</t>
  </si>
  <si>
    <t>MORALES FLORES FERNANDO</t>
  </si>
  <si>
    <t>MORALES SANCHEZ ANGEL</t>
  </si>
  <si>
    <t xml:space="preserve">FIJO     </t>
  </si>
  <si>
    <t xml:space="preserve">NIETO MEDINA PEDRO </t>
  </si>
  <si>
    <t>ASIST GTE MARTIN</t>
  </si>
  <si>
    <t>OG14</t>
  </si>
  <si>
    <t>OLVERA GONZALEZ CARLOS</t>
  </si>
  <si>
    <t>HOJALATERIA</t>
  </si>
  <si>
    <t>OL01</t>
  </si>
  <si>
    <t>HOJALATEROA</t>
  </si>
  <si>
    <t>ONTIVEROS PLIEGO LUIS</t>
  </si>
  <si>
    <t>ASIST GTE ARTURO</t>
  </si>
  <si>
    <t>PACHECO LOPEZ MAYRA</t>
  </si>
  <si>
    <t>PADILLA RUIZ JOSE ANTONIO</t>
  </si>
  <si>
    <t>VIGILANTE COLON</t>
  </si>
  <si>
    <t xml:space="preserve">FIJO </t>
  </si>
  <si>
    <t>PASCUAL LOPEZ MAYRA</t>
  </si>
  <si>
    <t>ROSAS SORIA TANYA GUADALUPE</t>
  </si>
  <si>
    <t>RUBIO FRANCO GABRIELA</t>
  </si>
  <si>
    <t>SS25</t>
  </si>
  <si>
    <t>SALDAÑA SANCHEZ JULIO CESAR</t>
  </si>
  <si>
    <t>SP14</t>
  </si>
  <si>
    <t>SIERRA POLINA CESAR</t>
  </si>
  <si>
    <t xml:space="preserve">ASISR GTE ANAEL </t>
  </si>
  <si>
    <t>TINOCO SUAREZ MARGARITA</t>
  </si>
  <si>
    <t>BNX CTA    002680902750119152</t>
  </si>
  <si>
    <t>TREJO HERNANDEZ MARICELA</t>
  </si>
  <si>
    <t>AUX ADMON</t>
  </si>
  <si>
    <t>TREJO TORRES ERIKA R</t>
  </si>
  <si>
    <t>CXP</t>
  </si>
  <si>
    <t>VC22</t>
  </si>
  <si>
    <t>VARGAS COSME SUSANA</t>
  </si>
  <si>
    <t>AUX. CONTABLE</t>
  </si>
  <si>
    <t>VEGA BARRON JOSE ANGEL</t>
  </si>
  <si>
    <t>VILLALBA ACOSTA FERN</t>
  </si>
  <si>
    <t>GERENTE GENERAL</t>
  </si>
  <si>
    <t>FONACOT</t>
  </si>
  <si>
    <t>Uniformes</t>
  </si>
  <si>
    <t>FALTAS</t>
  </si>
  <si>
    <t>INCAPACIDAD DESCONTADA</t>
  </si>
  <si>
    <t>Cedeño Hernandez JuanA</t>
  </si>
  <si>
    <t>1109785957</t>
  </si>
  <si>
    <t>1110345261</t>
  </si>
  <si>
    <t>1183378845</t>
  </si>
  <si>
    <t>1404990536</t>
  </si>
  <si>
    <t>1405570565</t>
  </si>
  <si>
    <t>1413691810</t>
  </si>
  <si>
    <t>1435597188</t>
  </si>
  <si>
    <t>1461266403</t>
  </si>
  <si>
    <t>1467420064</t>
  </si>
  <si>
    <t>2615562821</t>
  </si>
  <si>
    <t>2631133012</t>
  </si>
  <si>
    <t>2637315589</t>
  </si>
  <si>
    <t>2659973974</t>
  </si>
  <si>
    <t>2729733183</t>
  </si>
  <si>
    <t>2734223152</t>
  </si>
  <si>
    <t>2743852393</t>
  </si>
  <si>
    <t>2745564778</t>
  </si>
  <si>
    <t>2760229598</t>
  </si>
  <si>
    <t>2765125111</t>
  </si>
  <si>
    <t>2786636659</t>
  </si>
  <si>
    <t>2836126510</t>
  </si>
  <si>
    <t>2859592156</t>
  </si>
  <si>
    <t>2864339452</t>
  </si>
  <si>
    <t>2871132644</t>
  </si>
  <si>
    <t>2884661508</t>
  </si>
  <si>
    <t>2886339700</t>
  </si>
  <si>
    <t>2886516505</t>
  </si>
  <si>
    <t>2887709471</t>
  </si>
  <si>
    <t>2892941821</t>
  </si>
  <si>
    <t>2893013472</t>
  </si>
  <si>
    <t>2893195635</t>
  </si>
  <si>
    <t>2894923057</t>
  </si>
  <si>
    <t>2897100388</t>
  </si>
  <si>
    <t>2903180794</t>
  </si>
  <si>
    <t>2912923548</t>
  </si>
  <si>
    <t>2914530241</t>
  </si>
  <si>
    <t>2914894898</t>
  </si>
  <si>
    <t>2928980233</t>
  </si>
  <si>
    <t>2929389652</t>
  </si>
  <si>
    <t>2934137264</t>
  </si>
  <si>
    <t>2937082010</t>
  </si>
  <si>
    <t>2943846814</t>
  </si>
  <si>
    <t>2945821312</t>
  </si>
  <si>
    <t>2948414130</t>
  </si>
  <si>
    <t>2949799338</t>
  </si>
  <si>
    <t>2965106850</t>
  </si>
  <si>
    <t>2987650868</t>
  </si>
  <si>
    <t>2994929888</t>
  </si>
  <si>
    <t xml:space="preserve">BANORTE </t>
  </si>
  <si>
    <t>BANAMEX</t>
  </si>
  <si>
    <t>EFECTIVOS</t>
  </si>
  <si>
    <t>BANCOMER</t>
  </si>
  <si>
    <t>BANORTE</t>
  </si>
  <si>
    <t>Molina Ramirez Jesus Octavio</t>
  </si>
  <si>
    <t>Ontiveros Pliego Luis Gerardo</t>
  </si>
  <si>
    <t>0RS10</t>
  </si>
  <si>
    <t>Periodo 2DA QUINCENA</t>
  </si>
  <si>
    <t>01/03/2016 AL 15/03/2016</t>
  </si>
  <si>
    <t>AHORRO CTM</t>
  </si>
  <si>
    <t>BAJA</t>
  </si>
  <si>
    <t>GUZMAN NAVARRO EDUARDO</t>
  </si>
  <si>
    <t>HERNANDEZ CARPIO JESUS</t>
  </si>
  <si>
    <t>JUAREZ BAUTISTA JUAN CARLOS</t>
  </si>
  <si>
    <t>JUAREZ TALAVERA MARIA</t>
  </si>
  <si>
    <t>MANDUJANO MARTINEZ GUADALUPE</t>
  </si>
  <si>
    <t>OLVERA LANDAVERDE ARMANO</t>
  </si>
  <si>
    <t>PH18</t>
  </si>
  <si>
    <t>PIÑA HERNANDEZ CARLOS</t>
  </si>
  <si>
    <t>ASISTENTE DE CALIDAD</t>
  </si>
  <si>
    <t>SANCHEZ MORALES IDALID</t>
  </si>
  <si>
    <t>TOTAL NOMINA</t>
  </si>
  <si>
    <t>ESPECIAL</t>
  </si>
  <si>
    <t>Carrillo Martinez Jose Pedro Vidal</t>
  </si>
  <si>
    <t>Ferrer Gonzalez Maria Elena</t>
  </si>
  <si>
    <t>Garcia Olivos Maria Teresa</t>
  </si>
  <si>
    <t>Navarro Gomez Yazmin</t>
  </si>
  <si>
    <t>SANCHEZ DE SANTIAGO RICARDO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</si>
  <si>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</si>
  <si>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</si>
  <si>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</si>
  <si>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</si>
  <si>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</si>
  <si>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</si>
  <si>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</si>
  <si>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5 al 5 Quincenal del 01/03/2016 al 15/03/2016</t>
  </si>
  <si>
    <t>11 SINDICATO ASOCIACION -- QRO MOTORS</t>
  </si>
  <si>
    <t>2986479715</t>
  </si>
  <si>
    <t>QROMOTORS</t>
  </si>
  <si>
    <t>0PH18</t>
  </si>
  <si>
    <t>Piña Hernandez Carlos Eliseo</t>
  </si>
  <si>
    <t>Hurtado Pajaro Jose Eduardo</t>
  </si>
  <si>
    <t>Olvera Landaverde Armando</t>
  </si>
  <si>
    <t>ROMERO VELAZQUEZ GUSTAVO EMMANUEL</t>
  </si>
  <si>
    <t>GRETEER SERVICIO</t>
  </si>
  <si>
    <t>GONZALEZ SANCHEZ MICHELL ESTEFAN</t>
  </si>
  <si>
    <t>HERNANDEZ MARTINEZ ALMA JANETH</t>
  </si>
  <si>
    <t>HERNANDEZ SANCHEZ RODRIGO</t>
  </si>
  <si>
    <t>MOLINA RAMIREZ JESUS OCTAVIO</t>
  </si>
  <si>
    <t>SEMINUEVOS</t>
  </si>
  <si>
    <t>NAVARRETE FLORES MARIA FERNANDA</t>
  </si>
  <si>
    <t>ASIST GTE OSCAR</t>
  </si>
  <si>
    <t>VALENZUELA VERDIN EVA MARISOL</t>
  </si>
  <si>
    <t>VILLALBA ACOSTA FERNANDO</t>
  </si>
  <si>
    <t>De Santiago Dondiego J DE Jesus</t>
  </si>
  <si>
    <t>Flores Catarino Josue</t>
  </si>
  <si>
    <t>Hernandez Martinez Alma Janet</t>
  </si>
  <si>
    <t>JUAREZ TALAVERA MARIA FERNANDA</t>
  </si>
  <si>
    <t>Lizardi Urzua Arizbeth</t>
  </si>
  <si>
    <t>OLVERA GONZALEZ CARLOS ALBERTO</t>
  </si>
  <si>
    <t>OLVERA LANDAVERDE ARMANDO</t>
  </si>
  <si>
    <t>ONTIVEROS PLIEGO LUIS GERARDO</t>
  </si>
  <si>
    <t>Pacheco Lopez Mayra</t>
  </si>
  <si>
    <t>Pascual Lopez Mayra</t>
  </si>
  <si>
    <t>PIÑA HERNANDEZ CARLOS ELISEO</t>
  </si>
  <si>
    <t>TREJO TORRES ERIKA ROCIO</t>
  </si>
  <si>
    <t>Lizardi Urzua ArizbetH</t>
  </si>
  <si>
    <t>CUENTA BANORTE</t>
  </si>
  <si>
    <t>HSR15</t>
  </si>
  <si>
    <t>NFF12</t>
  </si>
  <si>
    <t>RV006</t>
  </si>
  <si>
    <t>Juarez Pacheco Jessica Monserrat</t>
  </si>
  <si>
    <t>Navarro Macias Jennifer</t>
  </si>
  <si>
    <t>Ugalde Peralta Ma Dolores</t>
  </si>
  <si>
    <t>VVE12</t>
  </si>
  <si>
    <t>0GM21</t>
  </si>
  <si>
    <t>16/04/2016 AL 30/04/2016</t>
  </si>
  <si>
    <t>CORPORATIVO</t>
  </si>
  <si>
    <t>CARRASCO MARTINEZ PATRICIA</t>
  </si>
  <si>
    <t>RECEPCIONISTA</t>
  </si>
  <si>
    <t>Cuenta en tràmite con Consultores</t>
  </si>
  <si>
    <t>Nuevo Ingreso 14/04, se le agregan 2 dìas de pago de la Quincena 1 de Abril, aplicado.</t>
  </si>
  <si>
    <t>CUENTA</t>
  </si>
  <si>
    <t>HERNANDEZ ARREOLA RODOLFO MAYOLO</t>
  </si>
  <si>
    <t>ENCARGADO DE MTTO.</t>
  </si>
  <si>
    <t>Nuevo Ingreso 20/04/16, se le pagan 11 dìas laborados, ya aplicado.</t>
  </si>
  <si>
    <t>Baja</t>
  </si>
  <si>
    <t>MARTINEZ CORONA MARIA ISABEL</t>
  </si>
  <si>
    <t>AUXILIAR ADMINISTRATIVO</t>
  </si>
  <si>
    <t>Nuevo Ingreso 26/04/16, se le pagan 5 dìas, ya aplicado.</t>
  </si>
  <si>
    <t>NIETO ESPINOZA ERIKA</t>
  </si>
  <si>
    <t>RODRIGUEZ LUGO MAELY</t>
  </si>
  <si>
    <t>SIERRA POLINA CESAR ALAN</t>
  </si>
  <si>
    <t>Se corrige salario quincenal.</t>
  </si>
  <si>
    <t xml:space="preserve">CUENTA </t>
  </si>
  <si>
    <t>TREJO HERNANDEZ MARIA MERICELA</t>
  </si>
  <si>
    <t>De Santiago Dondiego J de Jesus</t>
  </si>
  <si>
    <t>Pascual Lopez Mayra Elizabeth</t>
  </si>
  <si>
    <t>QRO MOTROS</t>
  </si>
  <si>
    <t>GONZALEZ MONTIEL ANA GISELLE</t>
  </si>
  <si>
    <t>Camacho Resendiz MARIA Dolores</t>
  </si>
  <si>
    <t>Hernandez Martinez Alma JanetH</t>
  </si>
  <si>
    <t>Camacho Resendiz Maria Dolores</t>
  </si>
  <si>
    <t>Hernandez Martinez Alma Janeth</t>
  </si>
  <si>
    <t>Periodo 9 al 9 Quincenal del 01/05/2016 al 15/05/2016</t>
  </si>
  <si>
    <t>0BS22</t>
  </si>
  <si>
    <t>0BH01</t>
  </si>
  <si>
    <t>0BM11</t>
  </si>
  <si>
    <t>0CH02</t>
  </si>
  <si>
    <t>00009</t>
  </si>
  <si>
    <t>CMP14</t>
  </si>
  <si>
    <t>Carrasco Martinez Patricia</t>
  </si>
  <si>
    <t>0CH25</t>
  </si>
  <si>
    <t>00002</t>
  </si>
  <si>
    <t>0CA07</t>
  </si>
  <si>
    <t>0DM01</t>
  </si>
  <si>
    <t>0DD01</t>
  </si>
  <si>
    <t>0EZ08</t>
  </si>
  <si>
    <t>00043</t>
  </si>
  <si>
    <t>0GP00</t>
  </si>
  <si>
    <t>0GT01</t>
  </si>
  <si>
    <t>0GM01</t>
  </si>
  <si>
    <t>0GO02</t>
  </si>
  <si>
    <t>0GS02</t>
  </si>
  <si>
    <t>0HM06</t>
  </si>
  <si>
    <t>HAR20</t>
  </si>
  <si>
    <t>Hernandez Arreola Rodolfo Mayolo</t>
  </si>
  <si>
    <t>0HH07</t>
  </si>
  <si>
    <t>Hernandez Sanchez Rodrigo</t>
  </si>
  <si>
    <t>0JB01</t>
  </si>
  <si>
    <t>0JP20</t>
  </si>
  <si>
    <t>0JT01</t>
  </si>
  <si>
    <t xml:space="preserve"> LU18</t>
  </si>
  <si>
    <t xml:space="preserve"> MZ28</t>
  </si>
  <si>
    <t xml:space="preserve"> MM00</t>
  </si>
  <si>
    <t>0MC13</t>
  </si>
  <si>
    <t>0MG29</t>
  </si>
  <si>
    <t>Navarrete Flores Maria Fernanda</t>
  </si>
  <si>
    <t>0NM17</t>
  </si>
  <si>
    <t>NEE26</t>
  </si>
  <si>
    <t>Nieto Espinoza Erika</t>
  </si>
  <si>
    <t>0NM01</t>
  </si>
  <si>
    <t>0OP01</t>
  </si>
  <si>
    <t>0PL02</t>
  </si>
  <si>
    <t>0PR11</t>
  </si>
  <si>
    <t>0PL01</t>
  </si>
  <si>
    <t>Pascual  Lopez Mayra Elizabeth</t>
  </si>
  <si>
    <t>RLM26</t>
  </si>
  <si>
    <t>Rodriguez Lugo Maely</t>
  </si>
  <si>
    <t>Romero Velazquez Gustavo Emmanuel</t>
  </si>
  <si>
    <t>0RF01</t>
  </si>
  <si>
    <t xml:space="preserve"> SM19</t>
  </si>
  <si>
    <t xml:space="preserve"> TS10</t>
  </si>
  <si>
    <t>0TH01</t>
  </si>
  <si>
    <t>0TT02</t>
  </si>
  <si>
    <t>0UP01</t>
  </si>
  <si>
    <t>Valenzuela Verdin Eva Marisol</t>
  </si>
  <si>
    <t>0CV22</t>
  </si>
  <si>
    <t>0VB13</t>
  </si>
  <si>
    <t xml:space="preserve"> VA00</t>
  </si>
  <si>
    <t>Gonzalez Montiel Ana Giselle</t>
  </si>
  <si>
    <t>GMA09</t>
  </si>
  <si>
    <t>0CR01</t>
  </si>
  <si>
    <t xml:space="preserve"> MS00</t>
  </si>
  <si>
    <t>0MZ27</t>
  </si>
  <si>
    <t>CARRERA RASGADO SANDRA KARINA</t>
  </si>
  <si>
    <t>GARCIA MONDRAGON JOSE</t>
  </si>
  <si>
    <t>TREJO HERNANDEZ MARIA MARICELA</t>
  </si>
  <si>
    <t>Periodo 10 al 10 Quincenal del 16/05/2016 al 31/05/2016</t>
  </si>
  <si>
    <t>11 INGENIERIA FISCAL LABORAL SC</t>
  </si>
  <si>
    <t>AREA</t>
  </si>
  <si>
    <t>PUESTO</t>
  </si>
  <si>
    <t>COACH DE VENTAS</t>
  </si>
  <si>
    <t>LAVADOR</t>
  </si>
  <si>
    <t>ASESOR DE VENTAS</t>
  </si>
  <si>
    <t>ESTETICAS</t>
  </si>
  <si>
    <t>TECNICO</t>
  </si>
  <si>
    <t>ALFARO QUEZADA PABLO FRANCISCO</t>
  </si>
  <si>
    <t>ANDRADE RODRIGUEZ MIGUEL ANGEL</t>
  </si>
  <si>
    <t>ARELLANO ALVAREZ JAVIER</t>
  </si>
  <si>
    <t>BECERRA JIMENEZ ALEJANDRO</t>
  </si>
  <si>
    <t>BLANCO AMEZQUITA CECILIA</t>
  </si>
  <si>
    <t>CAMARENA GAMEZ GUILLERMO</t>
  </si>
  <si>
    <t>CARRANCO MANCERA VIRIDIANA</t>
  </si>
  <si>
    <t>CASAS VILLANUEVA MARIO</t>
  </si>
  <si>
    <t>CASTRO ROMERO LIZBETH</t>
  </si>
  <si>
    <t>CAZARES CHAIRES ERIKA</t>
  </si>
  <si>
    <t>GALLEGOS RIOS OCTAVIO ALBERTO</t>
  </si>
  <si>
    <t>GOMEZ TORRES ROSAURA</t>
  </si>
  <si>
    <t>GONZALEZ DUARTE DAVID</t>
  </si>
  <si>
    <t>GONZALEZ GARCIA LUIS ROBERTO</t>
  </si>
  <si>
    <t>GUZMAN SPILLER SERGIO LUIS ALBERTO</t>
  </si>
  <si>
    <t>HERNANDEZ AQUILES HERIBERTO</t>
  </si>
  <si>
    <t>HERNANDEZ QUINTERO MARIA DE LA LUZ</t>
  </si>
  <si>
    <t>HERRERA PARRA LUIS ENRIQUE</t>
  </si>
  <si>
    <t>LEON CABELLO LUIS ALBERTO</t>
  </si>
  <si>
    <t>LOPEZ LOPEZ JOSE MARIA</t>
  </si>
  <si>
    <t>MARTINEZ GOMEZ KENT MARTIN</t>
  </si>
  <si>
    <t>MONZON MARROQUIN JUAN ARCADIO</t>
  </si>
  <si>
    <t>OLIVEROS MALDONADO MIGUEL</t>
  </si>
  <si>
    <t>RAMIREZ LATOUR VICTOR</t>
  </si>
  <si>
    <t>RAMIREZ MONDRAGON RICARDO</t>
  </si>
  <si>
    <t>TIERRAFRIA ESCARAMUZA ISRAEL</t>
  </si>
  <si>
    <t>VALDERRABANO GOMEZ ALEJANDRO</t>
  </si>
  <si>
    <t>VAZQUEZ VILLALOBOS MA FELIZA</t>
  </si>
  <si>
    <t>VENTURA SANTAMARIA EFRAIN ENRIQUE</t>
  </si>
  <si>
    <t>ZARATE MARTINEZ RICARDO</t>
  </si>
  <si>
    <t>JARDINERO</t>
  </si>
  <si>
    <t>Avendaño Jauregui Mauricio</t>
  </si>
  <si>
    <t>BAEZ MONROY ELIZABETH</t>
  </si>
  <si>
    <t>GREETER SEMINUEVOS</t>
  </si>
  <si>
    <t>Baltazar Cruz Desiree De Jesus</t>
  </si>
  <si>
    <t>Camacho Rivera Martha Sarahi</t>
  </si>
  <si>
    <t>ENTREGAS/CITAS</t>
  </si>
  <si>
    <t>Campos Sancen Luis Felipe</t>
  </si>
  <si>
    <t>Castillo Galindo Marlene Samantha Graciela</t>
  </si>
  <si>
    <t>Del Alto Castellanos Xochitl</t>
  </si>
  <si>
    <t>GALLEGOS MORALES ROBERTO</t>
  </si>
  <si>
    <t>Gaytan Martinez Raul</t>
  </si>
  <si>
    <t>VIGILANTE MATUTINO</t>
  </si>
  <si>
    <t>Guerra Aguilar Alejandro</t>
  </si>
  <si>
    <t>AUXILIAR DE PROCESOS</t>
  </si>
  <si>
    <t>GUERRERO HERNANDEZ JUAN CARLOS</t>
  </si>
  <si>
    <t>GUILLEN AYALA JUAN CARLOS</t>
  </si>
  <si>
    <t>VALUADOR SEMINUEVOS</t>
  </si>
  <si>
    <t>Hernandez Espinoza Victor BenjamiN</t>
  </si>
  <si>
    <t>Hernandez Perez Jose Ricardo</t>
  </si>
  <si>
    <t>Herrera Almaraz Blanca Sofia</t>
  </si>
  <si>
    <t>VDQI</t>
  </si>
  <si>
    <t>Jimenez Suarez Ludivina</t>
  </si>
  <si>
    <t>GERENTE ADMINISTRATIVO</t>
  </si>
  <si>
    <t>Loyola Acosta Carlos Alberto</t>
  </si>
  <si>
    <t>MENSAJERO</t>
  </si>
  <si>
    <t>Mandujano Estrada Ilse Georgina</t>
  </si>
  <si>
    <t>GREETER</t>
  </si>
  <si>
    <t>MARTINEZ DIAZ LEOBARDO ADRIAN</t>
  </si>
  <si>
    <t>Martinez Herrera Cristian</t>
  </si>
  <si>
    <t>MARTINEZ ORTIZ JOSUE ALEJANDRO</t>
  </si>
  <si>
    <t>SISTEMAS</t>
  </si>
  <si>
    <t>ENCARGADO DE SISTEMAS</t>
  </si>
  <si>
    <t>Medina Puga Sandra</t>
  </si>
  <si>
    <t>Mejia Villegas Nallely Beatriz</t>
  </si>
  <si>
    <t>CITAS</t>
  </si>
  <si>
    <t>Meza Muñiz Jose Angel</t>
  </si>
  <si>
    <t>LAVADOR PREVIADOR</t>
  </si>
  <si>
    <t>Morales Naif Diana</t>
  </si>
  <si>
    <t>Muñoz Macias Marco Alfredo</t>
  </si>
  <si>
    <t>Nava Ambriz Thania</t>
  </si>
  <si>
    <t>Navarrete Rodriguez Maria Teresa</t>
  </si>
  <si>
    <t>Navarrete Rodriguez Miguel Angel</t>
  </si>
  <si>
    <t>Nieves Osornio Silvestre</t>
  </si>
  <si>
    <t>Patiño Muñoz Ana Laura</t>
  </si>
  <si>
    <t>F&amp;I</t>
  </si>
  <si>
    <t>Perez Moron Isaac Omar</t>
  </si>
  <si>
    <t>Ramirez Garcia Jaime Emilio</t>
  </si>
  <si>
    <t>GERENTE POST-VENTA</t>
  </si>
  <si>
    <t>Ramirez Zacarias Jorge Alberto</t>
  </si>
  <si>
    <t>MDT</t>
  </si>
  <si>
    <t>Rodriguez Cruz Fernando Antonio</t>
  </si>
  <si>
    <t>Rodriguez Nuñez Jose Antonio</t>
  </si>
  <si>
    <t>PREVIADOR</t>
  </si>
  <si>
    <t>Ruiz Laguna Anabel</t>
  </si>
  <si>
    <t>SALAS CORREA VICTOR EDUARDO</t>
  </si>
  <si>
    <t>Salcedo Moreno Janitzy Xochitl</t>
  </si>
  <si>
    <t>Sambrano Villarreal Hernan Andres</t>
  </si>
  <si>
    <t>LAVADOR NUEVOS</t>
  </si>
  <si>
    <t>Sanchez Escamilla Rosalba</t>
  </si>
  <si>
    <t>GARANTIAS</t>
  </si>
  <si>
    <t>Sanchez Veana Javier</t>
  </si>
  <si>
    <t>GERENTE DE REFACCION</t>
  </si>
  <si>
    <t>Santana Anaya Gildardo Enrique</t>
  </si>
  <si>
    <t>GERENTE DE SISTEMAS</t>
  </si>
  <si>
    <t>Tierrablanca Sanchez Victor Hugo</t>
  </si>
  <si>
    <t>Toledo Moreno Elizabeth Victoria</t>
  </si>
  <si>
    <t>SEGUROS</t>
  </si>
  <si>
    <t>Toledo Perez Jose Francisco</t>
  </si>
  <si>
    <t>TORRES MARTINEZ LUIS ALBERTO</t>
  </si>
  <si>
    <t>Vega Fernandez Amalia</t>
  </si>
  <si>
    <t>YERENA MARTINEZ CINTHIA GUADALUPE</t>
  </si>
  <si>
    <t>Yerena Vazquez Alejandro</t>
  </si>
  <si>
    <t>PERCEPCION MENSUAL</t>
  </si>
  <si>
    <t xml:space="preserve">AUXILIAR ADMINISTRATIVO </t>
  </si>
  <si>
    <t>COMISIONES MENSUALES</t>
  </si>
  <si>
    <t>ADMON SERVICO</t>
  </si>
  <si>
    <t xml:space="preserve">FACTURACION </t>
  </si>
  <si>
    <t>GERENTE DE VENTAS</t>
  </si>
  <si>
    <t>Lizardi Arisbeth</t>
  </si>
  <si>
    <t>TIPO DE PAGO</t>
  </si>
  <si>
    <t>BASE</t>
  </si>
  <si>
    <t>COMPLETO</t>
  </si>
  <si>
    <t>PERIODO</t>
  </si>
  <si>
    <t>QUINCENAL</t>
  </si>
  <si>
    <t>SEMANAL</t>
  </si>
  <si>
    <t>EMPRESA</t>
  </si>
  <si>
    <t>CELAYA</t>
  </si>
  <si>
    <t>NUMERO</t>
  </si>
  <si>
    <t>Extra Prestaciones</t>
  </si>
  <si>
    <t>Extra Comision</t>
  </si>
  <si>
    <t>ASISTENTE DE SISTEMAS</t>
  </si>
  <si>
    <t>AUXILIAR CONTABLE QUERETARO MOTORS</t>
  </si>
  <si>
    <t>Gomez Valencia Evelia</t>
  </si>
  <si>
    <t>AUXILIAR CONTABLE SALIDAS QM</t>
  </si>
  <si>
    <t xml:space="preserve">CALIDAD </t>
  </si>
  <si>
    <t>CONMUTADOR</t>
  </si>
  <si>
    <t>ADMINISTRACION DE SERVICIO</t>
  </si>
  <si>
    <t>GERENTE DE SERVICIO</t>
  </si>
  <si>
    <t>HOSTESS SERVICIO</t>
  </si>
  <si>
    <t>SINIESTROS</t>
  </si>
  <si>
    <t xml:space="preserve">ADMISTRACION </t>
  </si>
  <si>
    <t xml:space="preserve">CHEQUES </t>
  </si>
  <si>
    <t>HOJALATERO</t>
  </si>
  <si>
    <t>ASEGURADORAS</t>
  </si>
  <si>
    <t xml:space="preserve">Romero Velazquez Gustavo Emanuel </t>
  </si>
  <si>
    <t>GERENTE DE REFACCIONES</t>
  </si>
  <si>
    <t>MOSTRADOR</t>
  </si>
  <si>
    <t>Miranda Peon Julio Cesar</t>
  </si>
  <si>
    <t>COMPRADOR</t>
  </si>
  <si>
    <t>Macin Calderon Yaneli</t>
  </si>
  <si>
    <t>CUENTAS POR COBRAR</t>
  </si>
  <si>
    <t>ENCARGADO DE GARANTIAS</t>
  </si>
  <si>
    <t>JEFE DE RECEPCION</t>
  </si>
  <si>
    <t>LLAMADA DEL SEGUNDO DIA</t>
  </si>
  <si>
    <t>SUPERVISOR DE CONTACT CENTER</t>
  </si>
  <si>
    <t>ASISTENTE DE COACH ANAEL</t>
  </si>
  <si>
    <t>ASISTENTE DE COACH ARTURO</t>
  </si>
  <si>
    <t>Hernandez Sanchez Rodriguez</t>
  </si>
  <si>
    <t>ASISTENTE DE COACH MOISES</t>
  </si>
  <si>
    <t>AUXILIAR DE ENTREGAS</t>
  </si>
  <si>
    <t>Trejo Hernandez Maria Maricela</t>
  </si>
  <si>
    <t>CALIDAD</t>
  </si>
  <si>
    <t>ENCARGADA DE ENTREGAS</t>
  </si>
  <si>
    <t>FACTURISTA</t>
  </si>
  <si>
    <t>Hernandez Acosta Alma Delia</t>
  </si>
  <si>
    <t>HOSTESS DE NUEVOS</t>
  </si>
  <si>
    <t>Rodriguez Ventura Carlos Javier</t>
  </si>
  <si>
    <t>PREVIAS Y LOGISTICA</t>
  </si>
  <si>
    <t>TELEMARKETING</t>
  </si>
  <si>
    <t>QM</t>
  </si>
  <si>
    <t>MANTENIMIENTO</t>
  </si>
  <si>
    <t>Resendiz Campuzano Israel</t>
  </si>
  <si>
    <t>AYUDANTE</t>
  </si>
  <si>
    <t>Cortez Ovando Faustino Ali</t>
  </si>
  <si>
    <t xml:space="preserve">AYUDANTE </t>
  </si>
  <si>
    <t>Vega Rivera Ismael</t>
  </si>
  <si>
    <t>Martinez Lorenzo Luis Alejandro</t>
  </si>
  <si>
    <t>Olvera Bautista J. Dolores Gilberto</t>
  </si>
  <si>
    <t>Suarez Luna Efren Agustin</t>
  </si>
  <si>
    <t>Perez Perez Ismael</t>
  </si>
  <si>
    <t>Cortes Hernandez German</t>
  </si>
  <si>
    <t>Sanchez Rodriguez Fredy</t>
  </si>
  <si>
    <t>Morales Rosas Israel</t>
  </si>
  <si>
    <t>Tellez Gaytan Daniel</t>
  </si>
  <si>
    <t>Vigueras Martinez Juan Carlos</t>
  </si>
  <si>
    <t>Hernandez Silva Edgar Samuel</t>
  </si>
  <si>
    <t>Blanco Salomon Raciel</t>
  </si>
  <si>
    <t>Olvera Tapia Sergio Anirak</t>
  </si>
  <si>
    <t>ARMENTA LUJANO CARLOS</t>
  </si>
  <si>
    <t>BARRAGAN SERRANO HECTOR TONATIUH</t>
  </si>
  <si>
    <t>Arteaga Silva Alfredo</t>
  </si>
  <si>
    <t>Castillo Ordoñez Jorge</t>
  </si>
  <si>
    <t>Cortes Miranda Carlos Armando</t>
  </si>
  <si>
    <t>Lara Oviedo Soraya</t>
  </si>
  <si>
    <t>Rivera Gonzalez Jose Adan</t>
  </si>
  <si>
    <t xml:space="preserve">SEMINUEVOS </t>
  </si>
  <si>
    <t>Aguilar Bravo Cristian Saul</t>
  </si>
  <si>
    <t xml:space="preserve">Feregrino Ramirez Juan Manuel </t>
  </si>
  <si>
    <t>GALLEGOS RAMIREZ JOSE</t>
  </si>
  <si>
    <t>PATIÑO NAVARRO OSCAR MARTIN</t>
  </si>
  <si>
    <t>QUILLO ARRIAGA OSIEL JONATHAN</t>
  </si>
  <si>
    <t>Rodriguez Rodriguez Rodolfo Anuar</t>
  </si>
  <si>
    <t>Tinoco Lopez Alfredo</t>
  </si>
  <si>
    <t>Hurtado Pajaro Jose</t>
  </si>
  <si>
    <t xml:space="preserve">Rangel Zuñiga Hugo </t>
  </si>
  <si>
    <t>Barcenas Comenero Jorge Alejandro</t>
  </si>
  <si>
    <t>Cruz Ortiz Juan Antonio</t>
  </si>
  <si>
    <t>HEREDIA HERNANDEZ ANDREA</t>
  </si>
  <si>
    <t xml:space="preserve">Solorzano Luna Mariana </t>
  </si>
  <si>
    <t>Lopez Mireles Erick</t>
  </si>
  <si>
    <t>Martinez Alvarado Adrian</t>
  </si>
  <si>
    <t>Montes de Oca Juarez Jose Antonio</t>
  </si>
  <si>
    <t>Santiago Matilde Uriel</t>
  </si>
  <si>
    <t>Nuñez De Jesus Jose Daniel</t>
  </si>
  <si>
    <t>Olvera Hernandez Jose Tomas</t>
  </si>
  <si>
    <t>TECNICO A</t>
  </si>
  <si>
    <t>Valdez Martinez Jose Martin</t>
  </si>
  <si>
    <t>Arvizu Rodriguez Alejandro Uriel</t>
  </si>
  <si>
    <t>TECNICO B</t>
  </si>
  <si>
    <t>Reyes Hurtado Guillermo</t>
  </si>
  <si>
    <t>Saldaña Garcia Marco Antonio</t>
  </si>
  <si>
    <t>Martinez Guerrero Leonel</t>
  </si>
  <si>
    <t>Alavez Lopez Inocencio</t>
  </si>
  <si>
    <t xml:space="preserve">TECNICO </t>
  </si>
  <si>
    <t>Enriquez Rubio Fernando</t>
  </si>
  <si>
    <t>Fonseca Guillen Jose Felipe</t>
  </si>
  <si>
    <t>Martinez Gallegos Luis Fernando</t>
  </si>
  <si>
    <t>Resendiz Echeverria Mario Alberto</t>
  </si>
  <si>
    <t>Sanchez Hurtado Carlos</t>
  </si>
  <si>
    <t>Aguilar Perez Marco Artemio</t>
  </si>
  <si>
    <t>Castañon Tavares Manuel</t>
  </si>
  <si>
    <t>Arroyo Zarazua Gilberto</t>
  </si>
  <si>
    <t>Berdeja Leon Francisco Gerardo</t>
  </si>
  <si>
    <t>Coronel De Leon Jonathan</t>
  </si>
  <si>
    <t>Granados Perez Brenda Laura</t>
  </si>
  <si>
    <t>GUERRERO GOMEZ MARVIN NOE</t>
  </si>
  <si>
    <t>GUTIERREZ OLVERA ARMANDO</t>
  </si>
  <si>
    <t>Gutierrez Olvera Marihuri</t>
  </si>
  <si>
    <t>Hernandez Chavez Pedro</t>
  </si>
  <si>
    <t>Hernandez Solis Gumercindo</t>
  </si>
  <si>
    <t>Jimenez Hernandez Julio Cesar</t>
  </si>
  <si>
    <t>Lobato Recamier Rosselin Catalina</t>
  </si>
  <si>
    <t>Maldonado Hernandez Erick</t>
  </si>
  <si>
    <t>Medina Castro Carlos Manuel</t>
  </si>
  <si>
    <t>Melendez Padilla Claudia Cristina</t>
  </si>
  <si>
    <t>Mijangos Hernandez Julio Cesar</t>
  </si>
  <si>
    <t>Noria Badillo Juan Jose</t>
  </si>
  <si>
    <t>Paleta Guadarrama Ricardo</t>
  </si>
  <si>
    <t>REYES ARMADILLO JORGE ANDRES</t>
  </si>
  <si>
    <t>Reyes Flores Alan Ricardo</t>
  </si>
  <si>
    <t>Ruiz Rodriguez Omar</t>
  </si>
  <si>
    <t>SANCHEZ LOPEZ GABRIEL</t>
  </si>
  <si>
    <t>SIFONTES SARDUA DAYAN JESUS</t>
  </si>
  <si>
    <t>Tirado Saavedra Carlos Alejandro</t>
  </si>
  <si>
    <t>TRONCOSO PEÑA GERARDO</t>
  </si>
  <si>
    <t>Vera Garcia Gerardo</t>
  </si>
  <si>
    <t>Aguilar Gonzalez Anael</t>
  </si>
  <si>
    <t>Arenas Vargas Moises</t>
  </si>
  <si>
    <t>Carrasco Tovar Arturo</t>
  </si>
  <si>
    <t>Toribio Del Angel Oscar</t>
  </si>
  <si>
    <t>COACH DE VENTAS SEMINUEVOS</t>
  </si>
  <si>
    <t>Cancino Rodriguez Gregorio</t>
  </si>
  <si>
    <t xml:space="preserve">VENTAS </t>
  </si>
  <si>
    <t>Olvera Soto Luis Angel</t>
  </si>
  <si>
    <t>ESTETICAS AYUDANTE</t>
  </si>
  <si>
    <t>Mata Gonzalez Alejandro</t>
  </si>
  <si>
    <t>VIGILANCIA</t>
  </si>
  <si>
    <t>Sereno Cuellar Juvenal</t>
  </si>
  <si>
    <t>De Jesus Cruz Juan Carlos</t>
  </si>
  <si>
    <t>DOMINGUEZ ALCANTARA MIGUEL ANGEL</t>
  </si>
  <si>
    <t>Rivera Aguilar Gabriel</t>
  </si>
  <si>
    <t>1</t>
  </si>
  <si>
    <t>DIAS PERIODO PAGO</t>
  </si>
  <si>
    <t>SALARIO DIARIO INTEGRADO</t>
  </si>
  <si>
    <t>Impuesto - Artículo 113</t>
  </si>
  <si>
    <t>Subsidio - Artículo 114</t>
  </si>
  <si>
    <t>Crédito al salario - Artículo 115</t>
  </si>
  <si>
    <t>Límite</t>
  </si>
  <si>
    <t>Cuota</t>
  </si>
  <si>
    <t>% Exce-</t>
  </si>
  <si>
    <t>% s/</t>
  </si>
  <si>
    <t>Con ingreso</t>
  </si>
  <si>
    <t>Hasta</t>
  </si>
  <si>
    <t>Crédito</t>
  </si>
  <si>
    <t>inferior</t>
  </si>
  <si>
    <t>superior</t>
  </si>
  <si>
    <t>fija</t>
  </si>
  <si>
    <t>dente del</t>
  </si>
  <si>
    <t>impuesto</t>
  </si>
  <si>
    <t>desde</t>
  </si>
  <si>
    <t>(ingreso)</t>
  </si>
  <si>
    <t>al salario</t>
  </si>
  <si>
    <t>lím. inferior</t>
  </si>
  <si>
    <t>marginal</t>
  </si>
  <si>
    <t>... y más</t>
  </si>
  <si>
    <t>FACTOR MENSUAL</t>
  </si>
  <si>
    <t>GRAVADAS PROMEDIO MENSUAL</t>
  </si>
  <si>
    <t>PERCEPCION PERIODO</t>
  </si>
  <si>
    <t>EXCEDENTE</t>
  </si>
  <si>
    <t>PERIODOS PAGO</t>
  </si>
  <si>
    <t>% EXCEDENTE LIMITE INFERIOR</t>
  </si>
  <si>
    <t>LIMITE INFERIOR</t>
  </si>
  <si>
    <t>LIMITE SUPERIOR</t>
  </si>
  <si>
    <t>IMPUESTO MARGINAL</t>
  </si>
  <si>
    <t>CUOTA FIJA</t>
  </si>
  <si>
    <t>ISR PROMEDIO MENSUAL</t>
  </si>
  <si>
    <t>ISR DEL PERIODO</t>
  </si>
  <si>
    <t xml:space="preserve">En adelante </t>
  </si>
  <si>
    <t xml:space="preserve"> En adelante </t>
  </si>
  <si>
    <t>SUBSIDIO AL EMPLEO</t>
  </si>
  <si>
    <t>ISR RETENER</t>
  </si>
  <si>
    <t>SUBSIDIO ENTREGAR</t>
  </si>
  <si>
    <t>SMGDF</t>
  </si>
  <si>
    <t>25 PATRON</t>
  </si>
  <si>
    <t>25 TRAB</t>
  </si>
  <si>
    <t>25 ESTADO</t>
  </si>
  <si>
    <t>106 PATRON</t>
  </si>
  <si>
    <t>IMSS EMPLEADO</t>
  </si>
  <si>
    <t>TASA ART25</t>
  </si>
  <si>
    <t>TASA ART106</t>
  </si>
  <si>
    <t>CUOTA ART 25</t>
  </si>
  <si>
    <t>CUOTA ART 106-2</t>
  </si>
  <si>
    <t>CUOTA INVALIDEZ Y VIDA</t>
  </si>
  <si>
    <t>CUOTA CESANTIA Y VEJEZ</t>
  </si>
  <si>
    <t>CESANTIA Y VEJEZ</t>
  </si>
  <si>
    <t>INVALIDEZ Y VIDA</t>
  </si>
  <si>
    <t>TASA ART107</t>
  </si>
  <si>
    <t>CUOTA ART 107</t>
  </si>
  <si>
    <t>IMSS EMPRESA</t>
  </si>
  <si>
    <t>SOLORZANO JUAREZ MONICA ELISA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</si>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</sst>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  <numFmt numFmtId="166" formatCode="0.000%"/>
  </numFmts>
  <fonts count="60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name val="Calibri   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FF990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7.5"/>
      <color rgb="FF000000"/>
      <name val="Verdana"/>
      <family val="2"/>
    </font>
    <font>
      <sz val="11"/>
      <color rgb="FF000000"/>
      <name val="Calibri   "/>
    </font>
    <font>
      <sz val="11"/>
      <color theme="0"/>
      <name val="Calibri   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5EAFE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12" fillId="0" borderId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14" fillId="0" borderId="0"/>
    <xf numFmtId="0" fontId="11" fillId="0" borderId="0"/>
    <xf numFmtId="9" fontId="22" fillId="0" borderId="0" applyFont="0" applyFill="0" applyBorder="0" applyAlignment="0" applyProtection="0"/>
  </cellStyleXfs>
  <cellXfs count="410">
    <xf numFmtId="0" fontId="0" fillId="0" borderId="0" xfId="0"/>
    <xf numFmtId="0" fontId="26" fillId="0" borderId="0" xfId="0" applyFont="1"/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/>
    <xf numFmtId="0" fontId="1" fillId="2" borderId="12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Continuous"/>
    </xf>
    <xf numFmtId="0" fontId="5" fillId="0" borderId="0" xfId="0" applyFont="1"/>
    <xf numFmtId="49" fontId="6" fillId="0" borderId="0" xfId="0" applyNumberFormat="1" applyFont="1" applyAlignment="1">
      <alignment horizontal="centerContinuous"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9" fillId="2" borderId="12" xfId="0" applyFont="1" applyFill="1" applyBorder="1" applyAlignment="1">
      <alignment horizontal="center" vertical="center" wrapText="1"/>
    </xf>
    <xf numFmtId="164" fontId="5" fillId="0" borderId="0" xfId="0" applyNumberFormat="1" applyFont="1"/>
    <xf numFmtId="49" fontId="5" fillId="0" borderId="0" xfId="0" applyNumberFormat="1" applyFont="1" applyFill="1"/>
    <xf numFmtId="0" fontId="5" fillId="0" borderId="0" xfId="0" applyFont="1" applyFill="1"/>
    <xf numFmtId="44" fontId="5" fillId="0" borderId="0" xfId="8" applyFont="1" applyFill="1"/>
    <xf numFmtId="49" fontId="9" fillId="2" borderId="1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horizontal="centerContinuous"/>
    </xf>
    <xf numFmtId="49" fontId="31" fillId="0" borderId="0" xfId="0" applyNumberFormat="1" applyFont="1" applyAlignment="1">
      <alignment horizontal="centerContinuous" vertical="top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164" fontId="3" fillId="0" borderId="0" xfId="0" applyNumberFormat="1" applyFont="1"/>
    <xf numFmtId="49" fontId="32" fillId="0" borderId="0" xfId="0" applyNumberFormat="1" applyFont="1" applyAlignment="1">
      <alignment horizontal="right"/>
    </xf>
    <xf numFmtId="0" fontId="29" fillId="0" borderId="0" xfId="0" applyFont="1"/>
    <xf numFmtId="164" fontId="29" fillId="0" borderId="0" xfId="0" applyNumberFormat="1" applyFont="1"/>
    <xf numFmtId="49" fontId="29" fillId="0" borderId="0" xfId="0" applyNumberFormat="1" applyFont="1" applyAlignment="1">
      <alignment horizontal="left"/>
    </xf>
    <xf numFmtId="49" fontId="29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32" fillId="0" borderId="0" xfId="0" applyNumberFormat="1" applyFont="1" applyFill="1"/>
    <xf numFmtId="0" fontId="33" fillId="0" borderId="0" xfId="0" applyFont="1" applyAlignment="1"/>
    <xf numFmtId="0" fontId="0" fillId="0" borderId="0" xfId="0"/>
    <xf numFmtId="44" fontId="34" fillId="0" borderId="0" xfId="0" applyNumberFormat="1" applyFont="1"/>
    <xf numFmtId="0" fontId="35" fillId="0" borderId="0" xfId="16" applyFont="1" applyFill="1" applyAlignment="1" applyProtection="1">
      <alignment horizontal="left"/>
    </xf>
    <xf numFmtId="0" fontId="35" fillId="0" borderId="0" xfId="16" applyFont="1" applyFill="1" applyAlignment="1" applyProtection="1">
      <alignment horizontal="center"/>
    </xf>
    <xf numFmtId="43" fontId="36" fillId="0" borderId="0" xfId="4" applyFont="1" applyFill="1" applyAlignment="1" applyProtection="1">
      <alignment horizontal="center"/>
    </xf>
    <xf numFmtId="43" fontId="37" fillId="0" borderId="0" xfId="4" applyFont="1" applyFill="1" applyAlignment="1" applyProtection="1">
      <alignment horizontal="center"/>
    </xf>
    <xf numFmtId="0" fontId="36" fillId="0" borderId="0" xfId="0" applyFont="1" applyFill="1" applyProtection="1"/>
    <xf numFmtId="0" fontId="36" fillId="0" borderId="0" xfId="0" applyFont="1" applyProtection="1"/>
    <xf numFmtId="0" fontId="38" fillId="0" borderId="0" xfId="16" applyFont="1" applyFill="1" applyAlignment="1" applyProtection="1">
      <alignment horizontal="left"/>
    </xf>
    <xf numFmtId="0" fontId="38" fillId="0" borderId="0" xfId="16" applyFont="1" applyFill="1" applyAlignment="1" applyProtection="1">
      <alignment horizontal="center"/>
    </xf>
    <xf numFmtId="15" fontId="35" fillId="0" borderId="0" xfId="16" applyNumberFormat="1" applyFont="1" applyFill="1" applyAlignment="1" applyProtection="1">
      <alignment horizontal="left"/>
    </xf>
    <xf numFmtId="15" fontId="35" fillId="0" borderId="0" xfId="16" applyNumberFormat="1" applyFont="1" applyFill="1" applyAlignment="1" applyProtection="1">
      <alignment horizontal="center"/>
    </xf>
    <xf numFmtId="0" fontId="37" fillId="0" borderId="0" xfId="0" applyFont="1"/>
    <xf numFmtId="43" fontId="36" fillId="0" borderId="0" xfId="4" applyFont="1"/>
    <xf numFmtId="43" fontId="37" fillId="0" borderId="0" xfId="4" applyFont="1"/>
    <xf numFmtId="0" fontId="37" fillId="0" borderId="0" xfId="0" applyFont="1" applyFill="1"/>
    <xf numFmtId="0" fontId="0" fillId="0" borderId="1" xfId="0" applyBorder="1"/>
    <xf numFmtId="0" fontId="36" fillId="0" borderId="1" xfId="0" applyFont="1" applyBorder="1" applyAlignment="1">
      <alignment horizontal="right"/>
    </xf>
    <xf numFmtId="0" fontId="36" fillId="4" borderId="1" xfId="0" applyFont="1" applyFill="1" applyBorder="1"/>
    <xf numFmtId="43" fontId="36" fillId="0" borderId="1" xfId="4" applyFont="1" applyBorder="1"/>
    <xf numFmtId="43" fontId="36" fillId="4" borderId="1" xfId="4" applyFont="1" applyFill="1" applyBorder="1"/>
    <xf numFmtId="43" fontId="39" fillId="4" borderId="1" xfId="4" applyFont="1" applyFill="1" applyBorder="1"/>
    <xf numFmtId="43" fontId="37" fillId="5" borderId="1" xfId="4" applyFont="1" applyFill="1" applyBorder="1"/>
    <xf numFmtId="43" fontId="36" fillId="6" borderId="1" xfId="4" applyFont="1" applyFill="1" applyBorder="1"/>
    <xf numFmtId="43" fontId="36" fillId="7" borderId="1" xfId="4" applyFont="1" applyFill="1" applyBorder="1" applyAlignment="1">
      <alignment horizontal="center"/>
    </xf>
    <xf numFmtId="43" fontId="22" fillId="0" borderId="1" xfId="4" applyFont="1" applyBorder="1"/>
    <xf numFmtId="43" fontId="36" fillId="0" borderId="1" xfId="4" applyFont="1" applyFill="1" applyBorder="1" applyAlignment="1">
      <alignment horizontal="center"/>
    </xf>
    <xf numFmtId="43" fontId="36" fillId="8" borderId="1" xfId="4" applyFont="1" applyFill="1" applyBorder="1" applyAlignment="1">
      <alignment horizontal="center"/>
    </xf>
    <xf numFmtId="43" fontId="36" fillId="0" borderId="0" xfId="0" applyNumberFormat="1" applyFont="1" applyFill="1"/>
    <xf numFmtId="0" fontId="36" fillId="0" borderId="0" xfId="0" applyFont="1" applyFill="1"/>
    <xf numFmtId="0" fontId="36" fillId="0" borderId="1" xfId="0" applyFont="1" applyBorder="1"/>
    <xf numFmtId="4" fontId="0" fillId="0" borderId="1" xfId="0" applyNumberFormat="1" applyBorder="1"/>
    <xf numFmtId="12" fontId="36" fillId="4" borderId="1" xfId="4" applyNumberFormat="1" applyFont="1" applyFill="1" applyBorder="1"/>
    <xf numFmtId="0" fontId="37" fillId="0" borderId="1" xfId="0" applyFont="1" applyFill="1" applyBorder="1"/>
    <xf numFmtId="0" fontId="37" fillId="0" borderId="2" xfId="0" applyFont="1" applyFill="1" applyBorder="1"/>
    <xf numFmtId="0" fontId="36" fillId="0" borderId="2" xfId="0" applyFont="1" applyFill="1" applyBorder="1"/>
    <xf numFmtId="43" fontId="36" fillId="0" borderId="2" xfId="4" applyFont="1" applyFill="1" applyBorder="1"/>
    <xf numFmtId="43" fontId="37" fillId="0" borderId="1" xfId="4" applyFont="1" applyFill="1" applyBorder="1"/>
    <xf numFmtId="43" fontId="37" fillId="0" borderId="2" xfId="4" applyFont="1" applyFill="1" applyBorder="1"/>
    <xf numFmtId="0" fontId="36" fillId="0" borderId="0" xfId="0" applyFont="1"/>
    <xf numFmtId="0" fontId="40" fillId="0" borderId="0" xfId="0" applyFont="1"/>
    <xf numFmtId="0" fontId="0" fillId="0" borderId="1" xfId="0" applyFill="1" applyBorder="1"/>
    <xf numFmtId="0" fontId="32" fillId="0" borderId="0" xfId="0" applyFont="1"/>
    <xf numFmtId="49" fontId="32" fillId="0" borderId="0" xfId="0" applyNumberFormat="1" applyFont="1"/>
    <xf numFmtId="164" fontId="32" fillId="0" borderId="0" xfId="0" applyNumberFormat="1" applyFont="1"/>
    <xf numFmtId="0" fontId="0" fillId="0" borderId="0" xfId="0" applyAlignment="1"/>
    <xf numFmtId="0" fontId="0" fillId="3" borderId="0" xfId="0" applyFont="1" applyFill="1"/>
    <xf numFmtId="49" fontId="32" fillId="0" borderId="0" xfId="0" applyNumberFormat="1" applyFont="1" applyBorder="1"/>
    <xf numFmtId="0" fontId="32" fillId="0" borderId="0" xfId="0" applyFont="1" applyBorder="1"/>
    <xf numFmtId="0" fontId="9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164" fontId="9" fillId="0" borderId="3" xfId="0" applyNumberFormat="1" applyFont="1" applyBorder="1"/>
    <xf numFmtId="164" fontId="29" fillId="0" borderId="3" xfId="0" applyNumberFormat="1" applyFont="1" applyBorder="1"/>
    <xf numFmtId="164" fontId="32" fillId="0" borderId="0" xfId="0" applyNumberFormat="1" applyFont="1" applyAlignment="1">
      <alignment horizontal="right"/>
    </xf>
    <xf numFmtId="43" fontId="37" fillId="9" borderId="1" xfId="4" applyFont="1" applyFill="1" applyBorder="1" applyAlignment="1">
      <alignment horizontal="center" wrapText="1"/>
    </xf>
    <xf numFmtId="0" fontId="32" fillId="0" borderId="0" xfId="0" applyFont="1"/>
    <xf numFmtId="49" fontId="32" fillId="0" borderId="0" xfId="0" applyNumberFormat="1" applyFont="1"/>
    <xf numFmtId="164" fontId="32" fillId="0" borderId="0" xfId="0" applyNumberFormat="1" applyFont="1"/>
    <xf numFmtId="0" fontId="5" fillId="0" borderId="0" xfId="0" applyFont="1" applyAlignment="1">
      <alignment horizontal="center"/>
    </xf>
    <xf numFmtId="43" fontId="22" fillId="0" borderId="0" xfId="4" applyProtection="1"/>
    <xf numFmtId="43" fontId="22" fillId="0" borderId="0" xfId="4"/>
    <xf numFmtId="43" fontId="22" fillId="9" borderId="2" xfId="4" applyFill="1" applyBorder="1" applyAlignment="1">
      <alignment horizontal="center" wrapText="1"/>
    </xf>
    <xf numFmtId="43" fontId="22" fillId="0" borderId="0" xfId="4" applyFill="1"/>
    <xf numFmtId="0" fontId="0" fillId="0" borderId="1" xfId="0" applyFont="1" applyBorder="1"/>
    <xf numFmtId="0" fontId="41" fillId="10" borderId="1" xfId="0" applyFont="1" applyFill="1" applyBorder="1"/>
    <xf numFmtId="0" fontId="42" fillId="10" borderId="1" xfId="0" applyFont="1" applyFill="1" applyBorder="1" applyAlignment="1">
      <alignment horizontal="right"/>
    </xf>
    <xf numFmtId="0" fontId="42" fillId="10" borderId="1" xfId="0" applyFont="1" applyFill="1" applyBorder="1"/>
    <xf numFmtId="43" fontId="42" fillId="10" borderId="1" xfId="4" applyFont="1" applyFill="1" applyBorder="1"/>
    <xf numFmtId="43" fontId="43" fillId="10" borderId="1" xfId="4" applyFont="1" applyFill="1" applyBorder="1"/>
    <xf numFmtId="43" fontId="42" fillId="10" borderId="1" xfId="4" applyFont="1" applyFill="1" applyBorder="1" applyAlignment="1">
      <alignment horizontal="center"/>
    </xf>
    <xf numFmtId="43" fontId="41" fillId="10" borderId="1" xfId="4" applyFont="1" applyFill="1" applyBorder="1"/>
    <xf numFmtId="43" fontId="41" fillId="10" borderId="0" xfId="4" applyFont="1" applyFill="1"/>
    <xf numFmtId="43" fontId="42" fillId="10" borderId="0" xfId="0" applyNumberFormat="1" applyFont="1" applyFill="1"/>
    <xf numFmtId="0" fontId="42" fillId="10" borderId="0" xfId="0" applyFont="1" applyFill="1"/>
    <xf numFmtId="4" fontId="41" fillId="10" borderId="1" xfId="0" applyNumberFormat="1" applyFont="1" applyFill="1" applyBorder="1"/>
    <xf numFmtId="0" fontId="43" fillId="10" borderId="0" xfId="0" applyFont="1" applyFill="1"/>
    <xf numFmtId="0" fontId="37" fillId="0" borderId="4" xfId="0" applyFont="1" applyBorder="1"/>
    <xf numFmtId="43" fontId="37" fillId="0" borderId="4" xfId="4" applyFont="1" applyBorder="1"/>
    <xf numFmtId="43" fontId="22" fillId="0" borderId="0" xfId="4" applyFont="1"/>
    <xf numFmtId="43" fontId="36" fillId="0" borderId="0" xfId="0" applyNumberFormat="1" applyFont="1"/>
    <xf numFmtId="49" fontId="30" fillId="0" borderId="0" xfId="0" applyNumberFormat="1" applyFont="1" applyAlignment="1">
      <alignment horizontal="center"/>
    </xf>
    <xf numFmtId="0" fontId="44" fillId="0" borderId="0" xfId="0" applyFont="1" applyAlignment="1"/>
    <xf numFmtId="49" fontId="31" fillId="0" borderId="0" xfId="0" applyNumberFormat="1" applyFont="1" applyAlignment="1">
      <alignment horizontal="center" vertical="top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12" applyFont="1" applyAlignment="1">
      <alignment horizontal="right"/>
    </xf>
    <xf numFmtId="0" fontId="32" fillId="0" borderId="0" xfId="0" applyNumberFormat="1" applyFont="1"/>
    <xf numFmtId="0" fontId="3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2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/>
    </xf>
    <xf numFmtId="164" fontId="13" fillId="0" borderId="5" xfId="0" applyNumberFormat="1" applyFont="1" applyBorder="1"/>
    <xf numFmtId="164" fontId="13" fillId="0" borderId="0" xfId="0" applyNumberFormat="1" applyFont="1" applyBorder="1"/>
    <xf numFmtId="0" fontId="32" fillId="0" borderId="0" xfId="0" applyNumberFormat="1" applyFont="1" applyAlignment="1">
      <alignment horizontal="left"/>
    </xf>
    <xf numFmtId="49" fontId="32" fillId="0" borderId="0" xfId="0" applyNumberFormat="1" applyFont="1" applyAlignment="1">
      <alignment horizontal="left"/>
    </xf>
    <xf numFmtId="0" fontId="45" fillId="0" borderId="0" xfId="0" applyFont="1" applyAlignment="1">
      <alignment horizontal="left" vertical="center"/>
    </xf>
    <xf numFmtId="0" fontId="32" fillId="0" borderId="0" xfId="0" applyFont="1"/>
    <xf numFmtId="0" fontId="0" fillId="11" borderId="6" xfId="0" applyFill="1" applyBorder="1"/>
    <xf numFmtId="0" fontId="32" fillId="0" borderId="0" xfId="0" applyFont="1" applyFill="1"/>
    <xf numFmtId="0" fontId="46" fillId="0" borderId="0" xfId="0" applyFont="1" applyProtection="1"/>
    <xf numFmtId="0" fontId="47" fillId="0" borderId="0" xfId="0" applyFont="1"/>
    <xf numFmtId="43" fontId="46" fillId="0" borderId="0" xfId="4" applyFont="1"/>
    <xf numFmtId="43" fontId="47" fillId="0" borderId="0" xfId="4" applyFont="1"/>
    <xf numFmtId="0" fontId="46" fillId="0" borderId="0" xfId="0" applyFont="1" applyFill="1"/>
    <xf numFmtId="0" fontId="46" fillId="4" borderId="0" xfId="0" applyFont="1" applyFill="1"/>
    <xf numFmtId="0" fontId="46" fillId="0" borderId="0" xfId="0" applyFont="1"/>
    <xf numFmtId="0" fontId="46" fillId="12" borderId="6" xfId="0" applyFont="1" applyFill="1" applyBorder="1"/>
    <xf numFmtId="0" fontId="46" fillId="11" borderId="6" xfId="0" applyFont="1" applyFill="1" applyBorder="1"/>
    <xf numFmtId="0" fontId="46" fillId="13" borderId="0" xfId="0" applyFont="1" applyFill="1"/>
    <xf numFmtId="164" fontId="32" fillId="0" borderId="0" xfId="0" applyNumberFormat="1" applyFont="1" applyFill="1"/>
    <xf numFmtId="164" fontId="5" fillId="0" borderId="0" xfId="0" applyNumberFormat="1" applyFont="1" applyFill="1"/>
    <xf numFmtId="8" fontId="5" fillId="0" borderId="0" xfId="0" applyNumberFormat="1" applyFont="1" applyFill="1"/>
    <xf numFmtId="0" fontId="12" fillId="0" borderId="0" xfId="12"/>
    <xf numFmtId="0" fontId="48" fillId="0" borderId="0" xfId="16" applyFont="1" applyFill="1" applyAlignment="1" applyProtection="1">
      <alignment horizontal="left"/>
    </xf>
    <xf numFmtId="0" fontId="48" fillId="0" borderId="0" xfId="16" applyFont="1" applyFill="1" applyAlignment="1" applyProtection="1">
      <alignment horizontal="center"/>
    </xf>
    <xf numFmtId="43" fontId="46" fillId="0" borderId="0" xfId="7" applyFont="1" applyFill="1" applyAlignment="1" applyProtection="1">
      <alignment horizontal="center"/>
    </xf>
    <xf numFmtId="43" fontId="47" fillId="0" borderId="0" xfId="7" applyFont="1" applyFill="1" applyAlignment="1" applyProtection="1">
      <alignment horizontal="center"/>
    </xf>
    <xf numFmtId="0" fontId="46" fillId="0" borderId="0" xfId="12" applyFont="1" applyFill="1" applyProtection="1"/>
    <xf numFmtId="0" fontId="46" fillId="0" borderId="0" xfId="12" applyFont="1" applyProtection="1"/>
    <xf numFmtId="43" fontId="46" fillId="0" borderId="0" xfId="7" applyFont="1" applyProtection="1"/>
    <xf numFmtId="0" fontId="49" fillId="0" borderId="0" xfId="16" applyFont="1" applyFill="1" applyAlignment="1" applyProtection="1">
      <alignment horizontal="left"/>
    </xf>
    <xf numFmtId="0" fontId="49" fillId="0" borderId="0" xfId="16" applyFont="1" applyFill="1" applyAlignment="1" applyProtection="1">
      <alignment horizontal="center"/>
    </xf>
    <xf numFmtId="15" fontId="48" fillId="0" borderId="0" xfId="16" applyNumberFormat="1" applyFont="1" applyFill="1" applyAlignment="1" applyProtection="1">
      <alignment horizontal="left"/>
    </xf>
    <xf numFmtId="15" fontId="48" fillId="0" borderId="0" xfId="16" applyNumberFormat="1" applyFont="1" applyFill="1" applyAlignment="1" applyProtection="1">
      <alignment horizontal="center"/>
    </xf>
    <xf numFmtId="0" fontId="47" fillId="0" borderId="0" xfId="12" applyFont="1"/>
    <xf numFmtId="43" fontId="46" fillId="0" borderId="0" xfId="7" applyFont="1"/>
    <xf numFmtId="43" fontId="47" fillId="0" borderId="0" xfId="7" applyFont="1"/>
    <xf numFmtId="43" fontId="47" fillId="9" borderId="1" xfId="7" applyFont="1" applyFill="1" applyBorder="1" applyAlignment="1">
      <alignment horizontal="center" wrapText="1"/>
    </xf>
    <xf numFmtId="0" fontId="47" fillId="0" borderId="0" xfId="12" applyFont="1" applyFill="1"/>
    <xf numFmtId="43" fontId="47" fillId="9" borderId="2" xfId="7" applyFont="1" applyFill="1" applyBorder="1" applyAlignment="1">
      <alignment horizontal="center" wrapText="1"/>
    </xf>
    <xf numFmtId="43" fontId="46" fillId="9" borderId="2" xfId="7" applyFont="1" applyFill="1" applyBorder="1" applyAlignment="1">
      <alignment horizontal="center" wrapText="1"/>
    </xf>
    <xf numFmtId="0" fontId="46" fillId="0" borderId="6" xfId="12" applyFont="1" applyBorder="1"/>
    <xf numFmtId="0" fontId="46" fillId="0" borderId="6" xfId="12" applyFont="1" applyBorder="1" applyAlignment="1">
      <alignment horizontal="right"/>
    </xf>
    <xf numFmtId="0" fontId="46" fillId="4" borderId="6" xfId="12" applyFont="1" applyFill="1" applyBorder="1"/>
    <xf numFmtId="43" fontId="46" fillId="0" borderId="6" xfId="7" applyFont="1" applyBorder="1"/>
    <xf numFmtId="43" fontId="46" fillId="4" borderId="6" xfId="7" applyFont="1" applyFill="1" applyBorder="1"/>
    <xf numFmtId="43" fontId="25" fillId="4" borderId="6" xfId="7" applyFont="1" applyFill="1" applyBorder="1"/>
    <xf numFmtId="43" fontId="47" fillId="5" borderId="6" xfId="7" applyFont="1" applyFill="1" applyBorder="1"/>
    <xf numFmtId="43" fontId="46" fillId="6" borderId="6" xfId="7" applyFont="1" applyFill="1" applyBorder="1"/>
    <xf numFmtId="43" fontId="46" fillId="6" borderId="6" xfId="7" applyFont="1" applyFill="1" applyBorder="1" applyAlignment="1">
      <alignment horizontal="center" vertical="center"/>
    </xf>
    <xf numFmtId="43" fontId="46" fillId="7" borderId="6" xfId="7" applyFont="1" applyFill="1" applyBorder="1" applyAlignment="1">
      <alignment horizontal="center"/>
    </xf>
    <xf numFmtId="43" fontId="46" fillId="0" borderId="6" xfId="7" applyFont="1" applyFill="1" applyBorder="1" applyAlignment="1">
      <alignment horizontal="center"/>
    </xf>
    <xf numFmtId="43" fontId="46" fillId="8" borderId="6" xfId="7" applyFont="1" applyFill="1" applyBorder="1" applyAlignment="1">
      <alignment horizontal="center"/>
    </xf>
    <xf numFmtId="43" fontId="46" fillId="0" borderId="6" xfId="7" applyFont="1" applyFill="1" applyBorder="1"/>
    <xf numFmtId="43" fontId="46" fillId="0" borderId="6" xfId="12" applyNumberFormat="1" applyFont="1" applyFill="1" applyBorder="1"/>
    <xf numFmtId="0" fontId="46" fillId="0" borderId="6" xfId="12" applyFont="1" applyFill="1" applyBorder="1"/>
    <xf numFmtId="0" fontId="46" fillId="0" borderId="0" xfId="12" applyFont="1" applyFill="1"/>
    <xf numFmtId="0" fontId="46" fillId="4" borderId="0" xfId="12" applyFont="1" applyFill="1"/>
    <xf numFmtId="43" fontId="46" fillId="11" borderId="6" xfId="7" applyFont="1" applyFill="1" applyBorder="1"/>
    <xf numFmtId="0" fontId="50" fillId="6" borderId="6" xfId="12" applyFont="1" applyFill="1" applyBorder="1" applyAlignment="1">
      <alignment horizontal="center" vertical="center"/>
    </xf>
    <xf numFmtId="0" fontId="46" fillId="0" borderId="0" xfId="12" applyFont="1"/>
    <xf numFmtId="0" fontId="47" fillId="0" borderId="6" xfId="12" applyFont="1" applyFill="1" applyBorder="1"/>
    <xf numFmtId="43" fontId="46" fillId="12" borderId="6" xfId="7" applyFont="1" applyFill="1" applyBorder="1"/>
    <xf numFmtId="43" fontId="46" fillId="12" borderId="6" xfId="12" applyNumberFormat="1" applyFont="1" applyFill="1" applyBorder="1"/>
    <xf numFmtId="4" fontId="46" fillId="0" borderId="6" xfId="12" applyNumberFormat="1" applyFont="1" applyBorder="1"/>
    <xf numFmtId="12" fontId="46" fillId="4" borderId="6" xfId="7" applyNumberFormat="1" applyFont="1" applyFill="1" applyBorder="1"/>
    <xf numFmtId="0" fontId="50" fillId="6" borderId="0" xfId="12" applyFont="1" applyFill="1"/>
    <xf numFmtId="0" fontId="50" fillId="6" borderId="6" xfId="12" applyFont="1" applyFill="1" applyBorder="1"/>
    <xf numFmtId="0" fontId="46" fillId="4" borderId="6" xfId="12" applyFont="1" applyFill="1" applyBorder="1" applyAlignment="1">
      <alignment horizontal="right"/>
    </xf>
    <xf numFmtId="14" fontId="46" fillId="4" borderId="6" xfId="12" applyNumberFormat="1" applyFont="1" applyFill="1" applyBorder="1" applyAlignment="1">
      <alignment horizontal="right"/>
    </xf>
    <xf numFmtId="4" fontId="46" fillId="4" borderId="6" xfId="12" applyNumberFormat="1" applyFont="1" applyFill="1" applyBorder="1"/>
    <xf numFmtId="43" fontId="46" fillId="4" borderId="6" xfId="7" applyFont="1" applyFill="1" applyBorder="1" applyAlignment="1">
      <alignment horizontal="center"/>
    </xf>
    <xf numFmtId="43" fontId="46" fillId="4" borderId="6" xfId="12" applyNumberFormat="1" applyFont="1" applyFill="1" applyBorder="1"/>
    <xf numFmtId="43" fontId="46" fillId="0" borderId="0" xfId="12" applyNumberFormat="1" applyFont="1" applyFill="1"/>
    <xf numFmtId="0" fontId="46" fillId="0" borderId="7" xfId="12" applyFont="1" applyBorder="1"/>
    <xf numFmtId="0" fontId="46" fillId="4" borderId="7" xfId="12" applyFont="1" applyFill="1" applyBorder="1"/>
    <xf numFmtId="43" fontId="46" fillId="0" borderId="7" xfId="7" applyFont="1" applyBorder="1"/>
    <xf numFmtId="43" fontId="46" fillId="4" borderId="7" xfId="7" applyFont="1" applyFill="1" applyBorder="1"/>
    <xf numFmtId="43" fontId="25" fillId="4" borderId="7" xfId="7" applyFont="1" applyFill="1" applyBorder="1"/>
    <xf numFmtId="43" fontId="47" fillId="5" borderId="7" xfId="7" applyFont="1" applyFill="1" applyBorder="1"/>
    <xf numFmtId="43" fontId="46" fillId="6" borderId="7" xfId="7" applyFont="1" applyFill="1" applyBorder="1"/>
    <xf numFmtId="43" fontId="46" fillId="7" borderId="7" xfId="7" applyFont="1" applyFill="1" applyBorder="1" applyAlignment="1">
      <alignment horizontal="center"/>
    </xf>
    <xf numFmtId="43" fontId="46" fillId="0" borderId="7" xfId="7" applyFont="1" applyFill="1" applyBorder="1" applyAlignment="1">
      <alignment horizontal="center"/>
    </xf>
    <xf numFmtId="43" fontId="46" fillId="8" borderId="7" xfId="7" applyFont="1" applyFill="1" applyBorder="1" applyAlignment="1">
      <alignment horizontal="center"/>
    </xf>
    <xf numFmtId="43" fontId="46" fillId="0" borderId="0" xfId="7" applyFont="1" applyFill="1"/>
    <xf numFmtId="0" fontId="46" fillId="0" borderId="1" xfId="12" applyFont="1" applyBorder="1"/>
    <xf numFmtId="0" fontId="46" fillId="4" borderId="1" xfId="12" applyFont="1" applyFill="1" applyBorder="1"/>
    <xf numFmtId="43" fontId="46" fillId="0" borderId="1" xfId="7" applyFont="1" applyBorder="1"/>
    <xf numFmtId="43" fontId="46" fillId="4" borderId="1" xfId="7" applyFont="1" applyFill="1" applyBorder="1"/>
    <xf numFmtId="43" fontId="25" fillId="4" borderId="1" xfId="7" applyFont="1" applyFill="1" applyBorder="1"/>
    <xf numFmtId="43" fontId="47" fillId="5" borderId="1" xfId="7" applyFont="1" applyFill="1" applyBorder="1"/>
    <xf numFmtId="43" fontId="46" fillId="6" borderId="1" xfId="7" applyFont="1" applyFill="1" applyBorder="1"/>
    <xf numFmtId="43" fontId="46" fillId="7" borderId="1" xfId="7" applyFont="1" applyFill="1" applyBorder="1" applyAlignment="1">
      <alignment horizontal="center"/>
    </xf>
    <xf numFmtId="43" fontId="46" fillId="0" borderId="1" xfId="7" applyFont="1" applyFill="1" applyBorder="1" applyAlignment="1">
      <alignment horizontal="center"/>
    </xf>
    <xf numFmtId="43" fontId="46" fillId="8" borderId="1" xfId="7" applyFont="1" applyFill="1" applyBorder="1" applyAlignment="1">
      <alignment horizontal="center"/>
    </xf>
    <xf numFmtId="0" fontId="47" fillId="0" borderId="1" xfId="12" applyFont="1" applyFill="1" applyBorder="1"/>
    <xf numFmtId="0" fontId="47" fillId="0" borderId="2" xfId="12" applyFont="1" applyFill="1" applyBorder="1"/>
    <xf numFmtId="0" fontId="46" fillId="0" borderId="2" xfId="12" applyFont="1" applyFill="1" applyBorder="1"/>
    <xf numFmtId="43" fontId="46" fillId="0" borderId="2" xfId="7" applyFont="1" applyFill="1" applyBorder="1"/>
    <xf numFmtId="43" fontId="47" fillId="0" borderId="1" xfId="7" applyFont="1" applyFill="1" applyBorder="1"/>
    <xf numFmtId="43" fontId="47" fillId="0" borderId="2" xfId="7" applyFont="1" applyFill="1" applyBorder="1"/>
    <xf numFmtId="0" fontId="47" fillId="0" borderId="4" xfId="12" applyFont="1" applyBorder="1"/>
    <xf numFmtId="43" fontId="47" fillId="0" borderId="4" xfId="7" applyFont="1" applyBorder="1"/>
    <xf numFmtId="0" fontId="22" fillId="0" borderId="6" xfId="12" applyFont="1" applyBorder="1"/>
    <xf numFmtId="43" fontId="25" fillId="0" borderId="6" xfId="7" applyFont="1" applyBorder="1"/>
    <xf numFmtId="43" fontId="46" fillId="0" borderId="6" xfId="12" applyNumberFormat="1" applyFont="1" applyBorder="1"/>
    <xf numFmtId="0" fontId="22" fillId="0" borderId="6" xfId="12" applyFont="1" applyFill="1" applyBorder="1"/>
    <xf numFmtId="43" fontId="25" fillId="0" borderId="6" xfId="7" applyFont="1" applyFill="1" applyBorder="1"/>
    <xf numFmtId="0" fontId="51" fillId="0" borderId="0" xfId="12" applyFont="1"/>
    <xf numFmtId="4" fontId="52" fillId="0" borderId="6" xfId="12" applyNumberFormat="1" applyFont="1" applyBorder="1"/>
    <xf numFmtId="43" fontId="19" fillId="0" borderId="6" xfId="12" applyNumberFormat="1" applyFont="1" applyFill="1" applyBorder="1"/>
    <xf numFmtId="43" fontId="19" fillId="12" borderId="6" xfId="7" applyFont="1" applyFill="1" applyBorder="1"/>
    <xf numFmtId="43" fontId="19" fillId="12" borderId="6" xfId="12" applyNumberFormat="1" applyFont="1" applyFill="1" applyBorder="1"/>
    <xf numFmtId="43" fontId="19" fillId="4" borderId="6" xfId="12" applyNumberFormat="1" applyFont="1" applyFill="1" applyBorder="1"/>
    <xf numFmtId="4" fontId="53" fillId="12" borderId="6" xfId="12" applyNumberFormat="1" applyFont="1" applyFill="1" applyBorder="1"/>
    <xf numFmtId="4" fontId="53" fillId="0" borderId="6" xfId="12" applyNumberFormat="1" applyFont="1" applyBorder="1"/>
    <xf numFmtId="0" fontId="53" fillId="0" borderId="6" xfId="12" applyFont="1" applyBorder="1"/>
    <xf numFmtId="0" fontId="53" fillId="12" borderId="6" xfId="12" applyFont="1" applyFill="1" applyBorder="1"/>
    <xf numFmtId="0" fontId="46" fillId="0" borderId="6" xfId="12" applyFont="1" applyFill="1" applyBorder="1" applyAlignment="1">
      <alignment horizontal="right"/>
    </xf>
    <xf numFmtId="14" fontId="46" fillId="0" borderId="6" xfId="12" applyNumberFormat="1" applyFont="1" applyFill="1" applyBorder="1"/>
    <xf numFmtId="12" fontId="46" fillId="0" borderId="6" xfId="7" applyNumberFormat="1" applyFont="1" applyFill="1" applyBorder="1"/>
    <xf numFmtId="4" fontId="46" fillId="0" borderId="6" xfId="12" applyNumberFormat="1" applyFont="1" applyFill="1" applyBorder="1"/>
    <xf numFmtId="14" fontId="46" fillId="0" borderId="6" xfId="12" applyNumberFormat="1" applyFont="1" applyFill="1" applyBorder="1" applyAlignment="1">
      <alignment horizontal="right"/>
    </xf>
    <xf numFmtId="0" fontId="47" fillId="11" borderId="6" xfId="12" applyFont="1" applyFill="1" applyBorder="1"/>
    <xf numFmtId="0" fontId="46" fillId="12" borderId="6" xfId="12" applyFont="1" applyFill="1" applyBorder="1"/>
    <xf numFmtId="0" fontId="46" fillId="12" borderId="6" xfId="12" applyFont="1" applyFill="1" applyBorder="1" applyAlignment="1">
      <alignment horizontal="right"/>
    </xf>
    <xf numFmtId="43" fontId="25" fillId="12" borderId="6" xfId="7" applyFont="1" applyFill="1" applyBorder="1"/>
    <xf numFmtId="43" fontId="47" fillId="12" borderId="6" xfId="7" applyFont="1" applyFill="1" applyBorder="1"/>
    <xf numFmtId="43" fontId="46" fillId="12" borderId="6" xfId="7" applyFont="1" applyFill="1" applyBorder="1" applyAlignment="1">
      <alignment horizontal="center" vertical="center"/>
    </xf>
    <xf numFmtId="43" fontId="46" fillId="12" borderId="6" xfId="7" applyFont="1" applyFill="1" applyBorder="1" applyAlignment="1">
      <alignment horizontal="center"/>
    </xf>
    <xf numFmtId="0" fontId="47" fillId="12" borderId="6" xfId="12" applyFont="1" applyFill="1" applyBorder="1"/>
    <xf numFmtId="0" fontId="50" fillId="12" borderId="6" xfId="12" applyFont="1" applyFill="1" applyBorder="1" applyAlignment="1">
      <alignment horizontal="center" vertical="center"/>
    </xf>
    <xf numFmtId="14" fontId="46" fillId="12" borderId="6" xfId="12" applyNumberFormat="1" applyFont="1" applyFill="1" applyBorder="1" applyAlignment="1">
      <alignment horizontal="right"/>
    </xf>
    <xf numFmtId="0" fontId="23" fillId="10" borderId="6" xfId="12" applyFont="1" applyFill="1" applyBorder="1"/>
    <xf numFmtId="43" fontId="23" fillId="10" borderId="6" xfId="7" applyFont="1" applyFill="1" applyBorder="1"/>
    <xf numFmtId="43" fontId="24" fillId="10" borderId="6" xfId="7" applyFont="1" applyFill="1" applyBorder="1"/>
    <xf numFmtId="43" fontId="23" fillId="10" borderId="6" xfId="7" applyFont="1" applyFill="1" applyBorder="1" applyAlignment="1">
      <alignment horizontal="center"/>
    </xf>
    <xf numFmtId="43" fontId="23" fillId="10" borderId="6" xfId="12" applyNumberFormat="1" applyFont="1" applyFill="1" applyBorder="1"/>
    <xf numFmtId="4" fontId="54" fillId="10" borderId="6" xfId="12" applyNumberFormat="1" applyFont="1" applyFill="1" applyBorder="1"/>
    <xf numFmtId="43" fontId="54" fillId="10" borderId="6" xfId="12" applyNumberFormat="1" applyFont="1" applyFill="1" applyBorder="1"/>
    <xf numFmtId="0" fontId="24" fillId="10" borderId="6" xfId="12" applyFont="1" applyFill="1" applyBorder="1"/>
    <xf numFmtId="0" fontId="46" fillId="12" borderId="6" xfId="12" applyNumberFormat="1" applyFont="1" applyFill="1" applyBorder="1"/>
    <xf numFmtId="0" fontId="46" fillId="12" borderId="6" xfId="11" applyFont="1" applyFill="1" applyBorder="1"/>
    <xf numFmtId="49" fontId="5" fillId="11" borderId="0" xfId="0" applyNumberFormat="1" applyFont="1" applyFill="1"/>
    <xf numFmtId="0" fontId="5" fillId="11" borderId="0" xfId="0" applyFont="1" applyFill="1"/>
    <xf numFmtId="0" fontId="46" fillId="11" borderId="6" xfId="11" applyFont="1" applyFill="1" applyBorder="1"/>
    <xf numFmtId="49" fontId="32" fillId="11" borderId="0" xfId="0" applyNumberFormat="1" applyFont="1" applyFill="1"/>
    <xf numFmtId="0" fontId="32" fillId="11" borderId="0" xfId="0" applyFont="1" applyFill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20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6" fillId="0" borderId="0" xfId="0" applyFont="1" applyAlignment="1">
      <alignment horizontal="left"/>
    </xf>
    <xf numFmtId="0" fontId="12" fillId="0" borderId="0" xfId="0" applyFont="1" applyAlignment="1"/>
    <xf numFmtId="49" fontId="9" fillId="2" borderId="12" xfId="0" applyNumberFormat="1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46" fillId="0" borderId="0" xfId="0" applyFont="1" applyFill="1" applyBorder="1"/>
    <xf numFmtId="0" fontId="5" fillId="0" borderId="0" xfId="0" applyFont="1" applyFill="1" applyAlignment="1">
      <alignment horizontal="left"/>
    </xf>
    <xf numFmtId="164" fontId="13" fillId="0" borderId="0" xfId="0" applyNumberFormat="1" applyFont="1" applyFill="1" applyBorder="1"/>
    <xf numFmtId="43" fontId="5" fillId="0" borderId="0" xfId="4" applyFont="1"/>
    <xf numFmtId="43" fontId="5" fillId="0" borderId="0" xfId="4" applyFont="1" applyAlignment="1">
      <alignment horizontal="left"/>
    </xf>
    <xf numFmtId="0" fontId="46" fillId="3" borderId="0" xfId="0" applyFont="1" applyFill="1" applyBorder="1" applyAlignment="1">
      <alignment horizontal="right"/>
    </xf>
    <xf numFmtId="0" fontId="46" fillId="12" borderId="0" xfId="0" applyFont="1" applyFill="1" applyBorder="1"/>
    <xf numFmtId="49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43" fontId="13" fillId="0" borderId="3" xfId="4" applyFont="1" applyFill="1" applyBorder="1"/>
    <xf numFmtId="0" fontId="47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1" fillId="0" borderId="0" xfId="0" applyFont="1" applyAlignment="1">
      <alignment horizontal="right"/>
    </xf>
    <xf numFmtId="164" fontId="13" fillId="0" borderId="3" xfId="4" applyNumberFormat="1" applyFont="1" applyFill="1" applyBorder="1"/>
    <xf numFmtId="0" fontId="32" fillId="0" borderId="0" xfId="0" applyFont="1" applyAlignment="1"/>
    <xf numFmtId="0" fontId="0" fillId="0" borderId="0" xfId="0" applyAlignment="1"/>
    <xf numFmtId="0" fontId="0" fillId="0" borderId="0" xfId="0"/>
    <xf numFmtId="0" fontId="32" fillId="0" borderId="0" xfId="0" applyFont="1"/>
    <xf numFmtId="49" fontId="32" fillId="0" borderId="0" xfId="0" applyNumberFormat="1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164" fontId="32" fillId="0" borderId="0" xfId="0" applyNumberFormat="1" applyFont="1"/>
    <xf numFmtId="49" fontId="32" fillId="0" borderId="0" xfId="0" applyNumberFormat="1" applyFont="1" applyAlignment="1">
      <alignment horizontal="right"/>
    </xf>
    <xf numFmtId="164" fontId="29" fillId="0" borderId="0" xfId="0" applyNumberFormat="1" applyFont="1"/>
    <xf numFmtId="49" fontId="29" fillId="0" borderId="0" xfId="0" applyNumberFormat="1" applyFont="1" applyAlignment="1">
      <alignment horizontal="left"/>
    </xf>
    <xf numFmtId="0" fontId="46" fillId="11" borderId="0" xfId="11" applyFont="1" applyFill="1" applyBorder="1"/>
    <xf numFmtId="0" fontId="32" fillId="0" borderId="6" xfId="0" applyFont="1" applyFill="1" applyBorder="1"/>
    <xf numFmtId="49" fontId="32" fillId="12" borderId="0" xfId="0" applyNumberFormat="1" applyFont="1" applyFill="1"/>
    <xf numFmtId="0" fontId="32" fillId="0" borderId="0" xfId="0" applyFont="1"/>
    <xf numFmtId="49" fontId="32" fillId="0" borderId="0" xfId="0" applyNumberFormat="1" applyFont="1"/>
    <xf numFmtId="164" fontId="32" fillId="0" borderId="0" xfId="0" applyNumberFormat="1" applyFont="1"/>
    <xf numFmtId="164" fontId="29" fillId="0" borderId="0" xfId="0" applyNumberFormat="1" applyFont="1"/>
    <xf numFmtId="0" fontId="32" fillId="12" borderId="0" xfId="0" applyFont="1" applyFill="1"/>
    <xf numFmtId="164" fontId="32" fillId="12" borderId="0" xfId="0" applyNumberFormat="1" applyFont="1" applyFill="1"/>
    <xf numFmtId="164" fontId="5" fillId="12" borderId="0" xfId="0" applyNumberFormat="1" applyFont="1" applyFill="1"/>
    <xf numFmtId="8" fontId="5" fillId="12" borderId="0" xfId="0" applyNumberFormat="1" applyFont="1" applyFill="1"/>
    <xf numFmtId="0" fontId="32" fillId="0" borderId="0" xfId="0" applyFont="1"/>
    <xf numFmtId="49" fontId="32" fillId="0" borderId="0" xfId="0" applyNumberFormat="1" applyFont="1"/>
    <xf numFmtId="164" fontId="32" fillId="0" borderId="0" xfId="0" applyNumberFormat="1" applyFont="1"/>
    <xf numFmtId="0" fontId="4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5" fillId="11" borderId="6" xfId="0" applyFont="1" applyFill="1" applyBorder="1"/>
    <xf numFmtId="0" fontId="46" fillId="12" borderId="0" xfId="11" applyFont="1" applyFill="1" applyBorder="1"/>
    <xf numFmtId="0" fontId="46" fillId="11" borderId="0" xfId="0" applyFont="1" applyFill="1" applyBorder="1"/>
    <xf numFmtId="0" fontId="0" fillId="11" borderId="0" xfId="0" applyFill="1" applyBorder="1"/>
    <xf numFmtId="49" fontId="5" fillId="0" borderId="0" xfId="0" applyNumberFormat="1" applyFont="1"/>
    <xf numFmtId="0" fontId="55" fillId="0" borderId="0" xfId="0" applyFont="1"/>
    <xf numFmtId="0" fontId="12" fillId="0" borderId="6" xfId="0" applyFont="1" applyFill="1" applyBorder="1"/>
    <xf numFmtId="0" fontId="12" fillId="0" borderId="6" xfId="0" applyFont="1" applyBorder="1"/>
    <xf numFmtId="0" fontId="12" fillId="0" borderId="7" xfId="0" applyFont="1" applyFill="1" applyBorder="1"/>
    <xf numFmtId="0" fontId="12" fillId="0" borderId="7" xfId="0" applyFont="1" applyBorder="1"/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44" fontId="12" fillId="0" borderId="6" xfId="8" applyFont="1" applyFill="1" applyBorder="1"/>
    <xf numFmtId="0" fontId="56" fillId="0" borderId="6" xfId="0" applyFont="1" applyFill="1" applyBorder="1"/>
    <xf numFmtId="44" fontId="46" fillId="0" borderId="6" xfId="0" applyNumberFormat="1" applyFont="1" applyBorder="1"/>
    <xf numFmtId="44" fontId="46" fillId="0" borderId="6" xfId="8" applyFont="1" applyBorder="1"/>
    <xf numFmtId="0" fontId="12" fillId="0" borderId="6" xfId="0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/>
    </xf>
    <xf numFmtId="0" fontId="46" fillId="0" borderId="6" xfId="0" applyFont="1" applyBorder="1"/>
    <xf numFmtId="44" fontId="46" fillId="0" borderId="0" xfId="0" applyNumberFormat="1" applyFont="1"/>
    <xf numFmtId="0" fontId="57" fillId="0" borderId="6" xfId="0" applyFont="1" applyBorder="1" applyAlignment="1">
      <alignment horizontal="center"/>
    </xf>
    <xf numFmtId="0" fontId="57" fillId="0" borderId="6" xfId="0" applyFont="1" applyBorder="1"/>
    <xf numFmtId="0" fontId="12" fillId="0" borderId="6" xfId="0" applyFont="1" applyFill="1" applyBorder="1" applyAlignment="1">
      <alignment wrapText="1"/>
    </xf>
    <xf numFmtId="44" fontId="12" fillId="0" borderId="6" xfId="8" applyFont="1" applyFill="1" applyBorder="1" applyAlignment="1">
      <alignment wrapText="1"/>
    </xf>
    <xf numFmtId="44" fontId="12" fillId="0" borderId="6" xfId="0" applyNumberFormat="1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57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2" fillId="4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wrapText="1"/>
    </xf>
    <xf numFmtId="2" fontId="12" fillId="0" borderId="6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44" fontId="0" fillId="0" borderId="0" xfId="0" applyNumberFormat="1"/>
    <xf numFmtId="0" fontId="59" fillId="0" borderId="15" xfId="0" applyFont="1" applyBorder="1" applyAlignment="1">
      <alignment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8" fontId="59" fillId="15" borderId="20" xfId="0" applyNumberFormat="1" applyFont="1" applyFill="1" applyBorder="1" applyAlignment="1">
      <alignment horizontal="right" vertical="center" wrapText="1"/>
    </xf>
    <xf numFmtId="10" fontId="59" fillId="15" borderId="20" xfId="0" applyNumberFormat="1" applyFont="1" applyFill="1" applyBorder="1" applyAlignment="1">
      <alignment horizontal="right" vertical="center" wrapText="1"/>
    </xf>
    <xf numFmtId="0" fontId="59" fillId="15" borderId="21" xfId="0" applyFont="1" applyFill="1" applyBorder="1" applyAlignment="1">
      <alignment vertical="center" wrapText="1"/>
    </xf>
    <xf numFmtId="0" fontId="59" fillId="0" borderId="0" xfId="0" applyFont="1" applyAlignment="1">
      <alignment vertical="center" wrapText="1"/>
    </xf>
    <xf numFmtId="8" fontId="59" fillId="16" borderId="20" xfId="0" applyNumberFormat="1" applyFont="1" applyFill="1" applyBorder="1" applyAlignment="1">
      <alignment horizontal="right" vertical="center" wrapText="1"/>
    </xf>
    <xf numFmtId="10" fontId="59" fillId="16" borderId="20" xfId="0" applyNumberFormat="1" applyFont="1" applyFill="1" applyBorder="1" applyAlignment="1">
      <alignment horizontal="right" vertical="center" wrapText="1"/>
    </xf>
    <xf numFmtId="0" fontId="59" fillId="16" borderId="21" xfId="0" applyFont="1" applyFill="1" applyBorder="1" applyAlignment="1">
      <alignment vertical="center" wrapText="1"/>
    </xf>
    <xf numFmtId="0" fontId="59" fillId="15" borderId="20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10" fontId="5" fillId="0" borderId="0" xfId="17" applyNumberFormat="1" applyFont="1" applyFill="1"/>
    <xf numFmtId="165" fontId="5" fillId="0" borderId="0" xfId="17" applyNumberFormat="1" applyFont="1" applyFill="1"/>
    <xf numFmtId="165" fontId="0" fillId="0" borderId="0" xfId="0" applyNumberFormat="1"/>
    <xf numFmtId="10" fontId="0" fillId="0" borderId="0" xfId="0" applyNumberFormat="1"/>
    <xf numFmtId="166" fontId="0" fillId="0" borderId="0" xfId="0" applyNumberFormat="1"/>
    <xf numFmtId="10" fontId="0" fillId="0" borderId="0" xfId="17" applyNumberFormat="1" applyFont="1"/>
    <xf numFmtId="9" fontId="0" fillId="0" borderId="0" xfId="0" applyNumberFormat="1"/>
    <xf numFmtId="0" fontId="21" fillId="11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3" fontId="47" fillId="9" borderId="2" xfId="7" applyFont="1" applyFill="1" applyBorder="1" applyAlignment="1">
      <alignment horizontal="center" wrapText="1"/>
    </xf>
    <xf numFmtId="43" fontId="47" fillId="9" borderId="9" xfId="7" applyFont="1" applyFill="1" applyBorder="1" applyAlignment="1">
      <alignment horizontal="center" wrapText="1"/>
    </xf>
    <xf numFmtId="43" fontId="47" fillId="9" borderId="1" xfId="7" applyFont="1" applyFill="1" applyBorder="1" applyAlignment="1">
      <alignment horizontal="center" wrapText="1"/>
    </xf>
    <xf numFmtId="3" fontId="47" fillId="9" borderId="2" xfId="12" applyNumberFormat="1" applyFont="1" applyFill="1" applyBorder="1" applyAlignment="1">
      <alignment horizontal="center"/>
    </xf>
    <xf numFmtId="3" fontId="47" fillId="9" borderId="9" xfId="12" applyNumberFormat="1" applyFont="1" applyFill="1" applyBorder="1" applyAlignment="1">
      <alignment horizontal="center"/>
    </xf>
    <xf numFmtId="3" fontId="47" fillId="9" borderId="1" xfId="12" applyNumberFormat="1" applyFont="1" applyFill="1" applyBorder="1"/>
    <xf numFmtId="3" fontId="47" fillId="9" borderId="2" xfId="12" applyNumberFormat="1" applyFont="1" applyFill="1" applyBorder="1"/>
    <xf numFmtId="0" fontId="47" fillId="14" borderId="0" xfId="12" applyFont="1" applyFill="1" applyBorder="1" applyAlignment="1">
      <alignment horizontal="center"/>
    </xf>
    <xf numFmtId="43" fontId="46" fillId="9" borderId="10" xfId="7" applyFont="1" applyFill="1" applyBorder="1" applyAlignment="1">
      <alignment horizontal="center" wrapText="1"/>
    </xf>
    <xf numFmtId="43" fontId="46" fillId="9" borderId="8" xfId="7" applyFont="1" applyFill="1" applyBorder="1" applyAlignment="1">
      <alignment horizontal="center" wrapText="1"/>
    </xf>
    <xf numFmtId="0" fontId="59" fillId="0" borderId="17" xfId="0" applyFont="1" applyBorder="1" applyAlignment="1">
      <alignment vertical="center" wrapText="1"/>
    </xf>
    <xf numFmtId="0" fontId="59" fillId="0" borderId="19" xfId="0" applyFont="1" applyBorder="1" applyAlignment="1">
      <alignment vertical="center" wrapText="1"/>
    </xf>
    <xf numFmtId="0" fontId="59" fillId="0" borderId="21" xfId="0" applyFont="1" applyBorder="1" applyAlignment="1">
      <alignment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32" fillId="0" borderId="0" xfId="0" applyFont="1" applyAlignment="1"/>
    <xf numFmtId="0" fontId="33" fillId="0" borderId="0" xfId="0" applyFont="1" applyAlignment="1">
      <alignment horizontal="center"/>
    </xf>
    <xf numFmtId="0" fontId="0" fillId="0" borderId="0" xfId="0" applyAlignment="1"/>
    <xf numFmtId="43" fontId="37" fillId="9" borderId="1" xfId="4" applyFont="1" applyFill="1" applyBorder="1" applyAlignment="1">
      <alignment horizontal="center" wrapText="1"/>
    </xf>
    <xf numFmtId="43" fontId="22" fillId="9" borderId="10" xfId="4" applyFill="1" applyBorder="1" applyAlignment="1">
      <alignment horizontal="center" wrapText="1"/>
    </xf>
    <xf numFmtId="43" fontId="22" fillId="9" borderId="8" xfId="4" applyFill="1" applyBorder="1" applyAlignment="1">
      <alignment horizontal="center" wrapText="1"/>
    </xf>
    <xf numFmtId="0" fontId="37" fillId="14" borderId="11" xfId="0" applyFont="1" applyFill="1" applyBorder="1" applyAlignment="1">
      <alignment horizontal="center"/>
    </xf>
    <xf numFmtId="43" fontId="37" fillId="9" borderId="2" xfId="4" applyFont="1" applyFill="1" applyBorder="1" applyAlignment="1">
      <alignment horizontal="center" wrapText="1"/>
    </xf>
    <xf numFmtId="43" fontId="37" fillId="9" borderId="7" xfId="4" applyFont="1" applyFill="1" applyBorder="1" applyAlignment="1">
      <alignment horizontal="center" wrapText="1"/>
    </xf>
    <xf numFmtId="3" fontId="37" fillId="9" borderId="1" xfId="0" applyNumberFormat="1" applyFont="1" applyFill="1" applyBorder="1"/>
    <xf numFmtId="3" fontId="37" fillId="9" borderId="2" xfId="0" applyNumberFormat="1" applyFont="1" applyFill="1" applyBorder="1" applyAlignment="1">
      <alignment horizontal="center"/>
    </xf>
    <xf numFmtId="3" fontId="37" fillId="9" borderId="7" xfId="0" applyNumberFormat="1" applyFont="1" applyFill="1" applyBorder="1" applyAlignment="1">
      <alignment horizontal="center"/>
    </xf>
  </cellXfs>
  <cellStyles count="18">
    <cellStyle name="Excel Built-in Normal" xfId="1"/>
    <cellStyle name="Followed Hyperlink" xfId="2"/>
    <cellStyle name="Hyperlink" xfId="3"/>
    <cellStyle name="Millares" xfId="4" builtinId="3"/>
    <cellStyle name="Millares 2" xfId="5"/>
    <cellStyle name="Millares 3" xfId="6"/>
    <cellStyle name="Millares 4" xfId="7"/>
    <cellStyle name="Moneda" xfId="8" builtinId="4"/>
    <cellStyle name="Moneda 2" xfId="9"/>
    <cellStyle name="Normal" xfId="0" builtinId="0"/>
    <cellStyle name="Normal 2" xfId="10"/>
    <cellStyle name="Normal 2 2" xfId="11"/>
    <cellStyle name="Normal 3" xfId="12"/>
    <cellStyle name="Normal 4" xfId="13"/>
    <cellStyle name="Normal 5" xfId="14"/>
    <cellStyle name="Normal 6" xfId="15"/>
    <cellStyle name="Normal_Hoja1" xfId="16"/>
    <cellStyle name="Porcentaje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91"/>
  <sheetViews>
    <sheetView workbookViewId="0">
      <selection sqref="A1:FH91"/>
    </sheetView>
  </sheetViews>
  <sheetFormatPr baseColWidth="10" defaultColWidth="11.5703125" defaultRowHeight="15"/>
  <cols>
    <col min="1" max="1" width="28.7109375" style="137" customWidth="1"/>
    <col min="2" max="2" width="9" style="137" bestFit="1" customWidth="1"/>
    <col min="3" max="3" width="42.28515625" style="137" bestFit="1" customWidth="1"/>
    <col min="4" max="4" width="8.85546875" style="137" customWidth="1"/>
    <col min="5" max="5" width="20.140625" style="137" bestFit="1" customWidth="1"/>
    <col min="6" max="6" width="32.85546875" style="137" bestFit="1" customWidth="1"/>
    <col min="7" max="7" width="13" style="137" customWidth="1"/>
    <col min="8" max="8" width="11.7109375" style="137" customWidth="1"/>
    <col min="9" max="9" width="17.140625" style="137" customWidth="1"/>
    <col min="10" max="10" width="11.7109375" style="137" customWidth="1"/>
    <col min="11" max="12" width="13.85546875" style="133" customWidth="1"/>
    <col min="13" max="15" width="13.5703125" style="133" customWidth="1"/>
    <col min="16" max="16" width="17" style="134" customWidth="1"/>
    <col min="17" max="23" width="13.5703125" style="133" customWidth="1"/>
    <col min="24" max="24" width="16.7109375" style="134" customWidth="1"/>
    <col min="25" max="25" width="16.7109375" style="133" customWidth="1"/>
    <col min="26" max="26" width="15.42578125" style="134" customWidth="1"/>
    <col min="27" max="28" width="13.5703125" style="133" customWidth="1"/>
    <col min="29" max="29" width="15.42578125" style="134" customWidth="1"/>
    <col min="30" max="31" width="15.140625" style="137" hidden="1" customWidth="1"/>
    <col min="32" max="33" width="15.140625" style="133" hidden="1" customWidth="1"/>
    <col min="34" max="34" width="15.140625" style="137" hidden="1" customWidth="1"/>
    <col min="35" max="35" width="33.28515625" style="137" bestFit="1" customWidth="1"/>
    <col min="36" max="36" width="82.28515625" style="137" bestFit="1" customWidth="1"/>
    <col min="37" max="16384" width="11.5703125" style="137"/>
  </cols>
  <sheetData>
    <row r="1" spans="1:50" s="131" customFormat="1">
      <c r="A1" s="145" t="s">
        <v>156</v>
      </c>
      <c r="B1" s="145"/>
      <c r="C1" s="145"/>
      <c r="D1" s="145"/>
      <c r="E1" s="145"/>
      <c r="F1" s="146"/>
      <c r="G1" s="146"/>
      <c r="H1" s="146"/>
      <c r="I1" s="146"/>
      <c r="J1" s="146"/>
      <c r="K1" s="147"/>
      <c r="L1" s="147"/>
      <c r="M1" s="147"/>
      <c r="N1" s="147"/>
      <c r="O1" s="147"/>
      <c r="P1" s="148"/>
      <c r="Q1" s="147"/>
      <c r="R1" s="147"/>
      <c r="S1" s="147"/>
      <c r="T1" s="147"/>
      <c r="U1" s="147"/>
      <c r="V1" s="147"/>
      <c r="W1" s="147"/>
      <c r="X1" s="148"/>
      <c r="Y1" s="147"/>
      <c r="Z1" s="148"/>
      <c r="AA1" s="147"/>
      <c r="AB1" s="147"/>
      <c r="AC1" s="148"/>
      <c r="AD1" s="149"/>
      <c r="AE1" s="150"/>
      <c r="AF1" s="151"/>
      <c r="AG1" s="151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</row>
    <row r="2" spans="1:50" s="131" customFormat="1">
      <c r="A2" s="152" t="s">
        <v>157</v>
      </c>
      <c r="B2" s="152"/>
      <c r="C2" s="152"/>
      <c r="D2" s="152"/>
      <c r="E2" s="152"/>
      <c r="F2" s="153"/>
      <c r="G2" s="153"/>
      <c r="H2" s="153"/>
      <c r="I2" s="153"/>
      <c r="J2" s="153"/>
      <c r="K2" s="147"/>
      <c r="L2" s="147"/>
      <c r="M2" s="147"/>
      <c r="N2" s="147"/>
      <c r="O2" s="147"/>
      <c r="P2" s="148"/>
      <c r="Q2" s="147"/>
      <c r="R2" s="147"/>
      <c r="S2" s="147"/>
      <c r="T2" s="147"/>
      <c r="U2" s="147"/>
      <c r="V2" s="147"/>
      <c r="W2" s="147"/>
      <c r="X2" s="148"/>
      <c r="Y2" s="147"/>
      <c r="Z2" s="148"/>
      <c r="AA2" s="147"/>
      <c r="AB2" s="147"/>
      <c r="AC2" s="148"/>
      <c r="AD2" s="149"/>
      <c r="AE2" s="150"/>
      <c r="AF2" s="151"/>
      <c r="AG2" s="151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</row>
    <row r="3" spans="1:50" s="131" customFormat="1">
      <c r="A3" s="154" t="s">
        <v>339</v>
      </c>
      <c r="B3" s="154" t="s">
        <v>408</v>
      </c>
      <c r="C3" s="154"/>
      <c r="D3" s="154"/>
      <c r="E3" s="154"/>
      <c r="F3" s="155"/>
      <c r="G3" s="155"/>
      <c r="H3" s="155"/>
      <c r="I3" s="155"/>
      <c r="J3" s="155"/>
      <c r="K3" s="147"/>
      <c r="L3" s="147"/>
      <c r="M3" s="147"/>
      <c r="N3" s="147"/>
      <c r="O3" s="147"/>
      <c r="P3" s="148"/>
      <c r="Q3" s="147"/>
      <c r="R3" s="147"/>
      <c r="S3" s="147"/>
      <c r="T3" s="147"/>
      <c r="U3" s="147"/>
      <c r="V3" s="147"/>
      <c r="W3" s="147"/>
      <c r="X3" s="148"/>
      <c r="Y3" s="147"/>
      <c r="Z3" s="148"/>
      <c r="AA3" s="147"/>
      <c r="AB3" s="147"/>
      <c r="AC3" s="148"/>
      <c r="AD3" s="149"/>
      <c r="AE3" s="150"/>
      <c r="AF3" s="151"/>
      <c r="AG3" s="151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</row>
    <row r="4" spans="1:50" s="132" customForma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157"/>
      <c r="M4" s="157"/>
      <c r="N4" s="157"/>
      <c r="O4" s="157"/>
      <c r="P4" s="158"/>
      <c r="Q4" s="157"/>
      <c r="R4" s="157"/>
      <c r="S4" s="157"/>
      <c r="T4" s="157"/>
      <c r="U4" s="157"/>
      <c r="V4" s="157"/>
      <c r="W4" s="157"/>
      <c r="X4" s="158"/>
      <c r="Y4" s="157"/>
      <c r="Z4" s="158"/>
      <c r="AA4" s="157"/>
      <c r="AB4" s="157"/>
      <c r="AC4" s="158"/>
      <c r="AD4" s="156"/>
      <c r="AE4" s="156"/>
      <c r="AF4" s="157"/>
      <c r="AG4" s="157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</row>
    <row r="5" spans="1:50" s="132" customFormat="1" ht="28.5" customHeight="1">
      <c r="A5" s="387" t="s">
        <v>158</v>
      </c>
      <c r="B5" s="385" t="s">
        <v>159</v>
      </c>
      <c r="C5" s="387" t="s">
        <v>160</v>
      </c>
      <c r="D5" s="387" t="s">
        <v>161</v>
      </c>
      <c r="E5" s="385" t="s">
        <v>162</v>
      </c>
      <c r="F5" s="387" t="s">
        <v>163</v>
      </c>
      <c r="G5" s="384" t="s">
        <v>164</v>
      </c>
      <c r="H5" s="384" t="s">
        <v>165</v>
      </c>
      <c r="I5" s="382" t="s">
        <v>166</v>
      </c>
      <c r="J5" s="382" t="s">
        <v>167</v>
      </c>
      <c r="K5" s="384" t="s">
        <v>168</v>
      </c>
      <c r="L5" s="382" t="s">
        <v>18</v>
      </c>
      <c r="M5" s="384" t="s">
        <v>169</v>
      </c>
      <c r="N5" s="384" t="s">
        <v>170</v>
      </c>
      <c r="O5" s="384" t="s">
        <v>171</v>
      </c>
      <c r="P5" s="384" t="s">
        <v>172</v>
      </c>
      <c r="Q5" s="384" t="s">
        <v>173</v>
      </c>
      <c r="R5" s="159"/>
      <c r="S5" s="159"/>
      <c r="T5" s="384" t="s">
        <v>174</v>
      </c>
      <c r="U5" s="384" t="s">
        <v>175</v>
      </c>
      <c r="V5" s="384" t="s">
        <v>176</v>
      </c>
      <c r="W5" s="384" t="s">
        <v>177</v>
      </c>
      <c r="X5" s="384" t="s">
        <v>178</v>
      </c>
      <c r="Y5" s="384" t="s">
        <v>179</v>
      </c>
      <c r="Z5" s="384" t="s">
        <v>180</v>
      </c>
      <c r="AA5" s="384" t="s">
        <v>181</v>
      </c>
      <c r="AB5" s="384" t="s">
        <v>182</v>
      </c>
      <c r="AC5" s="384" t="s">
        <v>183</v>
      </c>
      <c r="AD5" s="384" t="s">
        <v>184</v>
      </c>
      <c r="AE5" s="384" t="s">
        <v>185</v>
      </c>
      <c r="AF5" s="390" t="s">
        <v>186</v>
      </c>
      <c r="AG5" s="391"/>
      <c r="AH5" s="384" t="s">
        <v>185</v>
      </c>
      <c r="AI5" s="384" t="s">
        <v>187</v>
      </c>
      <c r="AJ5" s="384" t="s">
        <v>188</v>
      </c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</row>
    <row r="6" spans="1:50" s="132" customFormat="1" ht="39" customHeight="1">
      <c r="A6" s="388"/>
      <c r="B6" s="386"/>
      <c r="C6" s="388"/>
      <c r="D6" s="388"/>
      <c r="E6" s="386"/>
      <c r="F6" s="388"/>
      <c r="G6" s="382"/>
      <c r="H6" s="382"/>
      <c r="I6" s="383"/>
      <c r="J6" s="383"/>
      <c r="K6" s="382"/>
      <c r="L6" s="383"/>
      <c r="M6" s="382"/>
      <c r="N6" s="382"/>
      <c r="O6" s="382"/>
      <c r="P6" s="382"/>
      <c r="Q6" s="382"/>
      <c r="R6" s="161" t="s">
        <v>279</v>
      </c>
      <c r="S6" s="161" t="s">
        <v>341</v>
      </c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162" t="s">
        <v>166</v>
      </c>
      <c r="AG6" s="162" t="s">
        <v>167</v>
      </c>
      <c r="AH6" s="382"/>
      <c r="AI6" s="382"/>
      <c r="AJ6" s="382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</row>
    <row r="7" spans="1:50" s="136" customFormat="1">
      <c r="A7" s="163" t="s">
        <v>210</v>
      </c>
      <c r="B7" s="163">
        <v>40</v>
      </c>
      <c r="C7" s="163" t="s">
        <v>190</v>
      </c>
      <c r="D7" s="164"/>
      <c r="E7" s="164"/>
      <c r="F7" s="163" t="s">
        <v>191</v>
      </c>
      <c r="G7" s="165"/>
      <c r="H7" s="165"/>
      <c r="I7" s="166">
        <v>1237.2399999999998</v>
      </c>
      <c r="J7" s="165">
        <v>2512.7600000000002</v>
      </c>
      <c r="K7" s="166">
        <v>3750</v>
      </c>
      <c r="L7" s="166"/>
      <c r="M7" s="167"/>
      <c r="N7" s="167"/>
      <c r="O7" s="168"/>
      <c r="P7" s="169">
        <v>3750</v>
      </c>
      <c r="Q7" s="170"/>
      <c r="R7" s="171"/>
      <c r="S7" s="172"/>
      <c r="T7" s="172"/>
      <c r="U7" s="172"/>
      <c r="V7" s="166"/>
      <c r="W7" s="163">
        <v>957.82</v>
      </c>
      <c r="X7" s="169">
        <v>2792.18</v>
      </c>
      <c r="Y7" s="173">
        <v>0</v>
      </c>
      <c r="Z7" s="169">
        <v>2792.18</v>
      </c>
      <c r="AA7" s="174">
        <v>375</v>
      </c>
      <c r="AB7" s="173">
        <v>24.744799999999998</v>
      </c>
      <c r="AC7" s="169">
        <v>4149.7448000000004</v>
      </c>
      <c r="AD7" s="175"/>
      <c r="AE7" s="176"/>
      <c r="AF7" s="237"/>
      <c r="AG7" s="237"/>
      <c r="AH7" s="232">
        <v>-2792.18</v>
      </c>
      <c r="AI7" s="177">
        <v>1183378845</v>
      </c>
      <c r="AJ7" s="177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</row>
    <row r="8" spans="1:50">
      <c r="A8" s="163" t="s">
        <v>409</v>
      </c>
      <c r="B8" s="163" t="s">
        <v>24</v>
      </c>
      <c r="C8" s="163" t="s">
        <v>197</v>
      </c>
      <c r="D8" s="164"/>
      <c r="E8" s="164"/>
      <c r="F8" s="163" t="s">
        <v>198</v>
      </c>
      <c r="G8" s="165" t="s">
        <v>195</v>
      </c>
      <c r="H8" s="165"/>
      <c r="I8" s="166">
        <v>1237.2399999999998</v>
      </c>
      <c r="J8" s="165">
        <v>2762.76</v>
      </c>
      <c r="K8" s="166">
        <v>4000</v>
      </c>
      <c r="L8" s="166"/>
      <c r="M8" s="167"/>
      <c r="N8" s="167"/>
      <c r="O8" s="168"/>
      <c r="P8" s="169">
        <v>4000</v>
      </c>
      <c r="Q8" s="170"/>
      <c r="R8" s="171"/>
      <c r="S8" s="172"/>
      <c r="T8" s="172"/>
      <c r="U8" s="172"/>
      <c r="V8" s="166"/>
      <c r="W8" s="163">
        <v>0</v>
      </c>
      <c r="X8" s="169">
        <v>4000</v>
      </c>
      <c r="Y8" s="173">
        <v>0</v>
      </c>
      <c r="Z8" s="169">
        <v>4000</v>
      </c>
      <c r="AA8" s="174">
        <v>400</v>
      </c>
      <c r="AB8" s="173">
        <v>24.744799999999998</v>
      </c>
      <c r="AC8" s="169">
        <v>4424.7448000000004</v>
      </c>
      <c r="AD8" s="175"/>
      <c r="AE8" s="176"/>
      <c r="AF8" s="237"/>
      <c r="AG8" s="237"/>
      <c r="AH8" s="232">
        <v>-4000</v>
      </c>
      <c r="AI8" s="177">
        <v>2859592156</v>
      </c>
      <c r="AJ8" s="177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</row>
    <row r="9" spans="1:50">
      <c r="A9" s="163" t="s">
        <v>207</v>
      </c>
      <c r="B9" s="163" t="s">
        <v>26</v>
      </c>
      <c r="C9" s="163" t="s">
        <v>200</v>
      </c>
      <c r="D9" s="163"/>
      <c r="E9" s="163"/>
      <c r="F9" s="163" t="s">
        <v>376</v>
      </c>
      <c r="G9" s="163"/>
      <c r="H9" s="163"/>
      <c r="I9" s="166">
        <v>1237.2399999999998</v>
      </c>
      <c r="J9" s="163">
        <v>1762.7600000000002</v>
      </c>
      <c r="K9" s="166">
        <v>3000</v>
      </c>
      <c r="L9" s="166"/>
      <c r="M9" s="166"/>
      <c r="N9" s="166"/>
      <c r="O9" s="168"/>
      <c r="P9" s="169">
        <v>3000</v>
      </c>
      <c r="Q9" s="170"/>
      <c r="R9" s="171"/>
      <c r="S9" s="172"/>
      <c r="T9" s="172"/>
      <c r="U9" s="172"/>
      <c r="V9" s="166"/>
      <c r="W9" s="163">
        <v>0</v>
      </c>
      <c r="X9" s="169">
        <v>3000</v>
      </c>
      <c r="Y9" s="173">
        <v>0</v>
      </c>
      <c r="Z9" s="169">
        <v>3000</v>
      </c>
      <c r="AA9" s="174">
        <v>300</v>
      </c>
      <c r="AB9" s="173">
        <v>24.744799999999998</v>
      </c>
      <c r="AC9" s="169">
        <v>3324.7447999999999</v>
      </c>
      <c r="AD9" s="175"/>
      <c r="AE9" s="176"/>
      <c r="AF9" s="237"/>
      <c r="AG9" s="237"/>
      <c r="AH9" s="232">
        <v>-3000</v>
      </c>
      <c r="AI9" s="177">
        <v>2914894898</v>
      </c>
      <c r="AJ9" s="183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</row>
    <row r="10" spans="1:50">
      <c r="A10" s="163" t="s">
        <v>409</v>
      </c>
      <c r="B10" s="163" t="s">
        <v>28</v>
      </c>
      <c r="C10" s="163" t="s">
        <v>201</v>
      </c>
      <c r="D10" s="163"/>
      <c r="E10" s="163"/>
      <c r="F10" s="163" t="s">
        <v>127</v>
      </c>
      <c r="G10" s="165" t="s">
        <v>195</v>
      </c>
      <c r="H10" s="165"/>
      <c r="I10" s="166">
        <v>1237.2399999999998</v>
      </c>
      <c r="J10" s="165">
        <v>1957.26</v>
      </c>
      <c r="K10" s="166">
        <v>3194.5</v>
      </c>
      <c r="L10" s="166"/>
      <c r="M10" s="167"/>
      <c r="N10" s="167"/>
      <c r="O10" s="168"/>
      <c r="P10" s="169">
        <v>3194.5</v>
      </c>
      <c r="Q10" s="170"/>
      <c r="R10" s="171"/>
      <c r="S10" s="172"/>
      <c r="T10" s="172"/>
      <c r="U10" s="172"/>
      <c r="V10" s="166"/>
      <c r="W10" s="163">
        <v>0</v>
      </c>
      <c r="X10" s="169">
        <v>3194.5</v>
      </c>
      <c r="Y10" s="173">
        <v>0</v>
      </c>
      <c r="Z10" s="169">
        <v>3194.5</v>
      </c>
      <c r="AA10" s="174">
        <v>319.45000000000005</v>
      </c>
      <c r="AB10" s="173">
        <v>24.744799999999998</v>
      </c>
      <c r="AC10" s="169">
        <v>3538.6947999999998</v>
      </c>
      <c r="AD10" s="175"/>
      <c r="AE10" s="176"/>
      <c r="AF10" s="237"/>
      <c r="AG10" s="237"/>
      <c r="AH10" s="232">
        <v>-3194.5</v>
      </c>
      <c r="AI10" s="177">
        <v>1461266403</v>
      </c>
      <c r="AJ10" s="177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</row>
    <row r="11" spans="1:50">
      <c r="A11" s="163" t="s">
        <v>409</v>
      </c>
      <c r="B11" s="163">
        <v>9</v>
      </c>
      <c r="C11" s="163" t="s">
        <v>202</v>
      </c>
      <c r="D11" s="164"/>
      <c r="E11" s="164"/>
      <c r="F11" s="163" t="s">
        <v>132</v>
      </c>
      <c r="G11" s="165"/>
      <c r="H11" s="165"/>
      <c r="I11" s="166">
        <v>1237.2399999999998</v>
      </c>
      <c r="J11" s="165">
        <v>4762.76</v>
      </c>
      <c r="K11" s="166">
        <v>6000</v>
      </c>
      <c r="L11" s="166"/>
      <c r="M11" s="167"/>
      <c r="N11" s="167"/>
      <c r="O11" s="168"/>
      <c r="P11" s="169">
        <v>6000</v>
      </c>
      <c r="Q11" s="170"/>
      <c r="R11" s="171">
        <v>76.56</v>
      </c>
      <c r="S11" s="172"/>
      <c r="T11" s="172"/>
      <c r="U11" s="172"/>
      <c r="V11" s="163">
        <v>504.77</v>
      </c>
      <c r="W11" s="163">
        <v>0</v>
      </c>
      <c r="X11" s="169">
        <v>5418.67</v>
      </c>
      <c r="Y11" s="173">
        <v>600</v>
      </c>
      <c r="Z11" s="169">
        <v>4818.67</v>
      </c>
      <c r="AA11" s="174">
        <v>0</v>
      </c>
      <c r="AB11" s="173">
        <v>24.744799999999998</v>
      </c>
      <c r="AC11" s="169">
        <v>6024.7448000000004</v>
      </c>
      <c r="AD11" s="175"/>
      <c r="AE11" s="176"/>
      <c r="AF11" s="237"/>
      <c r="AG11" s="237"/>
      <c r="AH11" s="232">
        <v>-4818.67</v>
      </c>
      <c r="AI11" s="177">
        <v>1467420064</v>
      </c>
      <c r="AJ11" s="183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</row>
    <row r="12" spans="1:50">
      <c r="A12" s="246"/>
      <c r="B12" s="246"/>
      <c r="C12" s="246" t="s">
        <v>410</v>
      </c>
      <c r="D12" s="247"/>
      <c r="E12" s="254">
        <v>42474</v>
      </c>
      <c r="F12" s="246" t="s">
        <v>411</v>
      </c>
      <c r="G12" s="246"/>
      <c r="H12" s="246"/>
      <c r="I12" s="184">
        <v>1237.2399999999998</v>
      </c>
      <c r="J12" s="246">
        <v>1762.76</v>
      </c>
      <c r="K12" s="184">
        <v>3000</v>
      </c>
      <c r="L12" s="184">
        <v>400</v>
      </c>
      <c r="M12" s="184"/>
      <c r="N12" s="184"/>
      <c r="O12" s="248"/>
      <c r="P12" s="249">
        <v>3400</v>
      </c>
      <c r="Q12" s="184"/>
      <c r="R12" s="250"/>
      <c r="S12" s="251"/>
      <c r="T12" s="251"/>
      <c r="U12" s="251"/>
      <c r="V12" s="246"/>
      <c r="W12" s="246">
        <v>0</v>
      </c>
      <c r="X12" s="249">
        <v>3400</v>
      </c>
      <c r="Y12" s="251">
        <v>0</v>
      </c>
      <c r="Z12" s="249">
        <v>3400</v>
      </c>
      <c r="AA12" s="251">
        <v>340</v>
      </c>
      <c r="AB12" s="251">
        <v>24.744799999999998</v>
      </c>
      <c r="AC12" s="249">
        <v>3764.7447999999999</v>
      </c>
      <c r="AD12" s="184"/>
      <c r="AE12" s="185"/>
      <c r="AF12" s="236"/>
      <c r="AG12" s="236"/>
      <c r="AH12" s="234"/>
      <c r="AI12" s="246" t="s">
        <v>412</v>
      </c>
      <c r="AJ12" s="252" t="s">
        <v>413</v>
      </c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</row>
    <row r="13" spans="1:50">
      <c r="A13" s="163" t="s">
        <v>192</v>
      </c>
      <c r="B13" s="163" t="s">
        <v>130</v>
      </c>
      <c r="C13" s="163" t="s">
        <v>203</v>
      </c>
      <c r="D13" s="164"/>
      <c r="E13" s="164"/>
      <c r="F13" s="163" t="s">
        <v>204</v>
      </c>
      <c r="G13" s="163" t="s">
        <v>195</v>
      </c>
      <c r="H13" s="163"/>
      <c r="I13" s="166">
        <v>1237.2399999999998</v>
      </c>
      <c r="J13" s="163">
        <v>1762.76</v>
      </c>
      <c r="K13" s="166">
        <v>3000</v>
      </c>
      <c r="L13" s="166"/>
      <c r="M13" s="166"/>
      <c r="N13" s="166"/>
      <c r="O13" s="168"/>
      <c r="P13" s="169">
        <v>3000</v>
      </c>
      <c r="Q13" s="170"/>
      <c r="R13" s="171"/>
      <c r="S13" s="172"/>
      <c r="T13" s="172"/>
      <c r="U13" s="172"/>
      <c r="V13" s="166"/>
      <c r="W13" s="163">
        <v>0</v>
      </c>
      <c r="X13" s="169">
        <v>3000</v>
      </c>
      <c r="Y13" s="173">
        <v>0</v>
      </c>
      <c r="Z13" s="169">
        <v>3000</v>
      </c>
      <c r="AA13" s="174">
        <v>300</v>
      </c>
      <c r="AB13" s="173">
        <v>24.744799999999998</v>
      </c>
      <c r="AC13" s="169">
        <v>3324.7447999999999</v>
      </c>
      <c r="AD13" s="175"/>
      <c r="AE13" s="176"/>
      <c r="AF13" s="237"/>
      <c r="AG13" s="237"/>
      <c r="AH13" s="232">
        <v>-3000</v>
      </c>
      <c r="AI13" s="177">
        <v>2966659578</v>
      </c>
      <c r="AJ13" s="177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</row>
    <row r="14" spans="1:50">
      <c r="A14" s="163" t="s">
        <v>199</v>
      </c>
      <c r="B14" s="163">
        <v>2</v>
      </c>
      <c r="C14" s="163" t="s">
        <v>205</v>
      </c>
      <c r="D14" s="163"/>
      <c r="E14" s="163"/>
      <c r="F14" s="163" t="s">
        <v>128</v>
      </c>
      <c r="G14" s="165" t="s">
        <v>195</v>
      </c>
      <c r="H14" s="165"/>
      <c r="I14" s="166">
        <v>1237.2399999999998</v>
      </c>
      <c r="J14" s="165">
        <v>1292.76</v>
      </c>
      <c r="K14" s="166">
        <v>2530</v>
      </c>
      <c r="L14" s="166"/>
      <c r="M14" s="167"/>
      <c r="N14" s="167"/>
      <c r="O14" s="168"/>
      <c r="P14" s="169">
        <v>2530</v>
      </c>
      <c r="Q14" s="170"/>
      <c r="R14" s="171"/>
      <c r="S14" s="172"/>
      <c r="T14" s="172"/>
      <c r="U14" s="172"/>
      <c r="V14" s="166"/>
      <c r="W14" s="163">
        <v>316.81</v>
      </c>
      <c r="X14" s="169">
        <v>2213.19</v>
      </c>
      <c r="Y14" s="173">
        <v>0</v>
      </c>
      <c r="Z14" s="169">
        <v>2213.19</v>
      </c>
      <c r="AA14" s="174">
        <v>253</v>
      </c>
      <c r="AB14" s="173">
        <v>24.744799999999998</v>
      </c>
      <c r="AC14" s="169">
        <v>2807.7447999999999</v>
      </c>
      <c r="AD14" s="175"/>
      <c r="AE14" s="176"/>
      <c r="AF14" s="237"/>
      <c r="AG14" s="238"/>
      <c r="AH14" s="232">
        <v>-2213.19</v>
      </c>
      <c r="AI14" s="177">
        <v>2615562821</v>
      </c>
      <c r="AJ14" s="177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</row>
    <row r="15" spans="1:50">
      <c r="A15" s="163" t="s">
        <v>409</v>
      </c>
      <c r="B15" s="163" t="s">
        <v>34</v>
      </c>
      <c r="C15" s="163" t="s">
        <v>206</v>
      </c>
      <c r="D15" s="164"/>
      <c r="E15" s="164"/>
      <c r="F15" s="163" t="s">
        <v>198</v>
      </c>
      <c r="G15" s="163" t="s">
        <v>195</v>
      </c>
      <c r="H15" s="163"/>
      <c r="I15" s="166">
        <v>1237.2399999999998</v>
      </c>
      <c r="J15" s="163">
        <v>4318.76</v>
      </c>
      <c r="K15" s="166">
        <v>5556</v>
      </c>
      <c r="L15" s="166"/>
      <c r="M15" s="166"/>
      <c r="N15" s="166"/>
      <c r="O15" s="168"/>
      <c r="P15" s="169">
        <v>5556</v>
      </c>
      <c r="Q15" s="170"/>
      <c r="R15" s="171"/>
      <c r="S15" s="172"/>
      <c r="T15" s="172"/>
      <c r="U15" s="172"/>
      <c r="V15" s="166"/>
      <c r="W15" s="163">
        <v>0</v>
      </c>
      <c r="X15" s="169">
        <v>5556</v>
      </c>
      <c r="Y15" s="173">
        <v>555.6</v>
      </c>
      <c r="Z15" s="169">
        <v>5000.3999999999996</v>
      </c>
      <c r="AA15" s="174">
        <v>0</v>
      </c>
      <c r="AB15" s="173">
        <v>24.744799999999998</v>
      </c>
      <c r="AC15" s="169">
        <v>5580.7448000000004</v>
      </c>
      <c r="AD15" s="175"/>
      <c r="AE15" s="176"/>
      <c r="AF15" s="237"/>
      <c r="AG15" s="237"/>
      <c r="AH15" s="232">
        <v>-5000.3999999999996</v>
      </c>
      <c r="AI15" s="177">
        <v>2987650868</v>
      </c>
      <c r="AJ15" s="177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</row>
    <row r="16" spans="1:50">
      <c r="A16" s="163" t="s">
        <v>192</v>
      </c>
      <c r="B16" s="163" t="s">
        <v>38</v>
      </c>
      <c r="C16" s="163" t="s">
        <v>208</v>
      </c>
      <c r="D16" s="164"/>
      <c r="E16" s="164"/>
      <c r="F16" s="163" t="s">
        <v>125</v>
      </c>
      <c r="G16" s="163" t="s">
        <v>195</v>
      </c>
      <c r="H16" s="163"/>
      <c r="I16" s="166">
        <v>1237.2399999999998</v>
      </c>
      <c r="J16" s="163">
        <v>2762.76</v>
      </c>
      <c r="K16" s="166">
        <v>4000</v>
      </c>
      <c r="L16" s="166"/>
      <c r="M16" s="166"/>
      <c r="N16" s="166"/>
      <c r="O16" s="168"/>
      <c r="P16" s="169">
        <v>4000</v>
      </c>
      <c r="Q16" s="170"/>
      <c r="R16" s="181">
        <v>117.81</v>
      </c>
      <c r="S16" s="172"/>
      <c r="T16" s="172"/>
      <c r="U16" s="172"/>
      <c r="V16" s="166"/>
      <c r="W16" s="163">
        <v>906.77</v>
      </c>
      <c r="X16" s="169">
        <v>2975.42</v>
      </c>
      <c r="Y16" s="173">
        <v>0</v>
      </c>
      <c r="Z16" s="169">
        <v>2975.42</v>
      </c>
      <c r="AA16" s="174">
        <v>400</v>
      </c>
      <c r="AB16" s="173">
        <v>24.744799999999998</v>
      </c>
      <c r="AC16" s="169">
        <v>4424.7448000000004</v>
      </c>
      <c r="AD16" s="175"/>
      <c r="AE16" s="176"/>
      <c r="AF16" s="237"/>
      <c r="AG16" s="237"/>
      <c r="AH16" s="232">
        <v>-2975.42</v>
      </c>
      <c r="AI16" s="177">
        <v>2893195635</v>
      </c>
      <c r="AJ16" s="177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</row>
    <row r="17" spans="1:50">
      <c r="A17" s="163" t="s">
        <v>199</v>
      </c>
      <c r="B17" s="163" t="s">
        <v>40</v>
      </c>
      <c r="C17" s="163" t="s">
        <v>209</v>
      </c>
      <c r="D17" s="163"/>
      <c r="E17" s="163"/>
      <c r="F17" s="163" t="s">
        <v>137</v>
      </c>
      <c r="G17" s="163"/>
      <c r="H17" s="163"/>
      <c r="I17" s="166">
        <v>1237.2399999999998</v>
      </c>
      <c r="J17" s="163">
        <v>512.76000000000022</v>
      </c>
      <c r="K17" s="166">
        <v>1750</v>
      </c>
      <c r="L17" s="166"/>
      <c r="M17" s="166"/>
      <c r="N17" s="166"/>
      <c r="O17" s="168"/>
      <c r="P17" s="169">
        <v>1750</v>
      </c>
      <c r="Q17" s="170"/>
      <c r="R17" s="171"/>
      <c r="S17" s="172">
        <v>100</v>
      </c>
      <c r="T17" s="172"/>
      <c r="U17" s="172"/>
      <c r="V17" s="166"/>
      <c r="W17" s="163">
        <v>0</v>
      </c>
      <c r="X17" s="169">
        <v>1650</v>
      </c>
      <c r="Y17" s="173">
        <v>0</v>
      </c>
      <c r="Z17" s="169">
        <v>1650</v>
      </c>
      <c r="AA17" s="174">
        <v>175</v>
      </c>
      <c r="AB17" s="173">
        <v>24.744799999999998</v>
      </c>
      <c r="AC17" s="169">
        <v>1949.7447999999999</v>
      </c>
      <c r="AD17" s="175"/>
      <c r="AE17" s="176"/>
      <c r="AF17" s="237"/>
      <c r="AG17" s="237"/>
      <c r="AH17" s="232">
        <v>-1650</v>
      </c>
      <c r="AI17" s="177">
        <v>2765125111</v>
      </c>
      <c r="AJ17" s="177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</row>
    <row r="18" spans="1:50">
      <c r="A18" s="163" t="s">
        <v>210</v>
      </c>
      <c r="B18" s="163" t="s">
        <v>42</v>
      </c>
      <c r="C18" s="163" t="s">
        <v>211</v>
      </c>
      <c r="D18" s="164"/>
      <c r="E18" s="164"/>
      <c r="F18" s="163" t="s">
        <v>124</v>
      </c>
      <c r="G18" s="163"/>
      <c r="H18" s="163"/>
      <c r="I18" s="166">
        <v>1237.2399999999998</v>
      </c>
      <c r="J18" s="163">
        <v>2262.7600000000002</v>
      </c>
      <c r="K18" s="166">
        <v>3500</v>
      </c>
      <c r="L18" s="175"/>
      <c r="M18" s="166"/>
      <c r="N18" s="166"/>
      <c r="O18" s="168"/>
      <c r="P18" s="169">
        <v>3500</v>
      </c>
      <c r="Q18" s="170"/>
      <c r="R18" s="171"/>
      <c r="S18" s="172"/>
      <c r="T18" s="172"/>
      <c r="U18" s="172"/>
      <c r="V18" s="166"/>
      <c r="W18" s="163">
        <v>0</v>
      </c>
      <c r="X18" s="169">
        <v>3500</v>
      </c>
      <c r="Y18" s="173">
        <v>0</v>
      </c>
      <c r="Z18" s="169">
        <v>3500</v>
      </c>
      <c r="AA18" s="174">
        <v>350</v>
      </c>
      <c r="AB18" s="173">
        <v>24.744799999999998</v>
      </c>
      <c r="AC18" s="169">
        <v>3874.7447999999999</v>
      </c>
      <c r="AD18" s="175"/>
      <c r="AE18" s="176"/>
      <c r="AF18" s="237"/>
      <c r="AG18" s="237"/>
      <c r="AH18" s="232">
        <v>-3500</v>
      </c>
      <c r="AI18" s="177">
        <v>2943846814</v>
      </c>
      <c r="AJ18" s="177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</row>
    <row r="19" spans="1:50">
      <c r="A19" s="163" t="s">
        <v>207</v>
      </c>
      <c r="B19" s="163">
        <v>43</v>
      </c>
      <c r="C19" s="163" t="s">
        <v>212</v>
      </c>
      <c r="D19" s="164"/>
      <c r="E19" s="164"/>
      <c r="F19" s="163" t="s">
        <v>133</v>
      </c>
      <c r="G19" s="163"/>
      <c r="H19" s="163"/>
      <c r="I19" s="166">
        <v>1237.2399999999998</v>
      </c>
      <c r="J19" s="163">
        <v>3762.76</v>
      </c>
      <c r="K19" s="166">
        <v>5000</v>
      </c>
      <c r="L19" s="175"/>
      <c r="M19" s="166"/>
      <c r="N19" s="166"/>
      <c r="O19" s="168"/>
      <c r="P19" s="169">
        <v>5000</v>
      </c>
      <c r="Q19" s="170"/>
      <c r="R19" s="171"/>
      <c r="S19" s="172">
        <v>500</v>
      </c>
      <c r="T19" s="172"/>
      <c r="U19" s="172"/>
      <c r="V19" s="166"/>
      <c r="W19" s="163">
        <v>345.44</v>
      </c>
      <c r="X19" s="169">
        <v>4154.5599999999995</v>
      </c>
      <c r="Y19" s="173">
        <v>500</v>
      </c>
      <c r="Z19" s="169">
        <v>3654.5599999999995</v>
      </c>
      <c r="AA19" s="174">
        <v>0</v>
      </c>
      <c r="AB19" s="173">
        <v>24.744799999999998</v>
      </c>
      <c r="AC19" s="169">
        <v>5024.7448000000004</v>
      </c>
      <c r="AD19" s="175"/>
      <c r="AE19" s="176"/>
      <c r="AF19" s="237"/>
      <c r="AG19" s="237"/>
      <c r="AH19" s="232">
        <v>-3654.5599999999995</v>
      </c>
      <c r="AI19" s="177">
        <v>2637315589</v>
      </c>
      <c r="AJ19" s="177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</row>
    <row r="20" spans="1:50">
      <c r="A20" s="163" t="s">
        <v>189</v>
      </c>
      <c r="B20" s="163" t="s">
        <v>213</v>
      </c>
      <c r="C20" s="163" t="s">
        <v>214</v>
      </c>
      <c r="D20" s="164"/>
      <c r="E20" s="164"/>
      <c r="F20" s="163" t="s">
        <v>215</v>
      </c>
      <c r="G20" s="163"/>
      <c r="H20" s="163"/>
      <c r="I20" s="166">
        <v>1237.2399999999998</v>
      </c>
      <c r="J20" s="163">
        <v>1512.7600000000002</v>
      </c>
      <c r="K20" s="166">
        <v>2750</v>
      </c>
      <c r="L20" s="175"/>
      <c r="M20" s="166"/>
      <c r="N20" s="166"/>
      <c r="O20" s="168"/>
      <c r="P20" s="169">
        <v>2750</v>
      </c>
      <c r="Q20" s="170"/>
      <c r="R20" s="171"/>
      <c r="S20" s="172"/>
      <c r="T20" s="172"/>
      <c r="U20" s="172"/>
      <c r="V20" s="166"/>
      <c r="W20" s="163">
        <v>0</v>
      </c>
      <c r="X20" s="169">
        <v>2750</v>
      </c>
      <c r="Y20" s="173">
        <v>0</v>
      </c>
      <c r="Z20" s="169">
        <v>2750</v>
      </c>
      <c r="AA20" s="174">
        <v>275</v>
      </c>
      <c r="AB20" s="173">
        <v>24.744799999999998</v>
      </c>
      <c r="AC20" s="169">
        <v>3049.7447999999999</v>
      </c>
      <c r="AD20" s="175"/>
      <c r="AE20" s="176"/>
      <c r="AF20" s="233" t="s">
        <v>414</v>
      </c>
      <c r="AG20" s="233" t="s">
        <v>335</v>
      </c>
      <c r="AH20" s="234">
        <v>0</v>
      </c>
      <c r="AI20" s="177" t="s">
        <v>216</v>
      </c>
      <c r="AJ20" s="177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</row>
    <row r="21" spans="1:50">
      <c r="A21" s="163" t="s">
        <v>192</v>
      </c>
      <c r="B21" s="163" t="s">
        <v>48</v>
      </c>
      <c r="C21" s="163" t="s">
        <v>217</v>
      </c>
      <c r="D21" s="164"/>
      <c r="E21" s="164"/>
      <c r="F21" s="163" t="s">
        <v>126</v>
      </c>
      <c r="G21" s="163"/>
      <c r="H21" s="163"/>
      <c r="I21" s="166">
        <v>1237.2399999999998</v>
      </c>
      <c r="J21" s="163">
        <v>2262.7600000000002</v>
      </c>
      <c r="K21" s="166">
        <v>3500</v>
      </c>
      <c r="L21" s="175"/>
      <c r="M21" s="166"/>
      <c r="N21" s="166"/>
      <c r="O21" s="168"/>
      <c r="P21" s="169">
        <v>3500</v>
      </c>
      <c r="Q21" s="170"/>
      <c r="R21" s="171"/>
      <c r="S21" s="172"/>
      <c r="T21" s="172"/>
      <c r="U21" s="172"/>
      <c r="V21" s="163">
        <v>355.82</v>
      </c>
      <c r="W21" s="163">
        <v>0</v>
      </c>
      <c r="X21" s="169">
        <v>3144.18</v>
      </c>
      <c r="Y21" s="173">
        <v>0</v>
      </c>
      <c r="Z21" s="169">
        <v>3144.18</v>
      </c>
      <c r="AA21" s="174">
        <v>350</v>
      </c>
      <c r="AB21" s="173">
        <v>24.744799999999998</v>
      </c>
      <c r="AC21" s="169">
        <v>3874.7447999999999</v>
      </c>
      <c r="AD21" s="175"/>
      <c r="AE21" s="176"/>
      <c r="AF21" s="237"/>
      <c r="AG21" s="237"/>
      <c r="AH21" s="232">
        <v>-3144.18</v>
      </c>
      <c r="AI21" s="177">
        <v>2928980233</v>
      </c>
      <c r="AJ21" s="177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</row>
    <row r="22" spans="1:50">
      <c r="A22" s="163" t="s">
        <v>192</v>
      </c>
      <c r="B22" s="163" t="s">
        <v>51</v>
      </c>
      <c r="C22" s="163" t="s">
        <v>221</v>
      </c>
      <c r="D22" s="164"/>
      <c r="E22" s="164"/>
      <c r="F22" s="163" t="s">
        <v>124</v>
      </c>
      <c r="G22" s="163"/>
      <c r="H22" s="163"/>
      <c r="I22" s="166">
        <v>1237.2399999999998</v>
      </c>
      <c r="J22" s="163">
        <v>3762.76</v>
      </c>
      <c r="K22" s="166">
        <v>5000</v>
      </c>
      <c r="L22" s="175"/>
      <c r="M22" s="166"/>
      <c r="N22" s="166"/>
      <c r="O22" s="168"/>
      <c r="P22" s="169">
        <v>5000</v>
      </c>
      <c r="Q22" s="170"/>
      <c r="R22" s="171"/>
      <c r="S22" s="172"/>
      <c r="T22" s="172"/>
      <c r="U22" s="172"/>
      <c r="V22" s="163">
        <v>310.19</v>
      </c>
      <c r="W22" s="163">
        <v>0</v>
      </c>
      <c r="X22" s="169">
        <v>4689.8100000000004</v>
      </c>
      <c r="Y22" s="173">
        <v>500</v>
      </c>
      <c r="Z22" s="169">
        <v>4189.8100000000004</v>
      </c>
      <c r="AA22" s="174">
        <v>0</v>
      </c>
      <c r="AB22" s="173">
        <v>24.744799999999998</v>
      </c>
      <c r="AC22" s="169">
        <v>5024.7448000000004</v>
      </c>
      <c r="AD22" s="175"/>
      <c r="AE22" s="176"/>
      <c r="AF22" s="237"/>
      <c r="AG22" s="237"/>
      <c r="AH22" s="232">
        <v>-4189.8100000000004</v>
      </c>
      <c r="AI22" s="177">
        <v>2734223152</v>
      </c>
      <c r="AJ22" s="177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</row>
    <row r="23" spans="1:50" s="136" customFormat="1">
      <c r="A23" s="163" t="s">
        <v>189</v>
      </c>
      <c r="B23" s="163" t="s">
        <v>53</v>
      </c>
      <c r="C23" s="163" t="s">
        <v>222</v>
      </c>
      <c r="D23" s="164"/>
      <c r="E23" s="164"/>
      <c r="F23" s="163" t="s">
        <v>223</v>
      </c>
      <c r="G23" s="163"/>
      <c r="H23" s="163"/>
      <c r="I23" s="166">
        <v>1237.2399999999998</v>
      </c>
      <c r="J23" s="163">
        <v>1512.7600000000002</v>
      </c>
      <c r="K23" s="166">
        <v>2750</v>
      </c>
      <c r="L23" s="175"/>
      <c r="M23" s="166"/>
      <c r="N23" s="166"/>
      <c r="O23" s="168"/>
      <c r="P23" s="169">
        <v>2750</v>
      </c>
      <c r="Q23" s="170"/>
      <c r="R23" s="171"/>
      <c r="S23" s="172"/>
      <c r="T23" s="172"/>
      <c r="U23" s="172"/>
      <c r="V23" s="166"/>
      <c r="W23" s="163">
        <v>837.96</v>
      </c>
      <c r="X23" s="169">
        <v>1912.04</v>
      </c>
      <c r="Y23" s="173">
        <v>0</v>
      </c>
      <c r="Z23" s="169">
        <v>1912.04</v>
      </c>
      <c r="AA23" s="174">
        <v>275</v>
      </c>
      <c r="AB23" s="173">
        <v>24.744799999999998</v>
      </c>
      <c r="AC23" s="169">
        <v>3049.7447999999999</v>
      </c>
      <c r="AD23" s="175"/>
      <c r="AE23" s="176"/>
      <c r="AF23" s="237"/>
      <c r="AG23" s="237"/>
      <c r="AH23" s="232">
        <v>-1912.04</v>
      </c>
      <c r="AI23" s="177">
        <v>2897100388</v>
      </c>
      <c r="AJ23" s="177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</row>
    <row r="24" spans="1:50">
      <c r="A24" s="163" t="s">
        <v>199</v>
      </c>
      <c r="B24" s="163" t="s">
        <v>55</v>
      </c>
      <c r="C24" s="163" t="s">
        <v>224</v>
      </c>
      <c r="D24" s="163"/>
      <c r="E24" s="163"/>
      <c r="F24" s="163" t="s">
        <v>225</v>
      </c>
      <c r="G24" s="163"/>
      <c r="H24" s="163"/>
      <c r="I24" s="166">
        <v>1237.2399999999998</v>
      </c>
      <c r="J24" s="163">
        <v>1762.7600000000002</v>
      </c>
      <c r="K24" s="166">
        <v>3000</v>
      </c>
      <c r="L24" s="175"/>
      <c r="M24" s="166"/>
      <c r="N24" s="166"/>
      <c r="O24" s="168"/>
      <c r="P24" s="169">
        <v>3000</v>
      </c>
      <c r="Q24" s="170"/>
      <c r="R24" s="181">
        <v>117.81</v>
      </c>
      <c r="S24" s="172"/>
      <c r="T24" s="172"/>
      <c r="U24" s="172"/>
      <c r="V24" s="166"/>
      <c r="W24" s="163">
        <v>0</v>
      </c>
      <c r="X24" s="169">
        <v>2882.19</v>
      </c>
      <c r="Y24" s="173">
        <v>0</v>
      </c>
      <c r="Z24" s="169">
        <v>2882.19</v>
      </c>
      <c r="AA24" s="174">
        <v>300</v>
      </c>
      <c r="AB24" s="173">
        <v>24.744799999999998</v>
      </c>
      <c r="AC24" s="169">
        <v>3324.7447999999999</v>
      </c>
      <c r="AD24" s="175"/>
      <c r="AE24" s="176"/>
      <c r="AF24" s="237"/>
      <c r="AG24" s="237"/>
      <c r="AH24" s="232">
        <v>-2882.19</v>
      </c>
      <c r="AI24" s="177">
        <v>2743852393</v>
      </c>
      <c r="AJ24" s="177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</row>
    <row r="25" spans="1:50">
      <c r="A25" s="163" t="s">
        <v>210</v>
      </c>
      <c r="B25" s="163" t="s">
        <v>57</v>
      </c>
      <c r="C25" s="163" t="s">
        <v>226</v>
      </c>
      <c r="D25" s="164"/>
      <c r="E25" s="164"/>
      <c r="F25" s="163" t="s">
        <v>227</v>
      </c>
      <c r="G25" s="163"/>
      <c r="H25" s="163"/>
      <c r="I25" s="166">
        <v>1237.2399999999998</v>
      </c>
      <c r="J25" s="163">
        <v>1762.7600000000002</v>
      </c>
      <c r="K25" s="166">
        <v>3000</v>
      </c>
      <c r="L25" s="175"/>
      <c r="M25" s="166"/>
      <c r="N25" s="166"/>
      <c r="O25" s="168"/>
      <c r="P25" s="169">
        <v>3000</v>
      </c>
      <c r="Q25" s="170"/>
      <c r="R25" s="181">
        <v>105.31</v>
      </c>
      <c r="S25" s="172">
        <v>500</v>
      </c>
      <c r="T25" s="172"/>
      <c r="U25" s="172"/>
      <c r="V25" s="166"/>
      <c r="W25" s="163">
        <v>0</v>
      </c>
      <c r="X25" s="169">
        <v>2394.69</v>
      </c>
      <c r="Y25" s="173">
        <v>0</v>
      </c>
      <c r="Z25" s="169">
        <v>2394.69</v>
      </c>
      <c r="AA25" s="174">
        <v>300</v>
      </c>
      <c r="AB25" s="173">
        <v>24.744799999999998</v>
      </c>
      <c r="AC25" s="169">
        <v>3324.7447999999999</v>
      </c>
      <c r="AD25" s="175"/>
      <c r="AE25" s="176"/>
      <c r="AF25" s="237"/>
      <c r="AG25" s="237"/>
      <c r="AH25" s="232">
        <v>-2394.69</v>
      </c>
      <c r="AI25" s="177">
        <v>2949799338</v>
      </c>
      <c r="AJ25" s="177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</row>
    <row r="26" spans="1:50" s="136" customFormat="1">
      <c r="A26" s="163" t="s">
        <v>218</v>
      </c>
      <c r="B26" s="163" t="s">
        <v>59</v>
      </c>
      <c r="C26" s="163" t="s">
        <v>377</v>
      </c>
      <c r="D26" s="163"/>
      <c r="E26" s="163"/>
      <c r="F26" s="163" t="s">
        <v>134</v>
      </c>
      <c r="G26" s="165"/>
      <c r="H26" s="165"/>
      <c r="I26" s="166">
        <v>1237.2399999999998</v>
      </c>
      <c r="J26" s="165">
        <v>1262.7600000000002</v>
      </c>
      <c r="K26" s="166">
        <v>2500</v>
      </c>
      <c r="L26" s="175"/>
      <c r="M26" s="167"/>
      <c r="N26" s="167"/>
      <c r="O26" s="168"/>
      <c r="P26" s="169">
        <v>2500</v>
      </c>
      <c r="Q26" s="170"/>
      <c r="R26" s="181">
        <v>117.81</v>
      </c>
      <c r="S26" s="172"/>
      <c r="T26" s="172"/>
      <c r="U26" s="172"/>
      <c r="V26" s="166"/>
      <c r="W26" s="163">
        <v>0</v>
      </c>
      <c r="X26" s="169">
        <v>2382.19</v>
      </c>
      <c r="Y26" s="173">
        <v>0</v>
      </c>
      <c r="Z26" s="169">
        <v>2382.19</v>
      </c>
      <c r="AA26" s="174">
        <v>250</v>
      </c>
      <c r="AB26" s="173">
        <v>24.744799999999998</v>
      </c>
      <c r="AC26" s="169">
        <v>2774.7447999999999</v>
      </c>
      <c r="AD26" s="175"/>
      <c r="AE26" s="176"/>
      <c r="AF26" s="237"/>
      <c r="AG26" s="237"/>
      <c r="AH26" s="232">
        <v>-2382.19</v>
      </c>
      <c r="AI26" s="177">
        <v>2945821312</v>
      </c>
      <c r="AJ26" s="177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</row>
    <row r="27" spans="1:50" s="136" customFormat="1">
      <c r="A27" s="163" t="s">
        <v>207</v>
      </c>
      <c r="B27" s="163" t="s">
        <v>229</v>
      </c>
      <c r="C27" s="163" t="s">
        <v>343</v>
      </c>
      <c r="D27" s="164"/>
      <c r="E27" s="164"/>
      <c r="F27" s="163" t="s">
        <v>139</v>
      </c>
      <c r="G27" s="163"/>
      <c r="H27" s="163"/>
      <c r="I27" s="166">
        <v>1237.2399999999998</v>
      </c>
      <c r="J27" s="163">
        <v>1262.7600000000002</v>
      </c>
      <c r="K27" s="166">
        <v>2500</v>
      </c>
      <c r="L27" s="166">
        <v>1080</v>
      </c>
      <c r="M27" s="166"/>
      <c r="N27" s="166"/>
      <c r="O27" s="168"/>
      <c r="P27" s="169">
        <v>3580</v>
      </c>
      <c r="Q27" s="170"/>
      <c r="R27" s="181">
        <v>117.81</v>
      </c>
      <c r="S27" s="172"/>
      <c r="T27" s="172"/>
      <c r="U27" s="172"/>
      <c r="V27" s="166"/>
      <c r="W27" s="186">
        <v>1075.52</v>
      </c>
      <c r="X27" s="169">
        <v>2386.67</v>
      </c>
      <c r="Y27" s="173">
        <v>0</v>
      </c>
      <c r="Z27" s="169">
        <v>2386.67</v>
      </c>
      <c r="AA27" s="174">
        <v>358</v>
      </c>
      <c r="AB27" s="173">
        <v>24.744799999999998</v>
      </c>
      <c r="AC27" s="169">
        <v>3962.7447999999999</v>
      </c>
      <c r="AD27" s="175"/>
      <c r="AE27" s="176"/>
      <c r="AF27" s="237"/>
      <c r="AG27" s="237"/>
      <c r="AH27" s="232">
        <v>-2386.67</v>
      </c>
      <c r="AI27" s="177">
        <v>2871132644</v>
      </c>
      <c r="AJ27" s="177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</row>
    <row r="28" spans="1:50" s="136" customFormat="1">
      <c r="A28" s="246"/>
      <c r="B28" s="246"/>
      <c r="C28" s="246" t="s">
        <v>415</v>
      </c>
      <c r="D28" s="247"/>
      <c r="E28" s="254">
        <v>42480</v>
      </c>
      <c r="F28" s="246" t="s">
        <v>416</v>
      </c>
      <c r="G28" s="246"/>
      <c r="H28" s="246"/>
      <c r="I28" s="184"/>
      <c r="J28" s="246"/>
      <c r="K28" s="184">
        <v>2993.33</v>
      </c>
      <c r="L28" s="184">
        <v>796</v>
      </c>
      <c r="M28" s="184"/>
      <c r="N28" s="184"/>
      <c r="O28" s="248"/>
      <c r="P28" s="249">
        <v>3789.33</v>
      </c>
      <c r="Q28" s="184"/>
      <c r="R28" s="253"/>
      <c r="S28" s="251"/>
      <c r="T28" s="251"/>
      <c r="U28" s="251"/>
      <c r="V28" s="184"/>
      <c r="W28" s="263">
        <v>0</v>
      </c>
      <c r="X28" s="249">
        <v>3789.33</v>
      </c>
      <c r="Y28" s="251">
        <v>0</v>
      </c>
      <c r="Z28" s="249">
        <v>3789.33</v>
      </c>
      <c r="AA28" s="251">
        <v>378.93299999999999</v>
      </c>
      <c r="AB28" s="251">
        <v>0</v>
      </c>
      <c r="AC28" s="249">
        <v>4168.2629999999999</v>
      </c>
      <c r="AD28" s="184"/>
      <c r="AE28" s="185"/>
      <c r="AF28" s="236"/>
      <c r="AG28" s="236"/>
      <c r="AH28" s="234"/>
      <c r="AI28" s="246">
        <v>1116618499</v>
      </c>
      <c r="AJ28" s="252" t="s">
        <v>417</v>
      </c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</row>
    <row r="29" spans="1:50" s="136" customFormat="1">
      <c r="A29" s="163" t="s">
        <v>189</v>
      </c>
      <c r="B29" s="163" t="s">
        <v>230</v>
      </c>
      <c r="C29" s="163" t="s">
        <v>344</v>
      </c>
      <c r="D29" s="164"/>
      <c r="E29" s="164"/>
      <c r="F29" s="163" t="s">
        <v>223</v>
      </c>
      <c r="G29" s="163"/>
      <c r="H29" s="163"/>
      <c r="I29" s="166">
        <v>1237.2399999999998</v>
      </c>
      <c r="J29" s="163">
        <v>762.76000000000022</v>
      </c>
      <c r="K29" s="166">
        <v>2000</v>
      </c>
      <c r="L29" s="166"/>
      <c r="M29" s="166"/>
      <c r="N29" s="166"/>
      <c r="O29" s="168"/>
      <c r="P29" s="169">
        <v>2000</v>
      </c>
      <c r="Q29" s="170"/>
      <c r="R29" s="171"/>
      <c r="S29" s="172"/>
      <c r="T29" s="172"/>
      <c r="U29" s="172"/>
      <c r="V29" s="166"/>
      <c r="W29" s="163">
        <v>0</v>
      </c>
      <c r="X29" s="169">
        <v>2000</v>
      </c>
      <c r="Y29" s="173">
        <v>0</v>
      </c>
      <c r="Z29" s="169">
        <v>2000</v>
      </c>
      <c r="AA29" s="174">
        <v>200</v>
      </c>
      <c r="AB29" s="173">
        <v>24.744799999999998</v>
      </c>
      <c r="AC29" s="169">
        <v>2224.7447999999999</v>
      </c>
      <c r="AD29" s="175"/>
      <c r="AE29" s="176"/>
      <c r="AF29" s="237"/>
      <c r="AG29" s="237"/>
      <c r="AH29" s="232">
        <v>-2000</v>
      </c>
      <c r="AI29" s="177">
        <v>2887709471</v>
      </c>
      <c r="AJ29" s="177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</row>
    <row r="30" spans="1:50">
      <c r="A30" s="163" t="s">
        <v>192</v>
      </c>
      <c r="B30" s="163" t="s">
        <v>65</v>
      </c>
      <c r="C30" s="163" t="s">
        <v>231</v>
      </c>
      <c r="D30" s="164"/>
      <c r="E30" s="164"/>
      <c r="F30" s="163" t="s">
        <v>127</v>
      </c>
      <c r="G30" s="165" t="s">
        <v>195</v>
      </c>
      <c r="H30" s="165"/>
      <c r="I30" s="166">
        <v>1237.2399999999998</v>
      </c>
      <c r="J30" s="165">
        <v>1762.76</v>
      </c>
      <c r="K30" s="166">
        <v>3000</v>
      </c>
      <c r="L30" s="166"/>
      <c r="M30" s="167"/>
      <c r="N30" s="167"/>
      <c r="O30" s="168"/>
      <c r="P30" s="169">
        <v>3000</v>
      </c>
      <c r="Q30" s="170"/>
      <c r="R30" s="171"/>
      <c r="S30" s="172"/>
      <c r="T30" s="172"/>
      <c r="U30" s="172"/>
      <c r="V30" s="166"/>
      <c r="W30" s="163">
        <v>0</v>
      </c>
      <c r="X30" s="169">
        <v>3000</v>
      </c>
      <c r="Y30" s="173">
        <v>0</v>
      </c>
      <c r="Z30" s="169">
        <v>3000</v>
      </c>
      <c r="AA30" s="174">
        <v>300</v>
      </c>
      <c r="AB30" s="173">
        <v>24.744799999999998</v>
      </c>
      <c r="AC30" s="169">
        <v>3324.7447999999999</v>
      </c>
      <c r="AD30" s="175"/>
      <c r="AE30" s="176"/>
      <c r="AF30" s="237"/>
      <c r="AG30" s="237"/>
      <c r="AH30" s="232">
        <v>-3000</v>
      </c>
      <c r="AI30" s="177">
        <v>2886339700</v>
      </c>
      <c r="AJ30" s="177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</row>
    <row r="31" spans="1:50">
      <c r="A31" s="163" t="s">
        <v>192</v>
      </c>
      <c r="B31" s="163" t="s">
        <v>67</v>
      </c>
      <c r="C31" s="163" t="s">
        <v>378</v>
      </c>
      <c r="D31" s="164"/>
      <c r="E31" s="164"/>
      <c r="F31" s="163" t="s">
        <v>125</v>
      </c>
      <c r="G31" s="165" t="s">
        <v>195</v>
      </c>
      <c r="H31" s="165"/>
      <c r="I31" s="166">
        <v>1237.2399999999998</v>
      </c>
      <c r="J31" s="165">
        <v>2762.76</v>
      </c>
      <c r="K31" s="166">
        <v>4000</v>
      </c>
      <c r="L31" s="166"/>
      <c r="M31" s="187"/>
      <c r="N31" s="167"/>
      <c r="O31" s="168"/>
      <c r="P31" s="169">
        <v>4000</v>
      </c>
      <c r="Q31" s="170"/>
      <c r="R31" s="181">
        <v>117.81</v>
      </c>
      <c r="S31" s="172"/>
      <c r="T31" s="172"/>
      <c r="U31" s="172"/>
      <c r="V31" s="166"/>
      <c r="W31" s="186">
        <v>1146.5999999999999</v>
      </c>
      <c r="X31" s="169">
        <v>2735.59</v>
      </c>
      <c r="Y31" s="173">
        <v>0</v>
      </c>
      <c r="Z31" s="169">
        <v>2735.59</v>
      </c>
      <c r="AA31" s="174">
        <v>400</v>
      </c>
      <c r="AB31" s="173">
        <v>24.744799999999998</v>
      </c>
      <c r="AC31" s="169">
        <v>4424.7448000000004</v>
      </c>
      <c r="AD31" s="175"/>
      <c r="AE31" s="176"/>
      <c r="AF31" s="237"/>
      <c r="AG31" s="237"/>
      <c r="AH31" s="232">
        <v>-2735.59</v>
      </c>
      <c r="AI31" s="177">
        <v>1109785957</v>
      </c>
      <c r="AJ31" s="177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</row>
    <row r="32" spans="1:50">
      <c r="A32" s="177" t="s">
        <v>210</v>
      </c>
      <c r="B32" s="177"/>
      <c r="C32" s="177" t="s">
        <v>379</v>
      </c>
      <c r="D32" s="240"/>
      <c r="E32" s="241">
        <v>42415</v>
      </c>
      <c r="F32" s="177" t="s">
        <v>227</v>
      </c>
      <c r="G32" s="177"/>
      <c r="H32" s="177"/>
      <c r="I32" s="175">
        <v>1237.2399999999998</v>
      </c>
      <c r="J32" s="177">
        <v>1762.7600000000002</v>
      </c>
      <c r="K32" s="175">
        <v>3000</v>
      </c>
      <c r="L32" s="175"/>
      <c r="M32" s="242"/>
      <c r="N32" s="175"/>
      <c r="O32" s="229"/>
      <c r="P32" s="169">
        <v>3000</v>
      </c>
      <c r="Q32" s="170"/>
      <c r="R32" s="170"/>
      <c r="S32" s="172"/>
      <c r="T32" s="172"/>
      <c r="U32" s="172"/>
      <c r="V32" s="175"/>
      <c r="W32" s="243"/>
      <c r="X32" s="169">
        <v>3000</v>
      </c>
      <c r="Y32" s="173">
        <v>0</v>
      </c>
      <c r="Z32" s="169">
        <v>3000</v>
      </c>
      <c r="AA32" s="174">
        <v>300</v>
      </c>
      <c r="AB32" s="173">
        <v>24.744799999999998</v>
      </c>
      <c r="AC32" s="169">
        <v>3324.7447999999999</v>
      </c>
      <c r="AD32" s="184"/>
      <c r="AE32" s="185"/>
      <c r="AF32" s="236"/>
      <c r="AG32" s="236"/>
      <c r="AH32" s="234">
        <v>-3000</v>
      </c>
      <c r="AI32" s="177"/>
      <c r="AJ32" s="183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</row>
    <row r="33" spans="1:50" s="136" customFormat="1">
      <c r="A33" s="163" t="s">
        <v>207</v>
      </c>
      <c r="B33" s="163" t="s">
        <v>233</v>
      </c>
      <c r="C33" s="163" t="s">
        <v>234</v>
      </c>
      <c r="D33" s="164"/>
      <c r="E33" s="164"/>
      <c r="F33" s="163" t="s">
        <v>135</v>
      </c>
      <c r="G33" s="163"/>
      <c r="H33" s="163"/>
      <c r="I33" s="166">
        <v>1237.2399999999998</v>
      </c>
      <c r="J33" s="163">
        <v>2262.7600000000002</v>
      </c>
      <c r="K33" s="166">
        <v>3500</v>
      </c>
      <c r="L33" s="166"/>
      <c r="M33" s="166"/>
      <c r="N33" s="166"/>
      <c r="O33" s="168"/>
      <c r="P33" s="169">
        <v>3500</v>
      </c>
      <c r="Q33" s="170"/>
      <c r="R33" s="170"/>
      <c r="S33" s="172"/>
      <c r="T33" s="172"/>
      <c r="U33" s="172"/>
      <c r="V33" s="163">
        <v>58.19</v>
      </c>
      <c r="W33" s="163">
        <v>0</v>
      </c>
      <c r="X33" s="169">
        <v>3441.81</v>
      </c>
      <c r="Y33" s="173">
        <v>0</v>
      </c>
      <c r="Z33" s="169">
        <v>3441.81</v>
      </c>
      <c r="AA33" s="174">
        <v>350</v>
      </c>
      <c r="AB33" s="173">
        <v>24.744799999999998</v>
      </c>
      <c r="AC33" s="169">
        <v>3874.7447999999999</v>
      </c>
      <c r="AD33" s="175"/>
      <c r="AE33" s="176"/>
      <c r="AF33" s="237"/>
      <c r="AG33" s="237"/>
      <c r="AH33" s="232">
        <v>-3441.81</v>
      </c>
      <c r="AI33" s="177">
        <v>2659973974</v>
      </c>
      <c r="AJ33" s="177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</row>
    <row r="34" spans="1:50">
      <c r="A34" s="163" t="s">
        <v>207</v>
      </c>
      <c r="B34" s="163" t="s">
        <v>71</v>
      </c>
      <c r="C34" s="163" t="s">
        <v>345</v>
      </c>
      <c r="D34" s="164"/>
      <c r="E34" s="164"/>
      <c r="F34" s="163" t="s">
        <v>136</v>
      </c>
      <c r="G34" s="163"/>
      <c r="H34" s="163"/>
      <c r="I34" s="166">
        <v>1237.2399999999998</v>
      </c>
      <c r="J34" s="163">
        <v>2012.7600000000002</v>
      </c>
      <c r="K34" s="166">
        <v>3250</v>
      </c>
      <c r="L34" s="166"/>
      <c r="M34" s="166"/>
      <c r="N34" s="166"/>
      <c r="O34" s="168"/>
      <c r="P34" s="169">
        <v>3250</v>
      </c>
      <c r="Q34" s="170"/>
      <c r="R34" s="170"/>
      <c r="S34" s="172"/>
      <c r="T34" s="172"/>
      <c r="U34" s="172"/>
      <c r="V34" s="166"/>
      <c r="W34" s="186">
        <v>1045.54</v>
      </c>
      <c r="X34" s="169">
        <v>2204.46</v>
      </c>
      <c r="Y34" s="173">
        <v>0</v>
      </c>
      <c r="Z34" s="169">
        <v>2204.46</v>
      </c>
      <c r="AA34" s="174">
        <v>325</v>
      </c>
      <c r="AB34" s="173">
        <v>24.744799999999998</v>
      </c>
      <c r="AC34" s="169">
        <v>3599.7447999999999</v>
      </c>
      <c r="AD34" s="175"/>
      <c r="AE34" s="176"/>
      <c r="AF34" s="237"/>
      <c r="AG34" s="237"/>
      <c r="AH34" s="232">
        <v>-2204.46</v>
      </c>
      <c r="AI34" s="177">
        <v>2786636659</v>
      </c>
      <c r="AJ34" s="177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</row>
    <row r="35" spans="1:50">
      <c r="A35" s="255" t="s">
        <v>218</v>
      </c>
      <c r="B35" s="255" t="s">
        <v>73</v>
      </c>
      <c r="C35" s="255" t="s">
        <v>389</v>
      </c>
      <c r="D35" s="255"/>
      <c r="E35" s="255"/>
      <c r="F35" s="255" t="s">
        <v>134</v>
      </c>
      <c r="G35" s="255"/>
      <c r="H35" s="255"/>
      <c r="I35" s="256">
        <v>0</v>
      </c>
      <c r="J35" s="255">
        <v>0</v>
      </c>
      <c r="K35" s="256">
        <v>0</v>
      </c>
      <c r="L35" s="256"/>
      <c r="M35" s="256"/>
      <c r="N35" s="256"/>
      <c r="O35" s="256"/>
      <c r="P35" s="257">
        <v>0</v>
      </c>
      <c r="Q35" s="256"/>
      <c r="R35" s="256"/>
      <c r="S35" s="258"/>
      <c r="T35" s="258"/>
      <c r="U35" s="258"/>
      <c r="V35" s="256"/>
      <c r="W35" s="255">
        <v>0</v>
      </c>
      <c r="X35" s="257">
        <v>0</v>
      </c>
      <c r="Y35" s="258">
        <v>0</v>
      </c>
      <c r="Z35" s="257">
        <v>0</v>
      </c>
      <c r="AA35" s="258">
        <v>0</v>
      </c>
      <c r="AB35" s="258">
        <v>0</v>
      </c>
      <c r="AC35" s="257">
        <v>0</v>
      </c>
      <c r="AD35" s="256"/>
      <c r="AE35" s="259"/>
      <c r="AF35" s="260"/>
      <c r="AG35" s="260"/>
      <c r="AH35" s="261">
        <v>0</v>
      </c>
      <c r="AI35" s="255">
        <v>2892941821</v>
      </c>
      <c r="AJ35" s="262" t="s">
        <v>418</v>
      </c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</row>
    <row r="36" spans="1:50" s="136" customFormat="1">
      <c r="A36" s="163" t="s">
        <v>199</v>
      </c>
      <c r="B36" s="163" t="s">
        <v>75</v>
      </c>
      <c r="C36" s="163" t="s">
        <v>235</v>
      </c>
      <c r="D36" s="163"/>
      <c r="E36" s="163"/>
      <c r="F36" s="163" t="s">
        <v>142</v>
      </c>
      <c r="G36" s="163"/>
      <c r="H36" s="163"/>
      <c r="I36" s="166">
        <v>1237.2399999999998</v>
      </c>
      <c r="J36" s="163">
        <v>2762.76</v>
      </c>
      <c r="K36" s="166">
        <v>4000</v>
      </c>
      <c r="L36" s="166"/>
      <c r="M36" s="166"/>
      <c r="N36" s="166"/>
      <c r="O36" s="168"/>
      <c r="P36" s="169">
        <v>4000</v>
      </c>
      <c r="Q36" s="170"/>
      <c r="R36" s="189">
        <v>117.81</v>
      </c>
      <c r="S36" s="172"/>
      <c r="T36" s="172"/>
      <c r="U36" s="172"/>
      <c r="V36" s="166"/>
      <c r="W36" s="186">
        <v>1200.08</v>
      </c>
      <c r="X36" s="169">
        <v>2682.11</v>
      </c>
      <c r="Y36" s="173">
        <v>0</v>
      </c>
      <c r="Z36" s="169">
        <v>2682.11</v>
      </c>
      <c r="AA36" s="174">
        <v>400</v>
      </c>
      <c r="AB36" s="173">
        <v>24.744799999999998</v>
      </c>
      <c r="AC36" s="169">
        <v>4424.7448000000004</v>
      </c>
      <c r="AD36" s="175"/>
      <c r="AE36" s="176"/>
      <c r="AF36" s="237"/>
      <c r="AG36" s="237"/>
      <c r="AH36" s="232">
        <v>-2682.11</v>
      </c>
      <c r="AI36" s="177">
        <v>2745564778</v>
      </c>
      <c r="AJ36" s="183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</row>
    <row r="37" spans="1:50" s="136" customFormat="1">
      <c r="A37" s="163" t="s">
        <v>207</v>
      </c>
      <c r="B37" s="163" t="s">
        <v>77</v>
      </c>
      <c r="C37" s="163" t="s">
        <v>236</v>
      </c>
      <c r="D37" s="164"/>
      <c r="E37" s="164"/>
      <c r="F37" s="163" t="s">
        <v>138</v>
      </c>
      <c r="G37" s="165"/>
      <c r="H37" s="165"/>
      <c r="I37" s="166">
        <v>1237.2399999999998</v>
      </c>
      <c r="J37" s="165">
        <v>3262.76</v>
      </c>
      <c r="K37" s="166">
        <v>4500</v>
      </c>
      <c r="L37" s="175">
        <v>1950</v>
      </c>
      <c r="M37" s="167">
        <v>821</v>
      </c>
      <c r="N37" s="167"/>
      <c r="O37" s="168"/>
      <c r="P37" s="169">
        <v>7271</v>
      </c>
      <c r="Q37" s="170"/>
      <c r="R37" s="189">
        <v>117.81</v>
      </c>
      <c r="S37" s="172"/>
      <c r="T37" s="172"/>
      <c r="U37" s="172"/>
      <c r="V37" s="166"/>
      <c r="W37" s="163">
        <v>887.44</v>
      </c>
      <c r="X37" s="169">
        <v>6265.75</v>
      </c>
      <c r="Y37" s="173">
        <v>727.1</v>
      </c>
      <c r="Z37" s="169">
        <v>5538.65</v>
      </c>
      <c r="AA37" s="174">
        <v>0</v>
      </c>
      <c r="AB37" s="173">
        <v>24.744799999999998</v>
      </c>
      <c r="AC37" s="169">
        <v>7295.7448000000004</v>
      </c>
      <c r="AD37" s="175"/>
      <c r="AE37" s="176"/>
      <c r="AF37" s="237"/>
      <c r="AG37" s="237"/>
      <c r="AH37" s="232">
        <v>-5538.65</v>
      </c>
      <c r="AI37" s="177">
        <v>2760229598</v>
      </c>
      <c r="AJ37" s="177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</row>
    <row r="38" spans="1:50">
      <c r="A38" s="163" t="s">
        <v>189</v>
      </c>
      <c r="B38" s="163" t="s">
        <v>79</v>
      </c>
      <c r="C38" s="163" t="s">
        <v>347</v>
      </c>
      <c r="D38" s="164"/>
      <c r="E38" s="164"/>
      <c r="F38" s="163" t="s">
        <v>237</v>
      </c>
      <c r="G38" s="163"/>
      <c r="H38" s="163"/>
      <c r="I38" s="166">
        <v>1237.2399999999998</v>
      </c>
      <c r="J38" s="163">
        <v>237.76</v>
      </c>
      <c r="K38" s="166">
        <v>1474.9999999999998</v>
      </c>
      <c r="L38" s="166"/>
      <c r="M38" s="166"/>
      <c r="N38" s="166"/>
      <c r="O38" s="168"/>
      <c r="P38" s="169">
        <v>1474.9999999999998</v>
      </c>
      <c r="Q38" s="170"/>
      <c r="R38" s="170"/>
      <c r="S38" s="172"/>
      <c r="T38" s="172"/>
      <c r="U38" s="172"/>
      <c r="V38" s="166"/>
      <c r="W38" s="163">
        <v>0</v>
      </c>
      <c r="X38" s="169">
        <v>1474.9999999999998</v>
      </c>
      <c r="Y38" s="173">
        <v>0</v>
      </c>
      <c r="Z38" s="169">
        <v>1474.9999999999998</v>
      </c>
      <c r="AA38" s="174">
        <v>147.49999999999997</v>
      </c>
      <c r="AB38" s="173">
        <v>24.744799999999998</v>
      </c>
      <c r="AC38" s="169">
        <v>1647.2447999999997</v>
      </c>
      <c r="AD38" s="175"/>
      <c r="AE38" s="176"/>
      <c r="AF38" s="237"/>
      <c r="AG38" s="237"/>
      <c r="AH38" s="232">
        <v>-1474.9999999999998</v>
      </c>
      <c r="AI38" s="177">
        <v>1404990536</v>
      </c>
      <c r="AJ38" s="177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</row>
    <row r="39" spans="1:50">
      <c r="A39" s="163" t="s">
        <v>207</v>
      </c>
      <c r="B39" s="163" t="s">
        <v>81</v>
      </c>
      <c r="C39" s="163" t="s">
        <v>238</v>
      </c>
      <c r="D39" s="164"/>
      <c r="E39" s="164"/>
      <c r="F39" s="163" t="s">
        <v>137</v>
      </c>
      <c r="G39" s="165"/>
      <c r="H39" s="165"/>
      <c r="I39" s="166">
        <v>1237.2399999999998</v>
      </c>
      <c r="J39" s="165">
        <v>1112.7600000000002</v>
      </c>
      <c r="K39" s="166">
        <v>2350</v>
      </c>
      <c r="L39" s="166"/>
      <c r="M39" s="167"/>
      <c r="N39" s="167"/>
      <c r="O39" s="168"/>
      <c r="P39" s="169">
        <v>2350</v>
      </c>
      <c r="Q39" s="170"/>
      <c r="R39" s="170"/>
      <c r="S39" s="172"/>
      <c r="T39" s="172"/>
      <c r="U39" s="172"/>
      <c r="V39" s="166"/>
      <c r="W39" s="163">
        <v>0</v>
      </c>
      <c r="X39" s="169">
        <v>2350</v>
      </c>
      <c r="Y39" s="173">
        <v>0</v>
      </c>
      <c r="Z39" s="169">
        <v>2350</v>
      </c>
      <c r="AA39" s="174">
        <v>235</v>
      </c>
      <c r="AB39" s="173">
        <v>24.744799999999998</v>
      </c>
      <c r="AC39" s="169">
        <v>2609.7447999999999</v>
      </c>
      <c r="AD39" s="175"/>
      <c r="AE39" s="176"/>
      <c r="AF39" s="237"/>
      <c r="AG39" s="237"/>
      <c r="AH39" s="232">
        <v>-2350</v>
      </c>
      <c r="AI39" s="177">
        <v>2884661508</v>
      </c>
      <c r="AJ39" s="177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</row>
    <row r="40" spans="1:50">
      <c r="A40" s="246" t="s">
        <v>192</v>
      </c>
      <c r="B40" s="246"/>
      <c r="C40" s="246" t="s">
        <v>419</v>
      </c>
      <c r="D40" s="247"/>
      <c r="E40" s="254">
        <v>42486</v>
      </c>
      <c r="F40" s="246" t="s">
        <v>420</v>
      </c>
      <c r="G40" s="246"/>
      <c r="H40" s="246"/>
      <c r="I40" s="184"/>
      <c r="J40" s="246"/>
      <c r="K40" s="184">
        <v>666.66</v>
      </c>
      <c r="L40" s="184"/>
      <c r="M40" s="184"/>
      <c r="N40" s="184"/>
      <c r="O40" s="248"/>
      <c r="P40" s="249">
        <v>666.66</v>
      </c>
      <c r="Q40" s="184"/>
      <c r="R40" s="184"/>
      <c r="S40" s="251"/>
      <c r="T40" s="251"/>
      <c r="U40" s="251"/>
      <c r="V40" s="184"/>
      <c r="W40" s="246">
        <v>0</v>
      </c>
      <c r="X40" s="249">
        <v>666.66</v>
      </c>
      <c r="Y40" s="251">
        <v>0</v>
      </c>
      <c r="Z40" s="249">
        <v>666.66</v>
      </c>
      <c r="AA40" s="251">
        <v>66.665999999999997</v>
      </c>
      <c r="AB40" s="251">
        <v>0</v>
      </c>
      <c r="AC40" s="249">
        <v>733.32600000000002</v>
      </c>
      <c r="AD40" s="184"/>
      <c r="AE40" s="185"/>
      <c r="AF40" s="236"/>
      <c r="AG40" s="236"/>
      <c r="AH40" s="234"/>
      <c r="AI40" s="246">
        <v>1116669077</v>
      </c>
      <c r="AJ40" s="252" t="s">
        <v>421</v>
      </c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</row>
    <row r="41" spans="1:50">
      <c r="A41" s="163" t="s">
        <v>218</v>
      </c>
      <c r="B41" s="163" t="s">
        <v>83</v>
      </c>
      <c r="C41" s="163" t="s">
        <v>239</v>
      </c>
      <c r="D41" s="164"/>
      <c r="E41" s="164"/>
      <c r="F41" s="163" t="s">
        <v>128</v>
      </c>
      <c r="G41" s="165" t="s">
        <v>195</v>
      </c>
      <c r="H41" s="163"/>
      <c r="I41" s="166">
        <v>1237.2399999999998</v>
      </c>
      <c r="J41" s="163">
        <v>1312.76</v>
      </c>
      <c r="K41" s="166">
        <v>2550</v>
      </c>
      <c r="L41" s="166"/>
      <c r="M41" s="166"/>
      <c r="N41" s="166"/>
      <c r="O41" s="168"/>
      <c r="P41" s="169">
        <v>2550</v>
      </c>
      <c r="Q41" s="170"/>
      <c r="R41" s="170"/>
      <c r="S41" s="172"/>
      <c r="T41" s="172"/>
      <c r="U41" s="172"/>
      <c r="V41" s="166"/>
      <c r="W41" s="163">
        <v>0</v>
      </c>
      <c r="X41" s="169">
        <v>2550</v>
      </c>
      <c r="Y41" s="173">
        <v>0</v>
      </c>
      <c r="Z41" s="169">
        <v>2550</v>
      </c>
      <c r="AA41" s="174">
        <v>255</v>
      </c>
      <c r="AB41" s="173">
        <v>24.744799999999998</v>
      </c>
      <c r="AC41" s="169">
        <v>2829.7447999999999</v>
      </c>
      <c r="AD41" s="175"/>
      <c r="AE41" s="176"/>
      <c r="AF41" s="237"/>
      <c r="AG41" s="237"/>
      <c r="AH41" s="232">
        <v>-2550</v>
      </c>
      <c r="AI41" s="177">
        <v>2864339452</v>
      </c>
      <c r="AJ41" s="183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</row>
    <row r="42" spans="1:50">
      <c r="A42" s="163" t="s">
        <v>210</v>
      </c>
      <c r="B42" s="163" t="s">
        <v>240</v>
      </c>
      <c r="C42" s="163" t="s">
        <v>380</v>
      </c>
      <c r="D42" s="164"/>
      <c r="E42" s="164"/>
      <c r="F42" s="163" t="s">
        <v>131</v>
      </c>
      <c r="G42" s="163"/>
      <c r="H42" s="163"/>
      <c r="I42" s="166">
        <v>1237.2399999999998</v>
      </c>
      <c r="J42" s="163">
        <v>1262.7600000000002</v>
      </c>
      <c r="K42" s="166">
        <v>2500</v>
      </c>
      <c r="L42" s="166"/>
      <c r="M42" s="166"/>
      <c r="N42" s="166"/>
      <c r="O42" s="168"/>
      <c r="P42" s="169">
        <v>2500</v>
      </c>
      <c r="Q42" s="170"/>
      <c r="R42" s="170"/>
      <c r="S42" s="172"/>
      <c r="T42" s="172"/>
      <c r="U42" s="172"/>
      <c r="V42" s="166"/>
      <c r="W42" s="163">
        <v>0</v>
      </c>
      <c r="X42" s="169">
        <v>2500</v>
      </c>
      <c r="Y42" s="173">
        <v>0</v>
      </c>
      <c r="Z42" s="169">
        <v>2500</v>
      </c>
      <c r="AA42" s="174">
        <v>250</v>
      </c>
      <c r="AB42" s="173">
        <v>24.744799999999998</v>
      </c>
      <c r="AC42" s="169">
        <v>2774.7447999999999</v>
      </c>
      <c r="AD42" s="175"/>
      <c r="AE42" s="176"/>
      <c r="AF42" s="237"/>
      <c r="AG42" s="237"/>
      <c r="AH42" s="232">
        <v>-2500</v>
      </c>
      <c r="AI42" s="177">
        <v>2782513943</v>
      </c>
      <c r="AJ42" s="177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</row>
    <row r="43" spans="1:50">
      <c r="A43" s="177" t="s">
        <v>381</v>
      </c>
      <c r="B43" s="177"/>
      <c r="C43" s="177" t="s">
        <v>382</v>
      </c>
      <c r="D43" s="240"/>
      <c r="E43" s="244">
        <v>42472</v>
      </c>
      <c r="F43" s="177" t="s">
        <v>220</v>
      </c>
      <c r="G43" s="177"/>
      <c r="H43" s="177"/>
      <c r="I43" s="166">
        <v>1237.2399999999998</v>
      </c>
      <c r="J43" s="165">
        <v>2012.7600000000002</v>
      </c>
      <c r="K43" s="166">
        <v>3250</v>
      </c>
      <c r="L43" s="175"/>
      <c r="M43" s="175"/>
      <c r="N43" s="175"/>
      <c r="O43" s="229"/>
      <c r="P43" s="169">
        <v>3250</v>
      </c>
      <c r="Q43" s="170"/>
      <c r="R43" s="170"/>
      <c r="S43" s="172"/>
      <c r="T43" s="172"/>
      <c r="U43" s="172"/>
      <c r="V43" s="175"/>
      <c r="W43" s="177">
        <v>0</v>
      </c>
      <c r="X43" s="169">
        <v>3250</v>
      </c>
      <c r="Y43" s="173">
        <v>0</v>
      </c>
      <c r="Z43" s="169">
        <v>3250</v>
      </c>
      <c r="AA43" s="174">
        <v>325</v>
      </c>
      <c r="AB43" s="173">
        <v>24.744799999999998</v>
      </c>
      <c r="AC43" s="169">
        <v>3599.7447999999999</v>
      </c>
      <c r="AD43" s="184"/>
      <c r="AE43" s="185"/>
      <c r="AF43" s="239"/>
      <c r="AG43" s="239"/>
      <c r="AH43" s="234">
        <v>-3250</v>
      </c>
      <c r="AI43" s="177">
        <v>1131318969</v>
      </c>
      <c r="AJ43" s="183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</row>
    <row r="44" spans="1:50" s="136" customFormat="1">
      <c r="A44" s="246" t="s">
        <v>192</v>
      </c>
      <c r="B44" s="246"/>
      <c r="C44" s="246" t="s">
        <v>422</v>
      </c>
      <c r="D44" s="247"/>
      <c r="E44" s="254">
        <v>42486</v>
      </c>
      <c r="F44" s="246" t="s">
        <v>420</v>
      </c>
      <c r="G44" s="246"/>
      <c r="H44" s="246"/>
      <c r="I44" s="184"/>
      <c r="J44" s="246"/>
      <c r="K44" s="184">
        <v>666.66</v>
      </c>
      <c r="L44" s="184"/>
      <c r="M44" s="184"/>
      <c r="N44" s="184"/>
      <c r="O44" s="248"/>
      <c r="P44" s="249">
        <v>666.66</v>
      </c>
      <c r="Q44" s="184"/>
      <c r="R44" s="184"/>
      <c r="S44" s="251"/>
      <c r="T44" s="251"/>
      <c r="U44" s="251"/>
      <c r="V44" s="184"/>
      <c r="W44" s="246">
        <v>0</v>
      </c>
      <c r="X44" s="249">
        <v>666.66</v>
      </c>
      <c r="Y44" s="251">
        <v>0</v>
      </c>
      <c r="Z44" s="249">
        <v>666.66</v>
      </c>
      <c r="AA44" s="251">
        <v>66.665999999999997</v>
      </c>
      <c r="AB44" s="251">
        <v>0</v>
      </c>
      <c r="AC44" s="249">
        <v>733.32600000000002</v>
      </c>
      <c r="AD44" s="184"/>
      <c r="AE44" s="185"/>
      <c r="AF44" s="239"/>
      <c r="AG44" s="239"/>
      <c r="AH44" s="234"/>
      <c r="AI44" s="246">
        <v>1116673821</v>
      </c>
      <c r="AJ44" s="252" t="s">
        <v>421</v>
      </c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</row>
    <row r="45" spans="1:50">
      <c r="A45" s="163" t="s">
        <v>207</v>
      </c>
      <c r="B45" s="163" t="s">
        <v>247</v>
      </c>
      <c r="C45" s="163" t="s">
        <v>391</v>
      </c>
      <c r="D45" s="164"/>
      <c r="E45" s="164"/>
      <c r="F45" s="163" t="s">
        <v>137</v>
      </c>
      <c r="G45" s="165"/>
      <c r="H45" s="165"/>
      <c r="I45" s="166">
        <v>1237.2399999999998</v>
      </c>
      <c r="J45" s="165">
        <v>2512.7600000000002</v>
      </c>
      <c r="K45" s="166">
        <v>3750</v>
      </c>
      <c r="L45" s="166"/>
      <c r="M45" s="167"/>
      <c r="N45" s="167"/>
      <c r="O45" s="168"/>
      <c r="P45" s="169">
        <v>3750</v>
      </c>
      <c r="Q45" s="170"/>
      <c r="R45" s="170"/>
      <c r="S45" s="172"/>
      <c r="T45" s="172"/>
      <c r="U45" s="172"/>
      <c r="V45" s="166"/>
      <c r="W45" s="163">
        <v>395.88</v>
      </c>
      <c r="X45" s="169">
        <v>3354.12</v>
      </c>
      <c r="Y45" s="173">
        <v>0</v>
      </c>
      <c r="Z45" s="169">
        <v>3354.12</v>
      </c>
      <c r="AA45" s="174">
        <v>375</v>
      </c>
      <c r="AB45" s="173">
        <v>24.744799999999998</v>
      </c>
      <c r="AC45" s="169">
        <v>4149.7448000000004</v>
      </c>
      <c r="AD45" s="175"/>
      <c r="AE45" s="176"/>
      <c r="AF45" s="237"/>
      <c r="AG45" s="237"/>
      <c r="AH45" s="232">
        <v>-3354.12</v>
      </c>
      <c r="AI45" s="177">
        <v>2934137264</v>
      </c>
      <c r="AJ45" s="177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</row>
    <row r="46" spans="1:50">
      <c r="A46" s="163" t="s">
        <v>249</v>
      </c>
      <c r="B46" s="163" t="s">
        <v>250</v>
      </c>
      <c r="C46" s="163" t="s">
        <v>392</v>
      </c>
      <c r="D46" s="164"/>
      <c r="E46" s="164"/>
      <c r="F46" s="163" t="s">
        <v>251</v>
      </c>
      <c r="G46" s="163"/>
      <c r="H46" s="163"/>
      <c r="I46" s="166">
        <v>1237.2399999999998</v>
      </c>
      <c r="J46" s="163">
        <v>1262.7600000000002</v>
      </c>
      <c r="K46" s="166">
        <v>2500</v>
      </c>
      <c r="L46" s="166"/>
      <c r="M46" s="166">
        <v>1836.18</v>
      </c>
      <c r="N46" s="166">
        <v>7344.72</v>
      </c>
      <c r="O46" s="168"/>
      <c r="P46" s="169">
        <v>11680.900000000001</v>
      </c>
      <c r="Q46" s="170"/>
      <c r="R46" s="170"/>
      <c r="S46" s="172"/>
      <c r="T46" s="172"/>
      <c r="U46" s="172"/>
      <c r="V46" s="166"/>
      <c r="W46" s="163">
        <v>0</v>
      </c>
      <c r="X46" s="169">
        <v>11680.900000000001</v>
      </c>
      <c r="Y46" s="173">
        <v>1168.0900000000001</v>
      </c>
      <c r="Z46" s="169">
        <v>10512.810000000001</v>
      </c>
      <c r="AA46" s="174">
        <v>0</v>
      </c>
      <c r="AB46" s="173">
        <v>24.744799999999998</v>
      </c>
      <c r="AC46" s="169">
        <v>11705.644800000002</v>
      </c>
      <c r="AD46" s="175"/>
      <c r="AE46" s="176"/>
      <c r="AF46" s="237"/>
      <c r="AG46" s="237"/>
      <c r="AH46" s="232">
        <v>-10512.810000000001</v>
      </c>
      <c r="AI46" s="177">
        <v>2912923548</v>
      </c>
      <c r="AJ46" s="177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</row>
    <row r="47" spans="1:50">
      <c r="A47" s="163" t="s">
        <v>218</v>
      </c>
      <c r="B47" s="163" t="s">
        <v>95</v>
      </c>
      <c r="C47" s="163" t="s">
        <v>393</v>
      </c>
      <c r="D47" s="163"/>
      <c r="E47" s="163"/>
      <c r="F47" s="163" t="s">
        <v>253</v>
      </c>
      <c r="G47" s="165" t="s">
        <v>195</v>
      </c>
      <c r="H47" s="165"/>
      <c r="I47" s="166">
        <v>1237.2399999999998</v>
      </c>
      <c r="J47" s="165">
        <v>1762.7600000000002</v>
      </c>
      <c r="K47" s="166">
        <v>3000</v>
      </c>
      <c r="L47" s="166"/>
      <c r="M47" s="167"/>
      <c r="N47" s="167"/>
      <c r="O47" s="168"/>
      <c r="P47" s="169">
        <v>3000</v>
      </c>
      <c r="Q47" s="170"/>
      <c r="R47" s="170"/>
      <c r="S47" s="172"/>
      <c r="T47" s="172"/>
      <c r="U47" s="172"/>
      <c r="V47" s="166"/>
      <c r="W47" s="163">
        <v>0</v>
      </c>
      <c r="X47" s="169">
        <v>3000</v>
      </c>
      <c r="Y47" s="173">
        <v>0</v>
      </c>
      <c r="Z47" s="169">
        <v>3000</v>
      </c>
      <c r="AA47" s="174">
        <v>300</v>
      </c>
      <c r="AB47" s="173">
        <v>24.744799999999998</v>
      </c>
      <c r="AC47" s="169">
        <v>3324.7447999999999</v>
      </c>
      <c r="AD47" s="175"/>
      <c r="AE47" s="176"/>
      <c r="AF47" s="237"/>
      <c r="AG47" s="237"/>
      <c r="AH47" s="232">
        <v>-3000</v>
      </c>
      <c r="AI47" s="177">
        <v>2985396239</v>
      </c>
      <c r="AJ47" s="177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</row>
    <row r="48" spans="1:50">
      <c r="A48" s="163" t="s">
        <v>210</v>
      </c>
      <c r="B48" s="163" t="s">
        <v>97</v>
      </c>
      <c r="C48" s="163" t="s">
        <v>254</v>
      </c>
      <c r="D48" s="164"/>
      <c r="E48" s="164"/>
      <c r="F48" s="163" t="s">
        <v>129</v>
      </c>
      <c r="G48" s="163"/>
      <c r="H48" s="163"/>
      <c r="I48" s="166">
        <v>1237.2399999999998</v>
      </c>
      <c r="J48" s="163">
        <v>3262.76</v>
      </c>
      <c r="K48" s="166">
        <v>4500</v>
      </c>
      <c r="L48" s="166"/>
      <c r="M48" s="166"/>
      <c r="N48" s="166"/>
      <c r="O48" s="168"/>
      <c r="P48" s="169">
        <v>4500</v>
      </c>
      <c r="Q48" s="170"/>
      <c r="R48" s="189">
        <v>117.81</v>
      </c>
      <c r="S48" s="172"/>
      <c r="T48" s="172"/>
      <c r="U48" s="172"/>
      <c r="V48" s="166"/>
      <c r="W48" s="163">
        <v>0</v>
      </c>
      <c r="X48" s="169">
        <v>4382.1899999999996</v>
      </c>
      <c r="Y48" s="173">
        <v>0</v>
      </c>
      <c r="Z48" s="169">
        <v>4382.1899999999996</v>
      </c>
      <c r="AA48" s="174">
        <v>0</v>
      </c>
      <c r="AB48" s="173">
        <v>24.744799999999998</v>
      </c>
      <c r="AC48" s="169">
        <v>4524.7448000000004</v>
      </c>
      <c r="AD48" s="175"/>
      <c r="AE48" s="176"/>
      <c r="AF48" s="237"/>
      <c r="AG48" s="237"/>
      <c r="AH48" s="232">
        <v>-4382.1899999999996</v>
      </c>
      <c r="AI48" s="177">
        <v>2893013472</v>
      </c>
      <c r="AJ48" s="177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</row>
    <row r="49" spans="1:50">
      <c r="A49" s="163" t="s">
        <v>192</v>
      </c>
      <c r="B49" s="163" t="s">
        <v>99</v>
      </c>
      <c r="C49" s="163" t="s">
        <v>255</v>
      </c>
      <c r="D49" s="164"/>
      <c r="E49" s="164"/>
      <c r="F49" s="163" t="s">
        <v>256</v>
      </c>
      <c r="G49" s="163" t="s">
        <v>257</v>
      </c>
      <c r="H49" s="163"/>
      <c r="I49" s="166">
        <v>1237.2399999999998</v>
      </c>
      <c r="J49" s="163">
        <v>1762.76</v>
      </c>
      <c r="K49" s="166">
        <v>3000</v>
      </c>
      <c r="L49" s="166"/>
      <c r="M49" s="166"/>
      <c r="N49" s="166"/>
      <c r="O49" s="168"/>
      <c r="P49" s="169">
        <v>3000</v>
      </c>
      <c r="Q49" s="170"/>
      <c r="R49" s="170"/>
      <c r="S49" s="172"/>
      <c r="T49" s="172"/>
      <c r="U49" s="172"/>
      <c r="V49" s="166"/>
      <c r="W49" s="163">
        <v>0</v>
      </c>
      <c r="X49" s="169">
        <v>3000</v>
      </c>
      <c r="Y49" s="173">
        <v>0</v>
      </c>
      <c r="Z49" s="169">
        <v>3000</v>
      </c>
      <c r="AA49" s="174">
        <v>300</v>
      </c>
      <c r="AB49" s="173">
        <v>24.744799999999998</v>
      </c>
      <c r="AC49" s="169">
        <v>3324.7447999999999</v>
      </c>
      <c r="AD49" s="175"/>
      <c r="AE49" s="176"/>
      <c r="AF49" s="237"/>
      <c r="AG49" s="237"/>
      <c r="AH49" s="232">
        <v>-3000</v>
      </c>
      <c r="AI49" s="177">
        <v>2836126510</v>
      </c>
      <c r="AJ49" s="177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</row>
    <row r="50" spans="1:50" s="136" customFormat="1">
      <c r="A50" s="163" t="s">
        <v>218</v>
      </c>
      <c r="B50" s="163" t="s">
        <v>101</v>
      </c>
      <c r="C50" s="163" t="s">
        <v>258</v>
      </c>
      <c r="D50" s="164"/>
      <c r="E50" s="164"/>
      <c r="F50" s="163" t="s">
        <v>204</v>
      </c>
      <c r="G50" s="163"/>
      <c r="H50" s="163"/>
      <c r="I50" s="166">
        <v>1237.2399999999998</v>
      </c>
      <c r="J50" s="163">
        <v>3262.76</v>
      </c>
      <c r="K50" s="166">
        <v>4500</v>
      </c>
      <c r="L50" s="166"/>
      <c r="M50" s="166">
        <v>592.05999999999995</v>
      </c>
      <c r="N50" s="166"/>
      <c r="O50" s="168"/>
      <c r="P50" s="169">
        <v>5092.0599999999995</v>
      </c>
      <c r="Q50" s="170"/>
      <c r="R50" s="170"/>
      <c r="S50" s="172"/>
      <c r="T50" s="172"/>
      <c r="U50" s="172"/>
      <c r="V50" s="166"/>
      <c r="W50" s="163">
        <v>0</v>
      </c>
      <c r="X50" s="169">
        <v>5092.0599999999995</v>
      </c>
      <c r="Y50" s="173">
        <v>509.20599999999996</v>
      </c>
      <c r="Z50" s="169">
        <v>4582.8539999999994</v>
      </c>
      <c r="AA50" s="174">
        <v>0</v>
      </c>
      <c r="AB50" s="173">
        <v>24.744799999999998</v>
      </c>
      <c r="AC50" s="169">
        <v>5116.8047999999999</v>
      </c>
      <c r="AD50" s="175"/>
      <c r="AE50" s="176"/>
      <c r="AF50" s="237"/>
      <c r="AG50" s="237"/>
      <c r="AH50" s="232">
        <v>-4582.8539999999994</v>
      </c>
      <c r="AI50" s="177">
        <v>2894923057</v>
      </c>
      <c r="AJ50" s="177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</row>
    <row r="51" spans="1:50">
      <c r="A51" s="163" t="s">
        <v>409</v>
      </c>
      <c r="B51" s="163" t="s">
        <v>349</v>
      </c>
      <c r="C51" s="163" t="s">
        <v>350</v>
      </c>
      <c r="D51" s="164"/>
      <c r="E51" s="164"/>
      <c r="F51" s="163" t="s">
        <v>351</v>
      </c>
      <c r="G51" s="163" t="s">
        <v>195</v>
      </c>
      <c r="H51" s="163"/>
      <c r="I51" s="166">
        <v>1237.2399999999998</v>
      </c>
      <c r="J51" s="163">
        <v>4762.76</v>
      </c>
      <c r="K51" s="166">
        <v>6000</v>
      </c>
      <c r="L51" s="166">
        <v>300</v>
      </c>
      <c r="M51" s="166"/>
      <c r="N51" s="166"/>
      <c r="O51" s="168"/>
      <c r="P51" s="169">
        <v>6300</v>
      </c>
      <c r="Q51" s="170"/>
      <c r="R51" s="170"/>
      <c r="S51" s="172"/>
      <c r="T51" s="172"/>
      <c r="U51" s="172"/>
      <c r="V51" s="166"/>
      <c r="W51" s="166">
        <v>1014.46</v>
      </c>
      <c r="X51" s="169">
        <v>5285.54</v>
      </c>
      <c r="Y51" s="173">
        <v>630</v>
      </c>
      <c r="Z51" s="169">
        <v>4655.54</v>
      </c>
      <c r="AA51" s="174">
        <v>0</v>
      </c>
      <c r="AB51" s="173">
        <v>24.744799999999998</v>
      </c>
      <c r="AC51" s="169">
        <v>6324.7448000000004</v>
      </c>
      <c r="AD51" s="175"/>
      <c r="AE51" s="176"/>
      <c r="AF51" s="237"/>
      <c r="AG51" s="237"/>
      <c r="AH51" s="232">
        <v>-4655.54</v>
      </c>
      <c r="AI51" s="177"/>
      <c r="AJ51" s="177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</row>
    <row r="52" spans="1:50">
      <c r="A52" s="163" t="s">
        <v>192</v>
      </c>
      <c r="B52" s="163" t="s">
        <v>103</v>
      </c>
      <c r="C52" s="163" t="s">
        <v>259</v>
      </c>
      <c r="D52" s="164"/>
      <c r="E52" s="164"/>
      <c r="F52" s="163" t="s">
        <v>125</v>
      </c>
      <c r="G52" s="163" t="s">
        <v>195</v>
      </c>
      <c r="H52" s="163"/>
      <c r="I52" s="166">
        <v>1237.2399999999998</v>
      </c>
      <c r="J52" s="163">
        <v>2762.76</v>
      </c>
      <c r="K52" s="166">
        <v>4000</v>
      </c>
      <c r="L52" s="166"/>
      <c r="M52" s="166"/>
      <c r="N52" s="166"/>
      <c r="O52" s="168"/>
      <c r="P52" s="169">
        <v>4000</v>
      </c>
      <c r="Q52" s="170"/>
      <c r="R52" s="170"/>
      <c r="S52" s="172"/>
      <c r="T52" s="172"/>
      <c r="U52" s="172"/>
      <c r="V52" s="166"/>
      <c r="W52" s="186">
        <v>1303.1099999999999</v>
      </c>
      <c r="X52" s="169">
        <v>2696.8900000000003</v>
      </c>
      <c r="Y52" s="173">
        <v>0</v>
      </c>
      <c r="Z52" s="169">
        <v>2696.8900000000003</v>
      </c>
      <c r="AA52" s="174">
        <v>400</v>
      </c>
      <c r="AB52" s="173">
        <v>24.744799999999998</v>
      </c>
      <c r="AC52" s="169">
        <v>4424.7448000000004</v>
      </c>
      <c r="AD52" s="175"/>
      <c r="AE52" s="176"/>
      <c r="AF52" s="237"/>
      <c r="AG52" s="237"/>
      <c r="AH52" s="232">
        <v>-2696.8900000000003</v>
      </c>
      <c r="AI52" s="177">
        <v>2914530241</v>
      </c>
      <c r="AJ52" s="177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</row>
    <row r="53" spans="1:50">
      <c r="A53" s="246" t="s">
        <v>192</v>
      </c>
      <c r="B53" s="246"/>
      <c r="C53" s="246" t="s">
        <v>423</v>
      </c>
      <c r="D53" s="247"/>
      <c r="E53" s="254">
        <v>42486</v>
      </c>
      <c r="F53" s="246" t="s">
        <v>420</v>
      </c>
      <c r="G53" s="246"/>
      <c r="H53" s="246"/>
      <c r="I53" s="184"/>
      <c r="J53" s="246"/>
      <c r="K53" s="184">
        <v>666.66</v>
      </c>
      <c r="L53" s="184"/>
      <c r="M53" s="184"/>
      <c r="N53" s="184"/>
      <c r="O53" s="248"/>
      <c r="P53" s="249">
        <v>666.66</v>
      </c>
      <c r="Q53" s="184"/>
      <c r="R53" s="184"/>
      <c r="S53" s="251"/>
      <c r="T53" s="251"/>
      <c r="U53" s="251"/>
      <c r="V53" s="184"/>
      <c r="W53" s="263">
        <v>0</v>
      </c>
      <c r="X53" s="249">
        <v>666.66</v>
      </c>
      <c r="Y53" s="251">
        <v>0</v>
      </c>
      <c r="Z53" s="249">
        <v>666.66</v>
      </c>
      <c r="AA53" s="251">
        <v>66.665999999999997</v>
      </c>
      <c r="AB53" s="251">
        <v>0</v>
      </c>
      <c r="AC53" s="249">
        <v>733.32600000000002</v>
      </c>
      <c r="AD53" s="184"/>
      <c r="AE53" s="185"/>
      <c r="AF53" s="236"/>
      <c r="AG53" s="236"/>
      <c r="AH53" s="234"/>
      <c r="AI53" s="246">
        <v>1117339461</v>
      </c>
      <c r="AJ53" s="252" t="s">
        <v>421</v>
      </c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</row>
    <row r="54" spans="1:50">
      <c r="A54" s="165" t="s">
        <v>381</v>
      </c>
      <c r="B54" s="165"/>
      <c r="C54" s="165" t="s">
        <v>375</v>
      </c>
      <c r="D54" s="190"/>
      <c r="E54" s="191">
        <v>42457</v>
      </c>
      <c r="F54" s="163" t="s">
        <v>383</v>
      </c>
      <c r="G54" s="165"/>
      <c r="H54" s="165"/>
      <c r="I54" s="166">
        <v>1237.2399999999998</v>
      </c>
      <c r="J54" s="165">
        <v>2012.7600000000002</v>
      </c>
      <c r="K54" s="166">
        <v>3250</v>
      </c>
      <c r="L54" s="167"/>
      <c r="M54" s="167"/>
      <c r="N54" s="167"/>
      <c r="O54" s="168"/>
      <c r="P54" s="169">
        <v>3250</v>
      </c>
      <c r="Q54" s="170"/>
      <c r="R54" s="170"/>
      <c r="S54" s="172"/>
      <c r="T54" s="172"/>
      <c r="U54" s="172"/>
      <c r="V54" s="167"/>
      <c r="W54" s="192"/>
      <c r="X54" s="169">
        <v>3250</v>
      </c>
      <c r="Y54" s="193">
        <v>0</v>
      </c>
      <c r="Z54" s="169">
        <v>3250</v>
      </c>
      <c r="AA54" s="174">
        <v>325</v>
      </c>
      <c r="AB54" s="193">
        <v>24.744799999999998</v>
      </c>
      <c r="AC54" s="169">
        <v>3599.7447999999999</v>
      </c>
      <c r="AD54" s="167"/>
      <c r="AE54" s="194"/>
      <c r="AF54" s="237"/>
      <c r="AG54" s="237"/>
      <c r="AH54" s="235">
        <v>-3250</v>
      </c>
      <c r="AI54" s="165">
        <v>2872910578</v>
      </c>
      <c r="AJ54" s="165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</row>
    <row r="55" spans="1:50">
      <c r="A55" s="163" t="s">
        <v>218</v>
      </c>
      <c r="B55" s="163" t="s">
        <v>105</v>
      </c>
      <c r="C55" s="163" t="s">
        <v>260</v>
      </c>
      <c r="D55" s="164"/>
      <c r="E55" s="164"/>
      <c r="F55" s="163" t="s">
        <v>227</v>
      </c>
      <c r="G55" s="165"/>
      <c r="H55" s="165"/>
      <c r="I55" s="166">
        <v>1237.2399999999998</v>
      </c>
      <c r="J55" s="165">
        <v>2012.7600000000002</v>
      </c>
      <c r="K55" s="166">
        <v>3250</v>
      </c>
      <c r="L55" s="166"/>
      <c r="M55" s="167"/>
      <c r="N55" s="167"/>
      <c r="O55" s="168"/>
      <c r="P55" s="169">
        <v>3250</v>
      </c>
      <c r="Q55" s="170"/>
      <c r="R55" s="189">
        <v>117.81</v>
      </c>
      <c r="S55" s="172"/>
      <c r="T55" s="172"/>
      <c r="U55" s="172"/>
      <c r="V55" s="166"/>
      <c r="W55" s="186">
        <v>1041.05</v>
      </c>
      <c r="X55" s="169">
        <v>2091.1400000000003</v>
      </c>
      <c r="Y55" s="173">
        <v>0</v>
      </c>
      <c r="Z55" s="169">
        <v>2091.1400000000003</v>
      </c>
      <c r="AA55" s="174">
        <v>325</v>
      </c>
      <c r="AB55" s="173">
        <v>24.744799999999998</v>
      </c>
      <c r="AC55" s="169">
        <v>3599.7447999999999</v>
      </c>
      <c r="AD55" s="175"/>
      <c r="AE55" s="176"/>
      <c r="AF55" s="237"/>
      <c r="AG55" s="237"/>
      <c r="AH55" s="232">
        <v>-2091.1400000000003</v>
      </c>
      <c r="AI55" s="177">
        <v>1413691810</v>
      </c>
      <c r="AJ55" s="177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</row>
    <row r="56" spans="1:50" s="136" customFormat="1">
      <c r="A56" s="163" t="s">
        <v>207</v>
      </c>
      <c r="B56" s="163" t="s">
        <v>261</v>
      </c>
      <c r="C56" s="163" t="s">
        <v>262</v>
      </c>
      <c r="D56" s="164"/>
      <c r="E56" s="164"/>
      <c r="F56" s="163" t="s">
        <v>139</v>
      </c>
      <c r="G56" s="165"/>
      <c r="H56" s="165"/>
      <c r="I56" s="166">
        <v>1237.2399999999998</v>
      </c>
      <c r="J56" s="165">
        <v>1262.7600000000002</v>
      </c>
      <c r="K56" s="166">
        <v>2500</v>
      </c>
      <c r="L56" s="166">
        <v>1400</v>
      </c>
      <c r="M56" s="167"/>
      <c r="N56" s="167"/>
      <c r="O56" s="168"/>
      <c r="P56" s="169">
        <v>3900</v>
      </c>
      <c r="Q56" s="170"/>
      <c r="R56" s="189">
        <v>76.56</v>
      </c>
      <c r="S56" s="172"/>
      <c r="T56" s="172"/>
      <c r="U56" s="172"/>
      <c r="V56" s="166"/>
      <c r="W56" s="163">
        <v>0</v>
      </c>
      <c r="X56" s="169">
        <v>3823.44</v>
      </c>
      <c r="Y56" s="173">
        <v>0</v>
      </c>
      <c r="Z56" s="169">
        <v>3823.44</v>
      </c>
      <c r="AA56" s="174">
        <v>390</v>
      </c>
      <c r="AB56" s="173">
        <v>24.744799999999998</v>
      </c>
      <c r="AC56" s="169">
        <v>4314.7448000000004</v>
      </c>
      <c r="AD56" s="175"/>
      <c r="AE56" s="176"/>
      <c r="AF56" s="237"/>
      <c r="AG56" s="237"/>
      <c r="AH56" s="232">
        <v>-3823.44</v>
      </c>
      <c r="AI56" s="177">
        <v>2965106850</v>
      </c>
      <c r="AJ56" s="177"/>
      <c r="AK56" s="195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</row>
    <row r="57" spans="1:50" s="136" customFormat="1">
      <c r="A57" s="163" t="s">
        <v>189</v>
      </c>
      <c r="B57" s="163" t="s">
        <v>109</v>
      </c>
      <c r="C57" s="163" t="s">
        <v>352</v>
      </c>
      <c r="D57" s="164"/>
      <c r="E57" s="164"/>
      <c r="F57" s="163" t="s">
        <v>204</v>
      </c>
      <c r="G57" s="163"/>
      <c r="H57" s="163"/>
      <c r="I57" s="166">
        <v>1237.2399999999998</v>
      </c>
      <c r="J57" s="163">
        <v>2262.7600000000002</v>
      </c>
      <c r="K57" s="166">
        <v>3500</v>
      </c>
      <c r="L57" s="166"/>
      <c r="M57" s="166"/>
      <c r="N57" s="166"/>
      <c r="O57" s="168"/>
      <c r="P57" s="169">
        <v>3500</v>
      </c>
      <c r="Q57" s="170"/>
      <c r="R57" s="170"/>
      <c r="S57" s="172"/>
      <c r="T57" s="172"/>
      <c r="U57" s="172"/>
      <c r="V57" s="166"/>
      <c r="W57" s="163">
        <v>462.61</v>
      </c>
      <c r="X57" s="169">
        <v>3037.39</v>
      </c>
      <c r="Y57" s="173">
        <v>0</v>
      </c>
      <c r="Z57" s="169">
        <v>3037.39</v>
      </c>
      <c r="AA57" s="174">
        <v>350</v>
      </c>
      <c r="AB57" s="173">
        <v>24.744799999999998</v>
      </c>
      <c r="AC57" s="169">
        <v>3874.7447999999999</v>
      </c>
      <c r="AD57" s="175"/>
      <c r="AE57" s="176"/>
      <c r="AF57" s="238"/>
      <c r="AG57" s="237"/>
      <c r="AH57" s="232">
        <v>-3037.39</v>
      </c>
      <c r="AI57" s="177">
        <v>2729733183</v>
      </c>
      <c r="AJ57" s="165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</row>
    <row r="58" spans="1:50" s="136" customFormat="1">
      <c r="A58" s="163" t="s">
        <v>218</v>
      </c>
      <c r="B58" s="163" t="s">
        <v>263</v>
      </c>
      <c r="C58" s="163" t="s">
        <v>424</v>
      </c>
      <c r="D58" s="163"/>
      <c r="E58" s="163"/>
      <c r="F58" s="163" t="s">
        <v>265</v>
      </c>
      <c r="G58" s="163" t="s">
        <v>195</v>
      </c>
      <c r="H58" s="163"/>
      <c r="I58" s="166">
        <v>1237.2399999999998</v>
      </c>
      <c r="J58" s="163">
        <v>1762.76</v>
      </c>
      <c r="K58" s="180">
        <v>3000</v>
      </c>
      <c r="L58" s="166">
        <v>1000</v>
      </c>
      <c r="M58" s="166"/>
      <c r="N58" s="166"/>
      <c r="O58" s="168"/>
      <c r="P58" s="169">
        <v>4000</v>
      </c>
      <c r="Q58" s="170"/>
      <c r="R58" s="170"/>
      <c r="S58" s="172">
        <v>150</v>
      </c>
      <c r="T58" s="172"/>
      <c r="U58" s="172"/>
      <c r="V58" s="166"/>
      <c r="W58" s="163">
        <v>0</v>
      </c>
      <c r="X58" s="169">
        <v>3850</v>
      </c>
      <c r="Y58" s="173">
        <v>0</v>
      </c>
      <c r="Z58" s="169">
        <v>3850</v>
      </c>
      <c r="AA58" s="174">
        <v>400</v>
      </c>
      <c r="AB58" s="173">
        <v>24.744799999999998</v>
      </c>
      <c r="AC58" s="169">
        <v>4424.7448000000004</v>
      </c>
      <c r="AD58" s="175"/>
      <c r="AE58" s="176"/>
      <c r="AF58" s="237"/>
      <c r="AG58" s="237"/>
      <c r="AH58" s="232">
        <v>-3850</v>
      </c>
      <c r="AI58" s="177">
        <v>2929389652</v>
      </c>
      <c r="AJ58" s="245" t="s">
        <v>425</v>
      </c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</row>
    <row r="59" spans="1:50" s="136" customFormat="1">
      <c r="A59" s="163" t="s">
        <v>207</v>
      </c>
      <c r="B59" s="163" t="s">
        <v>113</v>
      </c>
      <c r="C59" s="163" t="s">
        <v>266</v>
      </c>
      <c r="D59" s="164"/>
      <c r="E59" s="164"/>
      <c r="F59" s="163" t="s">
        <v>140</v>
      </c>
      <c r="G59" s="163" t="s">
        <v>195</v>
      </c>
      <c r="H59" s="163"/>
      <c r="I59" s="166">
        <v>1237.2399999999998</v>
      </c>
      <c r="J59" s="163">
        <v>5262.76</v>
      </c>
      <c r="K59" s="166">
        <v>6500</v>
      </c>
      <c r="L59" s="166"/>
      <c r="M59" s="166"/>
      <c r="N59" s="166"/>
      <c r="O59" s="168"/>
      <c r="P59" s="169">
        <v>6500</v>
      </c>
      <c r="Q59" s="170"/>
      <c r="R59" s="170"/>
      <c r="S59" s="172"/>
      <c r="T59" s="172"/>
      <c r="U59" s="172"/>
      <c r="V59" s="166"/>
      <c r="W59" s="163">
        <v>0</v>
      </c>
      <c r="X59" s="169">
        <v>6500</v>
      </c>
      <c r="Y59" s="173">
        <v>650</v>
      </c>
      <c r="Z59" s="169">
        <v>5850</v>
      </c>
      <c r="AA59" s="174">
        <v>0</v>
      </c>
      <c r="AB59" s="173">
        <v>24.744799999999998</v>
      </c>
      <c r="AC59" s="169">
        <v>6524.7448000000004</v>
      </c>
      <c r="AD59" s="175"/>
      <c r="AE59" s="176"/>
      <c r="AF59" s="233" t="s">
        <v>426</v>
      </c>
      <c r="AG59" s="233" t="s">
        <v>332</v>
      </c>
      <c r="AH59" s="234"/>
      <c r="AI59" s="177" t="s">
        <v>267</v>
      </c>
      <c r="AJ59" s="177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</row>
    <row r="60" spans="1:50" s="136" customFormat="1">
      <c r="A60" s="163" t="s">
        <v>192</v>
      </c>
      <c r="B60" s="163" t="s">
        <v>115</v>
      </c>
      <c r="C60" s="163" t="s">
        <v>427</v>
      </c>
      <c r="D60" s="164"/>
      <c r="E60" s="164"/>
      <c r="F60" s="163" t="s">
        <v>269</v>
      </c>
      <c r="G60" s="165"/>
      <c r="H60" s="165"/>
      <c r="I60" s="166">
        <v>1237.2399999999998</v>
      </c>
      <c r="J60" s="165">
        <v>1762.7600000000002</v>
      </c>
      <c r="K60" s="166">
        <v>3000</v>
      </c>
      <c r="L60" s="166"/>
      <c r="M60" s="167"/>
      <c r="N60" s="167"/>
      <c r="O60" s="168"/>
      <c r="P60" s="169">
        <v>3000</v>
      </c>
      <c r="Q60" s="170"/>
      <c r="R60" s="170"/>
      <c r="S60" s="172"/>
      <c r="T60" s="172"/>
      <c r="U60" s="172"/>
      <c r="V60" s="166"/>
      <c r="W60" s="163">
        <v>0</v>
      </c>
      <c r="X60" s="169">
        <v>3000</v>
      </c>
      <c r="Y60" s="173">
        <v>0</v>
      </c>
      <c r="Z60" s="169">
        <v>3000</v>
      </c>
      <c r="AA60" s="174">
        <v>300</v>
      </c>
      <c r="AB60" s="173">
        <v>24.744799999999998</v>
      </c>
      <c r="AC60" s="169">
        <v>3324.7447999999999</v>
      </c>
      <c r="AD60" s="175"/>
      <c r="AE60" s="176"/>
      <c r="AF60" s="237"/>
      <c r="AG60" s="237"/>
      <c r="AH60" s="232">
        <v>-3000</v>
      </c>
      <c r="AI60" s="177">
        <v>1405570565</v>
      </c>
      <c r="AJ60" s="177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</row>
    <row r="61" spans="1:50" s="136" customFormat="1">
      <c r="A61" s="163" t="s">
        <v>409</v>
      </c>
      <c r="B61" s="163" t="s">
        <v>117</v>
      </c>
      <c r="C61" s="163" t="s">
        <v>397</v>
      </c>
      <c r="D61" s="164"/>
      <c r="E61" s="164"/>
      <c r="F61" s="163" t="s">
        <v>271</v>
      </c>
      <c r="G61" s="163" t="s">
        <v>195</v>
      </c>
      <c r="H61" s="163"/>
      <c r="I61" s="166">
        <v>1237.2399999999998</v>
      </c>
      <c r="J61" s="163">
        <v>2762.76</v>
      </c>
      <c r="K61" s="166">
        <v>4000</v>
      </c>
      <c r="L61" s="166"/>
      <c r="M61" s="166"/>
      <c r="N61" s="166"/>
      <c r="O61" s="168"/>
      <c r="P61" s="169">
        <v>4000</v>
      </c>
      <c r="Q61" s="170"/>
      <c r="R61" s="170"/>
      <c r="S61" s="172"/>
      <c r="T61" s="172"/>
      <c r="U61" s="172"/>
      <c r="V61" s="166"/>
      <c r="W61" s="186">
        <v>1309.77</v>
      </c>
      <c r="X61" s="169">
        <v>2690.23</v>
      </c>
      <c r="Y61" s="173">
        <v>0</v>
      </c>
      <c r="Z61" s="169">
        <v>2690.23</v>
      </c>
      <c r="AA61" s="174">
        <v>400</v>
      </c>
      <c r="AB61" s="173">
        <v>24.744799999999998</v>
      </c>
      <c r="AC61" s="169">
        <v>4424.7448000000004</v>
      </c>
      <c r="AD61" s="175"/>
      <c r="AE61" s="176"/>
      <c r="AF61" s="237"/>
      <c r="AG61" s="237"/>
      <c r="AH61" s="232">
        <v>-2690.23</v>
      </c>
      <c r="AI61" s="177">
        <v>2937082010</v>
      </c>
      <c r="AJ61" s="183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</row>
    <row r="62" spans="1:50" s="136" customFormat="1">
      <c r="A62" s="177" t="s">
        <v>409</v>
      </c>
      <c r="B62" s="177"/>
      <c r="C62" s="177" t="s">
        <v>384</v>
      </c>
      <c r="D62" s="240"/>
      <c r="E62" s="244">
        <v>42472</v>
      </c>
      <c r="F62" s="177" t="s">
        <v>274</v>
      </c>
      <c r="G62" s="177"/>
      <c r="H62" s="177"/>
      <c r="I62" s="166">
        <v>1237.2399999999998</v>
      </c>
      <c r="J62" s="163">
        <v>4318.76</v>
      </c>
      <c r="K62" s="166">
        <v>5556</v>
      </c>
      <c r="L62" s="175"/>
      <c r="M62" s="175"/>
      <c r="N62" s="175"/>
      <c r="O62" s="229"/>
      <c r="P62" s="169">
        <v>5556</v>
      </c>
      <c r="Q62" s="170"/>
      <c r="R62" s="170"/>
      <c r="S62" s="172"/>
      <c r="T62" s="172"/>
      <c r="U62" s="172"/>
      <c r="V62" s="175"/>
      <c r="W62" s="243">
        <v>0</v>
      </c>
      <c r="X62" s="169">
        <v>5556</v>
      </c>
      <c r="Y62" s="173">
        <v>555.6</v>
      </c>
      <c r="Z62" s="169">
        <v>5000.3999999999996</v>
      </c>
      <c r="AA62" s="174">
        <v>0</v>
      </c>
      <c r="AB62" s="173">
        <v>24.744799999999998</v>
      </c>
      <c r="AC62" s="169">
        <v>5580.7448000000004</v>
      </c>
      <c r="AD62" s="184"/>
      <c r="AE62" s="185"/>
      <c r="AF62" s="233" t="s">
        <v>414</v>
      </c>
      <c r="AG62" s="236" t="s">
        <v>335</v>
      </c>
      <c r="AH62" s="234"/>
      <c r="AI62" s="177" t="s">
        <v>399</v>
      </c>
      <c r="AJ62" s="183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</row>
    <row r="63" spans="1:50" s="136" customFormat="1">
      <c r="A63" s="163" t="s">
        <v>192</v>
      </c>
      <c r="B63" s="163" t="s">
        <v>272</v>
      </c>
      <c r="C63" s="163" t="s">
        <v>273</v>
      </c>
      <c r="D63" s="164"/>
      <c r="E63" s="164"/>
      <c r="F63" s="163" t="s">
        <v>274</v>
      </c>
      <c r="G63" s="163" t="s">
        <v>195</v>
      </c>
      <c r="H63" s="163"/>
      <c r="I63" s="166">
        <v>1237.2399999999998</v>
      </c>
      <c r="J63" s="163">
        <v>4318.76</v>
      </c>
      <c r="K63" s="166">
        <v>5556</v>
      </c>
      <c r="L63" s="166"/>
      <c r="M63" s="166"/>
      <c r="N63" s="166"/>
      <c r="O63" s="168"/>
      <c r="P63" s="169">
        <v>5556</v>
      </c>
      <c r="Q63" s="170"/>
      <c r="R63" s="170"/>
      <c r="S63" s="172"/>
      <c r="T63" s="172"/>
      <c r="U63" s="172"/>
      <c r="V63" s="166"/>
      <c r="W63" s="163">
        <v>0</v>
      </c>
      <c r="X63" s="169">
        <v>5556</v>
      </c>
      <c r="Y63" s="173">
        <v>555.6</v>
      </c>
      <c r="Z63" s="169">
        <v>5000.3999999999996</v>
      </c>
      <c r="AA63" s="174">
        <v>0</v>
      </c>
      <c r="AB63" s="173">
        <v>24.744799999999998</v>
      </c>
      <c r="AC63" s="169">
        <v>5580.7448000000004</v>
      </c>
      <c r="AD63" s="175"/>
      <c r="AE63" s="176"/>
      <c r="AF63" s="237"/>
      <c r="AG63" s="237"/>
      <c r="AH63" s="232">
        <v>-5000.3999999999996</v>
      </c>
      <c r="AI63" s="177">
        <v>2952243423</v>
      </c>
      <c r="AJ63" s="177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</row>
    <row r="64" spans="1:50">
      <c r="A64" s="163" t="s">
        <v>199</v>
      </c>
      <c r="B64" s="163" t="s">
        <v>119</v>
      </c>
      <c r="C64" s="163" t="s">
        <v>275</v>
      </c>
      <c r="D64" s="163"/>
      <c r="E64" s="163"/>
      <c r="F64" s="163" t="s">
        <v>143</v>
      </c>
      <c r="G64" s="163"/>
      <c r="H64" s="163"/>
      <c r="I64" s="166">
        <v>1237.2399999999998</v>
      </c>
      <c r="J64" s="163">
        <v>1887.7600000000002</v>
      </c>
      <c r="K64" s="166">
        <v>3125</v>
      </c>
      <c r="L64" s="166">
        <v>4000</v>
      </c>
      <c r="M64" s="166"/>
      <c r="N64" s="166"/>
      <c r="O64" s="168"/>
      <c r="P64" s="169">
        <v>7125</v>
      </c>
      <c r="Q64" s="170"/>
      <c r="R64" s="170"/>
      <c r="S64" s="172"/>
      <c r="T64" s="172"/>
      <c r="U64" s="172"/>
      <c r="V64" s="166"/>
      <c r="W64" s="163">
        <v>288.38</v>
      </c>
      <c r="X64" s="169">
        <v>6836.62</v>
      </c>
      <c r="Y64" s="173">
        <v>712.5</v>
      </c>
      <c r="Z64" s="169">
        <v>6124.12</v>
      </c>
      <c r="AA64" s="174">
        <v>0</v>
      </c>
      <c r="AB64" s="173">
        <v>24.744799999999998</v>
      </c>
      <c r="AC64" s="169">
        <v>7149.7448000000004</v>
      </c>
      <c r="AD64" s="175"/>
      <c r="AE64" s="176"/>
      <c r="AF64" s="237"/>
      <c r="AG64" s="237"/>
      <c r="AH64" s="232">
        <v>-6124.12</v>
      </c>
      <c r="AI64" s="177">
        <v>1435597188</v>
      </c>
      <c r="AJ64" s="177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</row>
    <row r="65" spans="1:164" s="135" customFormat="1">
      <c r="A65" s="163" t="s">
        <v>192</v>
      </c>
      <c r="B65" s="163" t="s">
        <v>121</v>
      </c>
      <c r="C65" s="163" t="s">
        <v>385</v>
      </c>
      <c r="D65" s="164"/>
      <c r="E65" s="164"/>
      <c r="F65" s="163" t="s">
        <v>277</v>
      </c>
      <c r="G65" s="163"/>
      <c r="H65" s="163"/>
      <c r="I65" s="166">
        <v>1237.2399999999998</v>
      </c>
      <c r="J65" s="163">
        <v>18762.760000000002</v>
      </c>
      <c r="K65" s="166">
        <v>20000</v>
      </c>
      <c r="L65" s="166"/>
      <c r="M65" s="166"/>
      <c r="N65" s="166"/>
      <c r="O65" s="168"/>
      <c r="P65" s="169">
        <v>20000</v>
      </c>
      <c r="Q65" s="170"/>
      <c r="R65" s="170"/>
      <c r="S65" s="172">
        <v>1500</v>
      </c>
      <c r="T65" s="172"/>
      <c r="U65" s="172"/>
      <c r="V65" s="163">
        <v>491.57</v>
      </c>
      <c r="W65" s="163">
        <v>92.96</v>
      </c>
      <c r="X65" s="169">
        <v>17915.47</v>
      </c>
      <c r="Y65" s="173">
        <v>2000</v>
      </c>
      <c r="Z65" s="169">
        <v>15915.470000000001</v>
      </c>
      <c r="AA65" s="174">
        <v>0</v>
      </c>
      <c r="AB65" s="173">
        <v>24.744799999999998</v>
      </c>
      <c r="AC65" s="169">
        <v>20024.7448</v>
      </c>
      <c r="AD65" s="175"/>
      <c r="AE65" s="176"/>
      <c r="AF65" s="237"/>
      <c r="AG65" s="237"/>
      <c r="AH65" s="232">
        <v>-15915.470000000001</v>
      </c>
      <c r="AI65" s="177">
        <v>1110345261</v>
      </c>
      <c r="AJ65" s="177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79"/>
      <c r="CC65" s="179"/>
      <c r="CD65" s="179"/>
      <c r="CE65" s="179"/>
      <c r="CF65" s="179"/>
      <c r="CG65" s="179"/>
      <c r="CH65" s="179"/>
      <c r="CI65" s="179"/>
      <c r="CJ65" s="179"/>
      <c r="CK65" s="179"/>
      <c r="CL65" s="179"/>
      <c r="CM65" s="179"/>
      <c r="CN65" s="179"/>
      <c r="CO65" s="179"/>
      <c r="CP65" s="179"/>
      <c r="CQ65" s="179"/>
      <c r="CR65" s="179"/>
      <c r="CS65" s="179"/>
      <c r="CT65" s="179"/>
      <c r="CU65" s="179"/>
      <c r="CV65" s="179"/>
      <c r="CW65" s="179"/>
      <c r="CX65" s="179"/>
      <c r="CY65" s="179"/>
      <c r="CZ65" s="179"/>
      <c r="DA65" s="179"/>
      <c r="DB65" s="179"/>
      <c r="DC65" s="179"/>
      <c r="DD65" s="179"/>
      <c r="DE65" s="179"/>
      <c r="DF65" s="179"/>
      <c r="DG65" s="179"/>
      <c r="DH65" s="179"/>
      <c r="DI65" s="179"/>
      <c r="DJ65" s="179"/>
      <c r="DK65" s="179"/>
      <c r="DL65" s="179"/>
      <c r="DM65" s="179"/>
      <c r="DN65" s="179"/>
      <c r="DO65" s="179"/>
      <c r="DP65" s="179"/>
      <c r="DQ65" s="179"/>
      <c r="DR65" s="179"/>
      <c r="DS65" s="179"/>
      <c r="DT65" s="179"/>
      <c r="DU65" s="179"/>
      <c r="DV65" s="179"/>
      <c r="DW65" s="179"/>
      <c r="DX65" s="179"/>
      <c r="DY65" s="179"/>
      <c r="DZ65" s="179"/>
      <c r="EA65" s="179"/>
      <c r="EB65" s="179"/>
      <c r="EC65" s="179"/>
      <c r="ED65" s="179"/>
      <c r="EE65" s="179"/>
      <c r="EF65" s="179"/>
      <c r="EG65" s="179"/>
      <c r="EH65" s="179"/>
      <c r="EI65" s="179"/>
      <c r="EJ65" s="179"/>
      <c r="EK65" s="179"/>
      <c r="EL65" s="179"/>
      <c r="EM65" s="179"/>
      <c r="EN65" s="179"/>
      <c r="EO65" s="179"/>
      <c r="EP65" s="179"/>
      <c r="EQ65" s="179"/>
      <c r="ER65" s="179"/>
      <c r="ES65" s="179"/>
      <c r="ET65" s="179"/>
      <c r="EU65" s="179"/>
      <c r="EV65" s="179"/>
      <c r="EW65" s="179"/>
      <c r="EX65" s="179"/>
      <c r="EY65" s="179"/>
      <c r="EZ65" s="179"/>
      <c r="FA65" s="179"/>
      <c r="FB65" s="179"/>
      <c r="FC65" s="179"/>
      <c r="FD65" s="179"/>
      <c r="FE65" s="179"/>
      <c r="FF65" s="179"/>
      <c r="FG65" s="179"/>
      <c r="FH65" s="179"/>
    </row>
    <row r="66" spans="1:164">
      <c r="A66" s="196"/>
      <c r="B66" s="196"/>
      <c r="C66" s="196"/>
      <c r="D66" s="196"/>
      <c r="E66" s="196"/>
      <c r="F66" s="196"/>
      <c r="G66" s="197"/>
      <c r="H66" s="197"/>
      <c r="I66" s="198"/>
      <c r="J66" s="197"/>
      <c r="K66" s="198"/>
      <c r="L66" s="198"/>
      <c r="M66" s="199"/>
      <c r="N66" s="199"/>
      <c r="O66" s="200"/>
      <c r="P66" s="201">
        <v>0</v>
      </c>
      <c r="Q66" s="202"/>
      <c r="R66" s="202"/>
      <c r="S66" s="203"/>
      <c r="T66" s="203"/>
      <c r="U66" s="203"/>
      <c r="V66" s="198"/>
      <c r="W66" s="198"/>
      <c r="X66" s="201">
        <v>0</v>
      </c>
      <c r="Y66" s="204">
        <v>0</v>
      </c>
      <c r="Z66" s="201">
        <v>0</v>
      </c>
      <c r="AA66" s="205">
        <v>0</v>
      </c>
      <c r="AB66" s="204">
        <v>0</v>
      </c>
      <c r="AC66" s="201">
        <v>0</v>
      </c>
      <c r="AD66" s="178"/>
      <c r="AE66" s="195">
        <v>0</v>
      </c>
      <c r="AF66" s="206"/>
      <c r="AG66" s="206"/>
      <c r="AH66" s="195">
        <v>0</v>
      </c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79"/>
      <c r="DB66" s="179"/>
      <c r="DC66" s="179"/>
      <c r="DD66" s="179"/>
      <c r="DE66" s="179"/>
      <c r="DF66" s="179"/>
      <c r="DG66" s="179"/>
      <c r="DH66" s="179"/>
      <c r="DI66" s="179"/>
      <c r="DJ66" s="179"/>
      <c r="DK66" s="179"/>
      <c r="DL66" s="179"/>
      <c r="DM66" s="179"/>
      <c r="DN66" s="179"/>
      <c r="DO66" s="179"/>
      <c r="DP66" s="179"/>
      <c r="DQ66" s="179"/>
      <c r="DR66" s="179"/>
      <c r="DS66" s="179"/>
      <c r="DT66" s="179"/>
      <c r="DU66" s="179"/>
      <c r="DV66" s="179"/>
      <c r="DW66" s="179"/>
      <c r="DX66" s="179"/>
      <c r="DY66" s="179"/>
      <c r="DZ66" s="179"/>
      <c r="EA66" s="179"/>
      <c r="EB66" s="179"/>
      <c r="EC66" s="179"/>
      <c r="ED66" s="179"/>
      <c r="EE66" s="179"/>
      <c r="EF66" s="179"/>
      <c r="EG66" s="179"/>
      <c r="EH66" s="179"/>
      <c r="EI66" s="179"/>
      <c r="EJ66" s="179"/>
      <c r="EK66" s="179"/>
      <c r="EL66" s="179"/>
      <c r="EM66" s="179"/>
      <c r="EN66" s="179"/>
      <c r="EO66" s="179"/>
      <c r="EP66" s="179"/>
      <c r="EQ66" s="179"/>
      <c r="ER66" s="179"/>
      <c r="ES66" s="179"/>
      <c r="ET66" s="179"/>
      <c r="EU66" s="179"/>
      <c r="EV66" s="179"/>
      <c r="EW66" s="179"/>
      <c r="EX66" s="179"/>
      <c r="EY66" s="179"/>
      <c r="EZ66" s="179"/>
      <c r="FA66" s="179"/>
      <c r="FB66" s="179"/>
      <c r="FC66" s="179"/>
      <c r="FD66" s="179"/>
      <c r="FE66" s="179"/>
      <c r="FF66" s="179"/>
      <c r="FG66" s="179"/>
      <c r="FH66" s="179"/>
    </row>
    <row r="67" spans="1:164">
      <c r="A67" s="207"/>
      <c r="B67" s="207"/>
      <c r="C67" s="207"/>
      <c r="D67" s="207"/>
      <c r="E67" s="207"/>
      <c r="F67" s="207"/>
      <c r="G67" s="208"/>
      <c r="H67" s="208"/>
      <c r="I67" s="209"/>
      <c r="J67" s="208"/>
      <c r="K67" s="209"/>
      <c r="L67" s="209"/>
      <c r="M67" s="210"/>
      <c r="N67" s="210"/>
      <c r="O67" s="211"/>
      <c r="P67" s="212"/>
      <c r="Q67" s="213"/>
      <c r="R67" s="213"/>
      <c r="S67" s="214"/>
      <c r="T67" s="214"/>
      <c r="U67" s="214"/>
      <c r="V67" s="209"/>
      <c r="W67" s="209"/>
      <c r="X67" s="212"/>
      <c r="Y67" s="215"/>
      <c r="Z67" s="212"/>
      <c r="AA67" s="216"/>
      <c r="AB67" s="215"/>
      <c r="AC67" s="212"/>
      <c r="AD67" s="178"/>
      <c r="AE67" s="178"/>
      <c r="AF67" s="206"/>
      <c r="AG67" s="206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  <c r="DH67" s="179"/>
      <c r="DI67" s="179"/>
      <c r="DJ67" s="179"/>
      <c r="DK67" s="179"/>
      <c r="DL67" s="179"/>
      <c r="DM67" s="179"/>
      <c r="DN67" s="179"/>
      <c r="DO67" s="179"/>
      <c r="DP67" s="179"/>
      <c r="DQ67" s="179"/>
      <c r="DR67" s="179"/>
      <c r="DS67" s="179"/>
      <c r="DT67" s="179"/>
      <c r="DU67" s="179"/>
      <c r="DV67" s="179"/>
      <c r="DW67" s="179"/>
      <c r="DX67" s="179"/>
      <c r="DY67" s="179"/>
      <c r="DZ67" s="179"/>
      <c r="EA67" s="179"/>
      <c r="EB67" s="179"/>
      <c r="EC67" s="179"/>
      <c r="ED67" s="179"/>
      <c r="EE67" s="179"/>
      <c r="EF67" s="179"/>
      <c r="EG67" s="179"/>
      <c r="EH67" s="179"/>
      <c r="EI67" s="179"/>
      <c r="EJ67" s="179"/>
      <c r="EK67" s="179"/>
      <c r="EL67" s="179"/>
      <c r="EM67" s="179"/>
      <c r="EN67" s="179"/>
      <c r="EO67" s="179"/>
      <c r="EP67" s="179"/>
      <c r="EQ67" s="179"/>
      <c r="ER67" s="179"/>
      <c r="ES67" s="179"/>
      <c r="ET67" s="179"/>
      <c r="EU67" s="179"/>
      <c r="EV67" s="179"/>
      <c r="EW67" s="179"/>
      <c r="EX67" s="179"/>
      <c r="EY67" s="179"/>
      <c r="EZ67" s="179"/>
      <c r="FA67" s="179"/>
      <c r="FB67" s="179"/>
      <c r="FC67" s="179"/>
      <c r="FD67" s="179"/>
      <c r="FE67" s="179"/>
      <c r="FF67" s="179"/>
      <c r="FG67" s="179"/>
      <c r="FH67" s="179"/>
    </row>
    <row r="68" spans="1:164">
      <c r="A68" s="217"/>
      <c r="B68" s="217"/>
      <c r="C68" s="207"/>
      <c r="D68" s="208"/>
      <c r="E68" s="208"/>
      <c r="F68" s="207"/>
      <c r="G68" s="207"/>
      <c r="H68" s="207"/>
      <c r="I68" s="207"/>
      <c r="J68" s="207"/>
      <c r="K68" s="209"/>
      <c r="L68" s="209"/>
      <c r="M68" s="209"/>
      <c r="N68" s="209"/>
      <c r="O68" s="211"/>
      <c r="P68" s="212">
        <v>0</v>
      </c>
      <c r="Q68" s="213"/>
      <c r="R68" s="213"/>
      <c r="S68" s="214"/>
      <c r="T68" s="214"/>
      <c r="U68" s="214"/>
      <c r="V68" s="215"/>
      <c r="W68" s="215"/>
      <c r="X68" s="212">
        <v>0</v>
      </c>
      <c r="Y68" s="215">
        <v>0</v>
      </c>
      <c r="Z68" s="212">
        <v>0</v>
      </c>
      <c r="AA68" s="216">
        <v>0</v>
      </c>
      <c r="AB68" s="215"/>
      <c r="AC68" s="212">
        <v>0</v>
      </c>
      <c r="AD68" s="178"/>
      <c r="AE68" s="178"/>
      <c r="AF68" s="206"/>
      <c r="AG68" s="206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4"/>
      <c r="BU68" s="144"/>
      <c r="BV68" s="144"/>
      <c r="BW68" s="144"/>
      <c r="BX68" s="144"/>
      <c r="BY68" s="144"/>
      <c r="BZ68" s="144"/>
      <c r="CA68" s="144"/>
      <c r="CB68" s="144"/>
      <c r="CC68" s="144"/>
      <c r="CD68" s="144"/>
      <c r="CE68" s="144"/>
      <c r="CF68" s="144"/>
      <c r="CG68" s="144"/>
      <c r="CH68" s="144"/>
      <c r="CI68" s="144"/>
      <c r="CJ68" s="144"/>
      <c r="CK68" s="144"/>
      <c r="CL68" s="144"/>
      <c r="CM68" s="144"/>
      <c r="CN68" s="144"/>
      <c r="CO68" s="144"/>
      <c r="CP68" s="144"/>
      <c r="CQ68" s="144"/>
      <c r="CR68" s="144"/>
      <c r="CS68" s="144"/>
      <c r="CT68" s="144"/>
      <c r="CU68" s="144"/>
      <c r="CV68" s="144"/>
      <c r="CW68" s="144"/>
      <c r="CX68" s="144"/>
      <c r="CY68" s="144"/>
      <c r="CZ68" s="144"/>
      <c r="DA68" s="144"/>
      <c r="DB68" s="144"/>
      <c r="DC68" s="144"/>
      <c r="DD68" s="144"/>
      <c r="DE68" s="144"/>
      <c r="DF68" s="144"/>
      <c r="DG68" s="144"/>
      <c r="DH68" s="144"/>
      <c r="DI68" s="144"/>
      <c r="DJ68" s="144"/>
      <c r="DK68" s="144"/>
      <c r="DL68" s="144"/>
      <c r="DM68" s="144"/>
      <c r="DN68" s="144"/>
      <c r="DO68" s="144"/>
      <c r="DP68" s="144"/>
      <c r="DQ68" s="144"/>
      <c r="DR68" s="144"/>
      <c r="DS68" s="144"/>
      <c r="DT68" s="144"/>
      <c r="DU68" s="144"/>
      <c r="DV68" s="144"/>
      <c r="DW68" s="144"/>
      <c r="DX68" s="144"/>
      <c r="DY68" s="144"/>
      <c r="DZ68" s="144"/>
      <c r="EA68" s="144"/>
      <c r="EB68" s="144"/>
      <c r="EC68" s="144"/>
      <c r="ED68" s="144"/>
      <c r="EE68" s="144"/>
      <c r="EF68" s="144"/>
      <c r="EG68" s="144"/>
      <c r="EH68" s="144"/>
      <c r="EI68" s="144"/>
      <c r="EJ68" s="144"/>
      <c r="EK68" s="144"/>
      <c r="EL68" s="144"/>
      <c r="EM68" s="144"/>
      <c r="EN68" s="144"/>
      <c r="EO68" s="144"/>
      <c r="EP68" s="144"/>
      <c r="EQ68" s="144"/>
      <c r="ER68" s="144"/>
      <c r="ES68" s="144"/>
      <c r="ET68" s="144"/>
      <c r="EU68" s="144"/>
      <c r="EV68" s="144"/>
      <c r="EW68" s="144"/>
      <c r="EX68" s="144"/>
      <c r="EY68" s="144"/>
      <c r="EZ68" s="144"/>
      <c r="FA68" s="144"/>
      <c r="FB68" s="144"/>
      <c r="FC68" s="144"/>
      <c r="FD68" s="144"/>
      <c r="FE68" s="144"/>
      <c r="FF68" s="144"/>
      <c r="FG68" s="144"/>
      <c r="FH68" s="144"/>
    </row>
    <row r="69" spans="1:164">
      <c r="A69" s="217"/>
      <c r="B69" s="218"/>
      <c r="C69" s="219"/>
      <c r="D69" s="219"/>
      <c r="E69" s="219"/>
      <c r="F69" s="219"/>
      <c r="G69" s="219"/>
      <c r="H69" s="219"/>
      <c r="I69" s="219"/>
      <c r="J69" s="219"/>
      <c r="K69" s="220"/>
      <c r="L69" s="220"/>
      <c r="M69" s="220"/>
      <c r="N69" s="220"/>
      <c r="O69" s="220"/>
      <c r="P69" s="221"/>
      <c r="Q69" s="220"/>
      <c r="R69" s="220"/>
      <c r="S69" s="220"/>
      <c r="T69" s="215"/>
      <c r="U69" s="215"/>
      <c r="V69" s="215"/>
      <c r="W69" s="215"/>
      <c r="X69" s="222"/>
      <c r="Y69" s="215"/>
      <c r="Z69" s="221"/>
      <c r="AA69" s="215"/>
      <c r="AB69" s="215"/>
      <c r="AC69" s="221"/>
      <c r="AD69" s="178"/>
      <c r="AE69" s="178"/>
      <c r="AF69" s="206"/>
      <c r="AG69" s="206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78"/>
      <c r="DC69" s="178"/>
      <c r="DD69" s="178"/>
      <c r="DE69" s="178"/>
      <c r="DF69" s="178"/>
      <c r="DG69" s="178"/>
      <c r="DH69" s="178"/>
      <c r="DI69" s="178"/>
      <c r="DJ69" s="178"/>
      <c r="DK69" s="178"/>
      <c r="DL69" s="178"/>
      <c r="DM69" s="178"/>
      <c r="DN69" s="178"/>
      <c r="DO69" s="178"/>
      <c r="DP69" s="178"/>
      <c r="DQ69" s="178"/>
      <c r="DR69" s="178"/>
      <c r="DS69" s="178"/>
      <c r="DT69" s="178"/>
      <c r="DU69" s="178"/>
      <c r="DV69" s="178"/>
      <c r="DW69" s="178"/>
      <c r="DX69" s="178"/>
      <c r="DY69" s="178"/>
      <c r="DZ69" s="178"/>
      <c r="EA69" s="178"/>
      <c r="EB69" s="178"/>
      <c r="EC69" s="178"/>
      <c r="ED69" s="178"/>
      <c r="EE69" s="178"/>
      <c r="EF69" s="178"/>
      <c r="EG69" s="178"/>
      <c r="EH69" s="178"/>
      <c r="EI69" s="178"/>
      <c r="EJ69" s="178"/>
      <c r="EK69" s="178"/>
      <c r="EL69" s="178"/>
      <c r="EM69" s="178"/>
      <c r="EN69" s="178"/>
      <c r="EO69" s="178"/>
      <c r="EP69" s="178"/>
      <c r="EQ69" s="178"/>
      <c r="ER69" s="178"/>
      <c r="ES69" s="178"/>
      <c r="ET69" s="178"/>
      <c r="EU69" s="178"/>
      <c r="EV69" s="178"/>
      <c r="EW69" s="178"/>
      <c r="EX69" s="178"/>
      <c r="EY69" s="178"/>
      <c r="EZ69" s="178"/>
      <c r="FA69" s="178"/>
      <c r="FB69" s="178"/>
      <c r="FC69" s="178"/>
      <c r="FD69" s="178"/>
      <c r="FE69" s="178"/>
      <c r="FF69" s="178"/>
      <c r="FG69" s="178"/>
      <c r="FH69" s="178"/>
    </row>
    <row r="70" spans="1:164" ht="15.75" thickBot="1">
      <c r="A70" s="144"/>
      <c r="B70" s="144"/>
      <c r="C70" s="223" t="s">
        <v>353</v>
      </c>
      <c r="D70" s="223"/>
      <c r="E70" s="223"/>
      <c r="F70" s="223"/>
      <c r="G70" s="223"/>
      <c r="H70" s="223"/>
      <c r="I70" s="223"/>
      <c r="J70" s="223"/>
      <c r="K70" s="224">
        <v>173898.81000000003</v>
      </c>
      <c r="L70" s="224">
        <v>6926</v>
      </c>
      <c r="M70" s="224">
        <v>3249.2400000000002</v>
      </c>
      <c r="N70" s="224">
        <v>7344.72</v>
      </c>
      <c r="O70" s="224">
        <v>0</v>
      </c>
      <c r="P70" s="224">
        <v>191418.77000000002</v>
      </c>
      <c r="Q70" s="224">
        <v>0</v>
      </c>
      <c r="R70" s="224"/>
      <c r="S70" s="224"/>
      <c r="T70" s="224">
        <v>0</v>
      </c>
      <c r="U70" s="224">
        <v>0</v>
      </c>
      <c r="V70" s="224">
        <v>1228.97</v>
      </c>
      <c r="W70" s="224">
        <v>12937.09</v>
      </c>
      <c r="X70" s="224">
        <v>174683.99000000008</v>
      </c>
      <c r="Y70" s="224">
        <v>5839.9960000000001</v>
      </c>
      <c r="Z70" s="224">
        <v>168843.99400000004</v>
      </c>
      <c r="AA70" s="224">
        <v>12851.880999999998</v>
      </c>
      <c r="AB70" s="224">
        <v>1212.4951999999982</v>
      </c>
      <c r="AC70" s="224">
        <v>205483.1461999999</v>
      </c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44"/>
      <c r="DI70" s="144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144"/>
      <c r="DU70" s="144"/>
      <c r="DV70" s="144"/>
      <c r="DW70" s="144"/>
      <c r="DX70" s="144"/>
      <c r="DY70" s="144"/>
      <c r="DZ70" s="144"/>
      <c r="EA70" s="144"/>
      <c r="EB70" s="144"/>
      <c r="EC70" s="144"/>
      <c r="ED70" s="144"/>
      <c r="EE70" s="144"/>
      <c r="EF70" s="144"/>
      <c r="EG70" s="144"/>
      <c r="EH70" s="144"/>
      <c r="EI70" s="144"/>
      <c r="EJ70" s="144"/>
      <c r="EK70" s="144"/>
      <c r="EL70" s="144"/>
      <c r="EM70" s="144"/>
      <c r="EN70" s="144"/>
      <c r="EO70" s="144"/>
      <c r="EP70" s="144"/>
      <c r="EQ70" s="144"/>
      <c r="ER70" s="144"/>
      <c r="ES70" s="144"/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4"/>
      <c r="FF70" s="144"/>
      <c r="FG70" s="144"/>
      <c r="FH70" s="144"/>
    </row>
    <row r="71" spans="1:164" ht="15.75" thickTop="1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  <c r="CQ71" s="144"/>
      <c r="CR71" s="144"/>
      <c r="CS71" s="144"/>
      <c r="CT71" s="144"/>
      <c r="CU71" s="144"/>
      <c r="CV71" s="144"/>
      <c r="CW71" s="144"/>
      <c r="CX71" s="144"/>
      <c r="CY71" s="144"/>
      <c r="CZ71" s="144"/>
      <c r="DA71" s="144"/>
      <c r="DB71" s="144"/>
      <c r="DC71" s="144"/>
      <c r="DD71" s="144"/>
      <c r="DE71" s="144"/>
      <c r="DF71" s="144"/>
      <c r="DG71" s="144"/>
      <c r="DH71" s="144"/>
      <c r="DI71" s="144"/>
      <c r="DJ71" s="144"/>
      <c r="DK71" s="144"/>
      <c r="DL71" s="144"/>
      <c r="DM71" s="144"/>
      <c r="DN71" s="144"/>
      <c r="DO71" s="144"/>
      <c r="DP71" s="144"/>
      <c r="DQ71" s="144"/>
      <c r="DR71" s="144"/>
      <c r="DS71" s="144"/>
      <c r="DT71" s="144"/>
      <c r="DU71" s="144"/>
      <c r="DV71" s="144"/>
      <c r="DW71" s="144"/>
      <c r="DX71" s="144"/>
      <c r="DY71" s="144"/>
      <c r="DZ71" s="144"/>
      <c r="EA71" s="144"/>
      <c r="EB71" s="144"/>
      <c r="EC71" s="144"/>
      <c r="ED71" s="144"/>
      <c r="EE71" s="144"/>
      <c r="EF71" s="144"/>
      <c r="EG71" s="144"/>
      <c r="EH71" s="144"/>
      <c r="EI71" s="144"/>
      <c r="EJ71" s="144"/>
      <c r="EK71" s="144"/>
      <c r="EL71" s="144"/>
      <c r="EM71" s="144"/>
      <c r="EN71" s="144"/>
      <c r="EO71" s="144"/>
      <c r="EP71" s="144"/>
      <c r="EQ71" s="144"/>
      <c r="ER71" s="144"/>
      <c r="ES71" s="144"/>
      <c r="ET71" s="144"/>
      <c r="EU71" s="144"/>
      <c r="EV71" s="144"/>
      <c r="EW71" s="144"/>
      <c r="EX71" s="144"/>
      <c r="EY71" s="144"/>
      <c r="EZ71" s="144"/>
      <c r="FA71" s="144"/>
      <c r="FB71" s="144"/>
      <c r="FC71" s="144"/>
      <c r="FD71" s="144"/>
      <c r="FE71" s="144"/>
      <c r="FF71" s="144"/>
      <c r="FG71" s="144"/>
      <c r="FH71" s="144"/>
    </row>
    <row r="72" spans="1:164">
      <c r="A72" s="389" t="s">
        <v>354</v>
      </c>
      <c r="B72" s="389"/>
      <c r="C72" s="389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4"/>
      <c r="BV72" s="144"/>
      <c r="BW72" s="144"/>
      <c r="BX72" s="144"/>
      <c r="BY72" s="144"/>
      <c r="BZ72" s="144"/>
      <c r="CA72" s="144"/>
      <c r="CB72" s="144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44"/>
      <c r="CQ72" s="144"/>
      <c r="CR72" s="144"/>
      <c r="CS72" s="144"/>
      <c r="CT72" s="144"/>
      <c r="CU72" s="144"/>
      <c r="CV72" s="144"/>
      <c r="CW72" s="144"/>
      <c r="CX72" s="144"/>
      <c r="CY72" s="144"/>
      <c r="CZ72" s="144"/>
      <c r="DA72" s="144"/>
      <c r="DB72" s="144"/>
      <c r="DC72" s="144"/>
      <c r="DD72" s="144"/>
      <c r="DE72" s="144"/>
      <c r="DF72" s="144"/>
      <c r="DG72" s="144"/>
      <c r="DH72" s="144"/>
      <c r="DI72" s="144"/>
      <c r="DJ72" s="144"/>
      <c r="DK72" s="144"/>
      <c r="DL72" s="144"/>
      <c r="DM72" s="144"/>
      <c r="DN72" s="144"/>
      <c r="DO72" s="144"/>
      <c r="DP72" s="144"/>
      <c r="DQ72" s="144"/>
      <c r="DR72" s="144"/>
      <c r="DS72" s="144"/>
      <c r="DT72" s="144"/>
      <c r="DU72" s="144"/>
      <c r="DV72" s="144"/>
      <c r="DW72" s="144"/>
      <c r="DX72" s="144"/>
      <c r="DY72" s="144"/>
      <c r="DZ72" s="144"/>
      <c r="EA72" s="144"/>
      <c r="EB72" s="144"/>
      <c r="EC72" s="144"/>
      <c r="ED72" s="144"/>
      <c r="EE72" s="144"/>
      <c r="EF72" s="144"/>
      <c r="EG72" s="144"/>
      <c r="EH72" s="144"/>
      <c r="EI72" s="144"/>
      <c r="EJ72" s="144"/>
      <c r="EK72" s="144"/>
      <c r="EL72" s="144"/>
      <c r="EM72" s="144"/>
      <c r="EN72" s="144"/>
      <c r="EO72" s="144"/>
      <c r="EP72" s="144"/>
      <c r="EQ72" s="144"/>
      <c r="ER72" s="144"/>
      <c r="ES72" s="144"/>
      <c r="ET72" s="144"/>
      <c r="EU72" s="144"/>
      <c r="EV72" s="144"/>
      <c r="EW72" s="144"/>
      <c r="EX72" s="144"/>
      <c r="EY72" s="144"/>
      <c r="EZ72" s="144"/>
      <c r="FA72" s="144"/>
      <c r="FB72" s="144"/>
      <c r="FC72" s="144"/>
      <c r="FD72" s="144"/>
      <c r="FE72" s="144"/>
      <c r="FF72" s="144"/>
      <c r="FG72" s="144"/>
      <c r="FH72" s="144"/>
    </row>
    <row r="73" spans="1:164" s="140" customFormat="1">
      <c r="A73" s="183"/>
      <c r="B73" s="183"/>
      <c r="C73" s="225" t="s">
        <v>355</v>
      </c>
      <c r="D73" s="165"/>
      <c r="E73" s="165"/>
      <c r="F73" s="163"/>
      <c r="G73" s="163"/>
      <c r="H73" s="163"/>
      <c r="I73" s="163"/>
      <c r="J73" s="163"/>
      <c r="K73" s="166">
        <v>3899</v>
      </c>
      <c r="L73" s="166"/>
      <c r="M73" s="166"/>
      <c r="N73" s="166"/>
      <c r="O73" s="226"/>
      <c r="P73" s="169">
        <v>3899</v>
      </c>
      <c r="Q73" s="170"/>
      <c r="R73" s="170"/>
      <c r="S73" s="170"/>
      <c r="T73" s="172"/>
      <c r="U73" s="172"/>
      <c r="V73" s="172"/>
      <c r="W73" s="172"/>
      <c r="X73" s="169">
        <v>3899</v>
      </c>
      <c r="Y73" s="173">
        <v>194.95000000000002</v>
      </c>
      <c r="Z73" s="169">
        <v>3899</v>
      </c>
      <c r="AA73" s="174">
        <v>0</v>
      </c>
      <c r="AB73" s="173">
        <v>0</v>
      </c>
      <c r="AC73" s="169">
        <v>3899</v>
      </c>
      <c r="AD73" s="227"/>
      <c r="AE73" s="176"/>
      <c r="AF73" s="166"/>
      <c r="AG73" s="166"/>
      <c r="AH73" s="176">
        <v>0</v>
      </c>
      <c r="AI73" s="163"/>
      <c r="AJ73" s="163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  <c r="BU73" s="144"/>
      <c r="BV73" s="144"/>
      <c r="BW73" s="144"/>
      <c r="BX73" s="144"/>
      <c r="BY73" s="144"/>
      <c r="BZ73" s="144"/>
      <c r="CA73" s="144"/>
      <c r="CB73" s="144"/>
      <c r="CC73" s="144"/>
      <c r="CD73" s="144"/>
      <c r="CE73" s="144"/>
      <c r="CF73" s="144"/>
      <c r="CG73" s="144"/>
      <c r="CH73" s="144"/>
      <c r="CI73" s="144"/>
      <c r="CJ73" s="144"/>
      <c r="CK73" s="144"/>
      <c r="CL73" s="144"/>
      <c r="CM73" s="144"/>
      <c r="CN73" s="144"/>
      <c r="CO73" s="144"/>
      <c r="CP73" s="144"/>
      <c r="CQ73" s="144"/>
      <c r="CR73" s="144"/>
      <c r="CS73" s="144"/>
      <c r="CT73" s="144"/>
      <c r="CU73" s="144"/>
      <c r="CV73" s="144"/>
      <c r="CW73" s="144"/>
      <c r="CX73" s="144"/>
      <c r="CY73" s="144"/>
      <c r="CZ73" s="144"/>
      <c r="DA73" s="144"/>
      <c r="DB73" s="144"/>
      <c r="DC73" s="144"/>
      <c r="DD73" s="144"/>
      <c r="DE73" s="144"/>
      <c r="DF73" s="144"/>
      <c r="DG73" s="144"/>
      <c r="DH73" s="144"/>
      <c r="DI73" s="144"/>
      <c r="DJ73" s="144"/>
      <c r="DK73" s="144"/>
      <c r="DL73" s="144"/>
      <c r="DM73" s="144"/>
      <c r="DN73" s="144"/>
      <c r="DO73" s="144"/>
      <c r="DP73" s="144"/>
      <c r="DQ73" s="144"/>
      <c r="DR73" s="144"/>
      <c r="DS73" s="144"/>
      <c r="DT73" s="144"/>
      <c r="DU73" s="144"/>
      <c r="DV73" s="144"/>
      <c r="DW73" s="144"/>
      <c r="DX73" s="144"/>
      <c r="DY73" s="144"/>
      <c r="DZ73" s="144"/>
      <c r="EA73" s="144"/>
      <c r="EB73" s="144"/>
      <c r="EC73" s="144"/>
      <c r="ED73" s="144"/>
      <c r="EE73" s="144"/>
      <c r="EF73" s="144"/>
      <c r="EG73" s="144"/>
      <c r="EH73" s="144"/>
      <c r="EI73" s="144"/>
      <c r="EJ73" s="144"/>
      <c r="EK73" s="144"/>
      <c r="EL73" s="144"/>
      <c r="EM73" s="144"/>
      <c r="EN73" s="144"/>
      <c r="EO73" s="144"/>
      <c r="EP73" s="144"/>
      <c r="EQ73" s="144"/>
      <c r="ER73" s="144"/>
      <c r="ES73" s="144"/>
      <c r="ET73" s="144"/>
      <c r="EU73" s="144"/>
      <c r="EV73" s="144"/>
      <c r="EW73" s="144"/>
      <c r="EX73" s="144"/>
      <c r="EY73" s="144"/>
      <c r="EZ73" s="144"/>
      <c r="FA73" s="144"/>
      <c r="FB73" s="144"/>
      <c r="FC73" s="144"/>
      <c r="FD73" s="144"/>
      <c r="FE73" s="144"/>
      <c r="FF73" s="144"/>
      <c r="FG73" s="144"/>
      <c r="FH73" s="144"/>
    </row>
    <row r="74" spans="1:164">
      <c r="A74" s="183"/>
      <c r="B74" s="183"/>
      <c r="C74" s="225" t="s">
        <v>356</v>
      </c>
      <c r="D74" s="165"/>
      <c r="E74" s="165"/>
      <c r="F74" s="165"/>
      <c r="G74" s="165"/>
      <c r="H74" s="165"/>
      <c r="I74" s="165"/>
      <c r="J74" s="165"/>
      <c r="K74" s="167">
        <v>4500</v>
      </c>
      <c r="L74" s="167"/>
      <c r="M74" s="167">
        <v>1201.32</v>
      </c>
      <c r="N74" s="167"/>
      <c r="O74" s="226"/>
      <c r="P74" s="169">
        <v>5701.32</v>
      </c>
      <c r="Q74" s="170"/>
      <c r="R74" s="188">
        <v>117.81</v>
      </c>
      <c r="S74" s="170"/>
      <c r="T74" s="172"/>
      <c r="U74" s="172"/>
      <c r="V74" s="172"/>
      <c r="W74" s="172">
        <v>930</v>
      </c>
      <c r="X74" s="169">
        <v>5701.32</v>
      </c>
      <c r="Y74" s="173">
        <v>285.06599999999997</v>
      </c>
      <c r="Z74" s="169">
        <v>4771.32</v>
      </c>
      <c r="AA74" s="174">
        <v>0</v>
      </c>
      <c r="AB74" s="173">
        <v>0</v>
      </c>
      <c r="AC74" s="169">
        <v>5701.32</v>
      </c>
      <c r="AD74" s="227"/>
      <c r="AE74" s="176"/>
      <c r="AF74" s="166"/>
      <c r="AG74" s="166"/>
      <c r="AH74" s="176">
        <v>0</v>
      </c>
      <c r="AI74" s="163"/>
      <c r="AJ74" s="177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4"/>
      <c r="EJ74" s="144"/>
      <c r="EK74" s="144"/>
      <c r="EL74" s="144"/>
      <c r="EM74" s="144"/>
      <c r="EN74" s="144"/>
      <c r="EO74" s="144"/>
      <c r="EP74" s="144"/>
      <c r="EQ74" s="144"/>
      <c r="ER74" s="144"/>
      <c r="ES74" s="144"/>
      <c r="ET74" s="144"/>
      <c r="EU74" s="144"/>
      <c r="EV74" s="144"/>
      <c r="EW74" s="144"/>
      <c r="EX74" s="144"/>
      <c r="EY74" s="144"/>
      <c r="EZ74" s="144"/>
      <c r="FA74" s="144"/>
      <c r="FB74" s="144"/>
      <c r="FC74" s="144"/>
      <c r="FD74" s="144"/>
      <c r="FE74" s="144"/>
      <c r="FF74" s="144"/>
      <c r="FG74" s="144"/>
      <c r="FH74" s="144"/>
    </row>
    <row r="75" spans="1:164">
      <c r="A75" s="183"/>
      <c r="B75" s="183"/>
      <c r="C75" s="225" t="s">
        <v>357</v>
      </c>
      <c r="D75" s="165"/>
      <c r="E75" s="165"/>
      <c r="F75" s="165"/>
      <c r="G75" s="165"/>
      <c r="H75" s="165"/>
      <c r="I75" s="165"/>
      <c r="J75" s="165"/>
      <c r="K75" s="175">
        <v>3834</v>
      </c>
      <c r="L75" s="167"/>
      <c r="M75" s="167"/>
      <c r="N75" s="167"/>
      <c r="O75" s="226"/>
      <c r="P75" s="169">
        <v>3834</v>
      </c>
      <c r="Q75" s="170"/>
      <c r="R75" s="170">
        <v>76.56</v>
      </c>
      <c r="S75" s="170"/>
      <c r="T75" s="172"/>
      <c r="U75" s="172"/>
      <c r="V75" s="172"/>
      <c r="W75" s="172">
        <v>1570</v>
      </c>
      <c r="X75" s="169">
        <v>3834</v>
      </c>
      <c r="Y75" s="173">
        <v>191.70000000000002</v>
      </c>
      <c r="Z75" s="169">
        <v>2264</v>
      </c>
      <c r="AA75" s="174">
        <v>0</v>
      </c>
      <c r="AB75" s="173">
        <v>0</v>
      </c>
      <c r="AC75" s="169">
        <v>3834</v>
      </c>
      <c r="AD75" s="227"/>
      <c r="AE75" s="176"/>
      <c r="AF75" s="231"/>
      <c r="AG75" s="166"/>
      <c r="AH75" s="176">
        <v>0</v>
      </c>
      <c r="AI75" s="163"/>
      <c r="AJ75" s="177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4"/>
      <c r="BU75" s="144"/>
      <c r="BV75" s="144"/>
      <c r="BW75" s="144"/>
      <c r="BX75" s="144"/>
      <c r="BY75" s="144"/>
      <c r="BZ75" s="144"/>
      <c r="CA75" s="144"/>
      <c r="CB75" s="144"/>
      <c r="CC75" s="144"/>
      <c r="CD75" s="144"/>
      <c r="CE75" s="144"/>
      <c r="CF75" s="144"/>
      <c r="CG75" s="144"/>
      <c r="CH75" s="144"/>
      <c r="CI75" s="144"/>
      <c r="CJ75" s="144"/>
      <c r="CK75" s="144"/>
      <c r="CL75" s="144"/>
      <c r="CM75" s="144"/>
      <c r="CN75" s="144"/>
      <c r="CO75" s="144"/>
      <c r="CP75" s="144"/>
      <c r="CQ75" s="144"/>
      <c r="CR75" s="144"/>
      <c r="CS75" s="144"/>
      <c r="CT75" s="144"/>
      <c r="CU75" s="144"/>
      <c r="CV75" s="144"/>
      <c r="CW75" s="144"/>
      <c r="CX75" s="144"/>
      <c r="CY75" s="144"/>
      <c r="CZ75" s="144"/>
      <c r="DA75" s="144"/>
      <c r="DB75" s="144"/>
      <c r="DC75" s="144"/>
      <c r="DD75" s="144"/>
      <c r="DE75" s="144"/>
      <c r="DF75" s="144"/>
      <c r="DG75" s="144"/>
      <c r="DH75" s="144"/>
      <c r="DI75" s="144"/>
      <c r="DJ75" s="144"/>
      <c r="DK75" s="144"/>
      <c r="DL75" s="144"/>
      <c r="DM75" s="144"/>
      <c r="DN75" s="144"/>
      <c r="DO75" s="144"/>
      <c r="DP75" s="144"/>
      <c r="DQ75" s="144"/>
      <c r="DR75" s="144"/>
      <c r="DS75" s="144"/>
      <c r="DT75" s="144"/>
      <c r="DU75" s="144"/>
      <c r="DV75" s="144"/>
      <c r="DW75" s="144"/>
      <c r="DX75" s="144"/>
      <c r="DY75" s="144"/>
      <c r="DZ75" s="144"/>
      <c r="EA75" s="144"/>
      <c r="EB75" s="144"/>
      <c r="EC75" s="144"/>
      <c r="ED75" s="144"/>
      <c r="EE75" s="144"/>
      <c r="EF75" s="144"/>
      <c r="EG75" s="144"/>
      <c r="EH75" s="144"/>
      <c r="EI75" s="144"/>
      <c r="EJ75" s="144"/>
      <c r="EK75" s="144"/>
      <c r="EL75" s="144"/>
      <c r="EM75" s="144"/>
      <c r="EN75" s="144"/>
      <c r="EO75" s="144"/>
      <c r="EP75" s="144"/>
      <c r="EQ75" s="144"/>
      <c r="ER75" s="144"/>
      <c r="ES75" s="144"/>
      <c r="ET75" s="144"/>
      <c r="EU75" s="144"/>
      <c r="EV75" s="144"/>
      <c r="EW75" s="144"/>
      <c r="EX75" s="144"/>
      <c r="EY75" s="144"/>
      <c r="EZ75" s="144"/>
      <c r="FA75" s="144"/>
      <c r="FB75" s="144"/>
      <c r="FC75" s="144"/>
      <c r="FD75" s="144"/>
      <c r="FE75" s="144"/>
      <c r="FF75" s="144"/>
      <c r="FG75" s="144"/>
      <c r="FH75" s="144"/>
    </row>
    <row r="76" spans="1:164">
      <c r="A76" s="183"/>
      <c r="B76" s="183"/>
      <c r="C76" s="225" t="s">
        <v>358</v>
      </c>
      <c r="D76" s="165"/>
      <c r="E76" s="165"/>
      <c r="F76" s="165"/>
      <c r="G76" s="165"/>
      <c r="H76" s="165"/>
      <c r="I76" s="165"/>
      <c r="J76" s="165"/>
      <c r="K76" s="167">
        <v>2788.5</v>
      </c>
      <c r="L76" s="167"/>
      <c r="M76" s="167"/>
      <c r="N76" s="167"/>
      <c r="O76" s="226"/>
      <c r="P76" s="169">
        <v>2788.5</v>
      </c>
      <c r="Q76" s="170"/>
      <c r="R76" s="170"/>
      <c r="S76" s="170"/>
      <c r="T76" s="172"/>
      <c r="U76" s="172"/>
      <c r="V76" s="172"/>
      <c r="W76" s="172"/>
      <c r="X76" s="169">
        <v>2788.5</v>
      </c>
      <c r="Y76" s="173">
        <v>139.42500000000001</v>
      </c>
      <c r="Z76" s="169">
        <v>2788.5</v>
      </c>
      <c r="AA76" s="174">
        <v>278.85000000000002</v>
      </c>
      <c r="AB76" s="173">
        <v>0</v>
      </c>
      <c r="AC76" s="169">
        <v>3067.35</v>
      </c>
      <c r="AD76" s="227"/>
      <c r="AE76" s="176"/>
      <c r="AF76" s="231"/>
      <c r="AG76" s="166"/>
      <c r="AH76" s="176">
        <v>0</v>
      </c>
      <c r="AI76" s="163"/>
      <c r="AJ76" s="163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144"/>
      <c r="CY76" s="144"/>
      <c r="CZ76" s="144"/>
      <c r="DA76" s="144"/>
      <c r="DB76" s="144"/>
      <c r="DC76" s="144"/>
      <c r="DD76" s="144"/>
      <c r="DE76" s="144"/>
      <c r="DF76" s="144"/>
      <c r="DG76" s="144"/>
      <c r="DH76" s="144"/>
      <c r="DI76" s="144"/>
      <c r="DJ76" s="144"/>
      <c r="DK76" s="144"/>
      <c r="DL76" s="144"/>
      <c r="DM76" s="144"/>
      <c r="DN76" s="144"/>
      <c r="DO76" s="144"/>
      <c r="DP76" s="144"/>
      <c r="DQ76" s="144"/>
      <c r="DR76" s="144"/>
      <c r="DS76" s="144"/>
      <c r="DT76" s="144"/>
      <c r="DU76" s="144"/>
      <c r="DV76" s="144"/>
      <c r="DW76" s="144"/>
      <c r="DX76" s="144"/>
      <c r="DY76" s="144"/>
      <c r="DZ76" s="144"/>
      <c r="EA76" s="144"/>
      <c r="EB76" s="144"/>
      <c r="EC76" s="144"/>
      <c r="ED76" s="144"/>
      <c r="EE76" s="144"/>
      <c r="EF76" s="144"/>
      <c r="EG76" s="144"/>
      <c r="EH76" s="144"/>
      <c r="EI76" s="144"/>
      <c r="EJ76" s="144"/>
      <c r="EK76" s="144"/>
      <c r="EL76" s="144"/>
      <c r="EM76" s="144"/>
      <c r="EN76" s="144"/>
      <c r="EO76" s="144"/>
      <c r="EP76" s="144"/>
      <c r="EQ76" s="144"/>
      <c r="ER76" s="144"/>
      <c r="ES76" s="144"/>
      <c r="ET76" s="144"/>
      <c r="EU76" s="144"/>
      <c r="EV76" s="144"/>
      <c r="EW76" s="144"/>
      <c r="EX76" s="144"/>
      <c r="EY76" s="144"/>
      <c r="EZ76" s="144"/>
      <c r="FA76" s="144"/>
      <c r="FB76" s="144"/>
      <c r="FC76" s="144"/>
      <c r="FD76" s="144"/>
      <c r="FE76" s="144"/>
      <c r="FF76" s="144"/>
      <c r="FG76" s="144"/>
      <c r="FH76" s="144"/>
    </row>
    <row r="77" spans="1:164">
      <c r="A77" s="183"/>
      <c r="B77" s="183"/>
      <c r="C77" s="228" t="s">
        <v>359</v>
      </c>
      <c r="D77" s="177"/>
      <c r="E77" s="177"/>
      <c r="F77" s="177"/>
      <c r="G77" s="177"/>
      <c r="H77" s="177"/>
      <c r="I77" s="177"/>
      <c r="J77" s="177"/>
      <c r="K77" s="175">
        <v>3000</v>
      </c>
      <c r="L77" s="175"/>
      <c r="M77" s="175"/>
      <c r="N77" s="175"/>
      <c r="O77" s="229"/>
      <c r="P77" s="169">
        <v>3000</v>
      </c>
      <c r="Q77" s="170"/>
      <c r="R77" s="170"/>
      <c r="S77" s="170"/>
      <c r="T77" s="172"/>
      <c r="U77" s="172"/>
      <c r="V77" s="172"/>
      <c r="W77" s="172"/>
      <c r="X77" s="169">
        <v>3000</v>
      </c>
      <c r="Y77" s="173">
        <v>150</v>
      </c>
      <c r="Z77" s="169">
        <v>3000</v>
      </c>
      <c r="AA77" s="174">
        <v>0</v>
      </c>
      <c r="AB77" s="173">
        <v>0</v>
      </c>
      <c r="AC77" s="169">
        <v>3000</v>
      </c>
      <c r="AD77" s="176"/>
      <c r="AE77" s="176"/>
      <c r="AF77" s="175"/>
      <c r="AG77" s="175"/>
      <c r="AH77" s="176">
        <v>0</v>
      </c>
      <c r="AI77" s="177"/>
      <c r="AJ77" s="177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78"/>
      <c r="BR77" s="178"/>
      <c r="BS77" s="178"/>
      <c r="BT77" s="178"/>
      <c r="BU77" s="178"/>
      <c r="BV77" s="178"/>
      <c r="BW77" s="178"/>
      <c r="BX77" s="178"/>
      <c r="BY77" s="178"/>
      <c r="BZ77" s="178"/>
      <c r="CA77" s="178"/>
      <c r="CB77" s="178"/>
      <c r="CC77" s="178"/>
      <c r="CD77" s="178"/>
      <c r="CE77" s="178"/>
      <c r="CF77" s="178"/>
      <c r="CG77" s="178"/>
      <c r="CH77" s="178"/>
      <c r="CI77" s="178"/>
      <c r="CJ77" s="178"/>
      <c r="CK77" s="178"/>
      <c r="CL77" s="178"/>
      <c r="CM77" s="178"/>
      <c r="CN77" s="178"/>
      <c r="CO77" s="178"/>
      <c r="CP77" s="178"/>
      <c r="CQ77" s="178"/>
      <c r="CR77" s="178"/>
      <c r="CS77" s="178"/>
      <c r="CT77" s="178"/>
      <c r="CU77" s="178"/>
      <c r="CV77" s="178"/>
      <c r="CW77" s="178"/>
      <c r="CX77" s="178"/>
      <c r="CY77" s="178"/>
      <c r="CZ77" s="178"/>
      <c r="DA77" s="178"/>
      <c r="DB77" s="178"/>
      <c r="DC77" s="178"/>
      <c r="DD77" s="178"/>
      <c r="DE77" s="178"/>
      <c r="DF77" s="178"/>
      <c r="DG77" s="178"/>
      <c r="DH77" s="178"/>
      <c r="DI77" s="178"/>
      <c r="DJ77" s="178"/>
      <c r="DK77" s="178"/>
      <c r="DL77" s="178"/>
      <c r="DM77" s="178"/>
      <c r="DN77" s="178"/>
      <c r="DO77" s="178"/>
      <c r="DP77" s="178"/>
      <c r="DQ77" s="178"/>
      <c r="DR77" s="178"/>
      <c r="DS77" s="178"/>
      <c r="DT77" s="178"/>
      <c r="DU77" s="178"/>
      <c r="DV77" s="178"/>
      <c r="DW77" s="178"/>
      <c r="DX77" s="178"/>
      <c r="DY77" s="178"/>
      <c r="DZ77" s="178"/>
      <c r="EA77" s="178"/>
      <c r="EB77" s="178"/>
      <c r="EC77" s="178"/>
      <c r="ED77" s="178"/>
      <c r="EE77" s="178"/>
      <c r="EF77" s="178"/>
      <c r="EG77" s="178"/>
      <c r="EH77" s="178"/>
      <c r="EI77" s="178"/>
      <c r="EJ77" s="178"/>
      <c r="EK77" s="178"/>
      <c r="EL77" s="178"/>
      <c r="EM77" s="178"/>
      <c r="EN77" s="178"/>
      <c r="EO77" s="178"/>
      <c r="EP77" s="178"/>
      <c r="EQ77" s="178"/>
      <c r="ER77" s="178"/>
      <c r="ES77" s="178"/>
      <c r="ET77" s="178"/>
      <c r="EU77" s="178"/>
      <c r="EV77" s="178"/>
      <c r="EW77" s="178"/>
      <c r="EX77" s="178"/>
      <c r="EY77" s="178"/>
      <c r="EZ77" s="178"/>
      <c r="FA77" s="178"/>
      <c r="FB77" s="178"/>
      <c r="FC77" s="178"/>
      <c r="FD77" s="178"/>
      <c r="FE77" s="178"/>
      <c r="FF77" s="178"/>
      <c r="FG77" s="178"/>
      <c r="FH77" s="178"/>
    </row>
    <row r="78" spans="1:164">
      <c r="A78" s="144"/>
      <c r="B78" s="144"/>
      <c r="C78" s="230"/>
      <c r="D78" s="230"/>
      <c r="E78" s="230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44"/>
      <c r="CA78" s="144"/>
      <c r="CB78" s="144"/>
      <c r="CC78" s="144"/>
      <c r="CD78" s="144"/>
      <c r="CE78" s="144"/>
      <c r="CF78" s="144"/>
      <c r="CG78" s="144"/>
      <c r="CH78" s="144"/>
      <c r="CI78" s="144"/>
      <c r="CJ78" s="144"/>
      <c r="CK78" s="144"/>
      <c r="CL78" s="144"/>
      <c r="CM78" s="144"/>
      <c r="CN78" s="144"/>
      <c r="CO78" s="144"/>
      <c r="CP78" s="144"/>
      <c r="CQ78" s="144"/>
      <c r="CR78" s="144"/>
      <c r="CS78" s="144"/>
      <c r="CT78" s="144"/>
      <c r="CU78" s="144"/>
      <c r="CV78" s="144"/>
      <c r="CW78" s="144"/>
      <c r="CX78" s="144"/>
      <c r="CY78" s="144"/>
      <c r="CZ78" s="144"/>
      <c r="DA78" s="144"/>
      <c r="DB78" s="144"/>
      <c r="DC78" s="144"/>
      <c r="DD78" s="144"/>
      <c r="DE78" s="144"/>
      <c r="DF78" s="144"/>
      <c r="DG78" s="144"/>
      <c r="DH78" s="144"/>
      <c r="DI78" s="144"/>
      <c r="DJ78" s="144"/>
      <c r="DK78" s="144"/>
      <c r="DL78" s="144"/>
      <c r="DM78" s="144"/>
      <c r="DN78" s="144"/>
      <c r="DO78" s="144"/>
      <c r="DP78" s="144"/>
      <c r="DQ78" s="144"/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  <c r="ER78" s="144"/>
      <c r="ES78" s="144"/>
      <c r="ET78" s="144"/>
      <c r="EU78" s="144"/>
      <c r="EV78" s="144"/>
      <c r="EW78" s="144"/>
      <c r="EX78" s="144"/>
      <c r="EY78" s="144"/>
      <c r="EZ78" s="144"/>
      <c r="FA78" s="144"/>
      <c r="FB78" s="144"/>
      <c r="FC78" s="144"/>
      <c r="FD78" s="144"/>
      <c r="FE78" s="144"/>
      <c r="FF78" s="144"/>
      <c r="FG78" s="144"/>
      <c r="FH78" s="144"/>
    </row>
    <row r="79" spans="1:164">
      <c r="A79" s="144"/>
      <c r="B79" s="144"/>
      <c r="C79" s="230" t="s">
        <v>360</v>
      </c>
      <c r="D79" s="230"/>
      <c r="E79" s="230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58">
        <v>3000</v>
      </c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4"/>
      <c r="CA79" s="144"/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4"/>
      <c r="DB79" s="144"/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4"/>
      <c r="EC79" s="144"/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4"/>
      <c r="FD79" s="144"/>
      <c r="FE79" s="144"/>
      <c r="FF79" s="144"/>
      <c r="FG79" s="144"/>
      <c r="FH79" s="144"/>
    </row>
    <row r="82" spans="1:3">
      <c r="C82" s="133"/>
    </row>
    <row r="83" spans="1:3">
      <c r="C83" s="133"/>
    </row>
    <row r="84" spans="1:3">
      <c r="C84" s="133"/>
    </row>
    <row r="85" spans="1:3">
      <c r="C85" s="133"/>
    </row>
    <row r="86" spans="1:3">
      <c r="A86" s="182" t="s">
        <v>361</v>
      </c>
      <c r="B86" s="144"/>
      <c r="C86" s="157"/>
    </row>
    <row r="87" spans="1:3">
      <c r="A87" s="182" t="s">
        <v>362</v>
      </c>
      <c r="B87" s="144"/>
      <c r="C87" s="157"/>
    </row>
    <row r="88" spans="1:3">
      <c r="A88" s="182" t="s">
        <v>363</v>
      </c>
      <c r="B88" s="144"/>
      <c r="C88" s="157"/>
    </row>
    <row r="89" spans="1:3">
      <c r="A89" s="182" t="s">
        <v>364</v>
      </c>
      <c r="B89" s="144"/>
      <c r="C89" s="157"/>
    </row>
    <row r="90" spans="1:3">
      <c r="A90" s="182" t="s">
        <v>365</v>
      </c>
      <c r="B90" s="144"/>
      <c r="C90" s="157"/>
    </row>
    <row r="91" spans="1:3">
      <c r="A91" s="182" t="s">
        <v>366</v>
      </c>
      <c r="B91" s="144"/>
      <c r="C91" s="157"/>
    </row>
  </sheetData>
  <mergeCells count="34">
    <mergeCell ref="AJ5:AJ6"/>
    <mergeCell ref="Q5:Q6"/>
    <mergeCell ref="V5:V6"/>
    <mergeCell ref="AE5:AE6"/>
    <mergeCell ref="AH5:AH6"/>
    <mergeCell ref="Z5:Z6"/>
    <mergeCell ref="AD5:AD6"/>
    <mergeCell ref="AC5:AC6"/>
    <mergeCell ref="AI5:AI6"/>
    <mergeCell ref="AB5:AB6"/>
    <mergeCell ref="AF5:AG5"/>
    <mergeCell ref="AA5:AA6"/>
    <mergeCell ref="Y5:Y6"/>
    <mergeCell ref="B5:B6"/>
    <mergeCell ref="C5:C6"/>
    <mergeCell ref="H5:H6"/>
    <mergeCell ref="U5:U6"/>
    <mergeCell ref="A72:C72"/>
    <mergeCell ref="M5:M6"/>
    <mergeCell ref="O5:O6"/>
    <mergeCell ref="A5:A6"/>
    <mergeCell ref="D5:D6"/>
    <mergeCell ref="E5:E6"/>
    <mergeCell ref="I5:I6"/>
    <mergeCell ref="G5:G6"/>
    <mergeCell ref="K5:K6"/>
    <mergeCell ref="P5:P6"/>
    <mergeCell ref="L5:L6"/>
    <mergeCell ref="F5:F6"/>
    <mergeCell ref="J5:J6"/>
    <mergeCell ref="N5:N6"/>
    <mergeCell ref="X5:X6"/>
    <mergeCell ref="T5:T6"/>
    <mergeCell ref="W5:W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workbookViewId="0">
      <pane xSplit="2" ySplit="9" topLeftCell="O12" activePane="bottomRight" state="frozen"/>
      <selection pane="topRight" activeCell="C1" sqref="C1"/>
      <selection pane="bottomLeft" activeCell="A10" sqref="A10"/>
      <selection pane="bottomRight" activeCell="T28" activeCellId="1" sqref="B28 T28"/>
    </sheetView>
  </sheetViews>
  <sheetFormatPr baseColWidth="10" defaultRowHeight="11.25"/>
  <cols>
    <col min="1" max="1" width="11.42578125" style="8"/>
    <col min="2" max="2" width="26.5703125" style="8" bestFit="1" customWidth="1"/>
    <col min="3" max="3" width="11.42578125" style="8" hidden="1" customWidth="1"/>
    <col min="4" max="4" width="13" style="8" hidden="1" customWidth="1"/>
    <col min="5" max="5" width="14.85546875" style="8" hidden="1" customWidth="1"/>
    <col min="6" max="6" width="0" style="8" hidden="1" customWidth="1"/>
    <col min="7" max="10" width="9.28515625" style="8" hidden="1" customWidth="1"/>
    <col min="11" max="12" width="9.28515625" style="74" hidden="1" customWidth="1"/>
    <col min="13" max="13" width="8.85546875" style="74" hidden="1" customWidth="1"/>
    <col min="14" max="14" width="0" style="74" hidden="1" customWidth="1"/>
    <col min="15" max="15" width="11.85546875" style="74" bestFit="1" customWidth="1"/>
    <col min="16" max="19" width="11.42578125" style="74" hidden="1" customWidth="1"/>
    <col min="20" max="16384" width="11.42578125" style="74"/>
  </cols>
  <sheetData>
    <row r="1" spans="1:20" ht="18" customHeight="1">
      <c r="A1" s="18" t="s">
        <v>0</v>
      </c>
      <c r="B1" s="397" t="s">
        <v>17</v>
      </c>
      <c r="C1" s="398"/>
      <c r="D1" s="32"/>
      <c r="E1" s="32"/>
      <c r="F1" s="32"/>
      <c r="G1" s="32"/>
      <c r="H1" s="32"/>
      <c r="I1" s="32"/>
      <c r="J1" s="32"/>
    </row>
    <row r="2" spans="1:20" ht="24.95" customHeight="1">
      <c r="A2" s="19" t="s">
        <v>1</v>
      </c>
      <c r="B2" s="2" t="s">
        <v>149</v>
      </c>
      <c r="C2" s="3"/>
      <c r="D2" s="32"/>
      <c r="E2" s="32"/>
      <c r="F2" s="32"/>
      <c r="G2" s="32"/>
      <c r="H2" s="32"/>
      <c r="I2" s="32"/>
      <c r="J2" s="32"/>
    </row>
    <row r="3" spans="1:20" ht="15.75">
      <c r="A3" s="32"/>
      <c r="B3" s="31" t="s">
        <v>2</v>
      </c>
      <c r="C3" s="77"/>
      <c r="D3" s="32"/>
      <c r="E3" s="32"/>
      <c r="F3" s="32"/>
      <c r="G3" s="32"/>
      <c r="H3" s="32"/>
      <c r="I3" s="32"/>
      <c r="J3" s="32"/>
    </row>
    <row r="4" spans="1:20" ht="15">
      <c r="A4" s="32"/>
      <c r="B4" s="4" t="e">
        <f>+#REF!</f>
        <v>#REF!</v>
      </c>
      <c r="C4" s="77"/>
      <c r="D4" s="32"/>
      <c r="E4" s="32"/>
      <c r="F4" s="32"/>
      <c r="G4" s="32"/>
      <c r="H4" s="32"/>
      <c r="I4" s="32"/>
      <c r="J4" s="32"/>
    </row>
    <row r="5" spans="1:20" ht="15">
      <c r="A5" s="32"/>
      <c r="B5" s="20" t="s">
        <v>150</v>
      </c>
      <c r="C5" s="32"/>
      <c r="D5" s="32"/>
      <c r="E5" s="32"/>
      <c r="F5" s="32"/>
      <c r="G5" s="32"/>
      <c r="H5" s="33"/>
      <c r="I5" s="32"/>
      <c r="J5" s="32"/>
    </row>
    <row r="6" spans="1:20" ht="15">
      <c r="A6" s="32"/>
      <c r="B6" s="20" t="s">
        <v>3</v>
      </c>
      <c r="C6" s="32"/>
      <c r="D6" s="32"/>
      <c r="E6" s="32"/>
      <c r="F6" s="32"/>
      <c r="G6" s="32"/>
      <c r="H6" s="33"/>
      <c r="I6" s="32"/>
      <c r="J6" s="32"/>
    </row>
    <row r="8" spans="1:20" s="29" customFormat="1" ht="34.5" thickBot="1">
      <c r="A8" s="27" t="s">
        <v>4</v>
      </c>
      <c r="B8" s="6" t="s">
        <v>5</v>
      </c>
      <c r="C8" s="6" t="s">
        <v>153</v>
      </c>
      <c r="D8" s="5" t="s">
        <v>151</v>
      </c>
      <c r="E8" s="5" t="s">
        <v>7</v>
      </c>
      <c r="F8" s="12" t="s">
        <v>281</v>
      </c>
      <c r="G8" s="12" t="s">
        <v>280</v>
      </c>
      <c r="H8" s="12" t="s">
        <v>20</v>
      </c>
      <c r="I8" s="12" t="s">
        <v>176</v>
      </c>
      <c r="J8" s="12" t="s">
        <v>279</v>
      </c>
      <c r="K8" s="12" t="s">
        <v>278</v>
      </c>
      <c r="L8" s="12" t="s">
        <v>145</v>
      </c>
      <c r="M8" s="12" t="s">
        <v>19</v>
      </c>
      <c r="N8" s="5" t="s">
        <v>10</v>
      </c>
      <c r="O8" s="28" t="s">
        <v>11</v>
      </c>
    </row>
    <row r="9" spans="1:20" ht="15.75" thickTop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20">
      <c r="A10" s="75" t="s">
        <v>152</v>
      </c>
      <c r="B10" s="74" t="s">
        <v>14</v>
      </c>
      <c r="C10" s="76" t="e">
        <f>+#REF!+#REF!+#REF!+#REF!+#REF!+#REF!+#REF!-#REF!</f>
        <v>#REF!</v>
      </c>
      <c r="D10" s="76">
        <v>0</v>
      </c>
      <c r="E10" s="13" t="e">
        <f t="shared" ref="E10:E41" si="0">SUM(C10:D10)</f>
        <v>#REF!</v>
      </c>
      <c r="F10" s="13" t="e">
        <f>+#REF!</f>
        <v>#REF!</v>
      </c>
      <c r="G10" s="13" t="e">
        <f>+#REF!</f>
        <v>#REF!</v>
      </c>
      <c r="H10" s="13" t="e">
        <f>+#REF!</f>
        <v>#REF!</v>
      </c>
      <c r="I10" s="13" t="e">
        <f>+#REF!</f>
        <v>#REF!</v>
      </c>
      <c r="J10" s="13" t="e">
        <f>+#REF!</f>
        <v>#REF!</v>
      </c>
      <c r="K10" s="13" t="e">
        <f>+#REF!</f>
        <v>#REF!</v>
      </c>
      <c r="L10" s="13" t="e">
        <f>+#REF!</f>
        <v>#REF!</v>
      </c>
      <c r="M10" s="16">
        <v>555.6</v>
      </c>
      <c r="N10" s="13" t="e">
        <f t="shared" ref="N10:N41" si="1">SUM(F10:M10)</f>
        <v>#REF!</v>
      </c>
      <c r="O10" s="13" t="e">
        <f t="shared" ref="O10:O41" si="2">+E10-N10</f>
        <v>#REF!</v>
      </c>
      <c r="P10" s="74" t="str">
        <f t="shared" ref="P10:P41" si="3">IF(A10=Q10,"SI","NO")</f>
        <v>SI</v>
      </c>
      <c r="Q10" s="75" t="s">
        <v>152</v>
      </c>
      <c r="R10" s="74" t="s">
        <v>14</v>
      </c>
      <c r="S10" s="13">
        <v>3262.8</v>
      </c>
      <c r="T10" s="20">
        <v>2952243423</v>
      </c>
    </row>
    <row r="11" spans="1:20">
      <c r="A11" s="75" t="s">
        <v>67</v>
      </c>
      <c r="B11" s="74" t="s">
        <v>68</v>
      </c>
      <c r="C11" s="76" t="e">
        <f>+#REF!+#REF!+#REF!+#REF!+#REF!+#REF!+#REF!-#REF!</f>
        <v>#REF!</v>
      </c>
      <c r="D11" s="76">
        <v>0</v>
      </c>
      <c r="E11" s="13" t="e">
        <f t="shared" si="0"/>
        <v>#REF!</v>
      </c>
      <c r="F11" s="13" t="e">
        <f>+#REF!</f>
        <v>#REF!</v>
      </c>
      <c r="G11" s="13" t="e">
        <f>+#REF!</f>
        <v>#REF!</v>
      </c>
      <c r="H11" s="13" t="e">
        <f>+#REF!</f>
        <v>#REF!</v>
      </c>
      <c r="I11" s="13" t="e">
        <f>+#REF!</f>
        <v>#REF!</v>
      </c>
      <c r="J11" s="13" t="e">
        <f>+#REF!</f>
        <v>#REF!</v>
      </c>
      <c r="K11" s="13" t="e">
        <f>+#REF!</f>
        <v>#REF!</v>
      </c>
      <c r="L11" s="13" t="e">
        <f>+#REF!</f>
        <v>#REF!</v>
      </c>
      <c r="M11" s="16">
        <v>0</v>
      </c>
      <c r="N11" s="13" t="e">
        <f t="shared" si="1"/>
        <v>#REF!</v>
      </c>
      <c r="O11" s="13" t="e">
        <f t="shared" si="2"/>
        <v>#REF!</v>
      </c>
      <c r="P11" s="74" t="str">
        <f t="shared" si="3"/>
        <v>SI</v>
      </c>
      <c r="Q11" s="75" t="s">
        <v>67</v>
      </c>
      <c r="R11" s="74" t="s">
        <v>68</v>
      </c>
      <c r="S11" s="13">
        <v>1571.6699999999998</v>
      </c>
      <c r="T11" s="74" t="s">
        <v>283</v>
      </c>
    </row>
    <row r="12" spans="1:20">
      <c r="A12" s="75" t="s">
        <v>121</v>
      </c>
      <c r="B12" s="74" t="s">
        <v>122</v>
      </c>
      <c r="C12" s="76" t="e">
        <f>+#REF!+#REF!+#REF!+#REF!+#REF!+#REF!+#REF!-#REF!</f>
        <v>#REF!</v>
      </c>
      <c r="D12" s="76">
        <v>0</v>
      </c>
      <c r="E12" s="13" t="e">
        <f t="shared" si="0"/>
        <v>#REF!</v>
      </c>
      <c r="F12" s="13" t="e">
        <f>+#REF!</f>
        <v>#REF!</v>
      </c>
      <c r="G12" s="13" t="e">
        <f>+#REF!</f>
        <v>#REF!</v>
      </c>
      <c r="H12" s="13" t="e">
        <f>+#REF!</f>
        <v>#REF!</v>
      </c>
      <c r="I12" s="13" t="e">
        <f>+#REF!</f>
        <v>#REF!</v>
      </c>
      <c r="J12" s="13" t="e">
        <f>+#REF!</f>
        <v>#REF!</v>
      </c>
      <c r="K12" s="13" t="e">
        <f>+#REF!</f>
        <v>#REF!</v>
      </c>
      <c r="L12" s="13" t="e">
        <f>+#REF!</f>
        <v>#REF!</v>
      </c>
      <c r="M12" s="16">
        <v>2000</v>
      </c>
      <c r="N12" s="13" t="e">
        <f t="shared" si="1"/>
        <v>#REF!</v>
      </c>
      <c r="O12" s="13" t="e">
        <f t="shared" si="2"/>
        <v>#REF!</v>
      </c>
      <c r="P12" s="74" t="str">
        <f t="shared" si="3"/>
        <v>SI</v>
      </c>
      <c r="Q12" s="75" t="s">
        <v>121</v>
      </c>
      <c r="R12" s="74" t="s">
        <v>122</v>
      </c>
      <c r="S12" s="13">
        <v>131509.55499999999</v>
      </c>
      <c r="T12" s="74" t="s">
        <v>284</v>
      </c>
    </row>
    <row r="13" spans="1:20">
      <c r="A13" s="75" t="s">
        <v>21</v>
      </c>
      <c r="B13" s="74" t="s">
        <v>155</v>
      </c>
      <c r="C13" s="76" t="e">
        <f>+#REF!+#REF!+#REF!+#REF!+#REF!+#REF!+#REF!-#REF!</f>
        <v>#REF!</v>
      </c>
      <c r="D13" s="76">
        <v>0</v>
      </c>
      <c r="E13" s="13" t="e">
        <f t="shared" si="0"/>
        <v>#REF!</v>
      </c>
      <c r="F13" s="13" t="e">
        <f>+#REF!</f>
        <v>#REF!</v>
      </c>
      <c r="G13" s="13" t="e">
        <f>+#REF!</f>
        <v>#REF!</v>
      </c>
      <c r="H13" s="13" t="e">
        <f>+#REF!</f>
        <v>#REF!</v>
      </c>
      <c r="I13" s="13" t="e">
        <f>+#REF!</f>
        <v>#REF!</v>
      </c>
      <c r="J13" s="13" t="e">
        <f>+#REF!</f>
        <v>#REF!</v>
      </c>
      <c r="K13" s="13" t="e">
        <f>+#REF!</f>
        <v>#REF!</v>
      </c>
      <c r="L13" s="13" t="e">
        <f>+#REF!</f>
        <v>#REF!</v>
      </c>
      <c r="M13" s="16">
        <v>0</v>
      </c>
      <c r="N13" s="13" t="e">
        <f t="shared" si="1"/>
        <v>#REF!</v>
      </c>
      <c r="O13" s="13" t="e">
        <f t="shared" si="2"/>
        <v>#REF!</v>
      </c>
      <c r="P13" s="74" t="str">
        <f t="shared" si="3"/>
        <v>SI</v>
      </c>
      <c r="Q13" s="75" t="s">
        <v>21</v>
      </c>
      <c r="R13" s="74" t="s">
        <v>22</v>
      </c>
      <c r="S13" s="13">
        <v>4383.9120000000003</v>
      </c>
      <c r="T13" s="74" t="s">
        <v>285</v>
      </c>
    </row>
    <row r="14" spans="1:20">
      <c r="A14" s="75" t="s">
        <v>79</v>
      </c>
      <c r="B14" s="74" t="s">
        <v>80</v>
      </c>
      <c r="C14" s="76" t="e">
        <f>+#REF!+#REF!+#REF!+#REF!+#REF!+#REF!+#REF!-#REF!</f>
        <v>#REF!</v>
      </c>
      <c r="D14" s="76">
        <v>0</v>
      </c>
      <c r="E14" s="13" t="e">
        <f t="shared" si="0"/>
        <v>#REF!</v>
      </c>
      <c r="F14" s="13" t="e">
        <f>+#REF!</f>
        <v>#REF!</v>
      </c>
      <c r="G14" s="13" t="e">
        <f>+#REF!</f>
        <v>#REF!</v>
      </c>
      <c r="H14" s="13" t="e">
        <f>+#REF!</f>
        <v>#REF!</v>
      </c>
      <c r="I14" s="13" t="e">
        <f>+#REF!</f>
        <v>#REF!</v>
      </c>
      <c r="J14" s="13" t="e">
        <f>+#REF!</f>
        <v>#REF!</v>
      </c>
      <c r="K14" s="13" t="e">
        <f>+#REF!</f>
        <v>#REF!</v>
      </c>
      <c r="L14" s="13" t="e">
        <f>+#REF!</f>
        <v>#REF!</v>
      </c>
      <c r="M14" s="16">
        <v>0</v>
      </c>
      <c r="N14" s="13" t="e">
        <f t="shared" si="1"/>
        <v>#REF!</v>
      </c>
      <c r="O14" s="13" t="e">
        <f t="shared" si="2"/>
        <v>#REF!</v>
      </c>
      <c r="P14" s="74" t="str">
        <f t="shared" si="3"/>
        <v>SI</v>
      </c>
      <c r="Q14" s="75" t="s">
        <v>79</v>
      </c>
      <c r="R14" s="74" t="s">
        <v>80</v>
      </c>
      <c r="S14" s="13">
        <v>3343.3</v>
      </c>
      <c r="T14" s="74" t="s">
        <v>286</v>
      </c>
    </row>
    <row r="15" spans="1:20">
      <c r="A15" s="75" t="s">
        <v>115</v>
      </c>
      <c r="B15" s="74" t="s">
        <v>116</v>
      </c>
      <c r="C15" s="76" t="e">
        <f>+#REF!+#REF!+#REF!+#REF!+#REF!+#REF!+#REF!-#REF!</f>
        <v>#REF!</v>
      </c>
      <c r="D15" s="76">
        <v>0</v>
      </c>
      <c r="E15" s="13" t="e">
        <f t="shared" si="0"/>
        <v>#REF!</v>
      </c>
      <c r="F15" s="13" t="e">
        <f>+#REF!</f>
        <v>#REF!</v>
      </c>
      <c r="G15" s="13" t="e">
        <f>+#REF!</f>
        <v>#REF!</v>
      </c>
      <c r="H15" s="13" t="e">
        <f>+#REF!</f>
        <v>#REF!</v>
      </c>
      <c r="I15" s="13" t="e">
        <f>+#REF!</f>
        <v>#REF!</v>
      </c>
      <c r="J15" s="13" t="e">
        <f>+#REF!</f>
        <v>#REF!</v>
      </c>
      <c r="K15" s="13" t="e">
        <f>+#REF!</f>
        <v>#REF!</v>
      </c>
      <c r="L15" s="13" t="e">
        <f>+#REF!</f>
        <v>#REF!</v>
      </c>
      <c r="M15" s="16">
        <v>0</v>
      </c>
      <c r="N15" s="13" t="e">
        <f t="shared" si="1"/>
        <v>#REF!</v>
      </c>
      <c r="O15" s="13" t="e">
        <f t="shared" si="2"/>
        <v>#REF!</v>
      </c>
      <c r="P15" s="74" t="str">
        <f t="shared" si="3"/>
        <v>SI</v>
      </c>
      <c r="Q15" s="75" t="s">
        <v>115</v>
      </c>
      <c r="R15" s="74" t="s">
        <v>116</v>
      </c>
      <c r="S15" s="13">
        <v>1908.18</v>
      </c>
      <c r="T15" s="74" t="s">
        <v>287</v>
      </c>
    </row>
    <row r="16" spans="1:20">
      <c r="A16" s="75" t="s">
        <v>105</v>
      </c>
      <c r="B16" s="74" t="s">
        <v>106</v>
      </c>
      <c r="C16" s="76" t="e">
        <f>+#REF!+#REF!+#REF!+#REF!+#REF!+#REF!+#REF!-#REF!</f>
        <v>#REF!</v>
      </c>
      <c r="D16" s="76">
        <v>0</v>
      </c>
      <c r="E16" s="13" t="e">
        <f t="shared" si="0"/>
        <v>#REF!</v>
      </c>
      <c r="F16" s="13" t="e">
        <f>+#REF!</f>
        <v>#REF!</v>
      </c>
      <c r="G16" s="13" t="e">
        <f>+#REF!</f>
        <v>#REF!</v>
      </c>
      <c r="H16" s="13" t="e">
        <f>+#REF!</f>
        <v>#REF!</v>
      </c>
      <c r="I16" s="13" t="e">
        <f>+#REF!</f>
        <v>#REF!</v>
      </c>
      <c r="J16" s="13" t="e">
        <f>+#REF!</f>
        <v>#REF!</v>
      </c>
      <c r="K16" s="13" t="e">
        <f>+#REF!</f>
        <v>#REF!</v>
      </c>
      <c r="L16" s="13" t="e">
        <f>+#REF!</f>
        <v>#REF!</v>
      </c>
      <c r="M16" s="16">
        <v>0</v>
      </c>
      <c r="N16" s="13" t="e">
        <f t="shared" si="1"/>
        <v>#REF!</v>
      </c>
      <c r="O16" s="13" t="e">
        <f t="shared" si="2"/>
        <v>#REF!</v>
      </c>
      <c r="P16" s="74" t="str">
        <f t="shared" si="3"/>
        <v>SI</v>
      </c>
      <c r="Q16" s="75" t="s">
        <v>105</v>
      </c>
      <c r="R16" s="74" t="s">
        <v>106</v>
      </c>
      <c r="S16" s="13">
        <v>4686.5280000000002</v>
      </c>
      <c r="T16" s="74" t="s">
        <v>288</v>
      </c>
    </row>
    <row r="17" spans="1:20">
      <c r="A17" s="75" t="s">
        <v>119</v>
      </c>
      <c r="B17" s="74" t="s">
        <v>120</v>
      </c>
      <c r="C17" s="76" t="e">
        <f>+#REF!+#REF!+#REF!+#REF!+#REF!+#REF!+#REF!-#REF!</f>
        <v>#REF!</v>
      </c>
      <c r="D17" s="76">
        <v>0</v>
      </c>
      <c r="E17" s="13" t="e">
        <f t="shared" si="0"/>
        <v>#REF!</v>
      </c>
      <c r="F17" s="13" t="e">
        <f>+#REF!</f>
        <v>#REF!</v>
      </c>
      <c r="G17" s="13" t="e">
        <f>+#REF!</f>
        <v>#REF!</v>
      </c>
      <c r="H17" s="13" t="e">
        <f>+#REF!</f>
        <v>#REF!</v>
      </c>
      <c r="I17" s="13" t="e">
        <f>+#REF!</f>
        <v>#REF!</v>
      </c>
      <c r="J17" s="13" t="e">
        <f>+#REF!</f>
        <v>#REF!</v>
      </c>
      <c r="K17" s="13" t="e">
        <f>+#REF!</f>
        <v>#REF!</v>
      </c>
      <c r="L17" s="13" t="e">
        <f>+#REF!</f>
        <v>#REF!</v>
      </c>
      <c r="M17" s="16">
        <v>693.5</v>
      </c>
      <c r="N17" s="13" t="e">
        <f t="shared" si="1"/>
        <v>#REF!</v>
      </c>
      <c r="O17" s="13" t="e">
        <f t="shared" si="2"/>
        <v>#REF!</v>
      </c>
      <c r="P17" s="74" t="str">
        <f t="shared" si="3"/>
        <v>SI</v>
      </c>
      <c r="Q17" s="75" t="s">
        <v>119</v>
      </c>
      <c r="R17" s="74" t="s">
        <v>120</v>
      </c>
      <c r="S17" s="13">
        <v>4925.7480000000005</v>
      </c>
      <c r="T17" s="74" t="s">
        <v>289</v>
      </c>
    </row>
    <row r="18" spans="1:20">
      <c r="A18" s="75" t="s">
        <v>28</v>
      </c>
      <c r="B18" s="74" t="s">
        <v>29</v>
      </c>
      <c r="C18" s="76" t="e">
        <f>+#REF!+#REF!+#REF!+#REF!+#REF!+#REF!+#REF!-#REF!</f>
        <v>#REF!</v>
      </c>
      <c r="D18" s="76">
        <v>0</v>
      </c>
      <c r="E18" s="13" t="e">
        <f t="shared" si="0"/>
        <v>#REF!</v>
      </c>
      <c r="F18" s="13" t="e">
        <f>+#REF!</f>
        <v>#REF!</v>
      </c>
      <c r="G18" s="13" t="e">
        <f>+#REF!</f>
        <v>#REF!</v>
      </c>
      <c r="H18" s="13" t="e">
        <f>+#REF!</f>
        <v>#REF!</v>
      </c>
      <c r="I18" s="13" t="e">
        <f>+#REF!</f>
        <v>#REF!</v>
      </c>
      <c r="J18" s="13" t="e">
        <f>+#REF!</f>
        <v>#REF!</v>
      </c>
      <c r="K18" s="13" t="e">
        <f>+#REF!</f>
        <v>#REF!</v>
      </c>
      <c r="L18" s="13" t="e">
        <f>+#REF!</f>
        <v>#REF!</v>
      </c>
      <c r="M18" s="16">
        <v>0</v>
      </c>
      <c r="N18" s="13" t="e">
        <f t="shared" si="1"/>
        <v>#REF!</v>
      </c>
      <c r="O18" s="13" t="e">
        <f t="shared" si="2"/>
        <v>#REF!</v>
      </c>
      <c r="P18" s="74" t="str">
        <f t="shared" si="3"/>
        <v>SI</v>
      </c>
      <c r="Q18" s="75" t="s">
        <v>28</v>
      </c>
      <c r="R18" s="74" t="s">
        <v>29</v>
      </c>
      <c r="S18" s="13">
        <v>1670.1699999999998</v>
      </c>
      <c r="T18" s="74" t="s">
        <v>290</v>
      </c>
    </row>
    <row r="19" spans="1:20">
      <c r="A19" s="75" t="s">
        <v>30</v>
      </c>
      <c r="B19" s="74" t="s">
        <v>31</v>
      </c>
      <c r="C19" s="76" t="e">
        <f>+#REF!+#REF!+#REF!+#REF!+#REF!+#REF!+#REF!-#REF!</f>
        <v>#REF!</v>
      </c>
      <c r="D19" s="76">
        <v>0</v>
      </c>
      <c r="E19" s="13" t="e">
        <f t="shared" si="0"/>
        <v>#REF!</v>
      </c>
      <c r="F19" s="13" t="e">
        <f>+#REF!</f>
        <v>#REF!</v>
      </c>
      <c r="G19" s="13" t="e">
        <f>+#REF!</f>
        <v>#REF!</v>
      </c>
      <c r="H19" s="13" t="e">
        <f>+#REF!</f>
        <v>#REF!</v>
      </c>
      <c r="I19" s="13" t="e">
        <f>+#REF!</f>
        <v>#REF!</v>
      </c>
      <c r="J19" s="13" t="e">
        <f>+#REF!</f>
        <v>#REF!</v>
      </c>
      <c r="K19" s="13" t="e">
        <f>+#REF!</f>
        <v>#REF!</v>
      </c>
      <c r="L19" s="13" t="e">
        <f>+#REF!</f>
        <v>#REF!</v>
      </c>
      <c r="M19" s="16">
        <v>1150</v>
      </c>
      <c r="N19" s="13" t="e">
        <f t="shared" si="1"/>
        <v>#REF!</v>
      </c>
      <c r="O19" s="13" t="e">
        <f t="shared" si="2"/>
        <v>#REF!</v>
      </c>
      <c r="P19" s="74" t="str">
        <f t="shared" si="3"/>
        <v>SI</v>
      </c>
      <c r="Q19" s="75" t="s">
        <v>30</v>
      </c>
      <c r="R19" s="74" t="s">
        <v>31</v>
      </c>
      <c r="S19" s="13">
        <v>3667.8900000000003</v>
      </c>
      <c r="T19" s="74" t="s">
        <v>291</v>
      </c>
    </row>
    <row r="20" spans="1:20">
      <c r="A20" s="75" t="s">
        <v>32</v>
      </c>
      <c r="B20" s="74" t="s">
        <v>33</v>
      </c>
      <c r="C20" s="76" t="e">
        <f>+#REF!+#REF!+#REF!+#REF!+#REF!+#REF!+#REF!-#REF!</f>
        <v>#REF!</v>
      </c>
      <c r="D20" s="76">
        <v>0</v>
      </c>
      <c r="E20" s="13" t="e">
        <f t="shared" si="0"/>
        <v>#REF!</v>
      </c>
      <c r="F20" s="13" t="e">
        <f>+#REF!</f>
        <v>#REF!</v>
      </c>
      <c r="G20" s="13" t="e">
        <f>+#REF!</f>
        <v>#REF!</v>
      </c>
      <c r="H20" s="13" t="e">
        <f>+#REF!</f>
        <v>#REF!</v>
      </c>
      <c r="I20" s="13" t="e">
        <f>+#REF!</f>
        <v>#REF!</v>
      </c>
      <c r="J20" s="13" t="e">
        <f>+#REF!</f>
        <v>#REF!</v>
      </c>
      <c r="K20" s="13" t="e">
        <f>+#REF!</f>
        <v>#REF!</v>
      </c>
      <c r="L20" s="13" t="e">
        <f>+#REF!</f>
        <v>#REF!</v>
      </c>
      <c r="M20" s="16">
        <v>0</v>
      </c>
      <c r="N20" s="13" t="e">
        <f t="shared" si="1"/>
        <v>#REF!</v>
      </c>
      <c r="O20" s="13" t="e">
        <f t="shared" si="2"/>
        <v>#REF!</v>
      </c>
      <c r="P20" s="74" t="str">
        <f t="shared" si="3"/>
        <v>SI</v>
      </c>
      <c r="Q20" s="75" t="s">
        <v>32</v>
      </c>
      <c r="R20" s="74" t="s">
        <v>33</v>
      </c>
      <c r="S20" s="13">
        <v>420.63999999999993</v>
      </c>
      <c r="T20" s="74" t="s">
        <v>292</v>
      </c>
    </row>
    <row r="21" spans="1:20">
      <c r="A21" s="75" t="s">
        <v>87</v>
      </c>
      <c r="B21" s="74" t="s">
        <v>88</v>
      </c>
      <c r="C21" s="76" t="e">
        <f>+#REF!+#REF!+#REF!+#REF!+#REF!+#REF!+#REF!-#REF!</f>
        <v>#REF!</v>
      </c>
      <c r="D21" s="76">
        <v>0</v>
      </c>
      <c r="E21" s="13" t="e">
        <f t="shared" si="0"/>
        <v>#REF!</v>
      </c>
      <c r="F21" s="13" t="e">
        <f>+#REF!</f>
        <v>#REF!</v>
      </c>
      <c r="G21" s="13" t="e">
        <f>+#REF!</f>
        <v>#REF!</v>
      </c>
      <c r="H21" s="13" t="e">
        <f>+#REF!</f>
        <v>#REF!</v>
      </c>
      <c r="I21" s="13" t="e">
        <f>+#REF!</f>
        <v>#REF!</v>
      </c>
      <c r="J21" s="13" t="e">
        <f>+#REF!</f>
        <v>#REF!</v>
      </c>
      <c r="K21" s="13" t="e">
        <f>+#REF!</f>
        <v>#REF!</v>
      </c>
      <c r="L21" s="13" t="e">
        <f>+#REF!</f>
        <v>#REF!</v>
      </c>
      <c r="M21" s="16">
        <v>498.33333333333331</v>
      </c>
      <c r="N21" s="13" t="e">
        <f t="shared" si="1"/>
        <v>#REF!</v>
      </c>
      <c r="O21" s="13" t="e">
        <f t="shared" si="2"/>
        <v>#REF!</v>
      </c>
      <c r="P21" s="74" t="str">
        <f t="shared" si="3"/>
        <v>SI</v>
      </c>
      <c r="Q21" s="75" t="s">
        <v>87</v>
      </c>
      <c r="R21" s="74" t="s">
        <v>88</v>
      </c>
      <c r="S21" s="13">
        <v>1737.8999999999999</v>
      </c>
      <c r="T21" s="74" t="s">
        <v>293</v>
      </c>
    </row>
    <row r="22" spans="1:20">
      <c r="A22" s="75" t="s">
        <v>44</v>
      </c>
      <c r="B22" s="74" t="s">
        <v>45</v>
      </c>
      <c r="C22" s="76" t="e">
        <f>+#REF!+#REF!+#REF!+#REF!+#REF!+#REF!+#REF!-#REF!</f>
        <v>#REF!</v>
      </c>
      <c r="D22" s="76">
        <v>0</v>
      </c>
      <c r="E22" s="13" t="e">
        <f t="shared" si="0"/>
        <v>#REF!</v>
      </c>
      <c r="F22" s="13" t="e">
        <f>+#REF!</f>
        <v>#REF!</v>
      </c>
      <c r="G22" s="13" t="e">
        <f>+#REF!</f>
        <v>#REF!</v>
      </c>
      <c r="H22" s="13" t="e">
        <f>+#REF!</f>
        <v>#REF!</v>
      </c>
      <c r="I22" s="13" t="e">
        <f>+#REF!</f>
        <v>#REF!</v>
      </c>
      <c r="J22" s="13" t="e">
        <f>+#REF!</f>
        <v>#REF!</v>
      </c>
      <c r="K22" s="13" t="e">
        <f>+#REF!</f>
        <v>#REF!</v>
      </c>
      <c r="L22" s="13" t="e">
        <f>+#REF!</f>
        <v>#REF!</v>
      </c>
      <c r="M22" s="16">
        <v>500</v>
      </c>
      <c r="N22" s="13" t="e">
        <f t="shared" si="1"/>
        <v>#REF!</v>
      </c>
      <c r="O22" s="13" t="e">
        <f t="shared" si="2"/>
        <v>#REF!</v>
      </c>
      <c r="P22" s="74" t="str">
        <f t="shared" si="3"/>
        <v>SI</v>
      </c>
      <c r="Q22" s="75" t="s">
        <v>44</v>
      </c>
      <c r="R22" s="74" t="s">
        <v>45</v>
      </c>
      <c r="S22" s="13">
        <v>25260.635999999999</v>
      </c>
      <c r="T22" s="74" t="s">
        <v>294</v>
      </c>
    </row>
    <row r="23" spans="1:20">
      <c r="A23" s="75" t="s">
        <v>69</v>
      </c>
      <c r="B23" s="74" t="s">
        <v>70</v>
      </c>
      <c r="C23" s="76" t="e">
        <f>+#REF!+#REF!+#REF!+#REF!+#REF!+#REF!+#REF!-#REF!</f>
        <v>#REF!</v>
      </c>
      <c r="D23" s="76">
        <v>0</v>
      </c>
      <c r="E23" s="13" t="e">
        <f t="shared" si="0"/>
        <v>#REF!</v>
      </c>
      <c r="F23" s="13" t="e">
        <f>+#REF!</f>
        <v>#REF!</v>
      </c>
      <c r="G23" s="13" t="e">
        <f>+#REF!</f>
        <v>#REF!</v>
      </c>
      <c r="H23" s="13" t="e">
        <f>+#REF!</f>
        <v>#REF!</v>
      </c>
      <c r="I23" s="13" t="e">
        <f>+#REF!</f>
        <v>#REF!</v>
      </c>
      <c r="J23" s="13" t="e">
        <f>+#REF!</f>
        <v>#REF!</v>
      </c>
      <c r="K23" s="13" t="e">
        <f>+#REF!</f>
        <v>#REF!</v>
      </c>
      <c r="L23" s="13" t="e">
        <f>+#REF!</f>
        <v>#REF!</v>
      </c>
      <c r="M23" s="16">
        <v>0</v>
      </c>
      <c r="N23" s="13" t="e">
        <f t="shared" si="1"/>
        <v>#REF!</v>
      </c>
      <c r="O23" s="13" t="e">
        <f t="shared" si="2"/>
        <v>#REF!</v>
      </c>
      <c r="P23" s="74" t="str">
        <f t="shared" si="3"/>
        <v>SI</v>
      </c>
      <c r="Q23" s="75" t="s">
        <v>69</v>
      </c>
      <c r="R23" s="74" t="s">
        <v>70</v>
      </c>
      <c r="S23" s="13">
        <v>12804.411</v>
      </c>
      <c r="T23" s="74" t="s">
        <v>295</v>
      </c>
    </row>
    <row r="24" spans="1:20">
      <c r="A24" s="75" t="s">
        <v>109</v>
      </c>
      <c r="B24" s="74" t="s">
        <v>110</v>
      </c>
      <c r="C24" s="76" t="e">
        <f>+#REF!+#REF!+#REF!+#REF!+#REF!+#REF!+#REF!-#REF!</f>
        <v>#REF!</v>
      </c>
      <c r="D24" s="76">
        <v>0</v>
      </c>
      <c r="E24" s="13" t="e">
        <f t="shared" si="0"/>
        <v>#REF!</v>
      </c>
      <c r="F24" s="13" t="e">
        <f>+#REF!</f>
        <v>#REF!</v>
      </c>
      <c r="G24" s="13" t="e">
        <f>+#REF!</f>
        <v>#REF!</v>
      </c>
      <c r="H24" s="13" t="e">
        <f>+#REF!</f>
        <v>#REF!</v>
      </c>
      <c r="I24" s="13" t="e">
        <f>+#REF!</f>
        <v>#REF!</v>
      </c>
      <c r="J24" s="13" t="e">
        <f>+#REF!</f>
        <v>#REF!</v>
      </c>
      <c r="K24" s="13" t="e">
        <f>+#REF!</f>
        <v>#REF!</v>
      </c>
      <c r="L24" s="13" t="e">
        <f>+#REF!</f>
        <v>#REF!</v>
      </c>
      <c r="M24" s="16">
        <v>0</v>
      </c>
      <c r="N24" s="13" t="e">
        <f t="shared" si="1"/>
        <v>#REF!</v>
      </c>
      <c r="O24" s="13" t="e">
        <f t="shared" si="2"/>
        <v>#REF!</v>
      </c>
      <c r="P24" s="74" t="str">
        <f t="shared" si="3"/>
        <v>SI</v>
      </c>
      <c r="Q24" s="75" t="s">
        <v>109</v>
      </c>
      <c r="R24" s="74" t="s">
        <v>110</v>
      </c>
      <c r="S24" s="13">
        <v>14659.040999999997</v>
      </c>
      <c r="T24" s="74" t="s">
        <v>296</v>
      </c>
    </row>
    <row r="25" spans="1:20">
      <c r="A25" s="75" t="s">
        <v>51</v>
      </c>
      <c r="B25" s="74" t="s">
        <v>52</v>
      </c>
      <c r="C25" s="76" t="e">
        <f>+#REF!+#REF!+#REF!+#REF!+#REF!+#REF!+#REF!-#REF!</f>
        <v>#REF!</v>
      </c>
      <c r="D25" s="76">
        <v>0</v>
      </c>
      <c r="E25" s="13" t="e">
        <f t="shared" si="0"/>
        <v>#REF!</v>
      </c>
      <c r="F25" s="13" t="e">
        <f>+#REF!</f>
        <v>#REF!</v>
      </c>
      <c r="G25" s="13" t="e">
        <f>+#REF!</f>
        <v>#REF!</v>
      </c>
      <c r="H25" s="13" t="e">
        <f>+#REF!</f>
        <v>#REF!</v>
      </c>
      <c r="I25" s="13" t="e">
        <f>+#REF!</f>
        <v>#REF!</v>
      </c>
      <c r="J25" s="13" t="e">
        <f>+#REF!</f>
        <v>#REF!</v>
      </c>
      <c r="K25" s="13" t="e">
        <f>+#REF!</f>
        <v>#REF!</v>
      </c>
      <c r="L25" s="13" t="e">
        <f>+#REF!</f>
        <v>#REF!</v>
      </c>
      <c r="M25" s="16">
        <v>500</v>
      </c>
      <c r="N25" s="13" t="e">
        <f t="shared" si="1"/>
        <v>#REF!</v>
      </c>
      <c r="O25" s="13" t="e">
        <f t="shared" si="2"/>
        <v>#REF!</v>
      </c>
      <c r="P25" s="74" t="str">
        <f t="shared" si="3"/>
        <v>SI</v>
      </c>
      <c r="Q25" s="75" t="s">
        <v>51</v>
      </c>
      <c r="R25" s="74" t="s">
        <v>52</v>
      </c>
      <c r="S25" s="13">
        <v>3452.6100000000006</v>
      </c>
      <c r="T25" s="74" t="s">
        <v>297</v>
      </c>
    </row>
    <row r="26" spans="1:20">
      <c r="A26" s="75" t="s">
        <v>55</v>
      </c>
      <c r="B26" s="74" t="s">
        <v>56</v>
      </c>
      <c r="C26" s="76" t="e">
        <f>+#REF!+#REF!+#REF!+#REF!+#REF!+#REF!+#REF!-#REF!</f>
        <v>#REF!</v>
      </c>
      <c r="D26" s="76">
        <v>0</v>
      </c>
      <c r="E26" s="13" t="e">
        <f t="shared" si="0"/>
        <v>#REF!</v>
      </c>
      <c r="F26" s="13" t="e">
        <f>+#REF!</f>
        <v>#REF!</v>
      </c>
      <c r="G26" s="13" t="e">
        <f>+#REF!</f>
        <v>#REF!</v>
      </c>
      <c r="H26" s="13" t="e">
        <f>+#REF!</f>
        <v>#REF!</v>
      </c>
      <c r="I26" s="13" t="e">
        <f>+#REF!</f>
        <v>#REF!</v>
      </c>
      <c r="J26" s="13" t="e">
        <f>+#REF!</f>
        <v>#REF!</v>
      </c>
      <c r="K26" s="13" t="e">
        <f>+#REF!</f>
        <v>#REF!</v>
      </c>
      <c r="L26" s="13" t="e">
        <f>+#REF!</f>
        <v>#REF!</v>
      </c>
      <c r="M26" s="16">
        <v>0</v>
      </c>
      <c r="N26" s="13" t="e">
        <f t="shared" si="1"/>
        <v>#REF!</v>
      </c>
      <c r="O26" s="13" t="e">
        <f t="shared" si="2"/>
        <v>#REF!</v>
      </c>
      <c r="P26" s="74" t="str">
        <f t="shared" si="3"/>
        <v>SI</v>
      </c>
      <c r="Q26" s="75" t="s">
        <v>55</v>
      </c>
      <c r="R26" s="74" t="s">
        <v>56</v>
      </c>
      <c r="S26" s="13">
        <v>12189.638999999999</v>
      </c>
      <c r="T26" s="74" t="s">
        <v>298</v>
      </c>
    </row>
    <row r="27" spans="1:20">
      <c r="A27" s="75" t="s">
        <v>75</v>
      </c>
      <c r="B27" s="74" t="s">
        <v>76</v>
      </c>
      <c r="C27" s="76" t="e">
        <f>+#REF!+#REF!+#REF!+#REF!+#REF!+#REF!+#REF!-#REF!</f>
        <v>#REF!</v>
      </c>
      <c r="D27" s="76">
        <v>0</v>
      </c>
      <c r="E27" s="13" t="e">
        <f t="shared" si="0"/>
        <v>#REF!</v>
      </c>
      <c r="F27" s="13" t="e">
        <f>+#REF!</f>
        <v>#REF!</v>
      </c>
      <c r="G27" s="13" t="e">
        <f>+#REF!</f>
        <v>#REF!</v>
      </c>
      <c r="H27" s="13" t="e">
        <f>+#REF!</f>
        <v>#REF!</v>
      </c>
      <c r="I27" s="13" t="e">
        <f>+#REF!</f>
        <v>#REF!</v>
      </c>
      <c r="J27" s="13" t="e">
        <f>+#REF!</f>
        <v>#REF!</v>
      </c>
      <c r="K27" s="13" t="e">
        <f>+#REF!</f>
        <v>#REF!</v>
      </c>
      <c r="L27" s="13" t="e">
        <f>+#REF!</f>
        <v>#REF!</v>
      </c>
      <c r="M27" s="16">
        <v>994</v>
      </c>
      <c r="N27" s="13" t="e">
        <f t="shared" si="1"/>
        <v>#REF!</v>
      </c>
      <c r="O27" s="13" t="e">
        <f t="shared" si="2"/>
        <v>#REF!</v>
      </c>
      <c r="P27" s="74" t="str">
        <f t="shared" si="3"/>
        <v>SI</v>
      </c>
      <c r="Q27" s="75" t="s">
        <v>75</v>
      </c>
      <c r="R27" s="74" t="s">
        <v>76</v>
      </c>
      <c r="S27" s="13">
        <v>9471.7109999999993</v>
      </c>
      <c r="T27" s="74" t="s">
        <v>299</v>
      </c>
    </row>
    <row r="28" spans="1:20">
      <c r="A28" s="75" t="s">
        <v>77</v>
      </c>
      <c r="B28" s="74" t="s">
        <v>78</v>
      </c>
      <c r="C28" s="76" t="e">
        <f>+#REF!+#REF!+#REF!+#REF!+#REF!+#REF!+#REF!-#REF!</f>
        <v>#REF!</v>
      </c>
      <c r="D28" s="76">
        <v>0</v>
      </c>
      <c r="E28" s="13" t="e">
        <f t="shared" si="0"/>
        <v>#REF!</v>
      </c>
      <c r="F28" s="13" t="e">
        <f>+#REF!</f>
        <v>#REF!</v>
      </c>
      <c r="G28" s="13" t="e">
        <f>+#REF!</f>
        <v>#REF!</v>
      </c>
      <c r="H28" s="13" t="e">
        <f>+#REF!</f>
        <v>#REF!</v>
      </c>
      <c r="I28" s="13" t="e">
        <f>+#REF!</f>
        <v>#REF!</v>
      </c>
      <c r="J28" s="13" t="e">
        <f>+#REF!</f>
        <v>#REF!</v>
      </c>
      <c r="K28" s="13" t="e">
        <f>+#REF!</f>
        <v>#REF!</v>
      </c>
      <c r="L28" s="13" t="e">
        <f>+#REF!</f>
        <v>#REF!</v>
      </c>
      <c r="M28" s="16">
        <v>1030</v>
      </c>
      <c r="N28" s="13" t="e">
        <f t="shared" si="1"/>
        <v>#REF!</v>
      </c>
      <c r="O28" s="13" t="e">
        <f t="shared" si="2"/>
        <v>#REF!</v>
      </c>
      <c r="P28" s="74" t="str">
        <f t="shared" si="3"/>
        <v>SI</v>
      </c>
      <c r="Q28" s="75" t="s">
        <v>77</v>
      </c>
      <c r="R28" s="74" t="s">
        <v>78</v>
      </c>
      <c r="S28" s="13">
        <v>1980.23</v>
      </c>
      <c r="T28" s="74" t="s">
        <v>300</v>
      </c>
    </row>
    <row r="29" spans="1:20">
      <c r="A29" s="75" t="s">
        <v>40</v>
      </c>
      <c r="B29" s="74" t="s">
        <v>41</v>
      </c>
      <c r="C29" s="76" t="e">
        <f>+#REF!+#REF!+#REF!+#REF!+#REF!+#REF!+#REF!-#REF!</f>
        <v>#REF!</v>
      </c>
      <c r="D29" s="76">
        <v>0</v>
      </c>
      <c r="E29" s="13" t="e">
        <f t="shared" si="0"/>
        <v>#REF!</v>
      </c>
      <c r="F29" s="13" t="e">
        <f>+#REF!</f>
        <v>#REF!</v>
      </c>
      <c r="G29" s="13" t="e">
        <f>+#REF!</f>
        <v>#REF!</v>
      </c>
      <c r="H29" s="13" t="e">
        <f>+#REF!</f>
        <v>#REF!</v>
      </c>
      <c r="I29" s="13" t="e">
        <f>+#REF!</f>
        <v>#REF!</v>
      </c>
      <c r="J29" s="13" t="e">
        <f>+#REF!</f>
        <v>#REF!</v>
      </c>
      <c r="K29" s="13" t="e">
        <f>+#REF!</f>
        <v>#REF!</v>
      </c>
      <c r="L29" s="13" t="e">
        <f>+#REF!</f>
        <v>#REF!</v>
      </c>
      <c r="M29" s="16">
        <v>0</v>
      </c>
      <c r="N29" s="13" t="e">
        <f t="shared" si="1"/>
        <v>#REF!</v>
      </c>
      <c r="O29" s="13" t="e">
        <f t="shared" si="2"/>
        <v>#REF!</v>
      </c>
      <c r="P29" s="74" t="str">
        <f t="shared" si="3"/>
        <v>SI</v>
      </c>
      <c r="Q29" s="75" t="s">
        <v>40</v>
      </c>
      <c r="R29" s="74" t="s">
        <v>41</v>
      </c>
      <c r="S29" s="13">
        <v>5765.0250000000005</v>
      </c>
      <c r="T29" s="74" t="s">
        <v>301</v>
      </c>
    </row>
    <row r="30" spans="1:20">
      <c r="A30" s="75" t="s">
        <v>71</v>
      </c>
      <c r="B30" s="74" t="s">
        <v>72</v>
      </c>
      <c r="C30" s="76" t="e">
        <f>+#REF!+#REF!+#REF!+#REF!+#REF!+#REF!+#REF!-#REF!</f>
        <v>#REF!</v>
      </c>
      <c r="D30" s="76">
        <v>0</v>
      </c>
      <c r="E30" s="13" t="e">
        <f t="shared" si="0"/>
        <v>#REF!</v>
      </c>
      <c r="F30" s="13" t="e">
        <f>+#REF!</f>
        <v>#REF!</v>
      </c>
      <c r="G30" s="13" t="e">
        <f>+#REF!</f>
        <v>#REF!</v>
      </c>
      <c r="H30" s="13" t="e">
        <f>+#REF!</f>
        <v>#REF!</v>
      </c>
      <c r="I30" s="13" t="e">
        <f>+#REF!</f>
        <v>#REF!</v>
      </c>
      <c r="J30" s="13" t="e">
        <f>+#REF!</f>
        <v>#REF!</v>
      </c>
      <c r="K30" s="13" t="e">
        <f>+#REF!</f>
        <v>#REF!</v>
      </c>
      <c r="L30" s="13" t="e">
        <f>+#REF!</f>
        <v>#REF!</v>
      </c>
      <c r="M30" s="16">
        <v>0</v>
      </c>
      <c r="N30" s="13" t="e">
        <f t="shared" si="1"/>
        <v>#REF!</v>
      </c>
      <c r="O30" s="13" t="e">
        <f t="shared" si="2"/>
        <v>#REF!</v>
      </c>
      <c r="P30" s="74" t="str">
        <f t="shared" si="3"/>
        <v>SI</v>
      </c>
      <c r="Q30" s="75" t="s">
        <v>71</v>
      </c>
      <c r="R30" s="74" t="s">
        <v>72</v>
      </c>
      <c r="S30" s="13">
        <v>6704.6069999999991</v>
      </c>
      <c r="T30" s="74" t="s">
        <v>302</v>
      </c>
    </row>
    <row r="31" spans="1:20">
      <c r="A31" s="75" t="s">
        <v>99</v>
      </c>
      <c r="B31" s="74" t="s">
        <v>100</v>
      </c>
      <c r="C31" s="76" t="e">
        <f>+#REF!+#REF!+#REF!+#REF!+#REF!+#REF!+#REF!-#REF!</f>
        <v>#REF!</v>
      </c>
      <c r="D31" s="76">
        <v>0</v>
      </c>
      <c r="E31" s="13" t="e">
        <f t="shared" si="0"/>
        <v>#REF!</v>
      </c>
      <c r="F31" s="13" t="e">
        <f>+#REF!</f>
        <v>#REF!</v>
      </c>
      <c r="G31" s="13" t="e">
        <f>+#REF!</f>
        <v>#REF!</v>
      </c>
      <c r="H31" s="13" t="e">
        <f>+#REF!</f>
        <v>#REF!</v>
      </c>
      <c r="I31" s="13" t="e">
        <f>+#REF!</f>
        <v>#REF!</v>
      </c>
      <c r="J31" s="13" t="e">
        <f>+#REF!</f>
        <v>#REF!</v>
      </c>
      <c r="K31" s="13" t="e">
        <f>+#REF!</f>
        <v>#REF!</v>
      </c>
      <c r="L31" s="13" t="e">
        <f>+#REF!</f>
        <v>#REF!</v>
      </c>
      <c r="M31" s="16">
        <v>0</v>
      </c>
      <c r="N31" s="13" t="e">
        <f t="shared" si="1"/>
        <v>#REF!</v>
      </c>
      <c r="O31" s="13" t="e">
        <f t="shared" si="2"/>
        <v>#REF!</v>
      </c>
      <c r="P31" s="74" t="str">
        <f t="shared" si="3"/>
        <v>SI</v>
      </c>
      <c r="Q31" s="75" t="s">
        <v>99</v>
      </c>
      <c r="R31" s="74" t="s">
        <v>100</v>
      </c>
      <c r="S31" s="13">
        <v>1713.05</v>
      </c>
      <c r="T31" s="74" t="s">
        <v>303</v>
      </c>
    </row>
    <row r="32" spans="1:20">
      <c r="A32" s="75" t="s">
        <v>24</v>
      </c>
      <c r="B32" s="74" t="s">
        <v>25</v>
      </c>
      <c r="C32" s="76" t="e">
        <f>+#REF!+#REF!+#REF!+#REF!+#REF!+#REF!+#REF!-#REF!</f>
        <v>#REF!</v>
      </c>
      <c r="D32" s="76">
        <v>0</v>
      </c>
      <c r="E32" s="13" t="e">
        <f t="shared" si="0"/>
        <v>#REF!</v>
      </c>
      <c r="F32" s="13" t="e">
        <f>+#REF!</f>
        <v>#REF!</v>
      </c>
      <c r="G32" s="13" t="e">
        <f>+#REF!</f>
        <v>#REF!</v>
      </c>
      <c r="H32" s="13" t="e">
        <f>+#REF!</f>
        <v>#REF!</v>
      </c>
      <c r="I32" s="13" t="e">
        <f>+#REF!</f>
        <v>#REF!</v>
      </c>
      <c r="J32" s="13" t="e">
        <f>+#REF!</f>
        <v>#REF!</v>
      </c>
      <c r="K32" s="13" t="e">
        <f>+#REF!</f>
        <v>#REF!</v>
      </c>
      <c r="L32" s="13" t="e">
        <f>+#REF!</f>
        <v>#REF!</v>
      </c>
      <c r="M32" s="16">
        <v>0</v>
      </c>
      <c r="N32" s="13" t="e">
        <f t="shared" si="1"/>
        <v>#REF!</v>
      </c>
      <c r="O32" s="13" t="e">
        <f t="shared" si="2"/>
        <v>#REF!</v>
      </c>
      <c r="P32" s="74" t="str">
        <f t="shared" si="3"/>
        <v>SI</v>
      </c>
      <c r="Q32" s="75" t="s">
        <v>24</v>
      </c>
      <c r="R32" s="74" t="s">
        <v>25</v>
      </c>
      <c r="S32" s="13">
        <v>2717.67</v>
      </c>
      <c r="T32" s="74" t="s">
        <v>304</v>
      </c>
    </row>
    <row r="33" spans="1:20">
      <c r="A33" s="75" t="s">
        <v>83</v>
      </c>
      <c r="B33" s="74" t="s">
        <v>84</v>
      </c>
      <c r="C33" s="76" t="e">
        <f>+#REF!+#REF!+#REF!+#REF!+#REF!+#REF!+#REF!-#REF!</f>
        <v>#REF!</v>
      </c>
      <c r="D33" s="76">
        <v>0</v>
      </c>
      <c r="E33" s="13" t="e">
        <f t="shared" si="0"/>
        <v>#REF!</v>
      </c>
      <c r="F33" s="13" t="e">
        <f>+#REF!</f>
        <v>#REF!</v>
      </c>
      <c r="G33" s="13" t="e">
        <f>+#REF!</f>
        <v>#REF!</v>
      </c>
      <c r="H33" s="13" t="e">
        <f>+#REF!</f>
        <v>#REF!</v>
      </c>
      <c r="I33" s="13" t="e">
        <f>+#REF!</f>
        <v>#REF!</v>
      </c>
      <c r="J33" s="13" t="e">
        <f>+#REF!</f>
        <v>#REF!</v>
      </c>
      <c r="K33" s="13" t="e">
        <f>+#REF!</f>
        <v>#REF!</v>
      </c>
      <c r="L33" s="13" t="e">
        <f>+#REF!</f>
        <v>#REF!</v>
      </c>
      <c r="M33" s="16">
        <v>0</v>
      </c>
      <c r="N33" s="13" t="e">
        <f t="shared" si="1"/>
        <v>#REF!</v>
      </c>
      <c r="O33" s="13" t="e">
        <f t="shared" si="2"/>
        <v>#REF!</v>
      </c>
      <c r="P33" s="74" t="str">
        <f t="shared" si="3"/>
        <v>SI</v>
      </c>
      <c r="Q33" s="75" t="s">
        <v>83</v>
      </c>
      <c r="R33" s="74" t="s">
        <v>84</v>
      </c>
      <c r="S33" s="13">
        <v>1227.97</v>
      </c>
      <c r="T33" s="74" t="s">
        <v>305</v>
      </c>
    </row>
    <row r="34" spans="1:20">
      <c r="A34" s="75" t="s">
        <v>61</v>
      </c>
      <c r="B34" s="74" t="s">
        <v>62</v>
      </c>
      <c r="C34" s="76" t="e">
        <f>+#REF!+#REF!+#REF!+#REF!+#REF!+#REF!+#REF!-#REF!</f>
        <v>#REF!</v>
      </c>
      <c r="D34" s="76">
        <v>0</v>
      </c>
      <c r="E34" s="13" t="e">
        <f t="shared" si="0"/>
        <v>#REF!</v>
      </c>
      <c r="F34" s="13" t="e">
        <f>+#REF!</f>
        <v>#REF!</v>
      </c>
      <c r="G34" s="13" t="e">
        <f>+#REF!</f>
        <v>#REF!</v>
      </c>
      <c r="H34" s="13" t="e">
        <f>+#REF!</f>
        <v>#REF!</v>
      </c>
      <c r="I34" s="13" t="e">
        <f>+#REF!</f>
        <v>#REF!</v>
      </c>
      <c r="J34" s="13" t="e">
        <f>+#REF!</f>
        <v>#REF!</v>
      </c>
      <c r="K34" s="13" t="e">
        <f>+#REF!</f>
        <v>#REF!</v>
      </c>
      <c r="L34" s="13" t="e">
        <f>+#REF!</f>
        <v>#REF!</v>
      </c>
      <c r="M34" s="16">
        <v>0</v>
      </c>
      <c r="N34" s="13" t="e">
        <f t="shared" si="1"/>
        <v>#REF!</v>
      </c>
      <c r="O34" s="13" t="e">
        <f t="shared" si="2"/>
        <v>#REF!</v>
      </c>
      <c r="P34" s="74" t="str">
        <f t="shared" si="3"/>
        <v>SI</v>
      </c>
      <c r="Q34" s="75" t="s">
        <v>61</v>
      </c>
      <c r="R34" s="74" t="s">
        <v>62</v>
      </c>
      <c r="S34" s="13">
        <v>2807.5800000000004</v>
      </c>
      <c r="T34" s="74" t="s">
        <v>306</v>
      </c>
    </row>
    <row r="35" spans="1:20">
      <c r="A35" s="75" t="s">
        <v>81</v>
      </c>
      <c r="B35" s="74" t="s">
        <v>82</v>
      </c>
      <c r="C35" s="76" t="e">
        <f>+#REF!+#REF!+#REF!+#REF!+#REF!+#REF!+#REF!-#REF!</f>
        <v>#REF!</v>
      </c>
      <c r="D35" s="76">
        <v>0</v>
      </c>
      <c r="E35" s="13" t="e">
        <f t="shared" si="0"/>
        <v>#REF!</v>
      </c>
      <c r="F35" s="13" t="e">
        <f>+#REF!</f>
        <v>#REF!</v>
      </c>
      <c r="G35" s="13" t="e">
        <f>+#REF!</f>
        <v>#REF!</v>
      </c>
      <c r="H35" s="13" t="e">
        <f>+#REF!</f>
        <v>#REF!</v>
      </c>
      <c r="I35" s="13" t="e">
        <f>+#REF!</f>
        <v>#REF!</v>
      </c>
      <c r="J35" s="13" t="e">
        <f>+#REF!</f>
        <v>#REF!</v>
      </c>
      <c r="K35" s="13" t="e">
        <f>+#REF!</f>
        <v>#REF!</v>
      </c>
      <c r="L35" s="13" t="e">
        <f>+#REF!</f>
        <v>#REF!</v>
      </c>
      <c r="M35" s="16">
        <v>0</v>
      </c>
      <c r="N35" s="13" t="e">
        <f t="shared" si="1"/>
        <v>#REF!</v>
      </c>
      <c r="O35" s="13" t="e">
        <f t="shared" si="2"/>
        <v>#REF!</v>
      </c>
      <c r="P35" s="74" t="str">
        <f t="shared" si="3"/>
        <v>SI</v>
      </c>
      <c r="Q35" s="75" t="s">
        <v>81</v>
      </c>
      <c r="R35" s="74" t="s">
        <v>82</v>
      </c>
      <c r="S35" s="13">
        <v>2823.6499999999996</v>
      </c>
      <c r="T35" s="74" t="s">
        <v>307</v>
      </c>
    </row>
    <row r="36" spans="1:20">
      <c r="A36" s="75" t="s">
        <v>65</v>
      </c>
      <c r="B36" s="74" t="s">
        <v>66</v>
      </c>
      <c r="C36" s="76" t="e">
        <f>+#REF!+#REF!+#REF!+#REF!+#REF!+#REF!+#REF!-#REF!</f>
        <v>#REF!</v>
      </c>
      <c r="D36" s="76">
        <v>0</v>
      </c>
      <c r="E36" s="13" t="e">
        <f t="shared" si="0"/>
        <v>#REF!</v>
      </c>
      <c r="F36" s="13" t="e">
        <f>+#REF!</f>
        <v>#REF!</v>
      </c>
      <c r="G36" s="13" t="e">
        <f>+#REF!</f>
        <v>#REF!</v>
      </c>
      <c r="H36" s="13" t="e">
        <f>+#REF!</f>
        <v>#REF!</v>
      </c>
      <c r="I36" s="13" t="e">
        <f>+#REF!</f>
        <v>#REF!</v>
      </c>
      <c r="J36" s="13" t="e">
        <f>+#REF!</f>
        <v>#REF!</v>
      </c>
      <c r="K36" s="13" t="e">
        <f>+#REF!</f>
        <v>#REF!</v>
      </c>
      <c r="L36" s="13" t="e">
        <f>+#REF!</f>
        <v>#REF!</v>
      </c>
      <c r="M36" s="16">
        <v>0</v>
      </c>
      <c r="N36" s="13" t="e">
        <f t="shared" si="1"/>
        <v>#REF!</v>
      </c>
      <c r="O36" s="13" t="e">
        <f t="shared" si="2"/>
        <v>#REF!</v>
      </c>
      <c r="P36" s="74" t="str">
        <f t="shared" si="3"/>
        <v>SI</v>
      </c>
      <c r="Q36" s="75" t="s">
        <v>65</v>
      </c>
      <c r="R36" s="74" t="s">
        <v>66</v>
      </c>
      <c r="S36" s="13">
        <v>1758.18</v>
      </c>
      <c r="T36" s="74" t="s">
        <v>308</v>
      </c>
    </row>
    <row r="37" spans="1:20">
      <c r="A37" s="75" t="s">
        <v>12</v>
      </c>
      <c r="B37" s="74" t="s">
        <v>23</v>
      </c>
      <c r="C37" s="76" t="e">
        <f>+#REF!+#REF!+#REF!+#REF!+#REF!+#REF!+#REF!-#REF!</f>
        <v>#REF!</v>
      </c>
      <c r="D37" s="76">
        <v>0</v>
      </c>
      <c r="E37" s="13" t="e">
        <f t="shared" si="0"/>
        <v>#REF!</v>
      </c>
      <c r="F37" s="13" t="e">
        <f>+#REF!</f>
        <v>#REF!</v>
      </c>
      <c r="G37" s="13" t="e">
        <f>+#REF!</f>
        <v>#REF!</v>
      </c>
      <c r="H37" s="13" t="e">
        <f>+#REF!</f>
        <v>#REF!</v>
      </c>
      <c r="I37" s="13" t="e">
        <f>+#REF!</f>
        <v>#REF!</v>
      </c>
      <c r="J37" s="13" t="e">
        <f>+#REF!</f>
        <v>#REF!</v>
      </c>
      <c r="K37" s="13" t="e">
        <f>+#REF!</f>
        <v>#REF!</v>
      </c>
      <c r="L37" s="13" t="e">
        <f>+#REF!</f>
        <v>#REF!</v>
      </c>
      <c r="M37" s="16">
        <v>0</v>
      </c>
      <c r="N37" s="13" t="e">
        <f t="shared" si="1"/>
        <v>#REF!</v>
      </c>
      <c r="O37" s="13" t="e">
        <f t="shared" si="2"/>
        <v>#REF!</v>
      </c>
      <c r="P37" s="74" t="str">
        <f t="shared" si="3"/>
        <v>SI</v>
      </c>
      <c r="Q37" s="75" t="s">
        <v>12</v>
      </c>
      <c r="R37" s="74" t="s">
        <v>23</v>
      </c>
      <c r="S37" s="13">
        <v>1613.05</v>
      </c>
      <c r="T37" s="74" t="s">
        <v>309</v>
      </c>
    </row>
    <row r="38" spans="1:20">
      <c r="A38" s="75" t="s">
        <v>63</v>
      </c>
      <c r="B38" s="74" t="s">
        <v>64</v>
      </c>
      <c r="C38" s="76" t="e">
        <f>+#REF!+#REF!+#REF!+#REF!+#REF!+#REF!+#REF!-#REF!</f>
        <v>#REF!</v>
      </c>
      <c r="D38" s="76">
        <v>0</v>
      </c>
      <c r="E38" s="13" t="e">
        <f t="shared" si="0"/>
        <v>#REF!</v>
      </c>
      <c r="F38" s="13" t="e">
        <f>+#REF!</f>
        <v>#REF!</v>
      </c>
      <c r="G38" s="13" t="e">
        <f>+#REF!</f>
        <v>#REF!</v>
      </c>
      <c r="H38" s="13" t="e">
        <f>+#REF!</f>
        <v>#REF!</v>
      </c>
      <c r="I38" s="13" t="e">
        <f>+#REF!</f>
        <v>#REF!</v>
      </c>
      <c r="J38" s="13" t="e">
        <f>+#REF!</f>
        <v>#REF!</v>
      </c>
      <c r="K38" s="13" t="e">
        <f>+#REF!</f>
        <v>#REF!</v>
      </c>
      <c r="L38" s="13" t="e">
        <f>+#REF!</f>
        <v>#REF!</v>
      </c>
      <c r="M38" s="16">
        <v>0</v>
      </c>
      <c r="N38" s="13" t="e">
        <f t="shared" si="1"/>
        <v>#REF!</v>
      </c>
      <c r="O38" s="13" t="e">
        <f t="shared" si="2"/>
        <v>#REF!</v>
      </c>
      <c r="P38" s="74" t="str">
        <f t="shared" si="3"/>
        <v>SI</v>
      </c>
      <c r="Q38" s="75" t="s">
        <v>63</v>
      </c>
      <c r="R38" s="74" t="s">
        <v>64</v>
      </c>
      <c r="S38" s="13">
        <v>3392.0219999999999</v>
      </c>
      <c r="T38" s="74" t="s">
        <v>310</v>
      </c>
    </row>
    <row r="39" spans="1:20">
      <c r="A39" s="75" t="s">
        <v>73</v>
      </c>
      <c r="B39" s="74" t="s">
        <v>74</v>
      </c>
      <c r="C39" s="76" t="e">
        <f>+#REF!+#REF!+#REF!+#REF!+#REF!+#REF!+#REF!-#REF!</f>
        <v>#REF!</v>
      </c>
      <c r="D39" s="76">
        <v>0</v>
      </c>
      <c r="E39" s="13" t="e">
        <f t="shared" si="0"/>
        <v>#REF!</v>
      </c>
      <c r="F39" s="13" t="e">
        <f>+#REF!</f>
        <v>#REF!</v>
      </c>
      <c r="G39" s="13" t="e">
        <f>+#REF!</f>
        <v>#REF!</v>
      </c>
      <c r="H39" s="13" t="e">
        <f>+#REF!</f>
        <v>#REF!</v>
      </c>
      <c r="I39" s="13" t="e">
        <f>+#REF!</f>
        <v>#REF!</v>
      </c>
      <c r="J39" s="13" t="e">
        <f>+#REF!</f>
        <v>#REF!</v>
      </c>
      <c r="K39" s="13" t="e">
        <f>+#REF!</f>
        <v>#REF!</v>
      </c>
      <c r="L39" s="13" t="e">
        <f>+#REF!</f>
        <v>#REF!</v>
      </c>
      <c r="M39" s="16">
        <v>0</v>
      </c>
      <c r="N39" s="13" t="e">
        <f t="shared" si="1"/>
        <v>#REF!</v>
      </c>
      <c r="O39" s="13" t="e">
        <f t="shared" si="2"/>
        <v>#REF!</v>
      </c>
      <c r="P39" s="74" t="str">
        <f t="shared" si="3"/>
        <v>SI</v>
      </c>
      <c r="Q39" s="75" t="s">
        <v>73</v>
      </c>
      <c r="R39" s="74" t="s">
        <v>74</v>
      </c>
      <c r="S39" s="13">
        <v>6891.6449999999995</v>
      </c>
      <c r="T39" s="74" t="s">
        <v>311</v>
      </c>
    </row>
    <row r="40" spans="1:20">
      <c r="A40" s="75" t="s">
        <v>97</v>
      </c>
      <c r="B40" s="74" t="s">
        <v>98</v>
      </c>
      <c r="C40" s="76" t="e">
        <f>+#REF!+#REF!+#REF!+#REF!+#REF!+#REF!+#REF!-#REF!</f>
        <v>#REF!</v>
      </c>
      <c r="D40" s="76">
        <v>0</v>
      </c>
      <c r="E40" s="13" t="e">
        <f t="shared" si="0"/>
        <v>#REF!</v>
      </c>
      <c r="F40" s="13" t="e">
        <f>+#REF!</f>
        <v>#REF!</v>
      </c>
      <c r="G40" s="13" t="e">
        <f>+#REF!</f>
        <v>#REF!</v>
      </c>
      <c r="H40" s="13" t="e">
        <f>+#REF!</f>
        <v>#REF!</v>
      </c>
      <c r="I40" s="13" t="e">
        <f>+#REF!</f>
        <v>#REF!</v>
      </c>
      <c r="J40" s="13" t="e">
        <f>+#REF!</f>
        <v>#REF!</v>
      </c>
      <c r="K40" s="13" t="e">
        <f>+#REF!</f>
        <v>#REF!</v>
      </c>
      <c r="L40" s="13" t="e">
        <f>+#REF!</f>
        <v>#REF!</v>
      </c>
      <c r="M40" s="16">
        <v>0</v>
      </c>
      <c r="N40" s="13" t="e">
        <f t="shared" si="1"/>
        <v>#REF!</v>
      </c>
      <c r="O40" s="13" t="e">
        <f t="shared" si="2"/>
        <v>#REF!</v>
      </c>
      <c r="P40" s="74" t="str">
        <f t="shared" si="3"/>
        <v>SI</v>
      </c>
      <c r="Q40" s="75" t="s">
        <v>97</v>
      </c>
      <c r="R40" s="74" t="s">
        <v>98</v>
      </c>
      <c r="S40" s="13">
        <v>5472.183</v>
      </c>
      <c r="T40" s="74" t="s">
        <v>312</v>
      </c>
    </row>
    <row r="41" spans="1:20">
      <c r="A41" s="75" t="s">
        <v>38</v>
      </c>
      <c r="B41" s="74" t="s">
        <v>39</v>
      </c>
      <c r="C41" s="76" t="e">
        <f>+#REF!+#REF!+#REF!+#REF!+#REF!+#REF!+#REF!-#REF!</f>
        <v>#REF!</v>
      </c>
      <c r="D41" s="76">
        <v>0</v>
      </c>
      <c r="E41" s="13" t="e">
        <f t="shared" si="0"/>
        <v>#REF!</v>
      </c>
      <c r="F41" s="13" t="e">
        <f>+#REF!</f>
        <v>#REF!</v>
      </c>
      <c r="G41" s="13" t="e">
        <f>+#REF!</f>
        <v>#REF!</v>
      </c>
      <c r="H41" s="13" t="e">
        <f>+#REF!</f>
        <v>#REF!</v>
      </c>
      <c r="I41" s="13" t="e">
        <f>+#REF!</f>
        <v>#REF!</v>
      </c>
      <c r="J41" s="13" t="e">
        <f>+#REF!</f>
        <v>#REF!</v>
      </c>
      <c r="K41" s="13" t="e">
        <f>+#REF!</f>
        <v>#REF!</v>
      </c>
      <c r="L41" s="13" t="e">
        <f>+#REF!</f>
        <v>#REF!</v>
      </c>
      <c r="M41" s="16">
        <v>0</v>
      </c>
      <c r="N41" s="13" t="e">
        <f t="shared" si="1"/>
        <v>#REF!</v>
      </c>
      <c r="O41" s="13" t="e">
        <f t="shared" si="2"/>
        <v>#REF!</v>
      </c>
      <c r="P41" s="74" t="str">
        <f t="shared" si="3"/>
        <v>SI</v>
      </c>
      <c r="Q41" s="75" t="s">
        <v>38</v>
      </c>
      <c r="R41" s="74" t="s">
        <v>39</v>
      </c>
      <c r="S41" s="13">
        <v>1810.9</v>
      </c>
      <c r="T41" s="74" t="s">
        <v>313</v>
      </c>
    </row>
    <row r="42" spans="1:20">
      <c r="A42" s="75" t="s">
        <v>101</v>
      </c>
      <c r="B42" s="74" t="s">
        <v>102</v>
      </c>
      <c r="C42" s="76" t="e">
        <f>+#REF!+#REF!+#REF!+#REF!+#REF!+#REF!+#REF!-#REF!</f>
        <v>#REF!</v>
      </c>
      <c r="D42" s="76">
        <v>0</v>
      </c>
      <c r="E42" s="13" t="e">
        <f t="shared" ref="E42:E58" si="4">SUM(C42:D42)</f>
        <v>#REF!</v>
      </c>
      <c r="F42" s="13" t="e">
        <f>+#REF!</f>
        <v>#REF!</v>
      </c>
      <c r="G42" s="13" t="e">
        <f>+#REF!</f>
        <v>#REF!</v>
      </c>
      <c r="H42" s="13" t="e">
        <f>+#REF!</f>
        <v>#REF!</v>
      </c>
      <c r="I42" s="13" t="e">
        <f>+#REF!</f>
        <v>#REF!</v>
      </c>
      <c r="J42" s="13" t="e">
        <f>+#REF!</f>
        <v>#REF!</v>
      </c>
      <c r="K42" s="13" t="e">
        <f>+#REF!</f>
        <v>#REF!</v>
      </c>
      <c r="L42" s="13" t="e">
        <f>+#REF!</f>
        <v>#REF!</v>
      </c>
      <c r="M42" s="16">
        <v>600</v>
      </c>
      <c r="N42" s="13" t="e">
        <f t="shared" ref="N42:N58" si="5">SUM(F42:M42)</f>
        <v>#REF!</v>
      </c>
      <c r="O42" s="13" t="e">
        <f t="shared" ref="O42:O58" si="6">+E42-N42</f>
        <v>#REF!</v>
      </c>
      <c r="P42" s="74" t="str">
        <f t="shared" ref="P42:P58" si="7">IF(A42=Q42,"SI","NO")</f>
        <v>SI</v>
      </c>
      <c r="Q42" s="75" t="s">
        <v>101</v>
      </c>
      <c r="R42" s="74" t="s">
        <v>102</v>
      </c>
      <c r="S42" s="13">
        <v>3312.183</v>
      </c>
      <c r="T42" s="74" t="s">
        <v>314</v>
      </c>
    </row>
    <row r="43" spans="1:20">
      <c r="A43" s="75" t="s">
        <v>53</v>
      </c>
      <c r="B43" s="74" t="s">
        <v>54</v>
      </c>
      <c r="C43" s="76" t="e">
        <f>+#REF!+#REF!+#REF!+#REF!+#REF!+#REF!+#REF!-#REF!</f>
        <v>#REF!</v>
      </c>
      <c r="D43" s="76">
        <v>0</v>
      </c>
      <c r="E43" s="13" t="e">
        <f t="shared" si="4"/>
        <v>#REF!</v>
      </c>
      <c r="F43" s="13" t="e">
        <f>+#REF!</f>
        <v>#REF!</v>
      </c>
      <c r="G43" s="13" t="e">
        <f>+#REF!</f>
        <v>#REF!</v>
      </c>
      <c r="H43" s="13" t="e">
        <f>+#REF!</f>
        <v>#REF!</v>
      </c>
      <c r="I43" s="13" t="e">
        <f>+#REF!</f>
        <v>#REF!</v>
      </c>
      <c r="J43" s="13" t="e">
        <f>+#REF!</f>
        <v>#REF!</v>
      </c>
      <c r="K43" s="13" t="e">
        <f>+#REF!</f>
        <v>#REF!</v>
      </c>
      <c r="L43" s="13" t="e">
        <f>+#REF!</f>
        <v>#REF!</v>
      </c>
      <c r="M43" s="16">
        <v>0</v>
      </c>
      <c r="N43" s="13" t="e">
        <f t="shared" si="5"/>
        <v>#REF!</v>
      </c>
      <c r="O43" s="13" t="e">
        <f t="shared" si="6"/>
        <v>#REF!</v>
      </c>
      <c r="P43" s="74" t="str">
        <f t="shared" si="7"/>
        <v>SI</v>
      </c>
      <c r="Q43" s="75" t="s">
        <v>53</v>
      </c>
      <c r="R43" s="74" t="s">
        <v>54</v>
      </c>
      <c r="S43" s="13">
        <v>3922.8060000000005</v>
      </c>
      <c r="T43" s="74" t="s">
        <v>315</v>
      </c>
    </row>
    <row r="44" spans="1:20">
      <c r="A44" s="75" t="s">
        <v>85</v>
      </c>
      <c r="B44" s="74" t="s">
        <v>86</v>
      </c>
      <c r="C44" s="76" t="e">
        <f>+#REF!+#REF!+#REF!+#REF!+#REF!+#REF!+#REF!-#REF!</f>
        <v>#REF!</v>
      </c>
      <c r="D44" s="76">
        <v>0</v>
      </c>
      <c r="E44" s="13" t="e">
        <f t="shared" si="4"/>
        <v>#REF!</v>
      </c>
      <c r="F44" s="13" t="e">
        <f>+#REF!</f>
        <v>#REF!</v>
      </c>
      <c r="G44" s="13" t="e">
        <f>+#REF!</f>
        <v>#REF!</v>
      </c>
      <c r="H44" s="13" t="e">
        <f>+#REF!</f>
        <v>#REF!</v>
      </c>
      <c r="I44" s="13" t="e">
        <f>+#REF!</f>
        <v>#REF!</v>
      </c>
      <c r="J44" s="13" t="e">
        <f>+#REF!</f>
        <v>#REF!</v>
      </c>
      <c r="K44" s="13" t="e">
        <f>+#REF!</f>
        <v>#REF!</v>
      </c>
      <c r="L44" s="13" t="e">
        <f>+#REF!</f>
        <v>#REF!</v>
      </c>
      <c r="M44" s="16">
        <v>0</v>
      </c>
      <c r="N44" s="13" t="e">
        <f t="shared" si="5"/>
        <v>#REF!</v>
      </c>
      <c r="O44" s="13" t="e">
        <f t="shared" si="6"/>
        <v>#REF!</v>
      </c>
      <c r="P44" s="74" t="str">
        <f t="shared" si="7"/>
        <v>SI</v>
      </c>
      <c r="Q44" s="75" t="s">
        <v>85</v>
      </c>
      <c r="R44" s="74" t="s">
        <v>86</v>
      </c>
      <c r="S44" s="13">
        <v>1708.18</v>
      </c>
      <c r="T44" s="74" t="s">
        <v>316</v>
      </c>
    </row>
    <row r="45" spans="1:20">
      <c r="A45" s="75" t="s">
        <v>93</v>
      </c>
      <c r="B45" s="74" t="s">
        <v>94</v>
      </c>
      <c r="C45" s="76" t="e">
        <f>+#REF!+#REF!+#REF!+#REF!+#REF!+#REF!+#REF!-#REF!</f>
        <v>#REF!</v>
      </c>
      <c r="D45" s="76">
        <v>0</v>
      </c>
      <c r="E45" s="13" t="e">
        <f t="shared" si="4"/>
        <v>#REF!</v>
      </c>
      <c r="F45" s="13" t="e">
        <f>+#REF!</f>
        <v>#REF!</v>
      </c>
      <c r="G45" s="13" t="e">
        <f>+#REF!</f>
        <v>#REF!</v>
      </c>
      <c r="H45" s="13" t="e">
        <f>+#REF!</f>
        <v>#REF!</v>
      </c>
      <c r="I45" s="13" t="e">
        <f>+#REF!</f>
        <v>#REF!</v>
      </c>
      <c r="J45" s="13" t="e">
        <f>+#REF!</f>
        <v>#REF!</v>
      </c>
      <c r="K45" s="13" t="e">
        <f>+#REF!</f>
        <v>#REF!</v>
      </c>
      <c r="L45" s="13" t="e">
        <f>+#REF!</f>
        <v>#REF!</v>
      </c>
      <c r="M45" s="16">
        <v>0</v>
      </c>
      <c r="N45" s="13" t="e">
        <f t="shared" si="5"/>
        <v>#REF!</v>
      </c>
      <c r="O45" s="13" t="e">
        <f t="shared" si="6"/>
        <v>#REF!</v>
      </c>
      <c r="P45" s="74" t="str">
        <f t="shared" si="7"/>
        <v>SI</v>
      </c>
      <c r="Q45" s="75" t="s">
        <v>93</v>
      </c>
      <c r="R45" s="74" t="s">
        <v>94</v>
      </c>
      <c r="S45" s="13">
        <v>12865.611000000001</v>
      </c>
      <c r="T45" s="74" t="s">
        <v>317</v>
      </c>
    </row>
    <row r="46" spans="1:20">
      <c r="A46" s="75" t="s">
        <v>103</v>
      </c>
      <c r="B46" s="74" t="s">
        <v>104</v>
      </c>
      <c r="C46" s="76" t="e">
        <f>+#REF!+#REF!+#REF!+#REF!+#REF!+#REF!+#REF!-#REF!</f>
        <v>#REF!</v>
      </c>
      <c r="D46" s="76">
        <v>0</v>
      </c>
      <c r="E46" s="13" t="e">
        <f t="shared" si="4"/>
        <v>#REF!</v>
      </c>
      <c r="F46" s="13" t="e">
        <f>+#REF!</f>
        <v>#REF!</v>
      </c>
      <c r="G46" s="13" t="e">
        <f>+#REF!</f>
        <v>#REF!</v>
      </c>
      <c r="H46" s="13" t="e">
        <f>+#REF!</f>
        <v>#REF!</v>
      </c>
      <c r="I46" s="13" t="e">
        <f>+#REF!</f>
        <v>#REF!</v>
      </c>
      <c r="J46" s="13" t="e">
        <f>+#REF!</f>
        <v>#REF!</v>
      </c>
      <c r="K46" s="13" t="e">
        <f>+#REF!</f>
        <v>#REF!</v>
      </c>
      <c r="L46" s="13" t="e">
        <f>+#REF!</f>
        <v>#REF!</v>
      </c>
      <c r="M46" s="16">
        <v>0</v>
      </c>
      <c r="N46" s="13" t="e">
        <f t="shared" si="5"/>
        <v>#REF!</v>
      </c>
      <c r="O46" s="13" t="e">
        <f t="shared" si="6"/>
        <v>#REF!</v>
      </c>
      <c r="P46" s="74" t="str">
        <f t="shared" si="7"/>
        <v>SI</v>
      </c>
      <c r="Q46" s="75" t="s">
        <v>103</v>
      </c>
      <c r="R46" s="74" t="s">
        <v>104</v>
      </c>
      <c r="S46" s="13">
        <v>1459.6900000000003</v>
      </c>
      <c r="T46" s="74" t="s">
        <v>318</v>
      </c>
    </row>
    <row r="47" spans="1:20">
      <c r="A47" s="75" t="s">
        <v>26</v>
      </c>
      <c r="B47" s="74" t="s">
        <v>27</v>
      </c>
      <c r="C47" s="76" t="e">
        <f>+#REF!+#REF!+#REF!+#REF!+#REF!+#REF!+#REF!-#REF!</f>
        <v>#REF!</v>
      </c>
      <c r="D47" s="76">
        <v>0</v>
      </c>
      <c r="E47" s="13" t="e">
        <f t="shared" si="4"/>
        <v>#REF!</v>
      </c>
      <c r="F47" s="13" t="e">
        <f>+#REF!</f>
        <v>#REF!</v>
      </c>
      <c r="G47" s="13" t="e">
        <f>+#REF!</f>
        <v>#REF!</v>
      </c>
      <c r="H47" s="13" t="e">
        <f>+#REF!</f>
        <v>#REF!</v>
      </c>
      <c r="I47" s="13" t="e">
        <f>+#REF!</f>
        <v>#REF!</v>
      </c>
      <c r="J47" s="13" t="e">
        <f>+#REF!</f>
        <v>#REF!</v>
      </c>
      <c r="K47" s="13" t="e">
        <f>+#REF!</f>
        <v>#REF!</v>
      </c>
      <c r="L47" s="13" t="e">
        <f>+#REF!</f>
        <v>#REF!</v>
      </c>
      <c r="M47" s="16">
        <v>0</v>
      </c>
      <c r="N47" s="13" t="e">
        <f t="shared" si="5"/>
        <v>#REF!</v>
      </c>
      <c r="O47" s="13" t="e">
        <f t="shared" si="6"/>
        <v>#REF!</v>
      </c>
      <c r="P47" s="74" t="str">
        <f t="shared" si="7"/>
        <v>SI</v>
      </c>
      <c r="Q47" s="75" t="s">
        <v>26</v>
      </c>
      <c r="R47" s="74" t="s">
        <v>27</v>
      </c>
      <c r="S47" s="13">
        <v>5457.3420000000006</v>
      </c>
      <c r="T47" s="74" t="s">
        <v>319</v>
      </c>
    </row>
    <row r="48" spans="1:20">
      <c r="A48" s="75" t="s">
        <v>48</v>
      </c>
      <c r="B48" s="74" t="s">
        <v>49</v>
      </c>
      <c r="C48" s="76" t="e">
        <f>+#REF!+#REF!+#REF!+#REF!+#REF!+#REF!+#REF!-#REF!</f>
        <v>#REF!</v>
      </c>
      <c r="D48" s="76">
        <v>0</v>
      </c>
      <c r="E48" s="13" t="e">
        <f t="shared" si="4"/>
        <v>#REF!</v>
      </c>
      <c r="F48" s="13" t="e">
        <f>+#REF!</f>
        <v>#REF!</v>
      </c>
      <c r="G48" s="13" t="e">
        <f>+#REF!</f>
        <v>#REF!</v>
      </c>
      <c r="H48" s="13" t="e">
        <f>+#REF!</f>
        <v>#REF!</v>
      </c>
      <c r="I48" s="13" t="e">
        <f>+#REF!</f>
        <v>#REF!</v>
      </c>
      <c r="J48" s="13" t="e">
        <f>+#REF!</f>
        <v>#REF!</v>
      </c>
      <c r="K48" s="13" t="e">
        <f>+#REF!</f>
        <v>#REF!</v>
      </c>
      <c r="L48" s="13" t="e">
        <f>+#REF!</f>
        <v>#REF!</v>
      </c>
      <c r="M48" s="16">
        <v>0</v>
      </c>
      <c r="N48" s="13" t="e">
        <f t="shared" si="5"/>
        <v>#REF!</v>
      </c>
      <c r="O48" s="13" t="e">
        <f t="shared" si="6"/>
        <v>#REF!</v>
      </c>
      <c r="P48" s="74" t="str">
        <f t="shared" si="7"/>
        <v>SI</v>
      </c>
      <c r="Q48" s="75" t="s">
        <v>48</v>
      </c>
      <c r="R48" s="74" t="s">
        <v>49</v>
      </c>
      <c r="S48" s="13">
        <v>11875.152</v>
      </c>
      <c r="T48" s="74" t="s">
        <v>320</v>
      </c>
    </row>
    <row r="49" spans="1:20">
      <c r="A49" s="75" t="s">
        <v>111</v>
      </c>
      <c r="B49" s="74" t="s">
        <v>112</v>
      </c>
      <c r="C49" s="76" t="e">
        <f>+#REF!+#REF!+#REF!+#REF!+#REF!+#REF!+#REF!-#REF!</f>
        <v>#REF!</v>
      </c>
      <c r="D49" s="76">
        <v>0</v>
      </c>
      <c r="E49" s="13" t="e">
        <f t="shared" si="4"/>
        <v>#REF!</v>
      </c>
      <c r="F49" s="13" t="e">
        <f>+#REF!</f>
        <v>#REF!</v>
      </c>
      <c r="G49" s="13" t="e">
        <f>+#REF!</f>
        <v>#REF!</v>
      </c>
      <c r="H49" s="13" t="e">
        <f>+#REF!</f>
        <v>#REF!</v>
      </c>
      <c r="I49" s="13" t="e">
        <f>+#REF!</f>
        <v>#REF!</v>
      </c>
      <c r="J49" s="13" t="e">
        <f>+#REF!</f>
        <v>#REF!</v>
      </c>
      <c r="K49" s="13" t="e">
        <f>+#REF!</f>
        <v>#REF!</v>
      </c>
      <c r="L49" s="13" t="e">
        <f>+#REF!</f>
        <v>#REF!</v>
      </c>
      <c r="M49" s="16">
        <v>0</v>
      </c>
      <c r="N49" s="13" t="e">
        <f t="shared" si="5"/>
        <v>#REF!</v>
      </c>
      <c r="O49" s="13" t="e">
        <f t="shared" si="6"/>
        <v>#REF!</v>
      </c>
      <c r="P49" s="74" t="str">
        <f t="shared" si="7"/>
        <v>SI</v>
      </c>
      <c r="Q49" s="75" t="s">
        <v>111</v>
      </c>
      <c r="R49" s="74" t="s">
        <v>112</v>
      </c>
      <c r="S49" s="13">
        <v>1708.18</v>
      </c>
      <c r="T49" s="74" t="s">
        <v>321</v>
      </c>
    </row>
    <row r="50" spans="1:20">
      <c r="A50" s="75" t="s">
        <v>91</v>
      </c>
      <c r="B50" s="74" t="s">
        <v>92</v>
      </c>
      <c r="C50" s="76" t="e">
        <f>+#REF!+#REF!+#REF!+#REF!+#REF!+#REF!+#REF!-#REF!</f>
        <v>#REF!</v>
      </c>
      <c r="D50" s="76">
        <v>0</v>
      </c>
      <c r="E50" s="13" t="e">
        <f t="shared" si="4"/>
        <v>#REF!</v>
      </c>
      <c r="F50" s="13" t="e">
        <f>+#REF!</f>
        <v>#REF!</v>
      </c>
      <c r="G50" s="13" t="e">
        <f>+#REF!</f>
        <v>#REF!</v>
      </c>
      <c r="H50" s="13" t="e">
        <f>+#REF!</f>
        <v>#REF!</v>
      </c>
      <c r="I50" s="13" t="e">
        <f>+#REF!</f>
        <v>#REF!</v>
      </c>
      <c r="J50" s="13" t="e">
        <f>+#REF!</f>
        <v>#REF!</v>
      </c>
      <c r="K50" s="13" t="e">
        <f>+#REF!</f>
        <v>#REF!</v>
      </c>
      <c r="L50" s="13" t="e">
        <f>+#REF!</f>
        <v>#REF!</v>
      </c>
      <c r="M50" s="16">
        <v>0</v>
      </c>
      <c r="N50" s="13" t="e">
        <f t="shared" si="5"/>
        <v>#REF!</v>
      </c>
      <c r="O50" s="13" t="e">
        <f t="shared" si="6"/>
        <v>#REF!</v>
      </c>
      <c r="P50" s="74" t="str">
        <f t="shared" si="7"/>
        <v>SI</v>
      </c>
      <c r="Q50" s="75" t="s">
        <v>91</v>
      </c>
      <c r="R50" s="74" t="s">
        <v>92</v>
      </c>
      <c r="S50" s="13">
        <v>7626.0629999999992</v>
      </c>
      <c r="T50" s="74" t="s">
        <v>322</v>
      </c>
    </row>
    <row r="51" spans="1:20">
      <c r="A51" s="75" t="s">
        <v>117</v>
      </c>
      <c r="B51" s="74" t="s">
        <v>118</v>
      </c>
      <c r="C51" s="76" t="e">
        <f>+#REF!+#REF!+#REF!+#REF!+#REF!+#REF!+#REF!-#REF!</f>
        <v>#REF!</v>
      </c>
      <c r="D51" s="76">
        <v>0</v>
      </c>
      <c r="E51" s="13" t="e">
        <f t="shared" si="4"/>
        <v>#REF!</v>
      </c>
      <c r="F51" s="13" t="e">
        <f>+#REF!</f>
        <v>#REF!</v>
      </c>
      <c r="G51" s="13" t="e">
        <f>+#REF!</f>
        <v>#REF!</v>
      </c>
      <c r="H51" s="13" t="e">
        <f>+#REF!</f>
        <v>#REF!</v>
      </c>
      <c r="I51" s="13" t="e">
        <f>+#REF!</f>
        <v>#REF!</v>
      </c>
      <c r="J51" s="13" t="e">
        <f>+#REF!</f>
        <v>#REF!</v>
      </c>
      <c r="K51" s="13" t="e">
        <f>+#REF!</f>
        <v>#REF!</v>
      </c>
      <c r="L51" s="13" t="e">
        <f>+#REF!</f>
        <v>#REF!</v>
      </c>
      <c r="M51" s="16">
        <v>0</v>
      </c>
      <c r="N51" s="13" t="e">
        <f t="shared" si="5"/>
        <v>#REF!</v>
      </c>
      <c r="O51" s="13" t="e">
        <f t="shared" si="6"/>
        <v>#REF!</v>
      </c>
      <c r="P51" s="74" t="str">
        <f t="shared" si="7"/>
        <v>SI</v>
      </c>
      <c r="Q51" s="75" t="s">
        <v>117</v>
      </c>
      <c r="R51" s="74" t="s">
        <v>118</v>
      </c>
      <c r="S51" s="13">
        <v>1408.1</v>
      </c>
      <c r="T51" s="74" t="s">
        <v>323</v>
      </c>
    </row>
    <row r="52" spans="1:20">
      <c r="A52" s="75" t="s">
        <v>42</v>
      </c>
      <c r="B52" s="74" t="s">
        <v>43</v>
      </c>
      <c r="C52" s="76" t="e">
        <f>+#REF!+#REF!+#REF!+#REF!+#REF!+#REF!+#REF!-#REF!</f>
        <v>#REF!</v>
      </c>
      <c r="D52" s="76">
        <v>0</v>
      </c>
      <c r="E52" s="13" t="e">
        <f t="shared" si="4"/>
        <v>#REF!</v>
      </c>
      <c r="F52" s="13" t="e">
        <f>+#REF!</f>
        <v>#REF!</v>
      </c>
      <c r="G52" s="13" t="e">
        <f>+#REF!</f>
        <v>#REF!</v>
      </c>
      <c r="H52" s="13" t="e">
        <f>+#REF!</f>
        <v>#REF!</v>
      </c>
      <c r="I52" s="13" t="e">
        <f>+#REF!</f>
        <v>#REF!</v>
      </c>
      <c r="J52" s="13" t="e">
        <f>+#REF!</f>
        <v>#REF!</v>
      </c>
      <c r="K52" s="13" t="e">
        <f>+#REF!</f>
        <v>#REF!</v>
      </c>
      <c r="L52" s="13" t="e">
        <f>+#REF!</f>
        <v>#REF!</v>
      </c>
      <c r="M52" s="16">
        <v>0</v>
      </c>
      <c r="N52" s="13" t="e">
        <f t="shared" si="5"/>
        <v>#REF!</v>
      </c>
      <c r="O52" s="13" t="e">
        <f t="shared" si="6"/>
        <v>#REF!</v>
      </c>
      <c r="P52" s="74" t="str">
        <f t="shared" si="7"/>
        <v>SI</v>
      </c>
      <c r="Q52" s="75" t="s">
        <v>42</v>
      </c>
      <c r="R52" s="74" t="s">
        <v>43</v>
      </c>
      <c r="S52" s="13">
        <v>9928.0470000000005</v>
      </c>
      <c r="T52" s="74" t="s">
        <v>324</v>
      </c>
    </row>
    <row r="53" spans="1:20">
      <c r="A53" s="75" t="s">
        <v>59</v>
      </c>
      <c r="B53" s="74" t="s">
        <v>60</v>
      </c>
      <c r="C53" s="76" t="e">
        <f>+#REF!+#REF!+#REF!+#REF!+#REF!+#REF!+#REF!-#REF!</f>
        <v>#REF!</v>
      </c>
      <c r="D53" s="76">
        <v>0</v>
      </c>
      <c r="E53" s="13" t="e">
        <f t="shared" si="4"/>
        <v>#REF!</v>
      </c>
      <c r="F53" s="13" t="e">
        <f>+#REF!</f>
        <v>#REF!</v>
      </c>
      <c r="G53" s="13" t="e">
        <f>+#REF!</f>
        <v>#REF!</v>
      </c>
      <c r="H53" s="13" t="e">
        <f>+#REF!</f>
        <v>#REF!</v>
      </c>
      <c r="I53" s="13" t="e">
        <f>+#REF!</f>
        <v>#REF!</v>
      </c>
      <c r="J53" s="13" t="e">
        <f>+#REF!</f>
        <v>#REF!</v>
      </c>
      <c r="K53" s="13" t="e">
        <f>+#REF!</f>
        <v>#REF!</v>
      </c>
      <c r="L53" s="13" t="e">
        <f>+#REF!</f>
        <v>#REF!</v>
      </c>
      <c r="M53" s="16">
        <v>0</v>
      </c>
      <c r="N53" s="13" t="e">
        <f t="shared" si="5"/>
        <v>#REF!</v>
      </c>
      <c r="O53" s="13" t="e">
        <f t="shared" si="6"/>
        <v>#REF!</v>
      </c>
      <c r="P53" s="74" t="str">
        <f t="shared" si="7"/>
        <v>SI</v>
      </c>
      <c r="Q53" s="75" t="s">
        <v>59</v>
      </c>
      <c r="R53" s="74" t="s">
        <v>60</v>
      </c>
      <c r="S53" s="13">
        <v>4980.1530000000002</v>
      </c>
      <c r="T53" s="74" t="s">
        <v>325</v>
      </c>
    </row>
    <row r="54" spans="1:20">
      <c r="A54" s="75" t="s">
        <v>89</v>
      </c>
      <c r="B54" s="74" t="s">
        <v>90</v>
      </c>
      <c r="C54" s="76" t="e">
        <f>+#REF!+#REF!+#REF!+#REF!+#REF!+#REF!+#REF!-#REF!</f>
        <v>#REF!</v>
      </c>
      <c r="D54" s="76">
        <v>0</v>
      </c>
      <c r="E54" s="13" t="e">
        <f t="shared" si="4"/>
        <v>#REF!</v>
      </c>
      <c r="F54" s="13" t="e">
        <f>+#REF!</f>
        <v>#REF!</v>
      </c>
      <c r="G54" s="13" t="e">
        <f>+#REF!</f>
        <v>#REF!</v>
      </c>
      <c r="H54" s="13" t="e">
        <f>+#REF!</f>
        <v>#REF!</v>
      </c>
      <c r="I54" s="13" t="e">
        <f>+#REF!</f>
        <v>#REF!</v>
      </c>
      <c r="J54" s="13" t="e">
        <f>+#REF!</f>
        <v>#REF!</v>
      </c>
      <c r="K54" s="13" t="e">
        <f>+#REF!</f>
        <v>#REF!</v>
      </c>
      <c r="L54" s="13" t="e">
        <f>+#REF!</f>
        <v>#REF!</v>
      </c>
      <c r="M54" s="16">
        <v>0</v>
      </c>
      <c r="N54" s="13" t="e">
        <f t="shared" si="5"/>
        <v>#REF!</v>
      </c>
      <c r="O54" s="13" t="e">
        <f t="shared" si="6"/>
        <v>#REF!</v>
      </c>
      <c r="P54" s="74" t="str">
        <f t="shared" si="7"/>
        <v>SI</v>
      </c>
      <c r="Q54" s="75" t="s">
        <v>89</v>
      </c>
      <c r="R54" s="74" t="s">
        <v>90</v>
      </c>
      <c r="S54" s="13">
        <v>2037.8999999999999</v>
      </c>
      <c r="T54" s="74" t="s">
        <v>326</v>
      </c>
    </row>
    <row r="55" spans="1:20">
      <c r="A55" s="75" t="s">
        <v>57</v>
      </c>
      <c r="B55" s="74" t="s">
        <v>58</v>
      </c>
      <c r="C55" s="76" t="e">
        <f>+#REF!+#REF!+#REF!+#REF!+#REF!+#REF!+#REF!-#REF!</f>
        <v>#REF!</v>
      </c>
      <c r="D55" s="76">
        <v>0</v>
      </c>
      <c r="E55" s="13" t="e">
        <f t="shared" si="4"/>
        <v>#REF!</v>
      </c>
      <c r="F55" s="13" t="e">
        <f>+#REF!</f>
        <v>#REF!</v>
      </c>
      <c r="G55" s="13" t="e">
        <f>+#REF!</f>
        <v>#REF!</v>
      </c>
      <c r="H55" s="13" t="e">
        <f>+#REF!</f>
        <v>#REF!</v>
      </c>
      <c r="I55" s="13" t="e">
        <f>+#REF!</f>
        <v>#REF!</v>
      </c>
      <c r="J55" s="13" t="e">
        <f>+#REF!</f>
        <v>#REF!</v>
      </c>
      <c r="K55" s="13" t="e">
        <f>+#REF!</f>
        <v>#REF!</v>
      </c>
      <c r="L55" s="13" t="e">
        <f>+#REF!</f>
        <v>#REF!</v>
      </c>
      <c r="M55" s="16">
        <v>0</v>
      </c>
      <c r="N55" s="13" t="e">
        <f t="shared" si="5"/>
        <v>#REF!</v>
      </c>
      <c r="O55" s="13" t="e">
        <f t="shared" si="6"/>
        <v>#REF!</v>
      </c>
      <c r="P55" s="74" t="str">
        <f t="shared" si="7"/>
        <v>SI</v>
      </c>
      <c r="Q55" s="75" t="s">
        <v>57</v>
      </c>
      <c r="R55" s="74" t="s">
        <v>58</v>
      </c>
      <c r="S55" s="13">
        <v>1908.18</v>
      </c>
      <c r="T55" s="74" t="s">
        <v>327</v>
      </c>
    </row>
    <row r="56" spans="1:20">
      <c r="A56" s="75" t="s">
        <v>107</v>
      </c>
      <c r="B56" s="74" t="s">
        <v>108</v>
      </c>
      <c r="C56" s="76" t="e">
        <f>+#REF!+#REF!+#REF!+#REF!+#REF!+#REF!+#REF!-#REF!</f>
        <v>#REF!</v>
      </c>
      <c r="D56" s="76">
        <v>0</v>
      </c>
      <c r="E56" s="13" t="e">
        <f t="shared" si="4"/>
        <v>#REF!</v>
      </c>
      <c r="F56" s="13" t="e">
        <f>+#REF!</f>
        <v>#REF!</v>
      </c>
      <c r="G56" s="13" t="e">
        <f>+#REF!</f>
        <v>#REF!</v>
      </c>
      <c r="H56" s="13" t="e">
        <f>+#REF!</f>
        <v>#REF!</v>
      </c>
      <c r="I56" s="13" t="e">
        <f>+#REF!</f>
        <v>#REF!</v>
      </c>
      <c r="J56" s="13" t="e">
        <f>+#REF!</f>
        <v>#REF!</v>
      </c>
      <c r="K56" s="13" t="e">
        <f>+#REF!</f>
        <v>#REF!</v>
      </c>
      <c r="L56" s="13" t="e">
        <f>+#REF!</f>
        <v>#REF!</v>
      </c>
      <c r="M56" s="16">
        <v>0</v>
      </c>
      <c r="N56" s="13" t="e">
        <f t="shared" si="5"/>
        <v>#REF!</v>
      </c>
      <c r="O56" s="13" t="e">
        <f t="shared" si="6"/>
        <v>#REF!</v>
      </c>
      <c r="P56" s="74" t="str">
        <f t="shared" si="7"/>
        <v>SI</v>
      </c>
      <c r="Q56" s="75" t="s">
        <v>107</v>
      </c>
      <c r="R56" s="74" t="s">
        <v>108</v>
      </c>
      <c r="S56" s="13">
        <v>437.07000000000039</v>
      </c>
      <c r="T56" s="74" t="s">
        <v>328</v>
      </c>
    </row>
    <row r="57" spans="1:20">
      <c r="A57" s="75" t="s">
        <v>34</v>
      </c>
      <c r="B57" s="74" t="s">
        <v>35</v>
      </c>
      <c r="C57" s="76" t="e">
        <f>+#REF!+#REF!+#REF!+#REF!+#REF!+#REF!+#REF!-#REF!</f>
        <v>#REF!</v>
      </c>
      <c r="D57" s="76">
        <v>0</v>
      </c>
      <c r="E57" s="13" t="e">
        <f t="shared" si="4"/>
        <v>#REF!</v>
      </c>
      <c r="F57" s="13" t="e">
        <f>+#REF!</f>
        <v>#REF!</v>
      </c>
      <c r="G57" s="13" t="e">
        <f>+#REF!</f>
        <v>#REF!</v>
      </c>
      <c r="H57" s="13" t="e">
        <f>+#REF!</f>
        <v>#REF!</v>
      </c>
      <c r="I57" s="13" t="e">
        <f>+#REF!</f>
        <v>#REF!</v>
      </c>
      <c r="J57" s="13" t="e">
        <f>+#REF!</f>
        <v>#REF!</v>
      </c>
      <c r="K57" s="13" t="e">
        <f>+#REF!</f>
        <v>#REF!</v>
      </c>
      <c r="L57" s="13" t="e">
        <f>+#REF!</f>
        <v>#REF!</v>
      </c>
      <c r="M57" s="16">
        <v>555.6</v>
      </c>
      <c r="N57" s="13" t="e">
        <f t="shared" si="5"/>
        <v>#REF!</v>
      </c>
      <c r="O57" s="13" t="e">
        <f t="shared" si="6"/>
        <v>#REF!</v>
      </c>
      <c r="P57" s="74" t="str">
        <f t="shared" si="7"/>
        <v>SI</v>
      </c>
      <c r="Q57" s="75" t="s">
        <v>34</v>
      </c>
      <c r="R57" s="74" t="s">
        <v>35</v>
      </c>
      <c r="S57" s="13">
        <v>3262.8</v>
      </c>
      <c r="T57" s="74" t="s">
        <v>329</v>
      </c>
    </row>
    <row r="58" spans="1:20">
      <c r="A58" s="75" t="s">
        <v>13</v>
      </c>
      <c r="B58" s="74" t="s">
        <v>50</v>
      </c>
      <c r="C58" s="76" t="e">
        <f>+#REF!+#REF!+#REF!+#REF!+#REF!+#REF!+#REF!-#REF!</f>
        <v>#REF!</v>
      </c>
      <c r="D58" s="76">
        <v>0</v>
      </c>
      <c r="E58" s="13" t="e">
        <f t="shared" si="4"/>
        <v>#REF!</v>
      </c>
      <c r="F58" s="13" t="e">
        <f>+#REF!</f>
        <v>#REF!</v>
      </c>
      <c r="G58" s="13" t="e">
        <f>+#REF!</f>
        <v>#REF!</v>
      </c>
      <c r="H58" s="13" t="e">
        <f>+#REF!</f>
        <v>#REF!</v>
      </c>
      <c r="I58" s="13" t="e">
        <f>+#REF!</f>
        <v>#REF!</v>
      </c>
      <c r="J58" s="13" t="e">
        <f>+#REF!</f>
        <v>#REF!</v>
      </c>
      <c r="K58" s="13" t="e">
        <f>+#REF!</f>
        <v>#REF!</v>
      </c>
      <c r="L58" s="13" t="e">
        <f>+#REF!</f>
        <v>#REF!</v>
      </c>
      <c r="M58" s="16">
        <v>0</v>
      </c>
      <c r="N58" s="13" t="e">
        <f t="shared" si="5"/>
        <v>#REF!</v>
      </c>
      <c r="O58" s="13" t="e">
        <f t="shared" si="6"/>
        <v>#REF!</v>
      </c>
      <c r="P58" s="74" t="str">
        <f t="shared" si="7"/>
        <v>SI</v>
      </c>
      <c r="Q58" s="75" t="s">
        <v>13</v>
      </c>
      <c r="R58" s="74" t="s">
        <v>50</v>
      </c>
      <c r="S58" s="13">
        <v>480.36000000000013</v>
      </c>
      <c r="T58" s="74" t="s">
        <v>330</v>
      </c>
    </row>
    <row r="59" spans="1:20" ht="12" thickBot="1">
      <c r="A59" s="75"/>
      <c r="B59" s="74"/>
      <c r="C59" s="76"/>
      <c r="D59" s="76"/>
      <c r="E59" s="13"/>
      <c r="F59" s="13"/>
      <c r="G59" s="13"/>
      <c r="H59" s="13"/>
      <c r="I59" s="13"/>
      <c r="J59" s="13"/>
      <c r="K59" s="13"/>
      <c r="L59" s="13"/>
      <c r="M59" s="16"/>
      <c r="N59" s="13"/>
      <c r="O59" s="83" t="e">
        <f>SUM(O10:O58)</f>
        <v>#REF!</v>
      </c>
      <c r="Q59" s="75"/>
      <c r="S59" s="13"/>
    </row>
    <row r="60" spans="1:20" ht="12" thickTop="1">
      <c r="A60" s="75"/>
      <c r="B60" s="74"/>
      <c r="C60" s="76"/>
      <c r="D60" s="76"/>
      <c r="E60" s="13"/>
      <c r="F60" s="13"/>
      <c r="G60" s="13"/>
      <c r="H60" s="13"/>
      <c r="I60" s="13"/>
      <c r="J60" s="13"/>
      <c r="K60" s="13"/>
      <c r="L60" s="13"/>
      <c r="M60" s="16"/>
      <c r="N60" s="13"/>
      <c r="O60" s="13"/>
      <c r="Q60" s="75"/>
      <c r="S60" s="13"/>
    </row>
    <row r="61" spans="1:20">
      <c r="A61" s="75" t="s">
        <v>113</v>
      </c>
      <c r="B61" s="74" t="s">
        <v>114</v>
      </c>
      <c r="C61" s="76" t="e">
        <f>+#REF!+#REF!+#REF!+#REF!+#REF!+#REF!+#REF!-#REF!</f>
        <v>#REF!</v>
      </c>
      <c r="D61" s="76">
        <v>0</v>
      </c>
      <c r="E61" s="13" t="e">
        <f>SUM(C61:D61)</f>
        <v>#REF!</v>
      </c>
      <c r="F61" s="13" t="e">
        <f>+#REF!</f>
        <v>#REF!</v>
      </c>
      <c r="G61" s="13" t="e">
        <f>+#REF!</f>
        <v>#REF!</v>
      </c>
      <c r="H61" s="13" t="e">
        <f>+#REF!</f>
        <v>#REF!</v>
      </c>
      <c r="I61" s="13" t="e">
        <f>+#REF!</f>
        <v>#REF!</v>
      </c>
      <c r="J61" s="13" t="e">
        <f>+#REF!</f>
        <v>#REF!</v>
      </c>
      <c r="K61" s="13" t="e">
        <f>+#REF!</f>
        <v>#REF!</v>
      </c>
      <c r="L61" s="13" t="e">
        <f>+#REF!</f>
        <v>#REF!</v>
      </c>
      <c r="M61" s="16">
        <v>650</v>
      </c>
      <c r="N61" s="13" t="e">
        <f>SUM(F61:M61)</f>
        <v>#REF!</v>
      </c>
      <c r="O61" s="13" t="e">
        <f>+E61-N61</f>
        <v>#REF!</v>
      </c>
      <c r="P61" s="74" t="str">
        <f>IF(A61=Q61,"SI","NO")</f>
        <v>SI</v>
      </c>
      <c r="Q61" s="75" t="s">
        <v>113</v>
      </c>
      <c r="R61" s="74" t="s">
        <v>114</v>
      </c>
      <c r="S61" s="13">
        <v>5472.183</v>
      </c>
      <c r="T61" s="74" t="s">
        <v>332</v>
      </c>
    </row>
    <row r="62" spans="1:20" ht="12" thickBot="1">
      <c r="A62" s="75"/>
      <c r="B62" s="74"/>
      <c r="C62" s="76"/>
      <c r="D62" s="76"/>
      <c r="E62" s="13"/>
      <c r="F62" s="13"/>
      <c r="G62" s="13"/>
      <c r="H62" s="13"/>
      <c r="I62" s="13"/>
      <c r="J62" s="13"/>
      <c r="K62" s="13"/>
      <c r="L62" s="13"/>
      <c r="M62" s="16"/>
      <c r="N62" s="13"/>
      <c r="O62" s="83" t="e">
        <f>SUM(O61)</f>
        <v>#REF!</v>
      </c>
      <c r="Q62" s="75"/>
      <c r="S62" s="13"/>
    </row>
    <row r="63" spans="1:20" ht="12" thickTop="1">
      <c r="A63" s="75"/>
      <c r="B63" s="74"/>
      <c r="C63" s="76"/>
      <c r="D63" s="76"/>
      <c r="E63" s="13"/>
      <c r="F63" s="13"/>
      <c r="G63" s="13"/>
      <c r="H63" s="13"/>
      <c r="I63" s="13"/>
      <c r="J63" s="13"/>
      <c r="K63" s="13"/>
      <c r="L63" s="13"/>
      <c r="M63" s="16"/>
      <c r="N63" s="13"/>
      <c r="O63" s="13"/>
      <c r="Q63" s="75"/>
      <c r="S63" s="13"/>
    </row>
    <row r="64" spans="1:20">
      <c r="A64" s="75" t="s">
        <v>46</v>
      </c>
      <c r="B64" s="74" t="s">
        <v>47</v>
      </c>
      <c r="C64" s="76" t="e">
        <f>+#REF!+#REF!+#REF!+#REF!+#REF!+#REF!+#REF!-#REF!</f>
        <v>#REF!</v>
      </c>
      <c r="D64" s="76">
        <v>0</v>
      </c>
      <c r="E64" s="13" t="e">
        <f>SUM(C64:D64)</f>
        <v>#REF!</v>
      </c>
      <c r="F64" s="13" t="e">
        <f>+#REF!</f>
        <v>#REF!</v>
      </c>
      <c r="G64" s="13" t="e">
        <f>+#REF!</f>
        <v>#REF!</v>
      </c>
      <c r="H64" s="13" t="e">
        <f>+#REF!</f>
        <v>#REF!</v>
      </c>
      <c r="I64" s="13" t="e">
        <f>+#REF!</f>
        <v>#REF!</v>
      </c>
      <c r="J64" s="13" t="e">
        <f>+#REF!</f>
        <v>#REF!</v>
      </c>
      <c r="K64" s="13" t="e">
        <f>+#REF!</f>
        <v>#REF!</v>
      </c>
      <c r="L64" s="13" t="e">
        <f>+#REF!</f>
        <v>#REF!</v>
      </c>
      <c r="M64" s="16">
        <v>0</v>
      </c>
      <c r="N64" s="13" t="e">
        <f>SUM(F64:M64)</f>
        <v>#REF!</v>
      </c>
      <c r="O64" s="13" t="e">
        <f>+E64-N64</f>
        <v>#REF!</v>
      </c>
      <c r="P64" s="74" t="str">
        <f>IF(A64=Q64,"SI","NO")</f>
        <v>SI</v>
      </c>
      <c r="Q64" s="75" t="s">
        <v>46</v>
      </c>
      <c r="R64" s="74" t="s">
        <v>47</v>
      </c>
      <c r="S64" s="13">
        <v>3703.3100000000004</v>
      </c>
      <c r="T64" s="74" t="s">
        <v>331</v>
      </c>
    </row>
    <row r="65" spans="1:20" ht="12" thickBot="1">
      <c r="A65" s="75"/>
      <c r="B65" s="74"/>
      <c r="C65" s="76"/>
      <c r="D65" s="76"/>
      <c r="E65" s="13"/>
      <c r="F65" s="13"/>
      <c r="G65" s="13"/>
      <c r="H65" s="13"/>
      <c r="I65" s="13"/>
      <c r="J65" s="13"/>
      <c r="K65" s="13"/>
      <c r="L65" s="13"/>
      <c r="M65" s="16"/>
      <c r="N65" s="13"/>
      <c r="O65" s="83" t="e">
        <f>SUM(O64)</f>
        <v>#REF!</v>
      </c>
      <c r="Q65" s="75"/>
      <c r="S65" s="13"/>
    </row>
    <row r="66" spans="1:20" ht="12" thickTop="1">
      <c r="A66" s="75"/>
      <c r="B66" s="74"/>
      <c r="C66" s="76"/>
      <c r="D66" s="76"/>
      <c r="E66" s="13"/>
      <c r="F66" s="13"/>
      <c r="G66" s="13"/>
      <c r="H66" s="13"/>
      <c r="I66" s="13"/>
      <c r="J66" s="13"/>
      <c r="K66" s="13"/>
      <c r="L66" s="13"/>
      <c r="M66" s="16"/>
      <c r="N66" s="13"/>
      <c r="O66" s="13"/>
      <c r="Q66" s="75"/>
      <c r="S66" s="13"/>
    </row>
    <row r="67" spans="1:20">
      <c r="A67" s="75" t="s">
        <v>130</v>
      </c>
      <c r="B67" s="74" t="s">
        <v>146</v>
      </c>
      <c r="C67" s="76" t="e">
        <f>+#REF!+#REF!+#REF!+#REF!+#REF!+#REF!+#REF!-#REF!</f>
        <v>#REF!</v>
      </c>
      <c r="D67" s="76">
        <v>0</v>
      </c>
      <c r="E67" s="13" t="e">
        <f>SUM(C67:D67)</f>
        <v>#REF!</v>
      </c>
      <c r="F67" s="13" t="e">
        <f>+#REF!</f>
        <v>#REF!</v>
      </c>
      <c r="G67" s="13" t="e">
        <f>+#REF!</f>
        <v>#REF!</v>
      </c>
      <c r="H67" s="13" t="e">
        <f>+#REF!</f>
        <v>#REF!</v>
      </c>
      <c r="I67" s="13" t="e">
        <f>+#REF!</f>
        <v>#REF!</v>
      </c>
      <c r="J67" s="13" t="e">
        <f>+#REF!</f>
        <v>#REF!</v>
      </c>
      <c r="K67" s="13" t="e">
        <f>+#REF!</f>
        <v>#REF!</v>
      </c>
      <c r="L67" s="13" t="e">
        <f>+#REF!</f>
        <v>#REF!</v>
      </c>
      <c r="M67" s="16">
        <v>0</v>
      </c>
      <c r="N67" s="13" t="e">
        <f>SUM(F67:M67)</f>
        <v>#REF!</v>
      </c>
      <c r="O67" s="13" t="e">
        <f>+E67-N67</f>
        <v>#REF!</v>
      </c>
      <c r="P67" s="74" t="str">
        <f>IF(A67=Q67,"SI","NO")</f>
        <v>SI</v>
      </c>
      <c r="Q67" s="75" t="s">
        <v>130</v>
      </c>
      <c r="R67" s="74" t="s">
        <v>146</v>
      </c>
      <c r="S67" s="13">
        <v>1908.18</v>
      </c>
      <c r="T67" s="74" t="s">
        <v>333</v>
      </c>
    </row>
    <row r="68" spans="1:20">
      <c r="A68" s="75" t="s">
        <v>36</v>
      </c>
      <c r="B68" s="74" t="s">
        <v>37</v>
      </c>
      <c r="C68" s="76" t="e">
        <f>+#REF!+#REF!+#REF!+#REF!+#REF!+#REF!+#REF!-#REF!</f>
        <v>#REF!</v>
      </c>
      <c r="D68" s="76">
        <v>0</v>
      </c>
      <c r="E68" s="13" t="e">
        <f>SUM(C68:D68)</f>
        <v>#REF!</v>
      </c>
      <c r="F68" s="13" t="e">
        <f>+#REF!</f>
        <v>#REF!</v>
      </c>
      <c r="G68" s="13" t="e">
        <f>+#REF!</f>
        <v>#REF!</v>
      </c>
      <c r="H68" s="13" t="e">
        <f>+#REF!</f>
        <v>#REF!</v>
      </c>
      <c r="I68" s="13" t="e">
        <f>+#REF!</f>
        <v>#REF!</v>
      </c>
      <c r="J68" s="13" t="e">
        <f>+#REF!</f>
        <v>#REF!</v>
      </c>
      <c r="K68" s="13" t="e">
        <f>+#REF!</f>
        <v>#REF!</v>
      </c>
      <c r="L68" s="13" t="e">
        <f>+#REF!</f>
        <v>#REF!</v>
      </c>
      <c r="M68" s="16">
        <v>0</v>
      </c>
      <c r="N68" s="13" t="e">
        <f>SUM(F68:M68)</f>
        <v>#REF!</v>
      </c>
      <c r="O68" s="13" t="e">
        <f>+E68-N68</f>
        <v>#REF!</v>
      </c>
      <c r="P68" s="74" t="str">
        <f>IF(A68=Q68,"SI","NO")</f>
        <v>SI</v>
      </c>
      <c r="Q68" s="75" t="s">
        <v>36</v>
      </c>
      <c r="R68" s="74" t="s">
        <v>37</v>
      </c>
      <c r="S68" s="13">
        <v>3181.2700000000004</v>
      </c>
      <c r="T68" s="74" t="s">
        <v>333</v>
      </c>
    </row>
    <row r="69" spans="1:20">
      <c r="A69" s="75" t="s">
        <v>147</v>
      </c>
      <c r="B69" s="74" t="s">
        <v>148</v>
      </c>
      <c r="C69" s="76" t="e">
        <f>+#REF!+#REF!+#REF!+#REF!+#REF!+#REF!+#REF!-#REF!</f>
        <v>#REF!</v>
      </c>
      <c r="D69" s="76">
        <v>0</v>
      </c>
      <c r="E69" s="13" t="e">
        <f>SUM(C69:D69)</f>
        <v>#REF!</v>
      </c>
      <c r="F69" s="13" t="e">
        <f>+#REF!</f>
        <v>#REF!</v>
      </c>
      <c r="G69" s="13" t="e">
        <f>+#REF!</f>
        <v>#REF!</v>
      </c>
      <c r="H69" s="13" t="e">
        <f>+#REF!</f>
        <v>#REF!</v>
      </c>
      <c r="I69" s="13" t="e">
        <f>+#REF!</f>
        <v>#REF!</v>
      </c>
      <c r="J69" s="13" t="e">
        <f>+#REF!</f>
        <v>#REF!</v>
      </c>
      <c r="K69" s="13" t="e">
        <f>+#REF!</f>
        <v>#REF!</v>
      </c>
      <c r="L69" s="13" t="e">
        <f>+#REF!</f>
        <v>#REF!</v>
      </c>
      <c r="M69" s="16">
        <v>0</v>
      </c>
      <c r="N69" s="13" t="e">
        <f>SUM(F69:M69)</f>
        <v>#REF!</v>
      </c>
      <c r="O69" s="13" t="e">
        <f>+E69-N69</f>
        <v>#REF!</v>
      </c>
      <c r="P69" s="74" t="str">
        <f>IF(A69=Q69,"SI","NO")</f>
        <v>SI</v>
      </c>
      <c r="Q69" s="75" t="s">
        <v>147</v>
      </c>
      <c r="R69" s="74" t="s">
        <v>148</v>
      </c>
      <c r="S69" s="13">
        <v>17291.090999999997</v>
      </c>
      <c r="T69" s="74" t="s">
        <v>333</v>
      </c>
    </row>
    <row r="70" spans="1:20">
      <c r="A70" s="75" t="s">
        <v>95</v>
      </c>
      <c r="B70" s="74" t="s">
        <v>96</v>
      </c>
      <c r="C70" s="76" t="e">
        <f>+#REF!+#REF!+#REF!+#REF!+#REF!+#REF!+#REF!-#REF!</f>
        <v>#REF!</v>
      </c>
      <c r="D70" s="76">
        <v>0</v>
      </c>
      <c r="E70" s="13" t="e">
        <f>SUM(C70:D70)</f>
        <v>#REF!</v>
      </c>
      <c r="F70" s="13" t="e">
        <f>+#REF!</f>
        <v>#REF!</v>
      </c>
      <c r="G70" s="13" t="e">
        <f>+#REF!</f>
        <v>#REF!</v>
      </c>
      <c r="H70" s="13" t="e">
        <f>+#REF!</f>
        <v>#REF!</v>
      </c>
      <c r="I70" s="13" t="e">
        <f>+#REF!</f>
        <v>#REF!</v>
      </c>
      <c r="J70" s="13" t="e">
        <f>+#REF!</f>
        <v>#REF!</v>
      </c>
      <c r="K70" s="13" t="e">
        <f>+#REF!</f>
        <v>#REF!</v>
      </c>
      <c r="L70" s="13" t="e">
        <f>+#REF!</f>
        <v>#REF!</v>
      </c>
      <c r="M70" s="16">
        <v>0</v>
      </c>
      <c r="N70" s="13" t="e">
        <f>SUM(F70:M70)</f>
        <v>#REF!</v>
      </c>
      <c r="O70" s="13" t="e">
        <f>+E70-N70</f>
        <v>#REF!</v>
      </c>
      <c r="P70" s="74" t="str">
        <f>IF(A70=Q70,"SI","NO")</f>
        <v>SI</v>
      </c>
      <c r="Q70" s="75" t="s">
        <v>95</v>
      </c>
      <c r="R70" s="74" t="s">
        <v>96</v>
      </c>
      <c r="S70" s="13">
        <v>1908.18</v>
      </c>
      <c r="T70" s="74" t="s">
        <v>333</v>
      </c>
    </row>
    <row r="71" spans="1:20" ht="12" thickBot="1">
      <c r="A71" s="26"/>
      <c r="B71" s="74"/>
      <c r="C71" s="25"/>
      <c r="D71" s="25"/>
      <c r="E71" s="25"/>
      <c r="F71" s="25"/>
      <c r="G71" s="25"/>
      <c r="K71" s="8"/>
      <c r="L71" s="8"/>
      <c r="M71" s="8"/>
      <c r="N71" s="76"/>
      <c r="O71" s="84" t="e">
        <f>SUM(O67:O70)</f>
        <v>#REF!</v>
      </c>
    </row>
    <row r="72" spans="1:20" ht="12" thickTop="1">
      <c r="B72" s="74"/>
      <c r="C72" s="74"/>
      <c r="D72" s="74"/>
      <c r="E72" s="74"/>
      <c r="F72" s="74"/>
      <c r="G72" s="74"/>
      <c r="H72" s="74"/>
      <c r="I72" s="74"/>
      <c r="K72" s="8"/>
      <c r="L72" s="8"/>
      <c r="M72" s="8"/>
      <c r="N72" s="8"/>
      <c r="O72" s="8"/>
    </row>
    <row r="73" spans="1:20">
      <c r="A73" s="23"/>
      <c r="B73" s="81" t="s">
        <v>334</v>
      </c>
      <c r="I73" s="13" t="e">
        <f>+I58</f>
        <v>#REF!</v>
      </c>
      <c r="J73" s="21"/>
      <c r="K73" s="21"/>
      <c r="L73" s="21"/>
      <c r="M73" s="21"/>
      <c r="N73" s="21"/>
      <c r="O73" s="85" t="e">
        <f>+O59</f>
        <v>#REF!</v>
      </c>
    </row>
    <row r="74" spans="1:20">
      <c r="A74" s="26"/>
      <c r="B74" s="81" t="s">
        <v>332</v>
      </c>
      <c r="I74" s="8" t="e">
        <f>+I61</f>
        <v>#REF!</v>
      </c>
      <c r="J74" s="25"/>
      <c r="K74" s="25"/>
      <c r="L74" s="25"/>
      <c r="M74" s="25"/>
      <c r="N74" s="25"/>
      <c r="O74" s="25" t="e">
        <f>+O62</f>
        <v>#REF!</v>
      </c>
    </row>
    <row r="75" spans="1:20" s="21" customFormat="1">
      <c r="A75" s="8"/>
      <c r="B75" s="81" t="s">
        <v>335</v>
      </c>
      <c r="C75" s="8"/>
      <c r="D75" s="8"/>
      <c r="E75" s="8"/>
      <c r="F75" s="8"/>
      <c r="G75" s="8"/>
      <c r="H75" s="8"/>
      <c r="I75" s="13" t="e">
        <f>+I64</f>
        <v>#REF!</v>
      </c>
      <c r="J75" s="8"/>
      <c r="K75" s="8"/>
      <c r="L75" s="8"/>
      <c r="M75" s="8"/>
      <c r="N75" s="8"/>
      <c r="O75" s="13" t="e">
        <f>+O65</f>
        <v>#REF!</v>
      </c>
    </row>
    <row r="76" spans="1:20" s="1" customFormat="1" ht="15">
      <c r="A76" s="32"/>
      <c r="B76" s="82" t="s">
        <v>333</v>
      </c>
      <c r="C76" s="8"/>
      <c r="D76" s="8"/>
      <c r="E76" s="8"/>
      <c r="F76" s="8"/>
      <c r="G76" s="8"/>
      <c r="H76" s="8"/>
      <c r="I76" s="13" t="e">
        <f>+I70</f>
        <v>#REF!</v>
      </c>
      <c r="J76" s="74"/>
      <c r="K76" s="74"/>
      <c r="L76" s="74"/>
      <c r="M76" s="74"/>
      <c r="N76" s="74"/>
      <c r="O76" s="76" t="e">
        <f>+O71</f>
        <v>#REF!</v>
      </c>
    </row>
    <row r="77" spans="1:20" ht="12" thickBot="1">
      <c r="A77" s="75"/>
      <c r="I77" s="83" t="e">
        <f>SUM(I73:I76)</f>
        <v>#REF!</v>
      </c>
      <c r="J77" s="24"/>
      <c r="K77" s="24"/>
      <c r="L77" s="24"/>
      <c r="M77" s="24"/>
      <c r="N77" s="24"/>
      <c r="O77" s="84" t="e">
        <f>SUM(O73:O76)</f>
        <v>#REF!</v>
      </c>
    </row>
    <row r="78" spans="1:20" ht="12" thickTop="1">
      <c r="K78" s="8"/>
      <c r="L78" s="8"/>
      <c r="M78" s="8"/>
      <c r="N78" s="8"/>
      <c r="O78" s="8"/>
    </row>
    <row r="79" spans="1:20">
      <c r="K79" s="8"/>
      <c r="L79" s="8"/>
      <c r="M79" s="8"/>
      <c r="N79" s="8"/>
      <c r="O79" s="8"/>
    </row>
    <row r="80" spans="1:20">
      <c r="K80" s="8"/>
      <c r="L80" s="8"/>
      <c r="M80" s="8"/>
    </row>
    <row r="81" spans="11:14">
      <c r="K81" s="8"/>
      <c r="L81" s="8"/>
    </row>
    <row r="82" spans="11:14">
      <c r="K82" s="8"/>
      <c r="L82" s="8"/>
    </row>
    <row r="84" spans="11:14">
      <c r="L84" s="21"/>
      <c r="M84" s="21"/>
      <c r="N84" s="21"/>
    </row>
    <row r="85" spans="11:14" ht="14.25">
      <c r="L85" s="1"/>
      <c r="M85" s="1"/>
      <c r="N85" s="1"/>
    </row>
  </sheetData>
  <mergeCells count="1">
    <mergeCell ref="B1:C1"/>
  </mergeCells>
  <pageMargins left="0.43307086614173229" right="0.70866141732283472" top="0.32" bottom="0.3" header="0.2" footer="0.2"/>
  <pageSetup scale="8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workbookViewId="0">
      <selection activeCell="D89" sqref="D89"/>
    </sheetView>
  </sheetViews>
  <sheetFormatPr baseColWidth="10" defaultRowHeight="15.75"/>
  <cols>
    <col min="1" max="1" width="28.7109375" style="71" customWidth="1"/>
    <col min="2" max="2" width="9" style="71" bestFit="1" customWidth="1"/>
    <col min="3" max="3" width="39.140625" style="71" customWidth="1"/>
    <col min="4" max="4" width="11.5703125" style="71" bestFit="1" customWidth="1"/>
    <col min="5" max="5" width="20.140625" style="71" bestFit="1" customWidth="1"/>
    <col min="6" max="6" width="31.5703125" style="71" customWidth="1"/>
    <col min="7" max="7" width="13" style="71" customWidth="1"/>
    <col min="8" max="8" width="11.7109375" style="71" customWidth="1"/>
    <col min="9" max="9" width="17.140625" style="71" customWidth="1"/>
    <col min="10" max="10" width="11.7109375" style="71" customWidth="1"/>
    <col min="11" max="12" width="13.85546875" style="45" customWidth="1"/>
    <col min="13" max="15" width="13.5703125" style="45" customWidth="1"/>
    <col min="16" max="16" width="17" style="46" customWidth="1"/>
    <col min="17" max="22" width="13.5703125" style="45" customWidth="1"/>
    <col min="23" max="23" width="16.7109375" style="46" customWidth="1"/>
    <col min="24" max="24" width="16.7109375" style="45" customWidth="1"/>
    <col min="25" max="25" width="15.42578125" style="46" customWidth="1"/>
    <col min="26" max="27" width="13.5703125" style="45" customWidth="1"/>
    <col min="28" max="28" width="15.42578125" style="46" customWidth="1"/>
    <col min="29" max="30" width="15.140625" style="71" customWidth="1"/>
    <col min="31" max="32" width="15.140625" style="92" customWidth="1"/>
    <col min="33" max="33" width="15.140625" style="71" customWidth="1"/>
    <col min="34" max="34" width="33.28515625" style="71" bestFit="1" customWidth="1"/>
    <col min="35" max="35" width="38" style="71" bestFit="1" customWidth="1"/>
    <col min="36" max="45" width="11.42578125" style="71"/>
  </cols>
  <sheetData>
    <row r="1" spans="1:45">
      <c r="A1" s="34" t="s">
        <v>156</v>
      </c>
      <c r="B1" s="34"/>
      <c r="C1" s="34"/>
      <c r="D1" s="34"/>
      <c r="E1" s="34"/>
      <c r="F1" s="35"/>
      <c r="G1" s="35"/>
      <c r="H1" s="35"/>
      <c r="I1" s="35"/>
      <c r="J1" s="35"/>
      <c r="K1" s="36"/>
      <c r="L1" s="36"/>
      <c r="M1" s="36"/>
      <c r="N1" s="36"/>
      <c r="O1" s="36"/>
      <c r="P1" s="37"/>
      <c r="Q1" s="36"/>
      <c r="R1" s="36"/>
      <c r="S1" s="36"/>
      <c r="T1" s="36"/>
      <c r="U1" s="36"/>
      <c r="V1" s="36"/>
      <c r="W1" s="37"/>
      <c r="X1" s="36"/>
      <c r="Y1" s="37"/>
      <c r="Z1" s="36"/>
      <c r="AA1" s="36"/>
      <c r="AB1" s="37"/>
      <c r="AC1" s="38"/>
      <c r="AD1" s="39"/>
      <c r="AE1" s="91"/>
      <c r="AF1" s="91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>
      <c r="A2" s="40" t="s">
        <v>157</v>
      </c>
      <c r="B2" s="40"/>
      <c r="C2" s="40"/>
      <c r="D2" s="40"/>
      <c r="E2" s="40"/>
      <c r="F2" s="41"/>
      <c r="G2" s="41"/>
      <c r="H2" s="41"/>
      <c r="I2" s="41"/>
      <c r="J2" s="41"/>
      <c r="K2" s="36"/>
      <c r="L2" s="36"/>
      <c r="M2" s="36"/>
      <c r="N2" s="36"/>
      <c r="O2" s="36"/>
      <c r="P2" s="37"/>
      <c r="Q2" s="36"/>
      <c r="R2" s="36"/>
      <c r="S2" s="36"/>
      <c r="T2" s="36"/>
      <c r="U2" s="36"/>
      <c r="V2" s="36"/>
      <c r="W2" s="37"/>
      <c r="X2" s="36"/>
      <c r="Y2" s="37"/>
      <c r="Z2" s="36"/>
      <c r="AA2" s="36"/>
      <c r="AB2" s="37"/>
      <c r="AC2" s="38"/>
      <c r="AD2" s="39"/>
      <c r="AE2" s="91"/>
      <c r="AF2" s="91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</row>
    <row r="3" spans="1:45">
      <c r="A3" s="42" t="s">
        <v>339</v>
      </c>
      <c r="B3" s="42" t="s">
        <v>340</v>
      </c>
      <c r="C3" s="42"/>
      <c r="D3" s="42"/>
      <c r="E3" s="42"/>
      <c r="F3" s="43"/>
      <c r="G3" s="43"/>
      <c r="H3" s="43"/>
      <c r="I3" s="43"/>
      <c r="J3" s="43"/>
      <c r="K3" s="36"/>
      <c r="L3" s="36"/>
      <c r="M3" s="36"/>
      <c r="N3" s="36"/>
      <c r="O3" s="36"/>
      <c r="P3" s="37"/>
      <c r="Q3" s="36"/>
      <c r="R3" s="36"/>
      <c r="S3" s="36"/>
      <c r="T3" s="36"/>
      <c r="U3" s="36"/>
      <c r="V3" s="36"/>
      <c r="W3" s="37"/>
      <c r="X3" s="36"/>
      <c r="Y3" s="37"/>
      <c r="Z3" s="36"/>
      <c r="AA3" s="36"/>
      <c r="AB3" s="37"/>
      <c r="AC3" s="38"/>
      <c r="AD3" s="39"/>
      <c r="AE3" s="91"/>
      <c r="AF3" s="91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1:45">
      <c r="A4" s="44"/>
      <c r="B4" s="44"/>
      <c r="C4" s="44"/>
      <c r="D4" s="44"/>
      <c r="E4" s="44"/>
      <c r="F4" s="44"/>
      <c r="G4" s="44"/>
      <c r="H4" s="44"/>
      <c r="I4" s="44"/>
      <c r="J4" s="44"/>
      <c r="AC4" s="44"/>
      <c r="AD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</row>
    <row r="5" spans="1:45">
      <c r="A5" s="407" t="s">
        <v>158</v>
      </c>
      <c r="B5" s="408" t="s">
        <v>159</v>
      </c>
      <c r="C5" s="407" t="s">
        <v>160</v>
      </c>
      <c r="D5" s="407" t="s">
        <v>161</v>
      </c>
      <c r="E5" s="408" t="s">
        <v>162</v>
      </c>
      <c r="F5" s="407" t="s">
        <v>163</v>
      </c>
      <c r="G5" s="401" t="s">
        <v>164</v>
      </c>
      <c r="H5" s="401" t="s">
        <v>165</v>
      </c>
      <c r="I5" s="405" t="s">
        <v>166</v>
      </c>
      <c r="J5" s="405" t="s">
        <v>167</v>
      </c>
      <c r="K5" s="401" t="s">
        <v>168</v>
      </c>
      <c r="L5" s="405" t="s">
        <v>18</v>
      </c>
      <c r="M5" s="401" t="s">
        <v>169</v>
      </c>
      <c r="N5" s="401" t="s">
        <v>170</v>
      </c>
      <c r="O5" s="401" t="s">
        <v>171</v>
      </c>
      <c r="P5" s="401" t="s">
        <v>172</v>
      </c>
      <c r="Q5" s="401" t="s">
        <v>173</v>
      </c>
      <c r="R5" s="86"/>
      <c r="S5" s="401" t="s">
        <v>174</v>
      </c>
      <c r="T5" s="401" t="s">
        <v>175</v>
      </c>
      <c r="U5" s="401" t="s">
        <v>176</v>
      </c>
      <c r="V5" s="401" t="s">
        <v>177</v>
      </c>
      <c r="W5" s="401" t="s">
        <v>178</v>
      </c>
      <c r="X5" s="401" t="s">
        <v>179</v>
      </c>
      <c r="Y5" s="401" t="s">
        <v>180</v>
      </c>
      <c r="Z5" s="401" t="s">
        <v>181</v>
      </c>
      <c r="AA5" s="401" t="s">
        <v>182</v>
      </c>
      <c r="AB5" s="401" t="s">
        <v>183</v>
      </c>
      <c r="AC5" s="401" t="s">
        <v>184</v>
      </c>
      <c r="AD5" s="401" t="s">
        <v>185</v>
      </c>
      <c r="AE5" s="402" t="s">
        <v>186</v>
      </c>
      <c r="AF5" s="403"/>
      <c r="AG5" s="401" t="s">
        <v>185</v>
      </c>
      <c r="AH5" s="401" t="s">
        <v>187</v>
      </c>
      <c r="AI5" s="401" t="s">
        <v>188</v>
      </c>
      <c r="AJ5" s="47"/>
      <c r="AK5" s="47"/>
      <c r="AL5" s="47"/>
      <c r="AM5" s="47"/>
      <c r="AN5" s="47"/>
      <c r="AO5" s="47"/>
      <c r="AP5" s="47"/>
      <c r="AQ5" s="47"/>
      <c r="AR5" s="47"/>
      <c r="AS5" s="47"/>
    </row>
    <row r="6" spans="1:45" ht="31.5">
      <c r="A6" s="407"/>
      <c r="B6" s="409"/>
      <c r="C6" s="407"/>
      <c r="D6" s="407"/>
      <c r="E6" s="409"/>
      <c r="F6" s="407"/>
      <c r="G6" s="401"/>
      <c r="H6" s="401"/>
      <c r="I6" s="406"/>
      <c r="J6" s="406"/>
      <c r="K6" s="401"/>
      <c r="L6" s="406"/>
      <c r="M6" s="401"/>
      <c r="N6" s="401"/>
      <c r="O6" s="401"/>
      <c r="P6" s="401"/>
      <c r="Q6" s="401"/>
      <c r="R6" s="86" t="s">
        <v>341</v>
      </c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93" t="s">
        <v>166</v>
      </c>
      <c r="AF6" s="93" t="s">
        <v>167</v>
      </c>
      <c r="AG6" s="401"/>
      <c r="AH6" s="401"/>
      <c r="AI6" s="401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45">
      <c r="A7" s="48" t="s">
        <v>189</v>
      </c>
      <c r="B7" s="48">
        <v>40</v>
      </c>
      <c r="C7" s="48" t="s">
        <v>190</v>
      </c>
      <c r="D7" s="49"/>
      <c r="E7" s="49"/>
      <c r="F7" s="48" t="s">
        <v>191</v>
      </c>
      <c r="G7" s="50"/>
      <c r="H7" s="50"/>
      <c r="I7" s="51">
        <v>1237.2399999999998</v>
      </c>
      <c r="J7" s="50">
        <v>2512.7600000000002</v>
      </c>
      <c r="K7" s="51">
        <f t="shared" ref="K7:K62" si="0">+I7+J7</f>
        <v>3750</v>
      </c>
      <c r="L7" s="51">
        <v>2253.9</v>
      </c>
      <c r="M7" s="52"/>
      <c r="N7" s="52"/>
      <c r="O7" s="53">
        <v>45.15</v>
      </c>
      <c r="P7" s="54">
        <f t="shared" ref="P7:P63" si="1">SUM(K7:N7)-O7</f>
        <v>5958.75</v>
      </c>
      <c r="Q7" s="55"/>
      <c r="R7" s="56"/>
      <c r="S7" s="56"/>
      <c r="T7" s="56"/>
      <c r="U7" s="57"/>
      <c r="V7" s="48">
        <v>957.82</v>
      </c>
      <c r="W7" s="54">
        <f t="shared" ref="W7:W63" si="2">+P7-SUM(Q7:V7)</f>
        <v>5000.93</v>
      </c>
      <c r="X7" s="58">
        <f t="shared" ref="X7:X63" si="3">IF(P7&gt;4500,P7*0.1,0)</f>
        <v>595.875</v>
      </c>
      <c r="Y7" s="54">
        <f t="shared" ref="Y7:Y63" si="4">+W7-X7</f>
        <v>4405.0550000000003</v>
      </c>
      <c r="Z7" s="59">
        <f t="shared" ref="Z7:Z63" si="5">IF(P7&lt;4500,P7*0.1,0)</f>
        <v>0</v>
      </c>
      <c r="AA7" s="58">
        <f t="shared" ref="AA7:AA63" si="6">I7*0.02</f>
        <v>24.744799999999998</v>
      </c>
      <c r="AB7" s="54">
        <f t="shared" ref="AB7:AB63" si="7">+P7+Z7+AA7</f>
        <v>5983.4948000000004</v>
      </c>
      <c r="AC7" s="94">
        <f>1000+3405.06</f>
        <v>4405.0599999999995</v>
      </c>
      <c r="AD7" s="60">
        <f>+AC7-Y7</f>
        <v>4.9999999991996447E-3</v>
      </c>
      <c r="AE7" s="94">
        <v>1256</v>
      </c>
      <c r="AF7" s="94">
        <v>3149.06</v>
      </c>
      <c r="AG7" s="60">
        <f>+AE7+AF7-AC7</f>
        <v>0</v>
      </c>
      <c r="AH7" s="61">
        <v>1183378845</v>
      </c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5">
      <c r="A8" s="48" t="s">
        <v>192</v>
      </c>
      <c r="B8" s="48" t="s">
        <v>12</v>
      </c>
      <c r="C8" s="48" t="s">
        <v>193</v>
      </c>
      <c r="D8" s="49"/>
      <c r="E8" s="49"/>
      <c r="F8" s="48" t="s">
        <v>194</v>
      </c>
      <c r="G8" s="62" t="s">
        <v>195</v>
      </c>
      <c r="H8" s="62"/>
      <c r="I8" s="51">
        <v>1237.2399999999998</v>
      </c>
      <c r="J8" s="62">
        <v>1512.7600000000002</v>
      </c>
      <c r="K8" s="51">
        <f t="shared" si="0"/>
        <v>2750</v>
      </c>
      <c r="L8" s="51">
        <v>0</v>
      </c>
      <c r="M8" s="51"/>
      <c r="N8" s="51"/>
      <c r="O8" s="53">
        <v>45.15</v>
      </c>
      <c r="P8" s="54">
        <f t="shared" si="1"/>
        <v>2704.85</v>
      </c>
      <c r="Q8" s="55"/>
      <c r="R8" s="56"/>
      <c r="S8" s="56"/>
      <c r="T8" s="56"/>
      <c r="U8" s="57"/>
      <c r="V8" s="48">
        <v>0</v>
      </c>
      <c r="W8" s="54">
        <f t="shared" si="2"/>
        <v>2704.85</v>
      </c>
      <c r="X8" s="58">
        <f t="shared" si="3"/>
        <v>0</v>
      </c>
      <c r="Y8" s="54">
        <f t="shared" si="4"/>
        <v>2704.85</v>
      </c>
      <c r="Z8" s="59">
        <f t="shared" si="5"/>
        <v>270.48500000000001</v>
      </c>
      <c r="AA8" s="58">
        <f t="shared" si="6"/>
        <v>24.744799999999998</v>
      </c>
      <c r="AB8" s="54">
        <f t="shared" si="7"/>
        <v>3000.0798</v>
      </c>
      <c r="AC8" s="94"/>
      <c r="AD8" s="60">
        <f t="shared" ref="AD8:AD63" si="8">+AC8-Y8</f>
        <v>-2704.85</v>
      </c>
      <c r="AE8" s="94"/>
      <c r="AF8" s="94"/>
      <c r="AG8" s="60">
        <f t="shared" ref="AG8:AG63" si="9">+AE8+AF8-AC8</f>
        <v>0</v>
      </c>
      <c r="AH8" s="61">
        <v>2886516505</v>
      </c>
      <c r="AI8" s="47"/>
      <c r="AJ8" s="61"/>
      <c r="AK8" s="61"/>
      <c r="AL8" s="61"/>
      <c r="AM8" s="61"/>
      <c r="AN8" s="61"/>
      <c r="AO8" s="61"/>
      <c r="AP8" s="61"/>
      <c r="AQ8" s="61"/>
      <c r="AR8" s="61"/>
      <c r="AS8" s="61"/>
    </row>
    <row r="9" spans="1:45">
      <c r="A9" s="48" t="s">
        <v>196</v>
      </c>
      <c r="B9" s="48" t="s">
        <v>24</v>
      </c>
      <c r="C9" s="48" t="s">
        <v>197</v>
      </c>
      <c r="D9" s="49"/>
      <c r="E9" s="49"/>
      <c r="F9" s="48" t="s">
        <v>198</v>
      </c>
      <c r="G9" s="50" t="s">
        <v>195</v>
      </c>
      <c r="H9" s="50"/>
      <c r="I9" s="51">
        <v>1237.2399999999998</v>
      </c>
      <c r="J9" s="50">
        <v>2762.76</v>
      </c>
      <c r="K9" s="51">
        <f t="shared" si="0"/>
        <v>4000</v>
      </c>
      <c r="L9" s="51">
        <v>1000</v>
      </c>
      <c r="M9" s="52"/>
      <c r="N9" s="52"/>
      <c r="O9" s="53">
        <v>45.15</v>
      </c>
      <c r="P9" s="54">
        <f t="shared" si="1"/>
        <v>4954.8500000000004</v>
      </c>
      <c r="Q9" s="55"/>
      <c r="R9" s="56"/>
      <c r="S9" s="56"/>
      <c r="T9" s="56"/>
      <c r="U9" s="57"/>
      <c r="V9" s="48">
        <v>0</v>
      </c>
      <c r="W9" s="54">
        <f t="shared" si="2"/>
        <v>4954.8500000000004</v>
      </c>
      <c r="X9" s="58">
        <f t="shared" si="3"/>
        <v>495.48500000000007</v>
      </c>
      <c r="Y9" s="54">
        <f t="shared" si="4"/>
        <v>4459.3650000000007</v>
      </c>
      <c r="Z9" s="59">
        <f t="shared" si="5"/>
        <v>0</v>
      </c>
      <c r="AA9" s="58">
        <f t="shared" si="6"/>
        <v>24.744799999999998</v>
      </c>
      <c r="AB9" s="54">
        <f t="shared" si="7"/>
        <v>4979.5948000000008</v>
      </c>
      <c r="AC9" s="94"/>
      <c r="AD9" s="60">
        <f t="shared" si="8"/>
        <v>-4459.3650000000007</v>
      </c>
      <c r="AE9" s="94"/>
      <c r="AF9" s="94"/>
      <c r="AG9" s="60">
        <f t="shared" si="9"/>
        <v>0</v>
      </c>
      <c r="AH9" s="61">
        <v>2859592156</v>
      </c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5">
      <c r="A10" s="48" t="s">
        <v>199</v>
      </c>
      <c r="B10" s="48" t="s">
        <v>26</v>
      </c>
      <c r="C10" s="48" t="s">
        <v>200</v>
      </c>
      <c r="D10" s="62"/>
      <c r="E10" s="62"/>
      <c r="F10" s="48" t="s">
        <v>141</v>
      </c>
      <c r="G10" s="62"/>
      <c r="H10" s="62"/>
      <c r="I10" s="51">
        <v>1237.2399999999998</v>
      </c>
      <c r="J10" s="62">
        <v>1762.7600000000002</v>
      </c>
      <c r="K10" s="51">
        <f t="shared" si="0"/>
        <v>3000</v>
      </c>
      <c r="L10" s="51">
        <v>3671</v>
      </c>
      <c r="M10" s="51"/>
      <c r="N10" s="51"/>
      <c r="O10" s="53">
        <v>45.15</v>
      </c>
      <c r="P10" s="54">
        <f t="shared" si="1"/>
        <v>6625.85</v>
      </c>
      <c r="Q10" s="55"/>
      <c r="R10" s="56"/>
      <c r="S10" s="56"/>
      <c r="T10" s="56"/>
      <c r="U10" s="57"/>
      <c r="V10" s="48">
        <v>0</v>
      </c>
      <c r="W10" s="54">
        <f t="shared" si="2"/>
        <v>6625.85</v>
      </c>
      <c r="X10" s="58">
        <f t="shared" si="3"/>
        <v>662.58500000000004</v>
      </c>
      <c r="Y10" s="54">
        <f t="shared" si="4"/>
        <v>5963.2650000000003</v>
      </c>
      <c r="Z10" s="59">
        <f t="shared" si="5"/>
        <v>0</v>
      </c>
      <c r="AA10" s="58">
        <f t="shared" si="6"/>
        <v>24.744799999999998</v>
      </c>
      <c r="AB10" s="54">
        <f t="shared" si="7"/>
        <v>6650.5948000000008</v>
      </c>
      <c r="AC10" s="94"/>
      <c r="AD10" s="60">
        <f t="shared" si="8"/>
        <v>-5963.2650000000003</v>
      </c>
      <c r="AE10" s="94"/>
      <c r="AF10" s="94"/>
      <c r="AG10" s="60">
        <f t="shared" si="9"/>
        <v>0</v>
      </c>
      <c r="AH10" s="61">
        <v>2914894898</v>
      </c>
      <c r="AI10" s="47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>
      <c r="A11" s="48" t="s">
        <v>196</v>
      </c>
      <c r="B11" s="48" t="s">
        <v>28</v>
      </c>
      <c r="C11" s="48" t="s">
        <v>201</v>
      </c>
      <c r="D11" s="62"/>
      <c r="E11" s="62"/>
      <c r="F11" s="48" t="s">
        <v>127</v>
      </c>
      <c r="G11" s="50" t="s">
        <v>195</v>
      </c>
      <c r="H11" s="50"/>
      <c r="I11" s="51">
        <v>1237.2399999999998</v>
      </c>
      <c r="J11" s="50">
        <f>1562.76+394.5</f>
        <v>1957.26</v>
      </c>
      <c r="K11" s="51">
        <f t="shared" si="0"/>
        <v>3194.5</v>
      </c>
      <c r="L11" s="51"/>
      <c r="M11" s="52"/>
      <c r="N11" s="52"/>
      <c r="O11" s="53">
        <v>45.15</v>
      </c>
      <c r="P11" s="54">
        <f t="shared" si="1"/>
        <v>3149.35</v>
      </c>
      <c r="Q11" s="55"/>
      <c r="R11" s="56"/>
      <c r="S11" s="56"/>
      <c r="T11" s="56"/>
      <c r="U11" s="57"/>
      <c r="V11" s="48">
        <v>0</v>
      </c>
      <c r="W11" s="54">
        <f t="shared" si="2"/>
        <v>3149.35</v>
      </c>
      <c r="X11" s="58">
        <f t="shared" si="3"/>
        <v>0</v>
      </c>
      <c r="Y11" s="54">
        <f t="shared" si="4"/>
        <v>3149.35</v>
      </c>
      <c r="Z11" s="59">
        <f t="shared" si="5"/>
        <v>314.935</v>
      </c>
      <c r="AA11" s="58">
        <f t="shared" si="6"/>
        <v>24.744799999999998</v>
      </c>
      <c r="AB11" s="54">
        <f t="shared" si="7"/>
        <v>3489.0297999999998</v>
      </c>
      <c r="AC11" s="94"/>
      <c r="AD11" s="60">
        <f t="shared" si="8"/>
        <v>-3149.35</v>
      </c>
      <c r="AE11" s="94"/>
      <c r="AF11" s="94"/>
      <c r="AG11" s="60">
        <f t="shared" si="9"/>
        <v>0</v>
      </c>
      <c r="AH11" s="61">
        <v>1461266403</v>
      </c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</row>
    <row r="12" spans="1:45">
      <c r="A12" s="48" t="s">
        <v>196</v>
      </c>
      <c r="B12" s="48">
        <v>9</v>
      </c>
      <c r="C12" s="48" t="s">
        <v>202</v>
      </c>
      <c r="D12" s="49"/>
      <c r="E12" s="49"/>
      <c r="F12" s="48" t="s">
        <v>132</v>
      </c>
      <c r="G12" s="50"/>
      <c r="H12" s="50"/>
      <c r="I12" s="51">
        <v>1237.2399999999998</v>
      </c>
      <c r="J12" s="50">
        <v>4762.76</v>
      </c>
      <c r="K12" s="51">
        <f t="shared" si="0"/>
        <v>6000</v>
      </c>
      <c r="L12" s="51">
        <v>21000</v>
      </c>
      <c r="M12" s="52"/>
      <c r="N12" s="52"/>
      <c r="O12" s="53">
        <v>45.15</v>
      </c>
      <c r="P12" s="54">
        <f t="shared" si="1"/>
        <v>26954.85</v>
      </c>
      <c r="Q12" s="55"/>
      <c r="R12" s="56"/>
      <c r="S12" s="56"/>
      <c r="T12" s="56"/>
      <c r="U12" s="48">
        <v>504.77</v>
      </c>
      <c r="V12" s="48">
        <v>0</v>
      </c>
      <c r="W12" s="54">
        <f t="shared" si="2"/>
        <v>26450.079999999998</v>
      </c>
      <c r="X12" s="58">
        <f t="shared" si="3"/>
        <v>2695.4850000000001</v>
      </c>
      <c r="Y12" s="54">
        <f t="shared" si="4"/>
        <v>23754.594999999998</v>
      </c>
      <c r="Z12" s="59">
        <f t="shared" si="5"/>
        <v>0</v>
      </c>
      <c r="AA12" s="58">
        <f t="shared" si="6"/>
        <v>24.744799999999998</v>
      </c>
      <c r="AB12" s="54">
        <f t="shared" si="7"/>
        <v>26979.594799999999</v>
      </c>
      <c r="AC12" s="94"/>
      <c r="AD12" s="60">
        <f t="shared" si="8"/>
        <v>-23754.594999999998</v>
      </c>
      <c r="AE12" s="94"/>
      <c r="AF12" s="94"/>
      <c r="AG12" s="60">
        <f t="shared" si="9"/>
        <v>0</v>
      </c>
      <c r="AH12" s="61">
        <v>1467420064</v>
      </c>
      <c r="AI12" s="47"/>
      <c r="AJ12" s="61"/>
      <c r="AK12" s="61"/>
      <c r="AL12" s="61"/>
      <c r="AM12" s="61"/>
      <c r="AN12" s="61"/>
      <c r="AO12" s="61"/>
      <c r="AP12" s="61"/>
      <c r="AQ12" s="61"/>
      <c r="AR12" s="61"/>
      <c r="AS12" s="61"/>
    </row>
    <row r="13" spans="1:45">
      <c r="A13" s="95" t="s">
        <v>192</v>
      </c>
      <c r="B13" s="95" t="s">
        <v>130</v>
      </c>
      <c r="C13" s="95" t="s">
        <v>203</v>
      </c>
      <c r="D13" s="49"/>
      <c r="E13" s="49"/>
      <c r="F13" s="48" t="s">
        <v>204</v>
      </c>
      <c r="G13" s="62" t="s">
        <v>195</v>
      </c>
      <c r="H13" s="62"/>
      <c r="I13" s="51">
        <v>1237.2399999999998</v>
      </c>
      <c r="J13" s="62">
        <v>1762.76</v>
      </c>
      <c r="K13" s="51">
        <f t="shared" si="0"/>
        <v>3000</v>
      </c>
      <c r="L13" s="51"/>
      <c r="M13" s="51"/>
      <c r="N13" s="51"/>
      <c r="O13" s="53">
        <v>45.15</v>
      </c>
      <c r="P13" s="54">
        <f t="shared" si="1"/>
        <v>2954.85</v>
      </c>
      <c r="Q13" s="55"/>
      <c r="R13" s="56"/>
      <c r="S13" s="56"/>
      <c r="T13" s="56"/>
      <c r="U13" s="57"/>
      <c r="V13" s="48">
        <v>0</v>
      </c>
      <c r="W13" s="54">
        <f t="shared" si="2"/>
        <v>2954.85</v>
      </c>
      <c r="X13" s="58">
        <f t="shared" si="3"/>
        <v>0</v>
      </c>
      <c r="Y13" s="54">
        <f t="shared" si="4"/>
        <v>2954.85</v>
      </c>
      <c r="Z13" s="59">
        <f t="shared" si="5"/>
        <v>295.48500000000001</v>
      </c>
      <c r="AA13" s="58">
        <f t="shared" si="6"/>
        <v>24.744799999999998</v>
      </c>
      <c r="AB13" s="54">
        <f t="shared" si="7"/>
        <v>3275.0798</v>
      </c>
      <c r="AC13" s="94"/>
      <c r="AD13" s="60">
        <f t="shared" si="8"/>
        <v>-2954.85</v>
      </c>
      <c r="AE13" s="94"/>
      <c r="AF13" s="94"/>
      <c r="AG13" s="60">
        <f t="shared" si="9"/>
        <v>0</v>
      </c>
      <c r="AH13" s="61">
        <v>2966659578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</row>
    <row r="14" spans="1:45">
      <c r="A14" s="48" t="s">
        <v>199</v>
      </c>
      <c r="B14" s="48">
        <v>2</v>
      </c>
      <c r="C14" s="48" t="s">
        <v>205</v>
      </c>
      <c r="D14" s="62"/>
      <c r="E14" s="62"/>
      <c r="F14" s="48" t="s">
        <v>128</v>
      </c>
      <c r="G14" s="50" t="s">
        <v>195</v>
      </c>
      <c r="H14" s="50"/>
      <c r="I14" s="51">
        <v>1237.2399999999998</v>
      </c>
      <c r="J14" s="50">
        <f>562.76+730</f>
        <v>1292.76</v>
      </c>
      <c r="K14" s="51">
        <f t="shared" si="0"/>
        <v>2530</v>
      </c>
      <c r="L14" s="51"/>
      <c r="M14" s="52"/>
      <c r="N14" s="52"/>
      <c r="O14" s="53">
        <v>45.15</v>
      </c>
      <c r="P14" s="54">
        <f t="shared" si="1"/>
        <v>2484.85</v>
      </c>
      <c r="Q14" s="55"/>
      <c r="R14" s="56"/>
      <c r="S14" s="56"/>
      <c r="T14" s="56"/>
      <c r="U14" s="57"/>
      <c r="V14" s="48">
        <v>316.81</v>
      </c>
      <c r="W14" s="54">
        <f t="shared" si="2"/>
        <v>2168.04</v>
      </c>
      <c r="X14" s="58">
        <f t="shared" si="3"/>
        <v>0</v>
      </c>
      <c r="Y14" s="54">
        <f t="shared" si="4"/>
        <v>2168.04</v>
      </c>
      <c r="Z14" s="59">
        <f t="shared" si="5"/>
        <v>248.48500000000001</v>
      </c>
      <c r="AA14" s="58">
        <f t="shared" si="6"/>
        <v>24.744799999999998</v>
      </c>
      <c r="AB14" s="54">
        <f t="shared" si="7"/>
        <v>2758.0798</v>
      </c>
      <c r="AC14" s="94"/>
      <c r="AD14" s="60">
        <f t="shared" si="8"/>
        <v>-2168.04</v>
      </c>
      <c r="AE14" s="94"/>
      <c r="AF14" s="94"/>
      <c r="AG14" s="60">
        <f t="shared" si="9"/>
        <v>0</v>
      </c>
      <c r="AH14" s="61">
        <v>2615562821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</row>
    <row r="15" spans="1:45">
      <c r="A15" s="48" t="s">
        <v>196</v>
      </c>
      <c r="B15" s="48" t="s">
        <v>34</v>
      </c>
      <c r="C15" s="48" t="s">
        <v>206</v>
      </c>
      <c r="D15" s="49"/>
      <c r="E15" s="49"/>
      <c r="F15" s="48" t="s">
        <v>198</v>
      </c>
      <c r="G15" s="62" t="s">
        <v>195</v>
      </c>
      <c r="H15" s="62"/>
      <c r="I15" s="51">
        <v>1237.2399999999998</v>
      </c>
      <c r="J15" s="62">
        <f>3762.76+500+56</f>
        <v>4318.76</v>
      </c>
      <c r="K15" s="51">
        <f>+I15+J15</f>
        <v>5556</v>
      </c>
      <c r="L15" s="51"/>
      <c r="M15" s="51"/>
      <c r="N15" s="51"/>
      <c r="O15" s="53">
        <v>45.15</v>
      </c>
      <c r="P15" s="54">
        <f t="shared" si="1"/>
        <v>5510.85</v>
      </c>
      <c r="Q15" s="55"/>
      <c r="R15" s="56"/>
      <c r="S15" s="56"/>
      <c r="T15" s="56"/>
      <c r="U15" s="57"/>
      <c r="V15" s="48">
        <v>0</v>
      </c>
      <c r="W15" s="54">
        <f t="shared" si="2"/>
        <v>5510.85</v>
      </c>
      <c r="X15" s="58">
        <f t="shared" si="3"/>
        <v>551.08500000000004</v>
      </c>
      <c r="Y15" s="54">
        <f t="shared" si="4"/>
        <v>4959.7650000000003</v>
      </c>
      <c r="Z15" s="59">
        <f t="shared" si="5"/>
        <v>0</v>
      </c>
      <c r="AA15" s="58">
        <f t="shared" si="6"/>
        <v>24.744799999999998</v>
      </c>
      <c r="AB15" s="54">
        <f t="shared" si="7"/>
        <v>5535.5948000000008</v>
      </c>
      <c r="AC15" s="94"/>
      <c r="AD15" s="60">
        <f t="shared" si="8"/>
        <v>-4959.7650000000003</v>
      </c>
      <c r="AE15" s="94"/>
      <c r="AF15" s="94"/>
      <c r="AG15" s="60">
        <f t="shared" si="9"/>
        <v>0</v>
      </c>
      <c r="AH15" s="61">
        <v>2987650868</v>
      </c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</row>
    <row r="16" spans="1:45">
      <c r="A16" s="96" t="s">
        <v>207</v>
      </c>
      <c r="B16" s="96" t="s">
        <v>36</v>
      </c>
      <c r="C16" s="96" t="s">
        <v>123</v>
      </c>
      <c r="D16" s="97"/>
      <c r="E16" s="97" t="s">
        <v>342</v>
      </c>
      <c r="F16" s="96" t="s">
        <v>134</v>
      </c>
      <c r="G16" s="98"/>
      <c r="H16" s="98"/>
      <c r="I16" s="99">
        <v>0</v>
      </c>
      <c r="J16" s="98">
        <v>0</v>
      </c>
      <c r="K16" s="99">
        <f t="shared" si="0"/>
        <v>0</v>
      </c>
      <c r="L16" s="99"/>
      <c r="M16" s="99"/>
      <c r="N16" s="99"/>
      <c r="O16" s="99"/>
      <c r="P16" s="100">
        <f t="shared" si="1"/>
        <v>0</v>
      </c>
      <c r="Q16" s="99"/>
      <c r="R16" s="101"/>
      <c r="S16" s="101"/>
      <c r="T16" s="101"/>
      <c r="U16" s="102"/>
      <c r="V16" s="96"/>
      <c r="W16" s="100">
        <f>+P16-SUM(Q16:V16)</f>
        <v>0</v>
      </c>
      <c r="X16" s="101">
        <f>IF(P16&gt;4500,P16*0.1,0)</f>
        <v>0</v>
      </c>
      <c r="Y16" s="100">
        <f>+W16-X16</f>
        <v>0</v>
      </c>
      <c r="Z16" s="101">
        <f t="shared" si="5"/>
        <v>0</v>
      </c>
      <c r="AA16" s="101">
        <f t="shared" si="6"/>
        <v>0</v>
      </c>
      <c r="AB16" s="100">
        <f t="shared" si="7"/>
        <v>0</v>
      </c>
      <c r="AC16" s="103"/>
      <c r="AD16" s="104">
        <f t="shared" si="8"/>
        <v>0</v>
      </c>
      <c r="AE16" s="103"/>
      <c r="AF16" s="103"/>
      <c r="AG16" s="104">
        <f t="shared" si="9"/>
        <v>0</v>
      </c>
      <c r="AH16" s="105">
        <v>2985423643</v>
      </c>
      <c r="AI16" s="105"/>
      <c r="AJ16" s="61"/>
      <c r="AK16" s="61"/>
      <c r="AL16" s="61"/>
      <c r="AM16" s="61"/>
      <c r="AN16" s="61"/>
      <c r="AO16" s="61"/>
      <c r="AP16" s="61"/>
      <c r="AQ16" s="61"/>
      <c r="AR16" s="61"/>
      <c r="AS16" s="61"/>
    </row>
    <row r="17" spans="1:45">
      <c r="A17" s="48" t="s">
        <v>192</v>
      </c>
      <c r="B17" s="48" t="s">
        <v>38</v>
      </c>
      <c r="C17" s="48" t="s">
        <v>208</v>
      </c>
      <c r="D17" s="49"/>
      <c r="E17" s="49"/>
      <c r="F17" s="48" t="s">
        <v>125</v>
      </c>
      <c r="G17" s="62" t="s">
        <v>195</v>
      </c>
      <c r="H17" s="62"/>
      <c r="I17" s="51">
        <v>1237.2399999999998</v>
      </c>
      <c r="J17" s="62">
        <v>2762.76</v>
      </c>
      <c r="K17" s="51">
        <f t="shared" si="0"/>
        <v>4000</v>
      </c>
      <c r="L17" s="51"/>
      <c r="M17" s="51"/>
      <c r="N17" s="51"/>
      <c r="O17" s="53">
        <v>45.15</v>
      </c>
      <c r="P17" s="54">
        <f t="shared" si="1"/>
        <v>3954.85</v>
      </c>
      <c r="Q17" s="55"/>
      <c r="R17" s="56"/>
      <c r="S17" s="56"/>
      <c r="T17" s="56"/>
      <c r="U17" s="57"/>
      <c r="V17" s="48">
        <v>906.77</v>
      </c>
      <c r="W17" s="54">
        <f t="shared" si="2"/>
        <v>3048.08</v>
      </c>
      <c r="X17" s="58">
        <f t="shared" si="3"/>
        <v>0</v>
      </c>
      <c r="Y17" s="54">
        <f t="shared" si="4"/>
        <v>3048.08</v>
      </c>
      <c r="Z17" s="59">
        <f t="shared" si="5"/>
        <v>395.48500000000001</v>
      </c>
      <c r="AA17" s="58">
        <f t="shared" si="6"/>
        <v>24.744799999999998</v>
      </c>
      <c r="AB17" s="54">
        <f t="shared" si="7"/>
        <v>4375.0798000000004</v>
      </c>
      <c r="AC17" s="94"/>
      <c r="AD17" s="60">
        <f t="shared" si="8"/>
        <v>-3048.08</v>
      </c>
      <c r="AE17" s="94"/>
      <c r="AF17" s="94"/>
      <c r="AG17" s="60">
        <f t="shared" si="9"/>
        <v>0</v>
      </c>
      <c r="AH17" s="61">
        <v>2893195635</v>
      </c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</row>
    <row r="18" spans="1:45">
      <c r="A18" s="48" t="s">
        <v>199</v>
      </c>
      <c r="B18" s="48" t="s">
        <v>40</v>
      </c>
      <c r="C18" s="48" t="s">
        <v>209</v>
      </c>
      <c r="D18" s="62"/>
      <c r="E18" s="62"/>
      <c r="F18" s="48" t="s">
        <v>137</v>
      </c>
      <c r="G18" s="62"/>
      <c r="H18" s="62"/>
      <c r="I18" s="51">
        <v>1237.2399999999998</v>
      </c>
      <c r="J18" s="62">
        <v>512.76000000000022</v>
      </c>
      <c r="K18" s="51">
        <f t="shared" si="0"/>
        <v>1750</v>
      </c>
      <c r="L18" s="51">
        <f>2331.85+2500</f>
        <v>4831.8500000000004</v>
      </c>
      <c r="M18" s="51"/>
      <c r="N18" s="51"/>
      <c r="O18" s="53">
        <v>45.15</v>
      </c>
      <c r="P18" s="54">
        <f t="shared" si="1"/>
        <v>6536.7000000000007</v>
      </c>
      <c r="Q18" s="55"/>
      <c r="R18" s="56"/>
      <c r="S18" s="56"/>
      <c r="T18" s="56"/>
      <c r="U18" s="57"/>
      <c r="V18" s="48">
        <v>0</v>
      </c>
      <c r="W18" s="54">
        <f t="shared" si="2"/>
        <v>6536.7000000000007</v>
      </c>
      <c r="X18" s="58">
        <f t="shared" si="3"/>
        <v>653.67000000000007</v>
      </c>
      <c r="Y18" s="54">
        <f t="shared" si="4"/>
        <v>5883.0300000000007</v>
      </c>
      <c r="Z18" s="59">
        <f t="shared" si="5"/>
        <v>0</v>
      </c>
      <c r="AA18" s="58">
        <f t="shared" si="6"/>
        <v>24.744799999999998</v>
      </c>
      <c r="AB18" s="54">
        <f t="shared" si="7"/>
        <v>6561.4448000000011</v>
      </c>
      <c r="AC18" s="94"/>
      <c r="AD18" s="60">
        <f t="shared" si="8"/>
        <v>-5883.0300000000007</v>
      </c>
      <c r="AE18" s="94"/>
      <c r="AF18" s="94"/>
      <c r="AG18" s="60">
        <f t="shared" si="9"/>
        <v>0</v>
      </c>
      <c r="AH18" s="61">
        <v>2765125111</v>
      </c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</row>
    <row r="19" spans="1:45">
      <c r="A19" s="48" t="s">
        <v>210</v>
      </c>
      <c r="B19" s="48" t="s">
        <v>42</v>
      </c>
      <c r="C19" s="48" t="s">
        <v>211</v>
      </c>
      <c r="D19" s="49"/>
      <c r="E19" s="49"/>
      <c r="F19" s="48" t="s">
        <v>124</v>
      </c>
      <c r="G19" s="62"/>
      <c r="H19" s="62"/>
      <c r="I19" s="51">
        <v>1237.2399999999998</v>
      </c>
      <c r="J19" s="62">
        <v>2262.7600000000002</v>
      </c>
      <c r="K19" s="51">
        <f t="shared" si="0"/>
        <v>3500</v>
      </c>
      <c r="L19" s="51">
        <v>11860.84</v>
      </c>
      <c r="M19" s="51"/>
      <c r="N19" s="51"/>
      <c r="O19" s="53">
        <v>45.15</v>
      </c>
      <c r="P19" s="54">
        <f t="shared" si="1"/>
        <v>15315.69</v>
      </c>
      <c r="Q19" s="55"/>
      <c r="R19" s="56"/>
      <c r="S19" s="56"/>
      <c r="T19" s="56"/>
      <c r="U19" s="57"/>
      <c r="V19" s="48">
        <v>0</v>
      </c>
      <c r="W19" s="54">
        <f t="shared" si="2"/>
        <v>15315.69</v>
      </c>
      <c r="X19" s="58">
        <f t="shared" si="3"/>
        <v>1531.5690000000002</v>
      </c>
      <c r="Y19" s="54">
        <f t="shared" si="4"/>
        <v>13784.121000000001</v>
      </c>
      <c r="Z19" s="59">
        <f t="shared" si="5"/>
        <v>0</v>
      </c>
      <c r="AA19" s="58">
        <f t="shared" si="6"/>
        <v>24.744799999999998</v>
      </c>
      <c r="AB19" s="54">
        <f t="shared" si="7"/>
        <v>15340.434800000001</v>
      </c>
      <c r="AC19" s="94"/>
      <c r="AD19" s="60">
        <f t="shared" si="8"/>
        <v>-13784.121000000001</v>
      </c>
      <c r="AE19" s="94"/>
      <c r="AF19" s="94"/>
      <c r="AG19" s="60">
        <f t="shared" si="9"/>
        <v>0</v>
      </c>
      <c r="AH19" s="61">
        <v>2943846814</v>
      </c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</row>
    <row r="20" spans="1:45">
      <c r="A20" s="48" t="s">
        <v>207</v>
      </c>
      <c r="B20" s="48">
        <v>43</v>
      </c>
      <c r="C20" s="48" t="s">
        <v>212</v>
      </c>
      <c r="D20" s="49"/>
      <c r="E20" s="49"/>
      <c r="F20" s="48" t="s">
        <v>133</v>
      </c>
      <c r="G20" s="62"/>
      <c r="H20" s="62"/>
      <c r="I20" s="51">
        <v>1237.2399999999998</v>
      </c>
      <c r="J20" s="62">
        <v>3762.76</v>
      </c>
      <c r="K20" s="51">
        <f t="shared" si="0"/>
        <v>5000</v>
      </c>
      <c r="L20" s="51">
        <v>34191.589999999997</v>
      </c>
      <c r="M20" s="51"/>
      <c r="N20" s="51"/>
      <c r="O20" s="53">
        <v>45.15</v>
      </c>
      <c r="P20" s="54">
        <f t="shared" si="1"/>
        <v>39146.439999999995</v>
      </c>
      <c r="Q20" s="55"/>
      <c r="R20" s="56">
        <v>500</v>
      </c>
      <c r="S20" s="56"/>
      <c r="T20" s="56"/>
      <c r="U20" s="57"/>
      <c r="V20" s="48">
        <v>345.44</v>
      </c>
      <c r="W20" s="54">
        <f>+P20-SUM(Q20:V20)</f>
        <v>38300.999999999993</v>
      </c>
      <c r="X20" s="58">
        <f t="shared" si="3"/>
        <v>3914.6439999999998</v>
      </c>
      <c r="Y20" s="54">
        <f t="shared" si="4"/>
        <v>34386.355999999992</v>
      </c>
      <c r="Z20" s="59">
        <f t="shared" si="5"/>
        <v>0</v>
      </c>
      <c r="AA20" s="58">
        <f t="shared" si="6"/>
        <v>24.744799999999998</v>
      </c>
      <c r="AB20" s="54">
        <f t="shared" si="7"/>
        <v>39171.184799999995</v>
      </c>
      <c r="AC20" s="94"/>
      <c r="AD20" s="60">
        <f t="shared" si="8"/>
        <v>-34386.355999999992</v>
      </c>
      <c r="AE20" s="94"/>
      <c r="AF20" s="94"/>
      <c r="AG20" s="60">
        <f t="shared" si="9"/>
        <v>0</v>
      </c>
      <c r="AH20" s="61">
        <v>2637315589</v>
      </c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</row>
    <row r="21" spans="1:45">
      <c r="A21" s="48" t="s">
        <v>189</v>
      </c>
      <c r="B21" s="48" t="s">
        <v>213</v>
      </c>
      <c r="C21" s="48" t="s">
        <v>214</v>
      </c>
      <c r="D21" s="49"/>
      <c r="E21" s="49"/>
      <c r="F21" s="48" t="s">
        <v>215</v>
      </c>
      <c r="G21" s="62"/>
      <c r="H21" s="62"/>
      <c r="I21" s="51">
        <v>1237.2399999999998</v>
      </c>
      <c r="J21" s="62">
        <v>1512.7600000000002</v>
      </c>
      <c r="K21" s="51">
        <f t="shared" si="0"/>
        <v>2750</v>
      </c>
      <c r="L21" s="51">
        <v>1750</v>
      </c>
      <c r="M21" s="51"/>
      <c r="N21" s="51"/>
      <c r="O21" s="53">
        <v>45.15</v>
      </c>
      <c r="P21" s="54">
        <f t="shared" si="1"/>
        <v>4454.8500000000004</v>
      </c>
      <c r="Q21" s="55"/>
      <c r="R21" s="56"/>
      <c r="S21" s="56"/>
      <c r="T21" s="56"/>
      <c r="U21" s="57"/>
      <c r="V21" s="48">
        <v>0</v>
      </c>
      <c r="W21" s="54">
        <f t="shared" si="2"/>
        <v>4454.8500000000004</v>
      </c>
      <c r="X21" s="58">
        <f t="shared" si="3"/>
        <v>0</v>
      </c>
      <c r="Y21" s="54">
        <f t="shared" si="4"/>
        <v>4454.8500000000004</v>
      </c>
      <c r="Z21" s="59">
        <f t="shared" si="5"/>
        <v>445.48500000000007</v>
      </c>
      <c r="AA21" s="58">
        <f t="shared" si="6"/>
        <v>24.744799999999998</v>
      </c>
      <c r="AB21" s="54">
        <f t="shared" si="7"/>
        <v>4925.0798000000004</v>
      </c>
      <c r="AC21" s="94"/>
      <c r="AD21" s="60">
        <f t="shared" si="8"/>
        <v>-4454.8500000000004</v>
      </c>
      <c r="AE21" s="94"/>
      <c r="AF21" s="94"/>
      <c r="AG21" s="60">
        <f>+AE21+AF21-AC21</f>
        <v>0</v>
      </c>
      <c r="AH21" s="61" t="s">
        <v>216</v>
      </c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</row>
    <row r="22" spans="1:45">
      <c r="A22" s="48" t="s">
        <v>192</v>
      </c>
      <c r="B22" s="48" t="s">
        <v>48</v>
      </c>
      <c r="C22" s="48" t="s">
        <v>217</v>
      </c>
      <c r="D22" s="49"/>
      <c r="E22" s="49"/>
      <c r="F22" s="48" t="s">
        <v>126</v>
      </c>
      <c r="G22" s="62"/>
      <c r="H22" s="62"/>
      <c r="I22" s="51">
        <v>1237.2399999999998</v>
      </c>
      <c r="J22" s="62">
        <v>2262.7600000000002</v>
      </c>
      <c r="K22" s="51">
        <f t="shared" si="0"/>
        <v>3500</v>
      </c>
      <c r="L22" s="51">
        <f>4500+6000</f>
        <v>10500</v>
      </c>
      <c r="M22" s="51"/>
      <c r="N22" s="51"/>
      <c r="O22" s="53">
        <v>45.15</v>
      </c>
      <c r="P22" s="54">
        <f t="shared" si="1"/>
        <v>13954.85</v>
      </c>
      <c r="Q22" s="55"/>
      <c r="R22" s="56"/>
      <c r="S22" s="56"/>
      <c r="T22" s="56"/>
      <c r="U22" s="48">
        <v>355.82</v>
      </c>
      <c r="V22" s="48">
        <v>0</v>
      </c>
      <c r="W22" s="54">
        <f t="shared" si="2"/>
        <v>13599.03</v>
      </c>
      <c r="X22" s="58">
        <f t="shared" si="3"/>
        <v>1395.4850000000001</v>
      </c>
      <c r="Y22" s="54">
        <f t="shared" si="4"/>
        <v>12203.545</v>
      </c>
      <c r="Z22" s="59">
        <f t="shared" si="5"/>
        <v>0</v>
      </c>
      <c r="AA22" s="58">
        <f t="shared" si="6"/>
        <v>24.744799999999998</v>
      </c>
      <c r="AB22" s="54">
        <f t="shared" si="7"/>
        <v>13979.594800000001</v>
      </c>
      <c r="AC22" s="94"/>
      <c r="AD22" s="60">
        <f t="shared" si="8"/>
        <v>-12203.545</v>
      </c>
      <c r="AE22" s="94"/>
      <c r="AF22" s="94"/>
      <c r="AG22" s="60">
        <f t="shared" si="9"/>
        <v>0</v>
      </c>
      <c r="AH22" s="61">
        <v>2928980233</v>
      </c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</row>
    <row r="23" spans="1:45">
      <c r="A23" s="96" t="s">
        <v>218</v>
      </c>
      <c r="B23" s="96" t="s">
        <v>13</v>
      </c>
      <c r="C23" s="96" t="s">
        <v>219</v>
      </c>
      <c r="D23" s="98"/>
      <c r="E23" s="98" t="s">
        <v>342</v>
      </c>
      <c r="F23" s="96" t="s">
        <v>220</v>
      </c>
      <c r="G23" s="98" t="s">
        <v>195</v>
      </c>
      <c r="H23" s="98"/>
      <c r="I23" s="99"/>
      <c r="J23" s="98"/>
      <c r="K23" s="99"/>
      <c r="L23" s="99"/>
      <c r="M23" s="99"/>
      <c r="N23" s="99"/>
      <c r="O23" s="99"/>
      <c r="P23" s="100">
        <f t="shared" si="1"/>
        <v>0</v>
      </c>
      <c r="Q23" s="99"/>
      <c r="R23" s="101"/>
      <c r="S23" s="101"/>
      <c r="T23" s="101"/>
      <c r="U23" s="102"/>
      <c r="V23" s="106"/>
      <c r="W23" s="100">
        <f t="shared" si="2"/>
        <v>0</v>
      </c>
      <c r="X23" s="101">
        <f t="shared" si="3"/>
        <v>0</v>
      </c>
      <c r="Y23" s="100">
        <f t="shared" si="4"/>
        <v>0</v>
      </c>
      <c r="Z23" s="101">
        <f t="shared" si="5"/>
        <v>0</v>
      </c>
      <c r="AA23" s="101">
        <f t="shared" si="6"/>
        <v>0</v>
      </c>
      <c r="AB23" s="100">
        <f t="shared" si="7"/>
        <v>0</v>
      </c>
      <c r="AC23" s="103"/>
      <c r="AD23" s="104">
        <f t="shared" si="8"/>
        <v>0</v>
      </c>
      <c r="AE23" s="103"/>
      <c r="AF23" s="103"/>
      <c r="AG23" s="104">
        <f t="shared" si="9"/>
        <v>0</v>
      </c>
      <c r="AH23" s="105">
        <v>2994929888</v>
      </c>
      <c r="AI23" s="107"/>
      <c r="AJ23" s="61"/>
      <c r="AK23" s="61"/>
      <c r="AL23" s="61"/>
      <c r="AM23" s="61"/>
      <c r="AN23" s="61"/>
      <c r="AO23" s="61"/>
      <c r="AP23" s="61"/>
      <c r="AQ23" s="61"/>
      <c r="AR23" s="61"/>
      <c r="AS23" s="61"/>
    </row>
    <row r="24" spans="1:45">
      <c r="A24" s="48" t="s">
        <v>192</v>
      </c>
      <c r="B24" s="48" t="s">
        <v>51</v>
      </c>
      <c r="C24" s="48" t="s">
        <v>221</v>
      </c>
      <c r="D24" s="49"/>
      <c r="E24" s="49"/>
      <c r="F24" s="48" t="s">
        <v>124</v>
      </c>
      <c r="G24" s="62"/>
      <c r="H24" s="62"/>
      <c r="I24" s="51">
        <v>1237.2399999999998</v>
      </c>
      <c r="J24" s="62">
        <v>3762.76</v>
      </c>
      <c r="K24" s="51">
        <f t="shared" si="0"/>
        <v>5000</v>
      </c>
      <c r="L24" s="51">
        <f>13000+550</f>
        <v>13550</v>
      </c>
      <c r="M24" s="51"/>
      <c r="N24" s="51"/>
      <c r="O24" s="53">
        <v>45.15</v>
      </c>
      <c r="P24" s="54">
        <f t="shared" si="1"/>
        <v>18504.849999999999</v>
      </c>
      <c r="Q24" s="55"/>
      <c r="R24" s="56"/>
      <c r="S24" s="56"/>
      <c r="T24" s="56"/>
      <c r="U24" s="48">
        <v>310.19</v>
      </c>
      <c r="V24" s="48">
        <v>0</v>
      </c>
      <c r="W24" s="54">
        <f t="shared" si="2"/>
        <v>18194.66</v>
      </c>
      <c r="X24" s="58">
        <f t="shared" si="3"/>
        <v>1850.4849999999999</v>
      </c>
      <c r="Y24" s="54">
        <f t="shared" si="4"/>
        <v>16344.174999999999</v>
      </c>
      <c r="Z24" s="59">
        <f t="shared" si="5"/>
        <v>0</v>
      </c>
      <c r="AA24" s="58">
        <f t="shared" si="6"/>
        <v>24.744799999999998</v>
      </c>
      <c r="AB24" s="54">
        <f t="shared" si="7"/>
        <v>18529.594799999999</v>
      </c>
      <c r="AC24" s="94"/>
      <c r="AD24" s="60">
        <f t="shared" si="8"/>
        <v>-16344.174999999999</v>
      </c>
      <c r="AE24" s="94"/>
      <c r="AF24" s="94"/>
      <c r="AG24" s="60">
        <f t="shared" si="9"/>
        <v>0</v>
      </c>
      <c r="AH24" s="61">
        <v>2734223152</v>
      </c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</row>
    <row r="25" spans="1:45">
      <c r="A25" s="48" t="s">
        <v>189</v>
      </c>
      <c r="B25" s="48" t="s">
        <v>53</v>
      </c>
      <c r="C25" s="48" t="s">
        <v>222</v>
      </c>
      <c r="D25" s="49"/>
      <c r="E25" s="49"/>
      <c r="F25" s="48" t="s">
        <v>223</v>
      </c>
      <c r="G25" s="62"/>
      <c r="H25" s="62"/>
      <c r="I25" s="51">
        <v>1237.2399999999998</v>
      </c>
      <c r="J25" s="62">
        <v>1512.7600000000002</v>
      </c>
      <c r="K25" s="51">
        <f t="shared" si="0"/>
        <v>2750</v>
      </c>
      <c r="L25" s="51">
        <v>1500</v>
      </c>
      <c r="M25" s="51"/>
      <c r="N25" s="51"/>
      <c r="O25" s="53">
        <v>45.15</v>
      </c>
      <c r="P25" s="54">
        <f t="shared" si="1"/>
        <v>4204.8500000000004</v>
      </c>
      <c r="Q25" s="55"/>
      <c r="R25" s="56"/>
      <c r="S25" s="56"/>
      <c r="T25" s="56"/>
      <c r="U25" s="57"/>
      <c r="V25" s="48">
        <v>837.96</v>
      </c>
      <c r="W25" s="54">
        <f t="shared" si="2"/>
        <v>3366.8900000000003</v>
      </c>
      <c r="X25" s="58">
        <f t="shared" si="3"/>
        <v>0</v>
      </c>
      <c r="Y25" s="54">
        <f t="shared" si="4"/>
        <v>3366.8900000000003</v>
      </c>
      <c r="Z25" s="59">
        <f t="shared" si="5"/>
        <v>420.48500000000007</v>
      </c>
      <c r="AA25" s="58">
        <f t="shared" si="6"/>
        <v>24.744799999999998</v>
      </c>
      <c r="AB25" s="54">
        <f t="shared" si="7"/>
        <v>4650.0798000000004</v>
      </c>
      <c r="AC25" s="94"/>
      <c r="AD25" s="60">
        <f t="shared" si="8"/>
        <v>-3366.8900000000003</v>
      </c>
      <c r="AE25" s="94"/>
      <c r="AF25" s="94"/>
      <c r="AG25" s="60">
        <f t="shared" si="9"/>
        <v>0</v>
      </c>
      <c r="AH25" s="61">
        <v>2897100388</v>
      </c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</row>
    <row r="26" spans="1:45">
      <c r="A26" s="48" t="s">
        <v>199</v>
      </c>
      <c r="B26" s="48" t="s">
        <v>55</v>
      </c>
      <c r="C26" s="48" t="s">
        <v>224</v>
      </c>
      <c r="D26" s="62"/>
      <c r="E26" s="62"/>
      <c r="F26" s="48" t="s">
        <v>225</v>
      </c>
      <c r="G26" s="62"/>
      <c r="H26" s="62"/>
      <c r="I26" s="51">
        <v>1237.2399999999998</v>
      </c>
      <c r="J26" s="62">
        <v>1762.7600000000002</v>
      </c>
      <c r="K26" s="51">
        <f t="shared" si="0"/>
        <v>3000</v>
      </c>
      <c r="L26" s="51">
        <f>4663.7+3000</f>
        <v>7663.7</v>
      </c>
      <c r="M26" s="51"/>
      <c r="N26" s="51"/>
      <c r="O26" s="53">
        <v>45.15</v>
      </c>
      <c r="P26" s="54">
        <f t="shared" si="1"/>
        <v>10618.550000000001</v>
      </c>
      <c r="Q26" s="55"/>
      <c r="R26" s="56"/>
      <c r="S26" s="56"/>
      <c r="T26" s="56"/>
      <c r="U26" s="57"/>
      <c r="V26" s="48">
        <v>0</v>
      </c>
      <c r="W26" s="54">
        <f t="shared" si="2"/>
        <v>10618.550000000001</v>
      </c>
      <c r="X26" s="58">
        <f t="shared" si="3"/>
        <v>1061.8550000000002</v>
      </c>
      <c r="Y26" s="54">
        <f t="shared" si="4"/>
        <v>9556.6950000000015</v>
      </c>
      <c r="Z26" s="59">
        <f t="shared" si="5"/>
        <v>0</v>
      </c>
      <c r="AA26" s="58">
        <f t="shared" si="6"/>
        <v>24.744799999999998</v>
      </c>
      <c r="AB26" s="54">
        <f t="shared" si="7"/>
        <v>10643.294800000001</v>
      </c>
      <c r="AC26" s="94"/>
      <c r="AD26" s="60">
        <f t="shared" si="8"/>
        <v>-9556.6950000000015</v>
      </c>
      <c r="AE26" s="94"/>
      <c r="AF26" s="94"/>
      <c r="AG26" s="60">
        <f t="shared" si="9"/>
        <v>0</v>
      </c>
      <c r="AH26" s="61">
        <v>2743852393</v>
      </c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</row>
    <row r="27" spans="1:45">
      <c r="A27" s="48" t="s">
        <v>210</v>
      </c>
      <c r="B27" s="48" t="s">
        <v>57</v>
      </c>
      <c r="C27" s="48" t="s">
        <v>226</v>
      </c>
      <c r="D27" s="49"/>
      <c r="E27" s="49"/>
      <c r="F27" s="48" t="s">
        <v>227</v>
      </c>
      <c r="G27" s="62"/>
      <c r="H27" s="62"/>
      <c r="I27" s="51">
        <v>1237.2399999999998</v>
      </c>
      <c r="J27" s="62">
        <v>1762.7600000000002</v>
      </c>
      <c r="K27" s="51">
        <f t="shared" si="0"/>
        <v>3000</v>
      </c>
      <c r="L27" s="51">
        <v>3500</v>
      </c>
      <c r="M27" s="51"/>
      <c r="N27" s="51"/>
      <c r="O27" s="53">
        <v>45.15</v>
      </c>
      <c r="P27" s="54">
        <f t="shared" si="1"/>
        <v>6454.85</v>
      </c>
      <c r="Q27" s="55"/>
      <c r="R27" s="56"/>
      <c r="S27" s="56"/>
      <c r="T27" s="56"/>
      <c r="U27" s="57"/>
      <c r="V27" s="48">
        <v>0</v>
      </c>
      <c r="W27" s="54">
        <f t="shared" si="2"/>
        <v>6454.85</v>
      </c>
      <c r="X27" s="58">
        <f t="shared" si="3"/>
        <v>645.48500000000013</v>
      </c>
      <c r="Y27" s="54">
        <f t="shared" si="4"/>
        <v>5809.3649999999998</v>
      </c>
      <c r="Z27" s="59">
        <f t="shared" si="5"/>
        <v>0</v>
      </c>
      <c r="AA27" s="58">
        <f t="shared" si="6"/>
        <v>24.744799999999998</v>
      </c>
      <c r="AB27" s="54">
        <f t="shared" si="7"/>
        <v>6479.5948000000008</v>
      </c>
      <c r="AC27" s="94"/>
      <c r="AD27" s="60">
        <f t="shared" si="8"/>
        <v>-5809.3649999999998</v>
      </c>
      <c r="AE27" s="94"/>
      <c r="AF27" s="94"/>
      <c r="AG27" s="60">
        <f t="shared" si="9"/>
        <v>0</v>
      </c>
      <c r="AH27" s="61">
        <v>2949799338</v>
      </c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</row>
    <row r="28" spans="1:45">
      <c r="A28" s="48" t="s">
        <v>218</v>
      </c>
      <c r="B28" s="48" t="s">
        <v>59</v>
      </c>
      <c r="C28" s="48" t="s">
        <v>228</v>
      </c>
      <c r="D28" s="62"/>
      <c r="E28" s="62"/>
      <c r="F28" s="48" t="s">
        <v>134</v>
      </c>
      <c r="G28" s="50"/>
      <c r="H28" s="50"/>
      <c r="I28" s="51">
        <v>1237.2399999999998</v>
      </c>
      <c r="J28" s="50">
        <v>1262.7600000000002</v>
      </c>
      <c r="K28" s="51">
        <f t="shared" si="0"/>
        <v>2500</v>
      </c>
      <c r="L28" s="51">
        <v>4171</v>
      </c>
      <c r="M28" s="52"/>
      <c r="N28" s="52"/>
      <c r="O28" s="53">
        <v>45.15</v>
      </c>
      <c r="P28" s="54">
        <f t="shared" si="1"/>
        <v>6625.85</v>
      </c>
      <c r="Q28" s="55"/>
      <c r="R28" s="56"/>
      <c r="S28" s="56"/>
      <c r="T28" s="56"/>
      <c r="U28" s="57"/>
      <c r="V28" s="48">
        <v>0</v>
      </c>
      <c r="W28" s="54">
        <f t="shared" si="2"/>
        <v>6625.85</v>
      </c>
      <c r="X28" s="58">
        <f t="shared" si="3"/>
        <v>662.58500000000004</v>
      </c>
      <c r="Y28" s="54">
        <f t="shared" si="4"/>
        <v>5963.2650000000003</v>
      </c>
      <c r="Z28" s="59">
        <f t="shared" si="5"/>
        <v>0</v>
      </c>
      <c r="AA28" s="58">
        <f t="shared" si="6"/>
        <v>24.744799999999998</v>
      </c>
      <c r="AB28" s="54">
        <f t="shared" si="7"/>
        <v>6650.5948000000008</v>
      </c>
      <c r="AC28" s="94"/>
      <c r="AD28" s="60">
        <f t="shared" si="8"/>
        <v>-5963.2650000000003</v>
      </c>
      <c r="AE28" s="94"/>
      <c r="AF28" s="94"/>
      <c r="AG28" s="60">
        <f t="shared" si="9"/>
        <v>0</v>
      </c>
      <c r="AH28" s="61">
        <v>2945821312</v>
      </c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</row>
    <row r="29" spans="1:45">
      <c r="A29" s="48" t="s">
        <v>207</v>
      </c>
      <c r="B29" s="48" t="s">
        <v>229</v>
      </c>
      <c r="C29" s="48" t="s">
        <v>343</v>
      </c>
      <c r="D29" s="49"/>
      <c r="E29" s="49"/>
      <c r="F29" s="48" t="s">
        <v>139</v>
      </c>
      <c r="G29" s="62"/>
      <c r="H29" s="62"/>
      <c r="I29" s="51">
        <v>1237.2399999999998</v>
      </c>
      <c r="J29" s="62">
        <v>1262.7600000000002</v>
      </c>
      <c r="K29" s="51">
        <f t="shared" si="0"/>
        <v>2500</v>
      </c>
      <c r="L29" s="51">
        <f>840+500</f>
        <v>1340</v>
      </c>
      <c r="M29" s="51"/>
      <c r="N29" s="51"/>
      <c r="O29" s="53">
        <v>45.15</v>
      </c>
      <c r="P29" s="54">
        <f t="shared" si="1"/>
        <v>3794.85</v>
      </c>
      <c r="Q29" s="55"/>
      <c r="R29" s="56"/>
      <c r="S29" s="56"/>
      <c r="T29" s="56"/>
      <c r="U29" s="57"/>
      <c r="V29" s="63">
        <v>1075.52</v>
      </c>
      <c r="W29" s="54">
        <f t="shared" si="2"/>
        <v>2719.33</v>
      </c>
      <c r="X29" s="58">
        <f t="shared" si="3"/>
        <v>0</v>
      </c>
      <c r="Y29" s="54">
        <f t="shared" si="4"/>
        <v>2719.33</v>
      </c>
      <c r="Z29" s="59">
        <f t="shared" si="5"/>
        <v>379.48500000000001</v>
      </c>
      <c r="AA29" s="58">
        <f t="shared" si="6"/>
        <v>24.744799999999998</v>
      </c>
      <c r="AB29" s="54">
        <f t="shared" si="7"/>
        <v>4199.0798000000004</v>
      </c>
      <c r="AC29" s="94"/>
      <c r="AD29" s="60">
        <f t="shared" si="8"/>
        <v>-2719.33</v>
      </c>
      <c r="AE29" s="94"/>
      <c r="AF29" s="94"/>
      <c r="AG29" s="60">
        <f t="shared" si="9"/>
        <v>0</v>
      </c>
      <c r="AH29" s="61">
        <v>2871132644</v>
      </c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</row>
    <row r="30" spans="1:45">
      <c r="A30" s="48" t="s">
        <v>189</v>
      </c>
      <c r="B30" s="48" t="s">
        <v>230</v>
      </c>
      <c r="C30" s="48" t="s">
        <v>344</v>
      </c>
      <c r="D30" s="49"/>
      <c r="E30" s="49"/>
      <c r="F30" s="48" t="s">
        <v>223</v>
      </c>
      <c r="G30" s="62"/>
      <c r="H30" s="62"/>
      <c r="I30" s="51">
        <v>1237.2399999999998</v>
      </c>
      <c r="J30" s="62">
        <v>762.76000000000022</v>
      </c>
      <c r="K30" s="51">
        <f t="shared" si="0"/>
        <v>2000</v>
      </c>
      <c r="L30" s="51">
        <v>1750</v>
      </c>
      <c r="M30" s="51"/>
      <c r="N30" s="51"/>
      <c r="O30" s="53">
        <v>45.15</v>
      </c>
      <c r="P30" s="54">
        <f t="shared" si="1"/>
        <v>3704.85</v>
      </c>
      <c r="Q30" s="55"/>
      <c r="R30" s="56"/>
      <c r="S30" s="56"/>
      <c r="T30" s="56"/>
      <c r="U30" s="57"/>
      <c r="V30" s="48">
        <v>0</v>
      </c>
      <c r="W30" s="54">
        <f t="shared" si="2"/>
        <v>3704.85</v>
      </c>
      <c r="X30" s="58">
        <f t="shared" si="3"/>
        <v>0</v>
      </c>
      <c r="Y30" s="54">
        <f t="shared" si="4"/>
        <v>3704.85</v>
      </c>
      <c r="Z30" s="59">
        <f t="shared" si="5"/>
        <v>370.48500000000001</v>
      </c>
      <c r="AA30" s="58">
        <f t="shared" si="6"/>
        <v>24.744799999999998</v>
      </c>
      <c r="AB30" s="54">
        <f t="shared" si="7"/>
        <v>4100.0798000000004</v>
      </c>
      <c r="AC30" s="94"/>
      <c r="AD30" s="60">
        <f t="shared" si="8"/>
        <v>-3704.85</v>
      </c>
      <c r="AE30" s="94"/>
      <c r="AF30" s="94"/>
      <c r="AG30" s="60">
        <f t="shared" si="9"/>
        <v>0</v>
      </c>
      <c r="AH30" s="61">
        <v>2887709471</v>
      </c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</row>
    <row r="31" spans="1:45">
      <c r="A31" s="48" t="s">
        <v>192</v>
      </c>
      <c r="B31" s="48" t="s">
        <v>65</v>
      </c>
      <c r="C31" s="48" t="s">
        <v>231</v>
      </c>
      <c r="D31" s="49"/>
      <c r="E31" s="49"/>
      <c r="F31" s="48" t="s">
        <v>127</v>
      </c>
      <c r="G31" s="50" t="s">
        <v>195</v>
      </c>
      <c r="H31" s="50"/>
      <c r="I31" s="51">
        <v>1237.2399999999998</v>
      </c>
      <c r="J31" s="50">
        <f>1612.76+150</f>
        <v>1762.76</v>
      </c>
      <c r="K31" s="51">
        <f t="shared" si="0"/>
        <v>3000</v>
      </c>
      <c r="L31" s="51"/>
      <c r="M31" s="52"/>
      <c r="N31" s="52"/>
      <c r="O31" s="53">
        <v>45.15</v>
      </c>
      <c r="P31" s="54">
        <f t="shared" si="1"/>
        <v>2954.85</v>
      </c>
      <c r="Q31" s="55"/>
      <c r="R31" s="56"/>
      <c r="S31" s="56"/>
      <c r="T31" s="56"/>
      <c r="U31" s="57"/>
      <c r="V31" s="48">
        <v>0</v>
      </c>
      <c r="W31" s="54">
        <f t="shared" si="2"/>
        <v>2954.85</v>
      </c>
      <c r="X31" s="58">
        <f t="shared" si="3"/>
        <v>0</v>
      </c>
      <c r="Y31" s="54">
        <f t="shared" si="4"/>
        <v>2954.85</v>
      </c>
      <c r="Z31" s="59">
        <f t="shared" si="5"/>
        <v>295.48500000000001</v>
      </c>
      <c r="AA31" s="58">
        <f t="shared" si="6"/>
        <v>24.744799999999998</v>
      </c>
      <c r="AB31" s="54">
        <f t="shared" si="7"/>
        <v>3275.0798</v>
      </c>
      <c r="AC31" s="94"/>
      <c r="AD31" s="60">
        <f t="shared" si="8"/>
        <v>-2954.85</v>
      </c>
      <c r="AE31" s="94"/>
      <c r="AF31" s="94"/>
      <c r="AG31" s="60">
        <f t="shared" si="9"/>
        <v>0</v>
      </c>
      <c r="AH31" s="61">
        <v>2886339700</v>
      </c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</row>
    <row r="32" spans="1:45">
      <c r="A32" s="48" t="s">
        <v>192</v>
      </c>
      <c r="B32" s="48" t="s">
        <v>67</v>
      </c>
      <c r="C32" s="48" t="s">
        <v>232</v>
      </c>
      <c r="D32" s="49"/>
      <c r="E32" s="49"/>
      <c r="F32" s="48" t="s">
        <v>125</v>
      </c>
      <c r="G32" s="50" t="s">
        <v>195</v>
      </c>
      <c r="H32" s="50"/>
      <c r="I32" s="51">
        <v>1237.2399999999998</v>
      </c>
      <c r="J32" s="50">
        <v>2762.76</v>
      </c>
      <c r="K32" s="51">
        <f t="shared" si="0"/>
        <v>4000</v>
      </c>
      <c r="L32" s="51"/>
      <c r="M32" s="64"/>
      <c r="N32" s="52"/>
      <c r="O32" s="53">
        <v>45.15</v>
      </c>
      <c r="P32" s="54">
        <f t="shared" si="1"/>
        <v>3954.85</v>
      </c>
      <c r="Q32" s="55"/>
      <c r="R32" s="56"/>
      <c r="S32" s="56"/>
      <c r="T32" s="56"/>
      <c r="U32" s="57"/>
      <c r="V32" s="63">
        <v>1146.5999999999999</v>
      </c>
      <c r="W32" s="54">
        <f t="shared" si="2"/>
        <v>2808.25</v>
      </c>
      <c r="X32" s="58">
        <f t="shared" si="3"/>
        <v>0</v>
      </c>
      <c r="Y32" s="54">
        <f t="shared" si="4"/>
        <v>2808.25</v>
      </c>
      <c r="Z32" s="59">
        <f t="shared" si="5"/>
        <v>395.48500000000001</v>
      </c>
      <c r="AA32" s="58">
        <f t="shared" si="6"/>
        <v>24.744799999999998</v>
      </c>
      <c r="AB32" s="54">
        <f t="shared" si="7"/>
        <v>4375.0798000000004</v>
      </c>
      <c r="AC32" s="94"/>
      <c r="AD32" s="60">
        <f t="shared" si="8"/>
        <v>-2808.25</v>
      </c>
      <c r="AE32" s="94"/>
      <c r="AF32" s="94"/>
      <c r="AG32" s="60">
        <f t="shared" si="9"/>
        <v>0</v>
      </c>
      <c r="AH32" s="61">
        <v>1109785957</v>
      </c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</row>
    <row r="33" spans="1:45">
      <c r="A33" s="48" t="s">
        <v>207</v>
      </c>
      <c r="B33" s="48" t="s">
        <v>233</v>
      </c>
      <c r="C33" s="48" t="s">
        <v>234</v>
      </c>
      <c r="D33" s="49"/>
      <c r="E33" s="49"/>
      <c r="F33" s="48" t="s">
        <v>135</v>
      </c>
      <c r="G33" s="62"/>
      <c r="H33" s="62"/>
      <c r="I33" s="51">
        <v>1237.2399999999998</v>
      </c>
      <c r="J33" s="62">
        <v>2262.7600000000002</v>
      </c>
      <c r="K33" s="51">
        <f t="shared" si="0"/>
        <v>3500</v>
      </c>
      <c r="L33" s="51">
        <v>14865.91</v>
      </c>
      <c r="M33" s="51"/>
      <c r="N33" s="51"/>
      <c r="O33" s="53">
        <v>45.15</v>
      </c>
      <c r="P33" s="54">
        <f t="shared" si="1"/>
        <v>18320.759999999998</v>
      </c>
      <c r="Q33" s="55"/>
      <c r="R33" s="56"/>
      <c r="S33" s="56"/>
      <c r="T33" s="56"/>
      <c r="U33" s="48">
        <v>58.19</v>
      </c>
      <c r="V33" s="48">
        <v>0</v>
      </c>
      <c r="W33" s="54">
        <f t="shared" si="2"/>
        <v>18262.57</v>
      </c>
      <c r="X33" s="58">
        <f t="shared" si="3"/>
        <v>1832.076</v>
      </c>
      <c r="Y33" s="54">
        <f t="shared" si="4"/>
        <v>16430.493999999999</v>
      </c>
      <c r="Z33" s="59">
        <f t="shared" si="5"/>
        <v>0</v>
      </c>
      <c r="AA33" s="58">
        <f t="shared" si="6"/>
        <v>24.744799999999998</v>
      </c>
      <c r="AB33" s="54">
        <f t="shared" si="7"/>
        <v>18345.504799999999</v>
      </c>
      <c r="AC33" s="94"/>
      <c r="AD33" s="60">
        <f t="shared" si="8"/>
        <v>-16430.493999999999</v>
      </c>
      <c r="AE33" s="94"/>
      <c r="AF33" s="94"/>
      <c r="AG33" s="60">
        <f t="shared" si="9"/>
        <v>0</v>
      </c>
      <c r="AH33" s="61">
        <v>2659973974</v>
      </c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</row>
    <row r="34" spans="1:45">
      <c r="A34" s="48" t="s">
        <v>207</v>
      </c>
      <c r="B34" s="48" t="s">
        <v>71</v>
      </c>
      <c r="C34" s="48" t="s">
        <v>345</v>
      </c>
      <c r="D34" s="49"/>
      <c r="E34" s="49"/>
      <c r="F34" s="48" t="s">
        <v>136</v>
      </c>
      <c r="G34" s="62"/>
      <c r="H34" s="62"/>
      <c r="I34" s="51">
        <v>1237.2399999999998</v>
      </c>
      <c r="J34" s="62">
        <v>2012.7600000000002</v>
      </c>
      <c r="K34" s="51">
        <f t="shared" si="0"/>
        <v>3250</v>
      </c>
      <c r="L34" s="51">
        <v>6813.74</v>
      </c>
      <c r="M34" s="51"/>
      <c r="N34" s="51"/>
      <c r="O34" s="53">
        <v>45.15</v>
      </c>
      <c r="P34" s="54">
        <f t="shared" si="1"/>
        <v>10018.59</v>
      </c>
      <c r="Q34" s="55"/>
      <c r="R34" s="56"/>
      <c r="S34" s="56"/>
      <c r="T34" s="56"/>
      <c r="U34" s="57"/>
      <c r="V34" s="63">
        <v>1045.54</v>
      </c>
      <c r="W34" s="54">
        <f t="shared" si="2"/>
        <v>8973.0499999999993</v>
      </c>
      <c r="X34" s="58">
        <f t="shared" si="3"/>
        <v>1001.859</v>
      </c>
      <c r="Y34" s="54">
        <f t="shared" si="4"/>
        <v>7971.1909999999989</v>
      </c>
      <c r="Z34" s="59">
        <f t="shared" si="5"/>
        <v>0</v>
      </c>
      <c r="AA34" s="58">
        <f t="shared" si="6"/>
        <v>24.744799999999998</v>
      </c>
      <c r="AB34" s="54">
        <f t="shared" si="7"/>
        <v>10043.334800000001</v>
      </c>
      <c r="AC34" s="94"/>
      <c r="AD34" s="60">
        <f t="shared" si="8"/>
        <v>-7971.1909999999989</v>
      </c>
      <c r="AE34" s="94"/>
      <c r="AF34" s="94"/>
      <c r="AG34" s="60">
        <f t="shared" si="9"/>
        <v>0</v>
      </c>
      <c r="AH34" s="61">
        <v>2786636659</v>
      </c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</row>
    <row r="35" spans="1:45">
      <c r="A35" s="48" t="s">
        <v>218</v>
      </c>
      <c r="B35" s="48" t="s">
        <v>73</v>
      </c>
      <c r="C35" s="48" t="s">
        <v>346</v>
      </c>
      <c r="D35" s="62"/>
      <c r="E35" s="62"/>
      <c r="F35" s="48" t="s">
        <v>134</v>
      </c>
      <c r="G35" s="50"/>
      <c r="H35" s="50"/>
      <c r="I35" s="51">
        <v>1237.2399999999998</v>
      </c>
      <c r="J35" s="50">
        <v>1762.7600000000002</v>
      </c>
      <c r="K35" s="51">
        <f t="shared" si="0"/>
        <v>3000</v>
      </c>
      <c r="L35" s="51">
        <f>2331.85+1500</f>
        <v>3831.85</v>
      </c>
      <c r="M35" s="52"/>
      <c r="N35" s="52"/>
      <c r="O35" s="53">
        <v>45.15</v>
      </c>
      <c r="P35" s="54">
        <f t="shared" si="1"/>
        <v>6786.7000000000007</v>
      </c>
      <c r="Q35" s="55"/>
      <c r="R35" s="56"/>
      <c r="S35" s="56"/>
      <c r="T35" s="56"/>
      <c r="U35" s="57"/>
      <c r="V35" s="48">
        <v>0</v>
      </c>
      <c r="W35" s="54">
        <f t="shared" si="2"/>
        <v>6786.7000000000007</v>
      </c>
      <c r="X35" s="58">
        <f t="shared" si="3"/>
        <v>678.67000000000007</v>
      </c>
      <c r="Y35" s="54">
        <f t="shared" si="4"/>
        <v>6108.0300000000007</v>
      </c>
      <c r="Z35" s="59">
        <f t="shared" si="5"/>
        <v>0</v>
      </c>
      <c r="AA35" s="58">
        <f t="shared" si="6"/>
        <v>24.744799999999998</v>
      </c>
      <c r="AB35" s="54">
        <f t="shared" si="7"/>
        <v>6811.4448000000011</v>
      </c>
      <c r="AC35" s="94"/>
      <c r="AD35" s="60">
        <f t="shared" si="8"/>
        <v>-6108.0300000000007</v>
      </c>
      <c r="AE35" s="94"/>
      <c r="AF35" s="94"/>
      <c r="AG35" s="60">
        <f t="shared" si="9"/>
        <v>0</v>
      </c>
      <c r="AH35" s="61">
        <v>2892941821</v>
      </c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</row>
    <row r="36" spans="1:45">
      <c r="A36" s="48" t="s">
        <v>199</v>
      </c>
      <c r="B36" s="48" t="s">
        <v>75</v>
      </c>
      <c r="C36" s="48" t="s">
        <v>235</v>
      </c>
      <c r="D36" s="62"/>
      <c r="E36" s="62"/>
      <c r="F36" s="48" t="s">
        <v>142</v>
      </c>
      <c r="G36" s="62"/>
      <c r="H36" s="62"/>
      <c r="I36" s="51">
        <v>1237.2399999999998</v>
      </c>
      <c r="J36" s="62">
        <v>2762.76</v>
      </c>
      <c r="K36" s="51">
        <f t="shared" si="0"/>
        <v>4000</v>
      </c>
      <c r="L36" s="51">
        <f>4850+3000</f>
        <v>7850</v>
      </c>
      <c r="M36" s="51"/>
      <c r="N36" s="51"/>
      <c r="O36" s="53">
        <v>45.15</v>
      </c>
      <c r="P36" s="54">
        <f t="shared" si="1"/>
        <v>11804.85</v>
      </c>
      <c r="Q36" s="55"/>
      <c r="R36" s="56"/>
      <c r="S36" s="56"/>
      <c r="T36" s="56"/>
      <c r="U36" s="57"/>
      <c r="V36" s="63">
        <v>1200.08</v>
      </c>
      <c r="W36" s="54">
        <f t="shared" si="2"/>
        <v>10604.77</v>
      </c>
      <c r="X36" s="58">
        <f t="shared" si="3"/>
        <v>1180.4850000000001</v>
      </c>
      <c r="Y36" s="54">
        <f t="shared" si="4"/>
        <v>9424.2849999999999</v>
      </c>
      <c r="Z36" s="59">
        <f t="shared" si="5"/>
        <v>0</v>
      </c>
      <c r="AA36" s="58">
        <f t="shared" si="6"/>
        <v>24.744799999999998</v>
      </c>
      <c r="AB36" s="54">
        <f t="shared" si="7"/>
        <v>11829.594800000001</v>
      </c>
      <c r="AC36" s="94"/>
      <c r="AD36" s="60">
        <f t="shared" si="8"/>
        <v>-9424.2849999999999</v>
      </c>
      <c r="AE36" s="94"/>
      <c r="AF36" s="94"/>
      <c r="AG36" s="60">
        <f t="shared" si="9"/>
        <v>0</v>
      </c>
      <c r="AH36" s="61">
        <v>2745564778</v>
      </c>
      <c r="AI36" s="47"/>
      <c r="AJ36" s="61"/>
      <c r="AK36" s="61"/>
      <c r="AL36" s="61"/>
      <c r="AM36" s="61"/>
      <c r="AN36" s="61"/>
      <c r="AO36" s="61"/>
      <c r="AP36" s="61"/>
      <c r="AQ36" s="61"/>
      <c r="AR36" s="61"/>
      <c r="AS36" s="61"/>
    </row>
    <row r="37" spans="1:45">
      <c r="A37" s="48" t="s">
        <v>207</v>
      </c>
      <c r="B37" s="48" t="s">
        <v>77</v>
      </c>
      <c r="C37" s="48" t="s">
        <v>236</v>
      </c>
      <c r="D37" s="49"/>
      <c r="E37" s="49"/>
      <c r="F37" s="48" t="s">
        <v>138</v>
      </c>
      <c r="G37" s="50"/>
      <c r="H37" s="50"/>
      <c r="I37" s="51">
        <v>1237.2399999999998</v>
      </c>
      <c r="J37" s="50">
        <f>2912.76+350</f>
        <v>3262.76</v>
      </c>
      <c r="K37" s="51">
        <f t="shared" si="0"/>
        <v>4500</v>
      </c>
      <c r="L37" s="51"/>
      <c r="M37" s="52"/>
      <c r="N37" s="52"/>
      <c r="O37" s="53">
        <v>45.15</v>
      </c>
      <c r="P37" s="54">
        <f t="shared" si="1"/>
        <v>4454.8500000000004</v>
      </c>
      <c r="Q37" s="55"/>
      <c r="R37" s="56"/>
      <c r="S37" s="56"/>
      <c r="T37" s="56"/>
      <c r="U37" s="57"/>
      <c r="V37" s="48">
        <v>887.44</v>
      </c>
      <c r="W37" s="54">
        <f t="shared" si="2"/>
        <v>3567.4100000000003</v>
      </c>
      <c r="X37" s="58">
        <f t="shared" si="3"/>
        <v>0</v>
      </c>
      <c r="Y37" s="54">
        <f t="shared" si="4"/>
        <v>3567.4100000000003</v>
      </c>
      <c r="Z37" s="59">
        <f t="shared" si="5"/>
        <v>445.48500000000007</v>
      </c>
      <c r="AA37" s="58">
        <f t="shared" si="6"/>
        <v>24.744799999999998</v>
      </c>
      <c r="AB37" s="54">
        <f t="shared" si="7"/>
        <v>4925.0798000000004</v>
      </c>
      <c r="AC37" s="94"/>
      <c r="AD37" s="60">
        <f t="shared" si="8"/>
        <v>-3567.4100000000003</v>
      </c>
      <c r="AE37" s="94"/>
      <c r="AF37" s="94"/>
      <c r="AG37" s="60">
        <f t="shared" si="9"/>
        <v>0</v>
      </c>
      <c r="AH37" s="61">
        <v>2760229598</v>
      </c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</row>
    <row r="38" spans="1:45">
      <c r="A38" s="48" t="s">
        <v>189</v>
      </c>
      <c r="B38" s="48" t="s">
        <v>79</v>
      </c>
      <c r="C38" s="48" t="s">
        <v>347</v>
      </c>
      <c r="D38" s="49"/>
      <c r="E38" s="49"/>
      <c r="F38" s="48" t="s">
        <v>237</v>
      </c>
      <c r="G38" s="62"/>
      <c r="H38" s="62"/>
      <c r="I38" s="51">
        <v>1237.2399999999998</v>
      </c>
      <c r="J38" s="62">
        <f>187.76+50</f>
        <v>237.76</v>
      </c>
      <c r="K38" s="51">
        <f t="shared" si="0"/>
        <v>1474.9999999999998</v>
      </c>
      <c r="L38" s="51">
        <v>1750</v>
      </c>
      <c r="M38" s="51"/>
      <c r="N38" s="51"/>
      <c r="O38" s="53">
        <v>45.15</v>
      </c>
      <c r="P38" s="54">
        <f t="shared" si="1"/>
        <v>3179.85</v>
      </c>
      <c r="Q38" s="55"/>
      <c r="R38" s="56"/>
      <c r="S38" s="56"/>
      <c r="T38" s="56"/>
      <c r="U38" s="57"/>
      <c r="V38" s="48">
        <v>0</v>
      </c>
      <c r="W38" s="54">
        <f t="shared" si="2"/>
        <v>3179.85</v>
      </c>
      <c r="X38" s="58">
        <f t="shared" si="3"/>
        <v>0</v>
      </c>
      <c r="Y38" s="54">
        <f t="shared" si="4"/>
        <v>3179.85</v>
      </c>
      <c r="Z38" s="59">
        <f t="shared" si="5"/>
        <v>317.98500000000001</v>
      </c>
      <c r="AA38" s="58">
        <f t="shared" si="6"/>
        <v>24.744799999999998</v>
      </c>
      <c r="AB38" s="54">
        <f t="shared" si="7"/>
        <v>3522.5798</v>
      </c>
      <c r="AC38" s="94"/>
      <c r="AD38" s="60">
        <f t="shared" si="8"/>
        <v>-3179.85</v>
      </c>
      <c r="AE38" s="94"/>
      <c r="AF38" s="94"/>
      <c r="AG38" s="60">
        <f t="shared" si="9"/>
        <v>0</v>
      </c>
      <c r="AH38" s="61">
        <v>1404990536</v>
      </c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</row>
    <row r="39" spans="1:45">
      <c r="A39" s="48" t="s">
        <v>207</v>
      </c>
      <c r="B39" s="48" t="s">
        <v>81</v>
      </c>
      <c r="C39" s="48" t="s">
        <v>238</v>
      </c>
      <c r="D39" s="49"/>
      <c r="E39" s="49"/>
      <c r="F39" s="48" t="s">
        <v>137</v>
      </c>
      <c r="G39" s="50"/>
      <c r="H39" s="50"/>
      <c r="I39" s="51">
        <v>1237.2399999999998</v>
      </c>
      <c r="J39" s="50">
        <v>1112.7600000000002</v>
      </c>
      <c r="K39" s="51">
        <f t="shared" si="0"/>
        <v>2350</v>
      </c>
      <c r="L39" s="51">
        <v>2268.67</v>
      </c>
      <c r="M39" s="52"/>
      <c r="N39" s="52"/>
      <c r="O39" s="53">
        <v>45.15</v>
      </c>
      <c r="P39" s="54">
        <f t="shared" si="1"/>
        <v>4573.5200000000004</v>
      </c>
      <c r="Q39" s="55"/>
      <c r="R39" s="56"/>
      <c r="S39" s="56"/>
      <c r="T39" s="56"/>
      <c r="U39" s="57"/>
      <c r="V39" s="48">
        <v>0</v>
      </c>
      <c r="W39" s="54">
        <f t="shared" si="2"/>
        <v>4573.5200000000004</v>
      </c>
      <c r="X39" s="58">
        <f t="shared" si="3"/>
        <v>457.35200000000009</v>
      </c>
      <c r="Y39" s="54">
        <f t="shared" si="4"/>
        <v>4116.1680000000006</v>
      </c>
      <c r="Z39" s="59">
        <f t="shared" si="5"/>
        <v>0</v>
      </c>
      <c r="AA39" s="58">
        <f t="shared" si="6"/>
        <v>24.744799999999998</v>
      </c>
      <c r="AB39" s="54">
        <f t="shared" si="7"/>
        <v>4598.2648000000008</v>
      </c>
      <c r="AC39" s="94"/>
      <c r="AD39" s="60">
        <f t="shared" si="8"/>
        <v>-4116.1680000000006</v>
      </c>
      <c r="AE39" s="94"/>
      <c r="AF39" s="94"/>
      <c r="AG39" s="60">
        <f t="shared" si="9"/>
        <v>0</v>
      </c>
      <c r="AH39" s="61">
        <v>2884661508</v>
      </c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</row>
    <row r="40" spans="1:45">
      <c r="A40" s="48" t="s">
        <v>218</v>
      </c>
      <c r="B40" s="48" t="s">
        <v>83</v>
      </c>
      <c r="C40" s="48" t="s">
        <v>239</v>
      </c>
      <c r="D40" s="49"/>
      <c r="E40" s="49"/>
      <c r="F40" s="48" t="s">
        <v>128</v>
      </c>
      <c r="G40" s="50" t="s">
        <v>195</v>
      </c>
      <c r="H40" s="62"/>
      <c r="I40" s="51">
        <v>1237.2399999999998</v>
      </c>
      <c r="J40" s="62">
        <f>1112.76+200</f>
        <v>1312.76</v>
      </c>
      <c r="K40" s="51">
        <f t="shared" si="0"/>
        <v>2550</v>
      </c>
      <c r="L40" s="51"/>
      <c r="M40" s="51"/>
      <c r="N40" s="51"/>
      <c r="O40" s="53">
        <v>45.15</v>
      </c>
      <c r="P40" s="54">
        <f t="shared" si="1"/>
        <v>2504.85</v>
      </c>
      <c r="Q40" s="55"/>
      <c r="R40" s="56"/>
      <c r="S40" s="56"/>
      <c r="T40" s="56"/>
      <c r="U40" s="57"/>
      <c r="V40" s="48">
        <v>0</v>
      </c>
      <c r="W40" s="54">
        <f t="shared" si="2"/>
        <v>2504.85</v>
      </c>
      <c r="X40" s="58">
        <f t="shared" si="3"/>
        <v>0</v>
      </c>
      <c r="Y40" s="54">
        <f t="shared" si="4"/>
        <v>2504.85</v>
      </c>
      <c r="Z40" s="59">
        <f t="shared" si="5"/>
        <v>250.48500000000001</v>
      </c>
      <c r="AA40" s="58">
        <f t="shared" si="6"/>
        <v>24.744799999999998</v>
      </c>
      <c r="AB40" s="54">
        <f t="shared" si="7"/>
        <v>2780.0798</v>
      </c>
      <c r="AC40" s="94"/>
      <c r="AD40" s="60">
        <f t="shared" si="8"/>
        <v>-2504.85</v>
      </c>
      <c r="AE40" s="94"/>
      <c r="AF40" s="94"/>
      <c r="AG40" s="60">
        <f t="shared" si="9"/>
        <v>0</v>
      </c>
      <c r="AH40" s="61">
        <v>2864339452</v>
      </c>
      <c r="AI40" s="47"/>
      <c r="AJ40" s="61"/>
      <c r="AK40" s="61"/>
      <c r="AL40" s="61"/>
      <c r="AM40" s="61"/>
      <c r="AN40" s="61"/>
      <c r="AO40" s="61"/>
      <c r="AP40" s="61"/>
      <c r="AQ40" s="61"/>
      <c r="AR40" s="61"/>
      <c r="AS40" s="61"/>
    </row>
    <row r="41" spans="1:45">
      <c r="A41" s="48" t="s">
        <v>210</v>
      </c>
      <c r="B41" s="48" t="s">
        <v>240</v>
      </c>
      <c r="C41" s="48" t="s">
        <v>241</v>
      </c>
      <c r="D41" s="49"/>
      <c r="E41" s="49"/>
      <c r="F41" s="48" t="s">
        <v>131</v>
      </c>
      <c r="G41" s="62"/>
      <c r="H41" s="62"/>
      <c r="I41" s="51">
        <v>1237.2399999999998</v>
      </c>
      <c r="J41" s="62">
        <v>1262.7600000000002</v>
      </c>
      <c r="K41" s="51">
        <f t="shared" si="0"/>
        <v>2500</v>
      </c>
      <c r="L41" s="51">
        <v>16663.28</v>
      </c>
      <c r="M41" s="51"/>
      <c r="N41" s="51"/>
      <c r="O41" s="53">
        <v>45.15</v>
      </c>
      <c r="P41" s="54">
        <f t="shared" si="1"/>
        <v>19118.129999999997</v>
      </c>
      <c r="Q41" s="55"/>
      <c r="R41" s="56"/>
      <c r="S41" s="56"/>
      <c r="T41" s="56"/>
      <c r="U41" s="57"/>
      <c r="V41" s="48">
        <v>0</v>
      </c>
      <c r="W41" s="54">
        <f t="shared" si="2"/>
        <v>19118.129999999997</v>
      </c>
      <c r="X41" s="58">
        <f t="shared" si="3"/>
        <v>1911.8129999999999</v>
      </c>
      <c r="Y41" s="54">
        <f t="shared" si="4"/>
        <v>17206.316999999999</v>
      </c>
      <c r="Z41" s="59">
        <f t="shared" si="5"/>
        <v>0</v>
      </c>
      <c r="AA41" s="58">
        <f t="shared" si="6"/>
        <v>24.744799999999998</v>
      </c>
      <c r="AB41" s="54">
        <f t="shared" si="7"/>
        <v>19142.874799999998</v>
      </c>
      <c r="AC41" s="94"/>
      <c r="AD41" s="60">
        <f t="shared" si="8"/>
        <v>-17206.316999999999</v>
      </c>
      <c r="AE41" s="94"/>
      <c r="AF41" s="94"/>
      <c r="AG41" s="60">
        <f t="shared" si="9"/>
        <v>0</v>
      </c>
      <c r="AH41" s="61">
        <v>2782513943</v>
      </c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</row>
    <row r="42" spans="1:45">
      <c r="A42" s="96" t="s">
        <v>218</v>
      </c>
      <c r="B42" s="96" t="s">
        <v>85</v>
      </c>
      <c r="C42" s="96" t="s">
        <v>242</v>
      </c>
      <c r="D42" s="98"/>
      <c r="E42" s="98"/>
      <c r="F42" s="96" t="s">
        <v>144</v>
      </c>
      <c r="G42" s="98" t="s">
        <v>195</v>
      </c>
      <c r="H42" s="98"/>
      <c r="I42" s="99"/>
      <c r="J42" s="98"/>
      <c r="K42" s="99">
        <f t="shared" si="0"/>
        <v>0</v>
      </c>
      <c r="L42" s="99"/>
      <c r="M42" s="99"/>
      <c r="N42" s="99"/>
      <c r="O42" s="99"/>
      <c r="P42" s="100">
        <f t="shared" si="1"/>
        <v>0</v>
      </c>
      <c r="Q42" s="99"/>
      <c r="R42" s="101"/>
      <c r="S42" s="101"/>
      <c r="T42" s="101"/>
      <c r="U42" s="102"/>
      <c r="V42" s="96">
        <v>0</v>
      </c>
      <c r="W42" s="100">
        <f t="shared" si="2"/>
        <v>0</v>
      </c>
      <c r="X42" s="101">
        <f t="shared" si="3"/>
        <v>0</v>
      </c>
      <c r="Y42" s="100">
        <f t="shared" si="4"/>
        <v>0</v>
      </c>
      <c r="Z42" s="101">
        <f t="shared" si="5"/>
        <v>0</v>
      </c>
      <c r="AA42" s="101">
        <f t="shared" si="6"/>
        <v>0</v>
      </c>
      <c r="AB42" s="100">
        <f t="shared" si="7"/>
        <v>0</v>
      </c>
      <c r="AC42" s="103"/>
      <c r="AD42" s="104">
        <f t="shared" si="8"/>
        <v>0</v>
      </c>
      <c r="AE42" s="103"/>
      <c r="AF42" s="103"/>
      <c r="AG42" s="104">
        <f t="shared" si="9"/>
        <v>0</v>
      </c>
      <c r="AH42" s="105">
        <v>2903180794</v>
      </c>
      <c r="AI42" s="105"/>
      <c r="AJ42" s="61"/>
      <c r="AK42" s="61"/>
      <c r="AL42" s="61"/>
      <c r="AM42" s="61"/>
      <c r="AN42" s="61"/>
      <c r="AO42" s="61"/>
      <c r="AP42" s="61"/>
      <c r="AQ42" s="61"/>
      <c r="AR42" s="61"/>
      <c r="AS42" s="61"/>
    </row>
    <row r="43" spans="1:45">
      <c r="A43" s="48" t="s">
        <v>192</v>
      </c>
      <c r="B43" s="48" t="s">
        <v>87</v>
      </c>
      <c r="C43" s="48" t="s">
        <v>243</v>
      </c>
      <c r="D43" s="49"/>
      <c r="E43" s="49"/>
      <c r="F43" s="48" t="s">
        <v>127</v>
      </c>
      <c r="G43" s="62" t="s">
        <v>244</v>
      </c>
      <c r="H43" s="62"/>
      <c r="I43" s="51">
        <v>1237.2399999999998</v>
      </c>
      <c r="J43" s="62">
        <f>1612.76+400</f>
        <v>2012.76</v>
      </c>
      <c r="K43" s="51">
        <f t="shared" si="0"/>
        <v>3250</v>
      </c>
      <c r="L43" s="51"/>
      <c r="M43" s="52"/>
      <c r="N43" s="52"/>
      <c r="O43" s="53">
        <v>45.15</v>
      </c>
      <c r="P43" s="54">
        <f t="shared" si="1"/>
        <v>3204.85</v>
      </c>
      <c r="Q43" s="55"/>
      <c r="R43" s="56"/>
      <c r="S43" s="56"/>
      <c r="T43" s="56"/>
      <c r="U43" s="57"/>
      <c r="V43" s="48">
        <v>0</v>
      </c>
      <c r="W43" s="54">
        <f t="shared" si="2"/>
        <v>3204.85</v>
      </c>
      <c r="X43" s="58">
        <f t="shared" si="3"/>
        <v>0</v>
      </c>
      <c r="Y43" s="54">
        <f t="shared" si="4"/>
        <v>3204.85</v>
      </c>
      <c r="Z43" s="59">
        <f t="shared" si="5"/>
        <v>320.48500000000001</v>
      </c>
      <c r="AA43" s="58">
        <f t="shared" si="6"/>
        <v>24.744799999999998</v>
      </c>
      <c r="AB43" s="54">
        <f t="shared" si="7"/>
        <v>3550.0798</v>
      </c>
      <c r="AC43" s="94"/>
      <c r="AD43" s="60">
        <f t="shared" si="8"/>
        <v>-3204.85</v>
      </c>
      <c r="AE43" s="94"/>
      <c r="AF43" s="94"/>
      <c r="AG43" s="60">
        <f t="shared" si="9"/>
        <v>0</v>
      </c>
      <c r="AH43" s="61">
        <v>2631133012</v>
      </c>
      <c r="AI43" s="47"/>
      <c r="AJ43" s="61"/>
      <c r="AK43" s="61"/>
      <c r="AL43" s="61"/>
      <c r="AM43" s="61"/>
      <c r="AN43" s="61"/>
      <c r="AO43" s="61"/>
      <c r="AP43" s="61"/>
      <c r="AQ43" s="61"/>
      <c r="AR43" s="61"/>
      <c r="AS43" s="61"/>
    </row>
    <row r="44" spans="1:45">
      <c r="A44" s="48" t="s">
        <v>218</v>
      </c>
      <c r="B44" s="48" t="s">
        <v>89</v>
      </c>
      <c r="C44" s="48" t="s">
        <v>245</v>
      </c>
      <c r="D44" s="62"/>
      <c r="E44" s="62"/>
      <c r="F44" s="48" t="s">
        <v>246</v>
      </c>
      <c r="G44" s="62" t="s">
        <v>195</v>
      </c>
      <c r="H44" s="50"/>
      <c r="I44" s="51">
        <v>1237.2399999999998</v>
      </c>
      <c r="J44" s="50">
        <v>1912.7600000000002</v>
      </c>
      <c r="K44" s="51">
        <f t="shared" si="0"/>
        <v>3150</v>
      </c>
      <c r="L44" s="51"/>
      <c r="M44" s="52"/>
      <c r="N44" s="52"/>
      <c r="O44" s="53">
        <v>45.15</v>
      </c>
      <c r="P44" s="54">
        <f t="shared" si="1"/>
        <v>3104.85</v>
      </c>
      <c r="Q44" s="55"/>
      <c r="R44" s="56"/>
      <c r="S44" s="56"/>
      <c r="T44" s="56"/>
      <c r="U44" s="57"/>
      <c r="V44" s="48">
        <v>0</v>
      </c>
      <c r="W44" s="54">
        <f t="shared" si="2"/>
        <v>3104.85</v>
      </c>
      <c r="X44" s="58">
        <f t="shared" si="3"/>
        <v>0</v>
      </c>
      <c r="Y44" s="54">
        <f t="shared" si="4"/>
        <v>3104.85</v>
      </c>
      <c r="Z44" s="59">
        <f t="shared" si="5"/>
        <v>310.48500000000001</v>
      </c>
      <c r="AA44" s="58">
        <f t="shared" si="6"/>
        <v>24.744799999999998</v>
      </c>
      <c r="AB44" s="54">
        <f t="shared" si="7"/>
        <v>3440.0798</v>
      </c>
      <c r="AC44" s="94"/>
      <c r="AD44" s="60">
        <f t="shared" si="8"/>
        <v>-3104.85</v>
      </c>
      <c r="AE44" s="94"/>
      <c r="AF44" s="94"/>
      <c r="AG44" s="60">
        <f t="shared" si="9"/>
        <v>0</v>
      </c>
      <c r="AH44" s="61">
        <v>2948414130</v>
      </c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</row>
    <row r="45" spans="1:45">
      <c r="A45" s="48" t="s">
        <v>207</v>
      </c>
      <c r="B45" s="48" t="s">
        <v>247</v>
      </c>
      <c r="C45" s="48" t="s">
        <v>248</v>
      </c>
      <c r="D45" s="49"/>
      <c r="E45" s="49"/>
      <c r="F45" s="48" t="s">
        <v>137</v>
      </c>
      <c r="G45" s="50"/>
      <c r="H45" s="50"/>
      <c r="I45" s="51">
        <v>1237.2399999999998</v>
      </c>
      <c r="J45" s="50">
        <v>2512.7600000000002</v>
      </c>
      <c r="K45" s="51">
        <f t="shared" si="0"/>
        <v>3750</v>
      </c>
      <c r="L45" s="51">
        <v>6813.74</v>
      </c>
      <c r="M45" s="52"/>
      <c r="N45" s="52"/>
      <c r="O45" s="53">
        <v>45.15</v>
      </c>
      <c r="P45" s="54">
        <f t="shared" si="1"/>
        <v>10518.59</v>
      </c>
      <c r="Q45" s="55"/>
      <c r="R45" s="56"/>
      <c r="S45" s="56"/>
      <c r="T45" s="56"/>
      <c r="U45" s="57"/>
      <c r="V45" s="48">
        <v>395.88</v>
      </c>
      <c r="W45" s="54">
        <f t="shared" si="2"/>
        <v>10122.710000000001</v>
      </c>
      <c r="X45" s="58">
        <f t="shared" si="3"/>
        <v>1051.8590000000002</v>
      </c>
      <c r="Y45" s="54">
        <f t="shared" si="4"/>
        <v>9070.8510000000006</v>
      </c>
      <c r="Z45" s="59">
        <f t="shared" si="5"/>
        <v>0</v>
      </c>
      <c r="AA45" s="58">
        <f t="shared" si="6"/>
        <v>24.744799999999998</v>
      </c>
      <c r="AB45" s="54">
        <f t="shared" si="7"/>
        <v>10543.334800000001</v>
      </c>
      <c r="AC45" s="94"/>
      <c r="AD45" s="60">
        <f t="shared" si="8"/>
        <v>-9070.8510000000006</v>
      </c>
      <c r="AE45" s="94"/>
      <c r="AF45" s="94"/>
      <c r="AG45" s="60">
        <f t="shared" si="9"/>
        <v>0</v>
      </c>
      <c r="AH45" s="61">
        <v>2934137264</v>
      </c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</row>
    <row r="46" spans="1:45">
      <c r="A46" s="48" t="s">
        <v>249</v>
      </c>
      <c r="B46" s="48" t="s">
        <v>250</v>
      </c>
      <c r="C46" s="48" t="s">
        <v>348</v>
      </c>
      <c r="D46" s="49"/>
      <c r="E46" s="49"/>
      <c r="F46" s="48" t="s">
        <v>251</v>
      </c>
      <c r="G46" s="62"/>
      <c r="H46" s="62"/>
      <c r="I46" s="51">
        <v>1237.2399999999998</v>
      </c>
      <c r="J46" s="62">
        <v>1262.7600000000002</v>
      </c>
      <c r="K46" s="51">
        <f t="shared" si="0"/>
        <v>2500</v>
      </c>
      <c r="L46" s="51">
        <v>13399.04</v>
      </c>
      <c r="M46" s="51"/>
      <c r="N46" s="51"/>
      <c r="O46" s="53">
        <v>45.15</v>
      </c>
      <c r="P46" s="54">
        <f t="shared" si="1"/>
        <v>15853.890000000001</v>
      </c>
      <c r="Q46" s="55"/>
      <c r="R46" s="56"/>
      <c r="S46" s="56"/>
      <c r="T46" s="56"/>
      <c r="U46" s="57"/>
      <c r="V46" s="48">
        <v>0</v>
      </c>
      <c r="W46" s="54">
        <f t="shared" si="2"/>
        <v>15853.890000000001</v>
      </c>
      <c r="X46" s="58">
        <f t="shared" si="3"/>
        <v>1585.3890000000001</v>
      </c>
      <c r="Y46" s="54">
        <f t="shared" si="4"/>
        <v>14268.501</v>
      </c>
      <c r="Z46" s="59">
        <f t="shared" si="5"/>
        <v>0</v>
      </c>
      <c r="AA46" s="58">
        <f t="shared" si="6"/>
        <v>24.744799999999998</v>
      </c>
      <c r="AB46" s="54">
        <f t="shared" si="7"/>
        <v>15878.634800000002</v>
      </c>
      <c r="AC46" s="94"/>
      <c r="AD46" s="60">
        <f t="shared" si="8"/>
        <v>-14268.501</v>
      </c>
      <c r="AE46" s="94"/>
      <c r="AF46" s="94"/>
      <c r="AG46" s="60">
        <f t="shared" si="9"/>
        <v>0</v>
      </c>
      <c r="AH46" s="61">
        <v>2912923548</v>
      </c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</row>
    <row r="47" spans="1:45">
      <c r="A47" s="48" t="s">
        <v>218</v>
      </c>
      <c r="B47" s="48" t="s">
        <v>95</v>
      </c>
      <c r="C47" s="48" t="s">
        <v>252</v>
      </c>
      <c r="D47" s="62"/>
      <c r="E47" s="62"/>
      <c r="F47" s="48" t="s">
        <v>253</v>
      </c>
      <c r="G47" s="50" t="s">
        <v>195</v>
      </c>
      <c r="H47" s="50"/>
      <c r="I47" s="51">
        <v>1237.2399999999998</v>
      </c>
      <c r="J47" s="50">
        <v>1762.7600000000002</v>
      </c>
      <c r="K47" s="51">
        <f t="shared" si="0"/>
        <v>3000</v>
      </c>
      <c r="L47" s="51"/>
      <c r="M47" s="52"/>
      <c r="N47" s="52"/>
      <c r="O47" s="53">
        <v>45.15</v>
      </c>
      <c r="P47" s="54">
        <f t="shared" si="1"/>
        <v>2954.85</v>
      </c>
      <c r="Q47" s="55"/>
      <c r="R47" s="56"/>
      <c r="S47" s="56"/>
      <c r="T47" s="56"/>
      <c r="U47" s="57"/>
      <c r="V47" s="48">
        <v>0</v>
      </c>
      <c r="W47" s="54">
        <f t="shared" si="2"/>
        <v>2954.85</v>
      </c>
      <c r="X47" s="58">
        <f t="shared" si="3"/>
        <v>0</v>
      </c>
      <c r="Y47" s="54">
        <f t="shared" si="4"/>
        <v>2954.85</v>
      </c>
      <c r="Z47" s="59">
        <f t="shared" si="5"/>
        <v>295.48500000000001</v>
      </c>
      <c r="AA47" s="58">
        <f t="shared" si="6"/>
        <v>24.744799999999998</v>
      </c>
      <c r="AB47" s="54">
        <f t="shared" si="7"/>
        <v>3275.0798</v>
      </c>
      <c r="AC47" s="94"/>
      <c r="AD47" s="60">
        <f t="shared" si="8"/>
        <v>-2954.85</v>
      </c>
      <c r="AE47" s="94"/>
      <c r="AF47" s="94"/>
      <c r="AG47" s="60">
        <f t="shared" si="9"/>
        <v>0</v>
      </c>
      <c r="AH47" s="61">
        <v>2985396239</v>
      </c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</row>
    <row r="48" spans="1:45">
      <c r="A48" s="48" t="s">
        <v>210</v>
      </c>
      <c r="B48" s="48" t="s">
        <v>97</v>
      </c>
      <c r="C48" s="48" t="s">
        <v>254</v>
      </c>
      <c r="D48" s="49"/>
      <c r="E48" s="49"/>
      <c r="F48" s="48" t="s">
        <v>129</v>
      </c>
      <c r="G48" s="62"/>
      <c r="H48" s="62"/>
      <c r="I48" s="51">
        <v>1237.2399999999998</v>
      </c>
      <c r="J48" s="62">
        <v>3262.76</v>
      </c>
      <c r="K48" s="51">
        <f t="shared" si="0"/>
        <v>4500</v>
      </c>
      <c r="L48" s="51">
        <v>2500</v>
      </c>
      <c r="M48" s="51"/>
      <c r="N48" s="51"/>
      <c r="O48" s="53">
        <v>45.15</v>
      </c>
      <c r="P48" s="54">
        <f t="shared" si="1"/>
        <v>6954.85</v>
      </c>
      <c r="Q48" s="55"/>
      <c r="R48" s="56"/>
      <c r="S48" s="56"/>
      <c r="T48" s="56"/>
      <c r="U48" s="57"/>
      <c r="V48" s="48">
        <v>0</v>
      </c>
      <c r="W48" s="54">
        <f t="shared" si="2"/>
        <v>6954.85</v>
      </c>
      <c r="X48" s="58">
        <f t="shared" si="3"/>
        <v>695.48500000000013</v>
      </c>
      <c r="Y48" s="54">
        <f t="shared" si="4"/>
        <v>6259.3649999999998</v>
      </c>
      <c r="Z48" s="59">
        <f t="shared" si="5"/>
        <v>0</v>
      </c>
      <c r="AA48" s="58">
        <f t="shared" si="6"/>
        <v>24.744799999999998</v>
      </c>
      <c r="AB48" s="54">
        <f t="shared" si="7"/>
        <v>6979.5948000000008</v>
      </c>
      <c r="AC48" s="94"/>
      <c r="AD48" s="60">
        <f t="shared" si="8"/>
        <v>-6259.3649999999998</v>
      </c>
      <c r="AE48" s="94"/>
      <c r="AF48" s="94"/>
      <c r="AG48" s="60">
        <f t="shared" si="9"/>
        <v>0</v>
      </c>
      <c r="AH48" s="61">
        <v>2893013472</v>
      </c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</row>
    <row r="49" spans="1:45">
      <c r="A49" s="48" t="s">
        <v>192</v>
      </c>
      <c r="B49" s="48" t="s">
        <v>99</v>
      </c>
      <c r="C49" s="48" t="s">
        <v>255</v>
      </c>
      <c r="D49" s="49"/>
      <c r="E49" s="49"/>
      <c r="F49" s="48" t="s">
        <v>256</v>
      </c>
      <c r="G49" s="62" t="s">
        <v>257</v>
      </c>
      <c r="H49" s="62"/>
      <c r="I49" s="51">
        <v>1237.2399999999998</v>
      </c>
      <c r="J49" s="62">
        <f>1612.76+150</f>
        <v>1762.76</v>
      </c>
      <c r="K49" s="51">
        <f t="shared" si="0"/>
        <v>3000</v>
      </c>
      <c r="L49" s="51"/>
      <c r="M49" s="51"/>
      <c r="N49" s="51"/>
      <c r="O49" s="53">
        <v>45.15</v>
      </c>
      <c r="P49" s="54">
        <f t="shared" si="1"/>
        <v>2954.85</v>
      </c>
      <c r="Q49" s="55"/>
      <c r="R49" s="56"/>
      <c r="S49" s="56"/>
      <c r="T49" s="56"/>
      <c r="U49" s="57"/>
      <c r="V49" s="48">
        <v>0</v>
      </c>
      <c r="W49" s="54">
        <f t="shared" si="2"/>
        <v>2954.85</v>
      </c>
      <c r="X49" s="58">
        <f t="shared" si="3"/>
        <v>0</v>
      </c>
      <c r="Y49" s="54">
        <f t="shared" si="4"/>
        <v>2954.85</v>
      </c>
      <c r="Z49" s="59">
        <f t="shared" si="5"/>
        <v>295.48500000000001</v>
      </c>
      <c r="AA49" s="58">
        <f t="shared" si="6"/>
        <v>24.744799999999998</v>
      </c>
      <c r="AB49" s="54">
        <f t="shared" si="7"/>
        <v>3275.0798</v>
      </c>
      <c r="AC49" s="94"/>
      <c r="AD49" s="60">
        <f t="shared" si="8"/>
        <v>-2954.85</v>
      </c>
      <c r="AE49" s="94"/>
      <c r="AF49" s="94"/>
      <c r="AG49" s="60">
        <f t="shared" si="9"/>
        <v>0</v>
      </c>
      <c r="AH49" s="61">
        <v>2836126510</v>
      </c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</row>
    <row r="50" spans="1:45">
      <c r="A50" s="48" t="s">
        <v>218</v>
      </c>
      <c r="B50" s="48" t="s">
        <v>101</v>
      </c>
      <c r="C50" s="48" t="s">
        <v>258</v>
      </c>
      <c r="D50" s="49"/>
      <c r="E50" s="49"/>
      <c r="F50" s="48" t="s">
        <v>204</v>
      </c>
      <c r="G50" s="62"/>
      <c r="H50" s="62"/>
      <c r="I50" s="51">
        <v>1237.2399999999998</v>
      </c>
      <c r="J50" s="62">
        <v>3262.76</v>
      </c>
      <c r="K50" s="51">
        <f t="shared" si="0"/>
        <v>4500</v>
      </c>
      <c r="L50" s="51">
        <v>3700</v>
      </c>
      <c r="M50" s="51"/>
      <c r="N50" s="51"/>
      <c r="O50" s="53">
        <v>45.15</v>
      </c>
      <c r="P50" s="54">
        <f t="shared" si="1"/>
        <v>8154.85</v>
      </c>
      <c r="Q50" s="55"/>
      <c r="R50" s="56"/>
      <c r="S50" s="56"/>
      <c r="T50" s="56"/>
      <c r="U50" s="57"/>
      <c r="V50" s="48">
        <v>0</v>
      </c>
      <c r="W50" s="54">
        <f t="shared" si="2"/>
        <v>8154.85</v>
      </c>
      <c r="X50" s="58">
        <f t="shared" si="3"/>
        <v>815.48500000000013</v>
      </c>
      <c r="Y50" s="54">
        <f t="shared" si="4"/>
        <v>7339.3649999999998</v>
      </c>
      <c r="Z50" s="59">
        <f t="shared" si="5"/>
        <v>0</v>
      </c>
      <c r="AA50" s="58">
        <f t="shared" si="6"/>
        <v>24.744799999999998</v>
      </c>
      <c r="AB50" s="54">
        <f t="shared" si="7"/>
        <v>8179.5948000000008</v>
      </c>
      <c r="AC50" s="94"/>
      <c r="AD50" s="60">
        <f t="shared" si="8"/>
        <v>-7339.3649999999998</v>
      </c>
      <c r="AE50" s="94"/>
      <c r="AF50" s="94"/>
      <c r="AG50" s="60">
        <f t="shared" si="9"/>
        <v>0</v>
      </c>
      <c r="AH50" s="61">
        <v>2894923057</v>
      </c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</row>
    <row r="51" spans="1:45">
      <c r="A51" s="48" t="s">
        <v>196</v>
      </c>
      <c r="B51" s="48" t="s">
        <v>349</v>
      </c>
      <c r="C51" s="48" t="s">
        <v>350</v>
      </c>
      <c r="D51" s="49"/>
      <c r="E51" s="49"/>
      <c r="F51" s="48" t="s">
        <v>351</v>
      </c>
      <c r="G51" s="62" t="s">
        <v>195</v>
      </c>
      <c r="H51" s="62"/>
      <c r="I51" s="51">
        <v>1237.2399999999998</v>
      </c>
      <c r="J51" s="62">
        <v>4762.76</v>
      </c>
      <c r="K51" s="51">
        <f>+I51+J51</f>
        <v>6000</v>
      </c>
      <c r="L51" s="51"/>
      <c r="M51" s="51"/>
      <c r="N51" s="51"/>
      <c r="O51" s="53">
        <v>45.15</v>
      </c>
      <c r="P51" s="54">
        <f t="shared" si="1"/>
        <v>5954.85</v>
      </c>
      <c r="Q51" s="55"/>
      <c r="R51" s="56"/>
      <c r="S51" s="56"/>
      <c r="T51" s="56"/>
      <c r="U51" s="57"/>
      <c r="V51" s="57">
        <v>1014.46</v>
      </c>
      <c r="W51" s="54">
        <f t="shared" si="2"/>
        <v>4940.3900000000003</v>
      </c>
      <c r="X51" s="58">
        <f>IF(P51&gt;4500,P51*0.1,0)</f>
        <v>595.48500000000001</v>
      </c>
      <c r="Y51" s="54">
        <f>+W51-X51</f>
        <v>4344.9050000000007</v>
      </c>
      <c r="Z51" s="59">
        <f>IF(P51&lt;4500,P51*0.1,0)</f>
        <v>0</v>
      </c>
      <c r="AA51" s="58">
        <f>I51*0.02</f>
        <v>24.744799999999998</v>
      </c>
      <c r="AB51" s="54">
        <f>+P51+Z51+AA51</f>
        <v>5979.5948000000008</v>
      </c>
      <c r="AC51" s="94"/>
      <c r="AD51" s="60">
        <f t="shared" si="8"/>
        <v>-4344.9050000000007</v>
      </c>
      <c r="AE51" s="94"/>
      <c r="AF51" s="94"/>
      <c r="AG51" s="60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</row>
    <row r="52" spans="1:45">
      <c r="A52" s="48" t="s">
        <v>192</v>
      </c>
      <c r="B52" s="48" t="s">
        <v>103</v>
      </c>
      <c r="C52" s="48" t="s">
        <v>259</v>
      </c>
      <c r="D52" s="49"/>
      <c r="E52" s="49"/>
      <c r="F52" s="48" t="s">
        <v>125</v>
      </c>
      <c r="G52" s="62" t="s">
        <v>195</v>
      </c>
      <c r="H52" s="62"/>
      <c r="I52" s="51">
        <v>1237.2399999999998</v>
      </c>
      <c r="J52" s="62">
        <v>2762.76</v>
      </c>
      <c r="K52" s="51">
        <f t="shared" si="0"/>
        <v>4000</v>
      </c>
      <c r="L52" s="51"/>
      <c r="M52" s="51"/>
      <c r="N52" s="51"/>
      <c r="O52" s="53">
        <v>45.15</v>
      </c>
      <c r="P52" s="54">
        <f t="shared" si="1"/>
        <v>3954.85</v>
      </c>
      <c r="Q52" s="55"/>
      <c r="R52" s="56"/>
      <c r="S52" s="56"/>
      <c r="T52" s="56"/>
      <c r="U52" s="57"/>
      <c r="V52" s="63">
        <v>1303.1099999999999</v>
      </c>
      <c r="W52" s="54">
        <f t="shared" si="2"/>
        <v>2651.74</v>
      </c>
      <c r="X52" s="58">
        <f t="shared" si="3"/>
        <v>0</v>
      </c>
      <c r="Y52" s="54">
        <f t="shared" si="4"/>
        <v>2651.74</v>
      </c>
      <c r="Z52" s="59">
        <f t="shared" si="5"/>
        <v>395.48500000000001</v>
      </c>
      <c r="AA52" s="58">
        <f t="shared" si="6"/>
        <v>24.744799999999998</v>
      </c>
      <c r="AB52" s="54">
        <f t="shared" si="7"/>
        <v>4375.0798000000004</v>
      </c>
      <c r="AC52" s="94"/>
      <c r="AD52" s="60">
        <f t="shared" si="8"/>
        <v>-2651.74</v>
      </c>
      <c r="AE52" s="94"/>
      <c r="AF52" s="94"/>
      <c r="AG52" s="60">
        <f t="shared" si="9"/>
        <v>0</v>
      </c>
      <c r="AH52" s="61">
        <v>2914530241</v>
      </c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</row>
    <row r="53" spans="1:45">
      <c r="A53" s="48" t="s">
        <v>218</v>
      </c>
      <c r="B53" s="48" t="s">
        <v>105</v>
      </c>
      <c r="C53" s="48" t="s">
        <v>260</v>
      </c>
      <c r="D53" s="49"/>
      <c r="E53" s="49"/>
      <c r="F53" s="48" t="s">
        <v>227</v>
      </c>
      <c r="G53" s="50"/>
      <c r="H53" s="50"/>
      <c r="I53" s="51">
        <v>1237.2399999999998</v>
      </c>
      <c r="J53" s="50">
        <v>2012.7600000000002</v>
      </c>
      <c r="K53" s="51">
        <f t="shared" si="0"/>
        <v>3250</v>
      </c>
      <c r="L53" s="51">
        <v>4171</v>
      </c>
      <c r="M53" s="52"/>
      <c r="N53" s="52"/>
      <c r="O53" s="53">
        <v>45.15</v>
      </c>
      <c r="P53" s="54">
        <f t="shared" si="1"/>
        <v>7375.85</v>
      </c>
      <c r="Q53" s="55"/>
      <c r="R53" s="56"/>
      <c r="S53" s="56"/>
      <c r="T53" s="56"/>
      <c r="U53" s="57"/>
      <c r="V53" s="63">
        <v>1041.05</v>
      </c>
      <c r="W53" s="54">
        <f t="shared" si="2"/>
        <v>6334.8</v>
      </c>
      <c r="X53" s="58">
        <f t="shared" si="3"/>
        <v>737.58500000000004</v>
      </c>
      <c r="Y53" s="54">
        <f t="shared" si="4"/>
        <v>5597.2150000000001</v>
      </c>
      <c r="Z53" s="59">
        <f t="shared" si="5"/>
        <v>0</v>
      </c>
      <c r="AA53" s="58">
        <f t="shared" si="6"/>
        <v>24.744799999999998</v>
      </c>
      <c r="AB53" s="54">
        <f t="shared" si="7"/>
        <v>7400.5948000000008</v>
      </c>
      <c r="AC53" s="94"/>
      <c r="AD53" s="60">
        <f t="shared" si="8"/>
        <v>-5597.2150000000001</v>
      </c>
      <c r="AE53" s="94"/>
      <c r="AF53" s="94"/>
      <c r="AG53" s="60">
        <f t="shared" si="9"/>
        <v>0</v>
      </c>
      <c r="AH53" s="61">
        <v>1413691810</v>
      </c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</row>
    <row r="54" spans="1:45">
      <c r="A54" s="48" t="s">
        <v>207</v>
      </c>
      <c r="B54" s="48" t="s">
        <v>261</v>
      </c>
      <c r="C54" s="48" t="s">
        <v>262</v>
      </c>
      <c r="D54" s="49"/>
      <c r="E54" s="49"/>
      <c r="F54" s="48" t="s">
        <v>139</v>
      </c>
      <c r="G54" s="50"/>
      <c r="H54" s="50"/>
      <c r="I54" s="51">
        <v>1237.2399999999998</v>
      </c>
      <c r="J54" s="50">
        <v>1262.7600000000002</v>
      </c>
      <c r="K54" s="51">
        <f t="shared" si="0"/>
        <v>2500</v>
      </c>
      <c r="L54" s="51">
        <f>920+500</f>
        <v>1420</v>
      </c>
      <c r="M54" s="52"/>
      <c r="N54" s="52"/>
      <c r="O54" s="53">
        <v>45.15</v>
      </c>
      <c r="P54" s="54">
        <f t="shared" si="1"/>
        <v>3874.85</v>
      </c>
      <c r="Q54" s="55"/>
      <c r="R54" s="56"/>
      <c r="S54" s="56"/>
      <c r="T54" s="56"/>
      <c r="U54" s="57"/>
      <c r="V54" s="48">
        <v>0</v>
      </c>
      <c r="W54" s="54">
        <f t="shared" si="2"/>
        <v>3874.85</v>
      </c>
      <c r="X54" s="58">
        <f t="shared" si="3"/>
        <v>0</v>
      </c>
      <c r="Y54" s="54">
        <f t="shared" si="4"/>
        <v>3874.85</v>
      </c>
      <c r="Z54" s="59">
        <f t="shared" si="5"/>
        <v>387.48500000000001</v>
      </c>
      <c r="AA54" s="58">
        <f t="shared" si="6"/>
        <v>24.744799999999998</v>
      </c>
      <c r="AB54" s="54">
        <f t="shared" si="7"/>
        <v>4287.0798000000004</v>
      </c>
      <c r="AC54" s="94"/>
      <c r="AD54" s="60">
        <f t="shared" si="8"/>
        <v>-3874.85</v>
      </c>
      <c r="AE54" s="94"/>
      <c r="AF54" s="94"/>
      <c r="AG54" s="60">
        <f t="shared" si="9"/>
        <v>0</v>
      </c>
      <c r="AH54" s="61">
        <v>2965106850</v>
      </c>
      <c r="AI54" s="61"/>
      <c r="AJ54" s="60"/>
      <c r="AK54" s="61"/>
      <c r="AL54" s="61"/>
      <c r="AM54" s="61"/>
      <c r="AN54" s="61"/>
      <c r="AO54" s="61"/>
      <c r="AP54" s="61"/>
      <c r="AQ54" s="61"/>
      <c r="AR54" s="61"/>
      <c r="AS54" s="61"/>
    </row>
    <row r="55" spans="1:45">
      <c r="A55" s="48" t="s">
        <v>189</v>
      </c>
      <c r="B55" s="48" t="s">
        <v>109</v>
      </c>
      <c r="C55" s="48" t="s">
        <v>352</v>
      </c>
      <c r="D55" s="49"/>
      <c r="E55" s="49"/>
      <c r="F55" s="48" t="s">
        <v>204</v>
      </c>
      <c r="G55" s="62"/>
      <c r="H55" s="62"/>
      <c r="I55" s="51">
        <v>1237.2399999999998</v>
      </c>
      <c r="J55" s="62">
        <v>2262.7600000000002</v>
      </c>
      <c r="K55" s="51">
        <f t="shared" si="0"/>
        <v>3500</v>
      </c>
      <c r="L55" s="51">
        <v>9500</v>
      </c>
      <c r="M55" s="51"/>
      <c r="N55" s="51"/>
      <c r="O55" s="53">
        <v>45.15</v>
      </c>
      <c r="P55" s="54">
        <f t="shared" si="1"/>
        <v>12954.85</v>
      </c>
      <c r="Q55" s="55"/>
      <c r="R55" s="56"/>
      <c r="S55" s="56"/>
      <c r="T55" s="56"/>
      <c r="U55" s="57"/>
      <c r="V55" s="48">
        <v>462.61</v>
      </c>
      <c r="W55" s="54">
        <f t="shared" si="2"/>
        <v>12492.24</v>
      </c>
      <c r="X55" s="58">
        <f t="shared" si="3"/>
        <v>1295.4850000000001</v>
      </c>
      <c r="Y55" s="54">
        <f t="shared" si="4"/>
        <v>11196.754999999999</v>
      </c>
      <c r="Z55" s="59">
        <f t="shared" si="5"/>
        <v>0</v>
      </c>
      <c r="AA55" s="58">
        <f t="shared" si="6"/>
        <v>24.744799999999998</v>
      </c>
      <c r="AB55" s="54">
        <f t="shared" si="7"/>
        <v>12979.594800000001</v>
      </c>
      <c r="AC55" s="94"/>
      <c r="AD55" s="60">
        <f t="shared" si="8"/>
        <v>-11196.754999999999</v>
      </c>
      <c r="AE55" s="94"/>
      <c r="AF55" s="94"/>
      <c r="AG55" s="60">
        <f t="shared" si="9"/>
        <v>0</v>
      </c>
      <c r="AH55" s="61">
        <v>2729733183</v>
      </c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</row>
    <row r="56" spans="1:45">
      <c r="A56" s="48" t="s">
        <v>218</v>
      </c>
      <c r="B56" s="48" t="s">
        <v>263</v>
      </c>
      <c r="C56" s="48" t="s">
        <v>264</v>
      </c>
      <c r="D56" s="62"/>
      <c r="E56" s="62"/>
      <c r="F56" s="48" t="s">
        <v>265</v>
      </c>
      <c r="G56" s="62" t="s">
        <v>195</v>
      </c>
      <c r="H56" s="62"/>
      <c r="I56" s="51">
        <v>1237.2399999999998</v>
      </c>
      <c r="J56" s="62">
        <v>1562.7600000000002</v>
      </c>
      <c r="K56" s="51">
        <f t="shared" si="0"/>
        <v>2800</v>
      </c>
      <c r="L56" s="51"/>
      <c r="M56" s="51"/>
      <c r="N56" s="51"/>
      <c r="O56" s="53">
        <v>45.15</v>
      </c>
      <c r="P56" s="54">
        <f t="shared" si="1"/>
        <v>2754.85</v>
      </c>
      <c r="Q56" s="55"/>
      <c r="R56" s="56"/>
      <c r="S56" s="56"/>
      <c r="T56" s="56"/>
      <c r="U56" s="57"/>
      <c r="V56" s="48">
        <v>0</v>
      </c>
      <c r="W56" s="54">
        <f t="shared" si="2"/>
        <v>2754.85</v>
      </c>
      <c r="X56" s="58">
        <f t="shared" si="3"/>
        <v>0</v>
      </c>
      <c r="Y56" s="54">
        <f t="shared" si="4"/>
        <v>2754.85</v>
      </c>
      <c r="Z56" s="59">
        <f t="shared" si="5"/>
        <v>275.48500000000001</v>
      </c>
      <c r="AA56" s="58">
        <f t="shared" si="6"/>
        <v>24.744799999999998</v>
      </c>
      <c r="AB56" s="54">
        <f t="shared" si="7"/>
        <v>3055.0798</v>
      </c>
      <c r="AC56" s="94"/>
      <c r="AD56" s="60">
        <f t="shared" si="8"/>
        <v>-2754.85</v>
      </c>
      <c r="AE56" s="94"/>
      <c r="AF56" s="94"/>
      <c r="AG56" s="60">
        <f t="shared" si="9"/>
        <v>0</v>
      </c>
      <c r="AH56" s="61">
        <v>2929389652</v>
      </c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</row>
    <row r="57" spans="1:45">
      <c r="A57" s="48" t="s">
        <v>207</v>
      </c>
      <c r="B57" s="48" t="s">
        <v>113</v>
      </c>
      <c r="C57" s="48" t="s">
        <v>266</v>
      </c>
      <c r="D57" s="49"/>
      <c r="E57" s="49"/>
      <c r="F57" s="48" t="s">
        <v>140</v>
      </c>
      <c r="G57" s="62" t="s">
        <v>195</v>
      </c>
      <c r="H57" s="62"/>
      <c r="I57" s="51">
        <v>1237.2399999999998</v>
      </c>
      <c r="J57" s="62">
        <v>5262.76</v>
      </c>
      <c r="K57" s="51">
        <f t="shared" si="0"/>
        <v>6500</v>
      </c>
      <c r="L57" s="51">
        <v>1000</v>
      </c>
      <c r="M57" s="51"/>
      <c r="N57" s="51"/>
      <c r="O57" s="53">
        <v>45.15</v>
      </c>
      <c r="P57" s="54">
        <f t="shared" si="1"/>
        <v>7454.85</v>
      </c>
      <c r="Q57" s="55"/>
      <c r="R57" s="56"/>
      <c r="S57" s="56"/>
      <c r="T57" s="56"/>
      <c r="U57" s="57"/>
      <c r="V57" s="48">
        <v>0</v>
      </c>
      <c r="W57" s="54">
        <f t="shared" si="2"/>
        <v>7454.85</v>
      </c>
      <c r="X57" s="58">
        <f t="shared" si="3"/>
        <v>745.48500000000013</v>
      </c>
      <c r="Y57" s="54">
        <f t="shared" si="4"/>
        <v>6709.3649999999998</v>
      </c>
      <c r="Z57" s="59">
        <f t="shared" si="5"/>
        <v>0</v>
      </c>
      <c r="AA57" s="58">
        <f t="shared" si="6"/>
        <v>24.744799999999998</v>
      </c>
      <c r="AB57" s="54">
        <f t="shared" si="7"/>
        <v>7479.5948000000008</v>
      </c>
      <c r="AC57" s="94"/>
      <c r="AD57" s="60">
        <f t="shared" si="8"/>
        <v>-6709.3649999999998</v>
      </c>
      <c r="AE57" s="94"/>
      <c r="AF57" s="94"/>
      <c r="AG57" s="60">
        <f t="shared" si="9"/>
        <v>0</v>
      </c>
      <c r="AH57" s="61" t="s">
        <v>267</v>
      </c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</row>
    <row r="58" spans="1:45">
      <c r="A58" s="48" t="s">
        <v>192</v>
      </c>
      <c r="B58" s="48" t="s">
        <v>115</v>
      </c>
      <c r="C58" s="48" t="s">
        <v>268</v>
      </c>
      <c r="D58" s="49"/>
      <c r="E58" s="49"/>
      <c r="F58" s="48" t="s">
        <v>269</v>
      </c>
      <c r="G58" s="50"/>
      <c r="H58" s="50"/>
      <c r="I58" s="51">
        <v>1237.2399999999998</v>
      </c>
      <c r="J58" s="50">
        <v>1762.7600000000002</v>
      </c>
      <c r="K58" s="51">
        <f t="shared" si="0"/>
        <v>3000</v>
      </c>
      <c r="L58" s="51"/>
      <c r="M58" s="52"/>
      <c r="N58" s="52"/>
      <c r="O58" s="53">
        <v>45.15</v>
      </c>
      <c r="P58" s="54">
        <f t="shared" si="1"/>
        <v>2954.85</v>
      </c>
      <c r="Q58" s="55"/>
      <c r="R58" s="56"/>
      <c r="S58" s="56"/>
      <c r="T58" s="56"/>
      <c r="U58" s="57"/>
      <c r="V58" s="48">
        <v>0</v>
      </c>
      <c r="W58" s="54">
        <f t="shared" si="2"/>
        <v>2954.85</v>
      </c>
      <c r="X58" s="58">
        <f t="shared" si="3"/>
        <v>0</v>
      </c>
      <c r="Y58" s="54">
        <f t="shared" si="4"/>
        <v>2954.85</v>
      </c>
      <c r="Z58" s="59">
        <f t="shared" si="5"/>
        <v>295.48500000000001</v>
      </c>
      <c r="AA58" s="58">
        <f t="shared" si="6"/>
        <v>24.744799999999998</v>
      </c>
      <c r="AB58" s="54">
        <f t="shared" si="7"/>
        <v>3275.0798</v>
      </c>
      <c r="AC58" s="94"/>
      <c r="AD58" s="60">
        <f t="shared" si="8"/>
        <v>-2954.85</v>
      </c>
      <c r="AE58" s="94"/>
      <c r="AF58" s="94"/>
      <c r="AG58" s="60">
        <f t="shared" si="9"/>
        <v>0</v>
      </c>
      <c r="AH58" s="61">
        <v>1405570565</v>
      </c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</row>
    <row r="59" spans="1:45">
      <c r="A59" s="48" t="s">
        <v>196</v>
      </c>
      <c r="B59" s="48" t="s">
        <v>117</v>
      </c>
      <c r="C59" s="48" t="s">
        <v>270</v>
      </c>
      <c r="D59" s="49"/>
      <c r="E59" s="49"/>
      <c r="F59" s="48" t="s">
        <v>271</v>
      </c>
      <c r="G59" s="62" t="s">
        <v>195</v>
      </c>
      <c r="H59" s="62"/>
      <c r="I59" s="51">
        <v>1237.2399999999998</v>
      </c>
      <c r="J59" s="62">
        <v>2762.76</v>
      </c>
      <c r="K59" s="51">
        <f t="shared" si="0"/>
        <v>4000</v>
      </c>
      <c r="L59" s="51"/>
      <c r="M59" s="51"/>
      <c r="N59" s="51"/>
      <c r="O59" s="53">
        <v>45.15</v>
      </c>
      <c r="P59" s="54">
        <f t="shared" si="1"/>
        <v>3954.85</v>
      </c>
      <c r="Q59" s="55"/>
      <c r="R59" s="56"/>
      <c r="S59" s="56"/>
      <c r="T59" s="56"/>
      <c r="U59" s="57"/>
      <c r="V59" s="63">
        <v>1309.77</v>
      </c>
      <c r="W59" s="54">
        <f t="shared" si="2"/>
        <v>2645.08</v>
      </c>
      <c r="X59" s="58">
        <f t="shared" si="3"/>
        <v>0</v>
      </c>
      <c r="Y59" s="54">
        <f t="shared" si="4"/>
        <v>2645.08</v>
      </c>
      <c r="Z59" s="59">
        <f t="shared" si="5"/>
        <v>395.48500000000001</v>
      </c>
      <c r="AA59" s="58">
        <f t="shared" si="6"/>
        <v>24.744799999999998</v>
      </c>
      <c r="AB59" s="54">
        <f t="shared" si="7"/>
        <v>4375.0798000000004</v>
      </c>
      <c r="AC59" s="94"/>
      <c r="AD59" s="60">
        <f t="shared" si="8"/>
        <v>-2645.08</v>
      </c>
      <c r="AE59" s="94"/>
      <c r="AF59" s="94"/>
      <c r="AG59" s="60">
        <f t="shared" si="9"/>
        <v>0</v>
      </c>
      <c r="AH59" s="61">
        <v>2937082010</v>
      </c>
      <c r="AI59" s="47"/>
      <c r="AJ59" s="61"/>
      <c r="AK59" s="61"/>
      <c r="AL59" s="61"/>
      <c r="AM59" s="61"/>
      <c r="AN59" s="61"/>
      <c r="AO59" s="61"/>
      <c r="AP59" s="61"/>
      <c r="AQ59" s="61"/>
      <c r="AR59" s="61"/>
      <c r="AS59" s="61"/>
    </row>
    <row r="60" spans="1:45">
      <c r="A60" s="48" t="s">
        <v>192</v>
      </c>
      <c r="B60" s="48" t="s">
        <v>272</v>
      </c>
      <c r="C60" s="48" t="s">
        <v>273</v>
      </c>
      <c r="D60" s="49"/>
      <c r="E60" s="49"/>
      <c r="F60" s="48" t="s">
        <v>274</v>
      </c>
      <c r="G60" s="62" t="s">
        <v>195</v>
      </c>
      <c r="H60" s="62"/>
      <c r="I60" s="51">
        <v>1237.2399999999998</v>
      </c>
      <c r="J60" s="62">
        <f>3762.76+500+56</f>
        <v>4318.76</v>
      </c>
      <c r="K60" s="51">
        <f t="shared" si="0"/>
        <v>5556</v>
      </c>
      <c r="L60" s="51"/>
      <c r="M60" s="51"/>
      <c r="N60" s="51"/>
      <c r="O60" s="53">
        <v>45.15</v>
      </c>
      <c r="P60" s="54">
        <f t="shared" si="1"/>
        <v>5510.85</v>
      </c>
      <c r="Q60" s="55"/>
      <c r="R60" s="56"/>
      <c r="S60" s="56"/>
      <c r="T60" s="56"/>
      <c r="U60" s="57"/>
      <c r="V60" s="48">
        <v>0</v>
      </c>
      <c r="W60" s="54">
        <f t="shared" si="2"/>
        <v>5510.85</v>
      </c>
      <c r="X60" s="58">
        <f t="shared" si="3"/>
        <v>551.08500000000004</v>
      </c>
      <c r="Y60" s="54">
        <f t="shared" si="4"/>
        <v>4959.7650000000003</v>
      </c>
      <c r="Z60" s="59">
        <f t="shared" si="5"/>
        <v>0</v>
      </c>
      <c r="AA60" s="58">
        <f t="shared" si="6"/>
        <v>24.744799999999998</v>
      </c>
      <c r="AB60" s="54">
        <f t="shared" si="7"/>
        <v>5535.5948000000008</v>
      </c>
      <c r="AC60" s="94"/>
      <c r="AD60" s="60">
        <f t="shared" si="8"/>
        <v>-4959.7650000000003</v>
      </c>
      <c r="AE60" s="94"/>
      <c r="AF60" s="94"/>
      <c r="AG60" s="60">
        <f t="shared" si="9"/>
        <v>0</v>
      </c>
      <c r="AH60" s="61">
        <v>2952243423</v>
      </c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</row>
    <row r="61" spans="1:45">
      <c r="A61" s="48" t="s">
        <v>199</v>
      </c>
      <c r="B61" s="48" t="s">
        <v>119</v>
      </c>
      <c r="C61" s="48" t="s">
        <v>275</v>
      </c>
      <c r="D61" s="62"/>
      <c r="E61" s="62"/>
      <c r="F61" s="48" t="s">
        <v>143</v>
      </c>
      <c r="G61" s="62"/>
      <c r="H61" s="62"/>
      <c r="I61" s="51">
        <v>1237.2399999999998</v>
      </c>
      <c r="J61" s="62">
        <v>1887.7600000000002</v>
      </c>
      <c r="K61" s="51">
        <f t="shared" si="0"/>
        <v>3125</v>
      </c>
      <c r="L61" s="51">
        <v>4000</v>
      </c>
      <c r="M61" s="51"/>
      <c r="N61" s="51"/>
      <c r="O61" s="53">
        <v>45.15</v>
      </c>
      <c r="P61" s="54">
        <f t="shared" si="1"/>
        <v>7079.85</v>
      </c>
      <c r="Q61" s="55"/>
      <c r="R61" s="56"/>
      <c r="S61" s="56"/>
      <c r="T61" s="56"/>
      <c r="U61" s="57"/>
      <c r="V61" s="48">
        <v>288.38</v>
      </c>
      <c r="W61" s="54">
        <f t="shared" si="2"/>
        <v>6791.47</v>
      </c>
      <c r="X61" s="58">
        <f t="shared" si="3"/>
        <v>707.98500000000013</v>
      </c>
      <c r="Y61" s="54">
        <f t="shared" si="4"/>
        <v>6083.4850000000006</v>
      </c>
      <c r="Z61" s="59">
        <f t="shared" si="5"/>
        <v>0</v>
      </c>
      <c r="AA61" s="58">
        <f t="shared" si="6"/>
        <v>24.744799999999998</v>
      </c>
      <c r="AB61" s="54">
        <f t="shared" si="7"/>
        <v>7104.5948000000008</v>
      </c>
      <c r="AC61" s="94"/>
      <c r="AD61" s="60">
        <f t="shared" si="8"/>
        <v>-6083.4850000000006</v>
      </c>
      <c r="AE61" s="94"/>
      <c r="AF61" s="94"/>
      <c r="AG61" s="60">
        <f t="shared" si="9"/>
        <v>0</v>
      </c>
      <c r="AH61" s="61">
        <v>1435597188</v>
      </c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</row>
    <row r="62" spans="1:45">
      <c r="A62" s="48" t="s">
        <v>192</v>
      </c>
      <c r="B62" s="48" t="s">
        <v>121</v>
      </c>
      <c r="C62" s="48" t="s">
        <v>276</v>
      </c>
      <c r="D62" s="49"/>
      <c r="E62" s="49"/>
      <c r="F62" s="48" t="s">
        <v>277</v>
      </c>
      <c r="G62" s="62"/>
      <c r="H62" s="62"/>
      <c r="I62" s="51">
        <v>1237.2399999999998</v>
      </c>
      <c r="J62" s="62">
        <v>18762.760000000002</v>
      </c>
      <c r="K62" s="51">
        <f t="shared" si="0"/>
        <v>20000</v>
      </c>
      <c r="L62" s="51">
        <f>52526.29+20000</f>
        <v>72526.290000000008</v>
      </c>
      <c r="M62" s="51"/>
      <c r="N62" s="51"/>
      <c r="O62" s="53">
        <v>45.15</v>
      </c>
      <c r="P62" s="54">
        <f t="shared" si="1"/>
        <v>92481.140000000014</v>
      </c>
      <c r="Q62" s="55"/>
      <c r="R62" s="56">
        <v>3000</v>
      </c>
      <c r="S62" s="56"/>
      <c r="T62" s="56"/>
      <c r="U62" s="48">
        <v>491.57</v>
      </c>
      <c r="V62" s="48">
        <v>92.96</v>
      </c>
      <c r="W62" s="54">
        <f t="shared" si="2"/>
        <v>88896.610000000015</v>
      </c>
      <c r="X62" s="58">
        <f t="shared" si="3"/>
        <v>9248.1140000000014</v>
      </c>
      <c r="Y62" s="54">
        <f t="shared" si="4"/>
        <v>79648.496000000014</v>
      </c>
      <c r="Z62" s="59">
        <f t="shared" si="5"/>
        <v>0</v>
      </c>
      <c r="AA62" s="58">
        <f t="shared" si="6"/>
        <v>24.744799999999998</v>
      </c>
      <c r="AB62" s="54">
        <f t="shared" si="7"/>
        <v>92505.884800000014</v>
      </c>
      <c r="AC62" s="94"/>
      <c r="AD62" s="60">
        <f t="shared" si="8"/>
        <v>-79648.496000000014</v>
      </c>
      <c r="AE62" s="94"/>
      <c r="AF62" s="94"/>
      <c r="AG62" s="60">
        <f t="shared" si="9"/>
        <v>0</v>
      </c>
      <c r="AH62" s="61">
        <v>1110345261</v>
      </c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</row>
    <row r="63" spans="1:45">
      <c r="A63" s="62"/>
      <c r="B63" s="62"/>
      <c r="C63" s="62"/>
      <c r="D63" s="62"/>
      <c r="E63" s="62"/>
      <c r="F63" s="62"/>
      <c r="G63" s="50"/>
      <c r="H63" s="50"/>
      <c r="I63" s="51"/>
      <c r="J63" s="50"/>
      <c r="K63" s="51"/>
      <c r="L63" s="51"/>
      <c r="M63" s="52"/>
      <c r="N63" s="52"/>
      <c r="O63" s="53"/>
      <c r="P63" s="54">
        <f t="shared" si="1"/>
        <v>0</v>
      </c>
      <c r="Q63" s="55"/>
      <c r="R63" s="56"/>
      <c r="S63" s="56"/>
      <c r="T63" s="56"/>
      <c r="U63" s="57"/>
      <c r="V63" s="57"/>
      <c r="W63" s="54">
        <f t="shared" si="2"/>
        <v>0</v>
      </c>
      <c r="X63" s="58">
        <f t="shared" si="3"/>
        <v>0</v>
      </c>
      <c r="Y63" s="54">
        <f t="shared" si="4"/>
        <v>0</v>
      </c>
      <c r="Z63" s="59">
        <f t="shared" si="5"/>
        <v>0</v>
      </c>
      <c r="AA63" s="58">
        <f t="shared" si="6"/>
        <v>0</v>
      </c>
      <c r="AB63" s="54">
        <f t="shared" si="7"/>
        <v>0</v>
      </c>
      <c r="AC63" s="61"/>
      <c r="AD63" s="60">
        <f t="shared" si="8"/>
        <v>0</v>
      </c>
      <c r="AE63" s="94"/>
      <c r="AF63" s="94"/>
      <c r="AG63" s="60">
        <f t="shared" si="9"/>
        <v>0</v>
      </c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</row>
    <row r="64" spans="1:45">
      <c r="A64" s="62"/>
      <c r="B64" s="62"/>
      <c r="C64" s="62"/>
      <c r="D64" s="62"/>
      <c r="E64" s="62"/>
      <c r="F64" s="62"/>
      <c r="G64" s="50"/>
      <c r="H64" s="50"/>
      <c r="I64" s="51"/>
      <c r="J64" s="50"/>
      <c r="K64" s="51"/>
      <c r="L64" s="51"/>
      <c r="M64" s="52"/>
      <c r="N64" s="52"/>
      <c r="O64" s="53"/>
      <c r="P64" s="54"/>
      <c r="Q64" s="55"/>
      <c r="R64" s="56"/>
      <c r="S64" s="56"/>
      <c r="T64" s="56"/>
      <c r="U64" s="57"/>
      <c r="V64" s="57"/>
      <c r="W64" s="54"/>
      <c r="X64" s="58"/>
      <c r="Y64" s="54"/>
      <c r="Z64" s="59"/>
      <c r="AA64" s="58"/>
      <c r="AB64" s="54"/>
      <c r="AC64" s="61"/>
      <c r="AD64" s="61"/>
      <c r="AE64" s="94"/>
      <c r="AF64" s="94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</row>
    <row r="65" spans="1:45">
      <c r="A65" s="65"/>
      <c r="B65" s="65"/>
      <c r="C65" s="62"/>
      <c r="D65" s="50"/>
      <c r="E65" s="50"/>
      <c r="F65" s="62"/>
      <c r="G65" s="62"/>
      <c r="H65" s="62"/>
      <c r="I65" s="62"/>
      <c r="J65" s="62"/>
      <c r="K65" s="51"/>
      <c r="L65" s="51"/>
      <c r="M65" s="51"/>
      <c r="N65" s="51"/>
      <c r="O65" s="53"/>
      <c r="P65" s="54">
        <f>SUM(K65:N65)-O65</f>
        <v>0</v>
      </c>
      <c r="Q65" s="55"/>
      <c r="R65" s="56"/>
      <c r="S65" s="56"/>
      <c r="T65" s="56"/>
      <c r="U65" s="58"/>
      <c r="V65" s="58"/>
      <c r="W65" s="54">
        <f>+P65-SUM(Q65:V65)</f>
        <v>0</v>
      </c>
      <c r="X65" s="58">
        <f>IF(P65&gt;4500,P65*0.1,0)</f>
        <v>0</v>
      </c>
      <c r="Y65" s="54">
        <f>+W65-X65</f>
        <v>0</v>
      </c>
      <c r="Z65" s="59">
        <f>IF(P65&lt;4500,P65*0.1,0)</f>
        <v>0</v>
      </c>
      <c r="AA65" s="58"/>
      <c r="AB65" s="54">
        <f>+P65+Z65+AA65</f>
        <v>0</v>
      </c>
      <c r="AC65" s="61"/>
      <c r="AD65" s="61"/>
      <c r="AE65" s="94"/>
      <c r="AF65" s="94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</row>
    <row r="66" spans="1:45">
      <c r="A66" s="65"/>
      <c r="B66" s="66"/>
      <c r="C66" s="67"/>
      <c r="D66" s="67"/>
      <c r="E66" s="67"/>
      <c r="F66" s="67"/>
      <c r="G66" s="67"/>
      <c r="H66" s="67"/>
      <c r="I66" s="67"/>
      <c r="J66" s="67"/>
      <c r="K66" s="68"/>
      <c r="L66" s="68"/>
      <c r="M66" s="68"/>
      <c r="N66" s="68"/>
      <c r="O66" s="68"/>
      <c r="P66" s="69"/>
      <c r="Q66" s="68"/>
      <c r="R66" s="68"/>
      <c r="S66" s="58"/>
      <c r="T66" s="58"/>
      <c r="U66" s="58"/>
      <c r="V66" s="58"/>
      <c r="W66" s="70"/>
      <c r="X66" s="58"/>
      <c r="Y66" s="69"/>
      <c r="Z66" s="58"/>
      <c r="AA66" s="58"/>
      <c r="AB66" s="69"/>
      <c r="AC66" s="61"/>
      <c r="AD66" s="61"/>
      <c r="AE66" s="94"/>
      <c r="AF66" s="94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</row>
    <row r="67" spans="1:45" ht="16.5" thickBot="1">
      <c r="C67" s="108" t="s">
        <v>353</v>
      </c>
      <c r="D67" s="108"/>
      <c r="E67" s="108"/>
      <c r="F67" s="108"/>
      <c r="G67" s="108"/>
      <c r="H67" s="108"/>
      <c r="I67" s="108"/>
      <c r="J67" s="108"/>
      <c r="K67" s="109">
        <f t="shared" ref="K67:AB67" si="10">SUM(K7:K58)</f>
        <v>168355.5</v>
      </c>
      <c r="L67" s="109">
        <f t="shared" si="10"/>
        <v>221081.11</v>
      </c>
      <c r="M67" s="109">
        <f t="shared" si="10"/>
        <v>0</v>
      </c>
      <c r="N67" s="109">
        <f t="shared" si="10"/>
        <v>0</v>
      </c>
      <c r="O67" s="109">
        <f t="shared" si="10"/>
        <v>2212.3500000000017</v>
      </c>
      <c r="P67" s="109">
        <f t="shared" si="10"/>
        <v>387224.25999999978</v>
      </c>
      <c r="Q67" s="109">
        <f t="shared" si="10"/>
        <v>0</v>
      </c>
      <c r="R67" s="109"/>
      <c r="S67" s="109">
        <f t="shared" si="10"/>
        <v>0</v>
      </c>
      <c r="T67" s="109">
        <f t="shared" si="10"/>
        <v>0</v>
      </c>
      <c r="U67" s="109">
        <f t="shared" si="10"/>
        <v>1228.97</v>
      </c>
      <c r="V67" s="109">
        <f t="shared" si="10"/>
        <v>12937.09</v>
      </c>
      <c r="W67" s="109">
        <f t="shared" si="10"/>
        <v>372558.19999999978</v>
      </c>
      <c r="X67" s="109">
        <f t="shared" si="10"/>
        <v>31300.806</v>
      </c>
      <c r="Y67" s="109">
        <f t="shared" si="10"/>
        <v>341257.39399999997</v>
      </c>
      <c r="Z67" s="109">
        <f t="shared" si="10"/>
        <v>7421.6199999999972</v>
      </c>
      <c r="AA67" s="109">
        <f t="shared" si="10"/>
        <v>1212.4951999999982</v>
      </c>
      <c r="AB67" s="109">
        <f t="shared" si="10"/>
        <v>395858.37520000018</v>
      </c>
    </row>
    <row r="68" spans="1:45" ht="16.5" thickTop="1"/>
    <row r="69" spans="1:45">
      <c r="A69" s="404" t="s">
        <v>354</v>
      </c>
      <c r="B69" s="404"/>
      <c r="C69" s="404"/>
    </row>
    <row r="70" spans="1:45">
      <c r="A70" s="65"/>
      <c r="B70" s="65"/>
      <c r="C70" s="87" t="s">
        <v>355</v>
      </c>
      <c r="D70" s="50"/>
      <c r="E70" s="50"/>
      <c r="F70" s="62"/>
      <c r="G70" s="62"/>
      <c r="H70" s="62"/>
      <c r="I70" s="62"/>
      <c r="J70" s="62"/>
      <c r="K70" s="51">
        <v>1261</v>
      </c>
      <c r="L70" s="51">
        <f>2882.47+88.27</f>
        <v>2970.74</v>
      </c>
      <c r="M70" s="51">
        <v>1216.5999999999999</v>
      </c>
      <c r="N70" s="51">
        <v>3041.52</v>
      </c>
      <c r="O70" s="51"/>
      <c r="P70" s="54">
        <f>SUM(K70:O70)</f>
        <v>8489.86</v>
      </c>
      <c r="Q70" s="55"/>
      <c r="R70" s="55"/>
      <c r="S70" s="56"/>
      <c r="T70" s="56"/>
      <c r="U70" s="56"/>
      <c r="V70" s="56"/>
      <c r="W70" s="54">
        <f>+P70-Q70</f>
        <v>8489.86</v>
      </c>
      <c r="X70" s="58">
        <f>+W70*0.05</f>
        <v>424.49300000000005</v>
      </c>
      <c r="Y70" s="54">
        <f>+W70-S70-V70</f>
        <v>8489.86</v>
      </c>
      <c r="Z70" s="59">
        <f>IF(W70&lt;3000,W70*0.1,0)</f>
        <v>0</v>
      </c>
      <c r="AA70" s="58">
        <v>0</v>
      </c>
      <c r="AB70" s="54">
        <f>+W70+Z70+AA70</f>
        <v>8489.86</v>
      </c>
    </row>
    <row r="71" spans="1:45">
      <c r="A71" s="65"/>
      <c r="B71" s="65"/>
      <c r="C71" s="87" t="s">
        <v>356</v>
      </c>
      <c r="D71" s="50"/>
      <c r="E71" s="50"/>
      <c r="F71" s="50"/>
      <c r="G71" s="50"/>
      <c r="H71" s="50"/>
      <c r="I71" s="50"/>
      <c r="J71" s="50"/>
      <c r="K71" s="52">
        <v>4500</v>
      </c>
      <c r="L71" s="52"/>
      <c r="M71" s="52"/>
      <c r="N71" s="52"/>
      <c r="O71" s="52"/>
      <c r="P71" s="54">
        <f>SUM(K71:O71)</f>
        <v>4500</v>
      </c>
      <c r="Q71" s="55"/>
      <c r="R71" s="55"/>
      <c r="S71" s="56"/>
      <c r="T71" s="56"/>
      <c r="U71" s="56"/>
      <c r="V71" s="56"/>
      <c r="W71" s="54">
        <f>+P71-Q71</f>
        <v>4500</v>
      </c>
      <c r="X71" s="58">
        <f>+W71*0.05</f>
        <v>225</v>
      </c>
      <c r="Y71" s="54">
        <f>+W71-S71-V71</f>
        <v>4500</v>
      </c>
      <c r="Z71" s="59">
        <f>IF(W71&lt;3000,W71*0.1,0)</f>
        <v>0</v>
      </c>
      <c r="AA71" s="58">
        <v>0</v>
      </c>
      <c r="AB71" s="54">
        <f>+W71+Z71+AA71</f>
        <v>4500</v>
      </c>
    </row>
    <row r="72" spans="1:45">
      <c r="A72" s="65"/>
      <c r="B72" s="65"/>
      <c r="C72" s="87" t="s">
        <v>357</v>
      </c>
      <c r="D72" s="50"/>
      <c r="E72" s="50"/>
      <c r="F72" s="50"/>
      <c r="G72" s="50"/>
      <c r="H72" s="50"/>
      <c r="I72" s="50"/>
      <c r="J72" s="50"/>
      <c r="K72" s="52">
        <v>3200</v>
      </c>
      <c r="L72" s="52">
        <f>2821.42+224</f>
        <v>3045.42</v>
      </c>
      <c r="M72" s="52"/>
      <c r="N72" s="52"/>
      <c r="O72" s="52"/>
      <c r="P72" s="54">
        <f>SUM(K72:O72)</f>
        <v>6245.42</v>
      </c>
      <c r="Q72" s="55"/>
      <c r="R72" s="55"/>
      <c r="S72" s="56"/>
      <c r="T72" s="56"/>
      <c r="U72" s="56"/>
      <c r="V72" s="56"/>
      <c r="W72" s="54">
        <f>+P72-Q72</f>
        <v>6245.42</v>
      </c>
      <c r="X72" s="58">
        <f>+W72*0.05</f>
        <v>312.27100000000002</v>
      </c>
      <c r="Y72" s="54">
        <f>+W72-S72-V72</f>
        <v>6245.42</v>
      </c>
      <c r="Z72" s="59">
        <f>IF(W72&lt;3000,W72*0.1,0)</f>
        <v>0</v>
      </c>
      <c r="AA72" s="58">
        <v>0</v>
      </c>
      <c r="AB72" s="54">
        <f>+W72+Z72+AA72</f>
        <v>6245.42</v>
      </c>
    </row>
    <row r="73" spans="1:45">
      <c r="A73" s="65"/>
      <c r="B73" s="65"/>
      <c r="C73" s="87" t="s">
        <v>358</v>
      </c>
      <c r="D73" s="50"/>
      <c r="E73" s="50"/>
      <c r="F73" s="50"/>
      <c r="G73" s="50"/>
      <c r="H73" s="50"/>
      <c r="I73" s="50"/>
      <c r="J73" s="50"/>
      <c r="K73" s="52">
        <v>1575</v>
      </c>
      <c r="L73" s="52">
        <v>1599.77</v>
      </c>
      <c r="M73" s="52"/>
      <c r="N73" s="52"/>
      <c r="O73" s="52"/>
      <c r="P73" s="54">
        <f>SUM(K73:O73)</f>
        <v>3174.77</v>
      </c>
      <c r="Q73" s="55"/>
      <c r="R73" s="55"/>
      <c r="S73" s="56"/>
      <c r="T73" s="56"/>
      <c r="U73" s="56"/>
      <c r="V73" s="56"/>
      <c r="W73" s="54">
        <f>+P73-Q73</f>
        <v>3174.77</v>
      </c>
      <c r="X73" s="58">
        <f>+W73*0.05</f>
        <v>158.73850000000002</v>
      </c>
      <c r="Y73" s="54">
        <f>+W73-S73-V73</f>
        <v>3174.77</v>
      </c>
      <c r="Z73" s="59">
        <f>IF(W73&lt;3000,W73*0.1,0)</f>
        <v>0</v>
      </c>
      <c r="AA73" s="58">
        <v>0</v>
      </c>
      <c r="AB73" s="54">
        <f>+W73+Z73+AA73</f>
        <v>3174.77</v>
      </c>
    </row>
    <row r="74" spans="1:45">
      <c r="A74" s="65"/>
      <c r="B74" s="65"/>
      <c r="C74" s="87" t="s">
        <v>359</v>
      </c>
      <c r="D74" s="50"/>
      <c r="E74" s="50"/>
      <c r="F74" s="50"/>
      <c r="G74" s="50"/>
      <c r="H74" s="50"/>
      <c r="I74" s="50"/>
      <c r="J74" s="50"/>
      <c r="K74" s="52">
        <v>2500</v>
      </c>
      <c r="L74" s="52">
        <f>429.34+175+124.1736</f>
        <v>728.51359999999988</v>
      </c>
      <c r="M74" s="52"/>
      <c r="N74" s="52"/>
      <c r="O74" s="52"/>
      <c r="P74" s="54">
        <f>SUM(K74:O74)</f>
        <v>3228.5135999999998</v>
      </c>
      <c r="Q74" s="55"/>
      <c r="R74" s="55"/>
      <c r="S74" s="56"/>
      <c r="T74" s="56"/>
      <c r="U74" s="56"/>
      <c r="V74" s="56"/>
      <c r="W74" s="54">
        <f>+P74-Q74</f>
        <v>3228.5135999999998</v>
      </c>
      <c r="X74" s="58">
        <f>+W74*0.05</f>
        <v>161.42568</v>
      </c>
      <c r="Y74" s="54">
        <f>+W74-S74-V74</f>
        <v>3228.5135999999998</v>
      </c>
      <c r="Z74" s="59">
        <f>IF(W74&lt;3000,W74*0.1,0)</f>
        <v>0</v>
      </c>
      <c r="AA74" s="58">
        <v>0</v>
      </c>
      <c r="AB74" s="54">
        <f>+W74+Z74+AA74</f>
        <v>3228.5135999999998</v>
      </c>
    </row>
    <row r="75" spans="1:45">
      <c r="C75" s="72"/>
      <c r="D75" s="72"/>
      <c r="E75" s="72"/>
    </row>
    <row r="76" spans="1:45">
      <c r="C76" s="72" t="s">
        <v>360</v>
      </c>
      <c r="D76" s="72"/>
      <c r="E76" s="72"/>
      <c r="AB76" s="46">
        <f>+AB69+AB74</f>
        <v>3228.5135999999998</v>
      </c>
    </row>
    <row r="83" spans="1:4">
      <c r="A83" s="71" t="s">
        <v>361</v>
      </c>
      <c r="C83" s="45"/>
    </row>
    <row r="84" spans="1:4">
      <c r="A84" s="71" t="s">
        <v>362</v>
      </c>
      <c r="C84" s="45"/>
    </row>
    <row r="85" spans="1:4">
      <c r="A85" s="71" t="s">
        <v>363</v>
      </c>
      <c r="C85" s="45"/>
    </row>
    <row r="86" spans="1:4">
      <c r="A86" s="71" t="s">
        <v>364</v>
      </c>
      <c r="C86" s="45"/>
    </row>
    <row r="87" spans="1:4">
      <c r="A87" s="71" t="s">
        <v>365</v>
      </c>
      <c r="C87" s="45">
        <v>233.33333333333334</v>
      </c>
    </row>
    <row r="88" spans="1:4">
      <c r="A88" s="71" t="s">
        <v>366</v>
      </c>
      <c r="C88" s="45"/>
      <c r="D88" s="45">
        <v>1.1666666666666667</v>
      </c>
    </row>
    <row r="89" spans="1:4">
      <c r="D89" s="111">
        <f>+D88*C87</f>
        <v>272.22222222222223</v>
      </c>
    </row>
  </sheetData>
  <mergeCells count="34">
    <mergeCell ref="A5:A6"/>
    <mergeCell ref="B5:B6"/>
    <mergeCell ref="C5:C6"/>
    <mergeCell ref="D5:D6"/>
    <mergeCell ref="E5:E6"/>
    <mergeCell ref="A69:C69"/>
    <mergeCell ref="Z5:Z6"/>
    <mergeCell ref="AA5:AA6"/>
    <mergeCell ref="AB5:AB6"/>
    <mergeCell ref="AC5:AC6"/>
    <mergeCell ref="S5:S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F5:F6"/>
    <mergeCell ref="P5:P6"/>
    <mergeCell ref="Q5:Q6"/>
    <mergeCell ref="AG5:AG6"/>
    <mergeCell ref="AH5:AH6"/>
    <mergeCell ref="AI5:AI6"/>
    <mergeCell ref="AD5:AD6"/>
    <mergeCell ref="AE5:AF5"/>
    <mergeCell ref="T5:T6"/>
    <mergeCell ref="U5:U6"/>
    <mergeCell ref="V5:V6"/>
    <mergeCell ref="W5:W6"/>
    <mergeCell ref="X5:X6"/>
    <mergeCell ref="Y5:Y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84"/>
  <sheetViews>
    <sheetView workbookViewId="0">
      <pane xSplit="2" ySplit="9" topLeftCell="J58" activePane="bottomRight" state="frozen"/>
      <selection activeCell="Q66" sqref="Q66"/>
      <selection pane="topRight" activeCell="Q66" sqref="Q66"/>
      <selection pane="bottomLeft" activeCell="Q66" sqref="Q66"/>
      <selection pane="bottomRight" activeCell="M75" sqref="M75"/>
    </sheetView>
  </sheetViews>
  <sheetFormatPr baseColWidth="10" defaultRowHeight="11.25"/>
  <cols>
    <col min="1" max="1" width="11.42578125" style="8"/>
    <col min="2" max="2" width="32.85546875" style="8" customWidth="1"/>
    <col min="3" max="3" width="11.42578125" style="8"/>
    <col min="4" max="4" width="13" style="8" customWidth="1"/>
    <col min="5" max="6" width="14.85546875" style="8" customWidth="1"/>
    <col min="7" max="7" width="7.28515625" style="8" customWidth="1"/>
    <col min="8" max="8" width="9.85546875" style="8" customWidth="1"/>
    <col min="9" max="9" width="13" style="8" customWidth="1"/>
    <col min="10" max="10" width="9.28515625" style="8" customWidth="1"/>
    <col min="11" max="11" width="9.28515625" style="303" customWidth="1"/>
    <col min="12" max="12" width="13.5703125" style="303" customWidth="1"/>
    <col min="13" max="14" width="11.42578125" style="303"/>
    <col min="15" max="15" width="5.85546875" style="117" bestFit="1" customWidth="1"/>
    <col min="16" max="16" width="39.85546875" style="303" bestFit="1" customWidth="1"/>
    <col min="17" max="16384" width="11.42578125" style="303"/>
  </cols>
  <sheetData>
    <row r="1" spans="1:19" ht="18" customHeight="1">
      <c r="A1" s="112" t="s">
        <v>0</v>
      </c>
      <c r="B1" s="113" t="s">
        <v>17</v>
      </c>
      <c r="C1" s="300"/>
      <c r="D1" s="302"/>
      <c r="E1" s="302"/>
      <c r="F1" s="302"/>
      <c r="G1" s="302"/>
      <c r="H1" s="302"/>
      <c r="I1" s="302"/>
      <c r="J1" s="302"/>
      <c r="R1" s="315" t="s">
        <v>21</v>
      </c>
      <c r="S1" s="314" t="s">
        <v>22</v>
      </c>
    </row>
    <row r="2" spans="1:19" ht="24.95" customHeight="1">
      <c r="A2" s="114" t="s">
        <v>1</v>
      </c>
      <c r="B2" s="2" t="s">
        <v>368</v>
      </c>
      <c r="C2" s="3"/>
      <c r="D2" s="302"/>
      <c r="E2" s="302"/>
      <c r="F2" s="302"/>
      <c r="G2" s="302"/>
      <c r="H2" s="302"/>
      <c r="I2" s="302"/>
      <c r="J2" s="302"/>
      <c r="R2" s="315" t="s">
        <v>437</v>
      </c>
      <c r="S2" s="314" t="s">
        <v>23</v>
      </c>
    </row>
    <row r="3" spans="1:19" ht="15.75">
      <c r="A3" s="302"/>
      <c r="B3" s="31" t="s">
        <v>2</v>
      </c>
      <c r="C3" s="301"/>
      <c r="D3" s="302"/>
      <c r="E3" s="302"/>
      <c r="F3" s="302"/>
      <c r="G3" s="302"/>
      <c r="H3" s="302"/>
      <c r="I3" s="302"/>
      <c r="J3" s="302"/>
      <c r="R3" s="315" t="s">
        <v>494</v>
      </c>
      <c r="S3" s="314" t="s">
        <v>37</v>
      </c>
    </row>
    <row r="4" spans="1:19" ht="15">
      <c r="A4" s="302"/>
      <c r="B4" s="4" t="s">
        <v>436</v>
      </c>
      <c r="C4" s="301"/>
      <c r="D4" s="302"/>
      <c r="E4" s="302"/>
      <c r="F4" s="302"/>
      <c r="G4" s="302"/>
      <c r="H4" s="302"/>
      <c r="I4" s="110"/>
      <c r="J4" s="302"/>
      <c r="R4" s="315" t="s">
        <v>407</v>
      </c>
      <c r="S4" s="314" t="s">
        <v>50</v>
      </c>
    </row>
    <row r="5" spans="1:19" ht="15">
      <c r="A5" s="302"/>
      <c r="B5" s="305" t="s">
        <v>150</v>
      </c>
      <c r="C5" s="302"/>
      <c r="D5" s="302"/>
      <c r="E5" s="302"/>
      <c r="F5" s="302"/>
      <c r="G5" s="302"/>
      <c r="H5" s="302"/>
      <c r="I5" s="33"/>
      <c r="J5" s="302"/>
      <c r="R5" s="315" t="s">
        <v>462</v>
      </c>
      <c r="S5" s="314" t="s">
        <v>403</v>
      </c>
    </row>
    <row r="6" spans="1:19" ht="15">
      <c r="A6" s="302"/>
      <c r="B6" s="305" t="s">
        <v>3</v>
      </c>
      <c r="C6" s="302"/>
      <c r="D6" s="302"/>
      <c r="E6" s="302"/>
      <c r="F6" s="302"/>
      <c r="G6" s="302"/>
      <c r="H6" s="302"/>
      <c r="I6" s="33"/>
      <c r="J6" s="302"/>
      <c r="R6" s="315" t="s">
        <v>463</v>
      </c>
      <c r="S6" s="314" t="s">
        <v>74</v>
      </c>
    </row>
    <row r="8" spans="1:19" s="29" customFormat="1" ht="34.5" thickBot="1">
      <c r="A8" s="27" t="s">
        <v>4</v>
      </c>
      <c r="B8" s="6" t="s">
        <v>5</v>
      </c>
      <c r="C8" s="6" t="s">
        <v>153</v>
      </c>
      <c r="D8" s="5" t="s">
        <v>151</v>
      </c>
      <c r="E8" s="5" t="s">
        <v>7</v>
      </c>
      <c r="F8" s="5" t="s">
        <v>341</v>
      </c>
      <c r="G8" s="12" t="s">
        <v>20</v>
      </c>
      <c r="H8" s="12" t="s">
        <v>176</v>
      </c>
      <c r="I8" s="12" t="s">
        <v>279</v>
      </c>
      <c r="J8" s="12" t="s">
        <v>145</v>
      </c>
      <c r="K8" s="12" t="s">
        <v>154</v>
      </c>
      <c r="L8" s="5" t="s">
        <v>10</v>
      </c>
      <c r="M8" s="28" t="s">
        <v>11</v>
      </c>
    </row>
    <row r="9" spans="1:19" ht="15.75" thickTop="1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</row>
    <row r="10" spans="1:19" s="130" customFormat="1" ht="15">
      <c r="A10" s="30"/>
      <c r="C10" s="141"/>
      <c r="D10" s="141"/>
      <c r="E10" s="142"/>
      <c r="F10" s="142"/>
      <c r="G10" s="142"/>
      <c r="H10" s="142"/>
      <c r="I10" s="142"/>
      <c r="J10" s="142"/>
      <c r="K10" s="142"/>
      <c r="L10" s="142"/>
      <c r="M10" s="143"/>
      <c r="O10" s="117"/>
      <c r="P10" s="267"/>
      <c r="Q10" s="307"/>
      <c r="R10" s="141"/>
    </row>
    <row r="11" spans="1:19" s="130" customFormat="1">
      <c r="A11" s="30" t="s">
        <v>24</v>
      </c>
      <c r="B11" s="130" t="s">
        <v>25</v>
      </c>
      <c r="C11" s="141">
        <v>5262.8</v>
      </c>
      <c r="D11" s="141">
        <v>0</v>
      </c>
      <c r="E11" s="142">
        <v>5262.8</v>
      </c>
      <c r="F11" s="142">
        <v>0</v>
      </c>
      <c r="G11" s="142">
        <v>45.13</v>
      </c>
      <c r="H11" s="142">
        <v>0</v>
      </c>
      <c r="I11" s="142">
        <v>0</v>
      </c>
      <c r="J11" s="142">
        <v>0</v>
      </c>
      <c r="K11" s="142">
        <v>645.49</v>
      </c>
      <c r="L11" s="142">
        <v>690.62</v>
      </c>
      <c r="M11" s="143">
        <v>4572.18</v>
      </c>
      <c r="N11" s="130" t="str">
        <f>IF(B11=P11,"si","no")</f>
        <v>si</v>
      </c>
      <c r="O11" s="323" t="s">
        <v>438</v>
      </c>
      <c r="P11" s="322" t="s">
        <v>25</v>
      </c>
      <c r="Q11" s="324">
        <v>4572</v>
      </c>
      <c r="R11" s="141">
        <f>+Q11-M11</f>
        <v>-0.18000000000029104</v>
      </c>
    </row>
    <row r="12" spans="1:19" s="130" customFormat="1">
      <c r="A12" s="30" t="s">
        <v>26</v>
      </c>
      <c r="B12" s="130" t="s">
        <v>27</v>
      </c>
      <c r="C12" s="141">
        <v>5512.8</v>
      </c>
      <c r="D12" s="141">
        <v>0</v>
      </c>
      <c r="E12" s="142">
        <v>5512.8</v>
      </c>
      <c r="F12" s="142">
        <v>0</v>
      </c>
      <c r="G12" s="142">
        <v>45.13</v>
      </c>
      <c r="H12" s="142">
        <v>0</v>
      </c>
      <c r="I12" s="142">
        <v>0</v>
      </c>
      <c r="J12" s="142">
        <v>0</v>
      </c>
      <c r="K12" s="142">
        <v>670.48700000000008</v>
      </c>
      <c r="L12" s="142">
        <v>715.61700000000008</v>
      </c>
      <c r="M12" s="143">
        <v>4797.183</v>
      </c>
      <c r="N12" s="130" t="str">
        <f t="shared" ref="N12:N42" si="0">IF(B12=P12,"si","no")</f>
        <v>si</v>
      </c>
      <c r="O12" s="323" t="s">
        <v>439</v>
      </c>
      <c r="P12" s="322" t="s">
        <v>27</v>
      </c>
      <c r="Q12" s="324">
        <v>4797.2</v>
      </c>
      <c r="R12" s="141">
        <f t="shared" ref="R12:R67" si="1">+Q12-M12</f>
        <v>1.6999999999825377E-2</v>
      </c>
    </row>
    <row r="13" spans="1:19" s="130" customFormat="1">
      <c r="A13" s="30" t="s">
        <v>28</v>
      </c>
      <c r="B13" s="130" t="s">
        <v>29</v>
      </c>
      <c r="C13" s="141">
        <v>1957.3000000000002</v>
      </c>
      <c r="D13" s="141">
        <v>0</v>
      </c>
      <c r="E13" s="142">
        <v>1957.3000000000002</v>
      </c>
      <c r="F13" s="142">
        <v>0</v>
      </c>
      <c r="G13" s="142">
        <v>45.13</v>
      </c>
      <c r="H13" s="142">
        <v>0</v>
      </c>
      <c r="I13" s="142">
        <v>0</v>
      </c>
      <c r="J13" s="142">
        <v>0</v>
      </c>
      <c r="K13" s="142">
        <v>0</v>
      </c>
      <c r="L13" s="142">
        <v>45.13</v>
      </c>
      <c r="M13" s="143">
        <v>1912.17</v>
      </c>
      <c r="N13" s="130" t="str">
        <f t="shared" si="0"/>
        <v>si</v>
      </c>
      <c r="O13" s="323" t="s">
        <v>440</v>
      </c>
      <c r="P13" s="322" t="s">
        <v>29</v>
      </c>
      <c r="Q13" s="324">
        <v>1912.2</v>
      </c>
      <c r="R13" s="141">
        <f t="shared" si="1"/>
        <v>2.9999999999972715E-2</v>
      </c>
    </row>
    <row r="14" spans="1:19" s="130" customFormat="1">
      <c r="A14" s="30" t="s">
        <v>30</v>
      </c>
      <c r="B14" s="130" t="s">
        <v>434</v>
      </c>
      <c r="C14" s="141">
        <v>25762.799999999999</v>
      </c>
      <c r="D14" s="141">
        <v>0</v>
      </c>
      <c r="E14" s="142">
        <v>25762.799999999999</v>
      </c>
      <c r="F14" s="142">
        <v>0</v>
      </c>
      <c r="G14" s="142">
        <v>45.13</v>
      </c>
      <c r="H14" s="142">
        <v>504.77</v>
      </c>
      <c r="I14" s="142">
        <v>76.56</v>
      </c>
      <c r="J14" s="142">
        <v>0</v>
      </c>
      <c r="K14" s="142">
        <v>2695.49</v>
      </c>
      <c r="L14" s="142">
        <v>3321.95</v>
      </c>
      <c r="M14" s="143">
        <v>22440.85</v>
      </c>
      <c r="N14" s="130" t="str">
        <f t="shared" si="0"/>
        <v>no</v>
      </c>
      <c r="O14" s="323" t="s">
        <v>441</v>
      </c>
      <c r="P14" s="322" t="s">
        <v>31</v>
      </c>
      <c r="Q14" s="324">
        <v>22440.799999999999</v>
      </c>
      <c r="R14" s="141">
        <f t="shared" si="1"/>
        <v>-4.9999999999272404E-2</v>
      </c>
    </row>
    <row r="15" spans="1:19" s="130" customFormat="1" ht="15">
      <c r="A15" s="30"/>
      <c r="B15" s="264" t="s">
        <v>410</v>
      </c>
      <c r="C15" s="141">
        <v>1762.8000000000002</v>
      </c>
      <c r="D15" s="141">
        <v>0</v>
      </c>
      <c r="E15" s="142">
        <v>1762.8000000000002</v>
      </c>
      <c r="F15" s="142">
        <v>0</v>
      </c>
      <c r="G15" s="142">
        <v>45.13</v>
      </c>
      <c r="H15" s="142">
        <v>0</v>
      </c>
      <c r="I15" s="142">
        <v>0</v>
      </c>
      <c r="J15" s="142">
        <v>0</v>
      </c>
      <c r="K15" s="142">
        <v>0</v>
      </c>
      <c r="L15" s="142">
        <v>45.13</v>
      </c>
      <c r="M15" s="143">
        <v>1717.67</v>
      </c>
      <c r="N15" s="130" t="str">
        <f t="shared" si="0"/>
        <v>si</v>
      </c>
      <c r="O15" s="323" t="s">
        <v>442</v>
      </c>
      <c r="P15" s="322" t="s">
        <v>443</v>
      </c>
      <c r="Q15" s="324">
        <v>1717.6</v>
      </c>
      <c r="R15" s="141">
        <f t="shared" si="1"/>
        <v>-7.0000000000163709E-2</v>
      </c>
    </row>
    <row r="16" spans="1:19" s="130" customFormat="1">
      <c r="A16" s="30" t="s">
        <v>130</v>
      </c>
      <c r="B16" s="130" t="s">
        <v>146</v>
      </c>
      <c r="C16" s="141">
        <v>1762.8000000000002</v>
      </c>
      <c r="D16" s="141">
        <v>0</v>
      </c>
      <c r="E16" s="142">
        <v>1762.8000000000002</v>
      </c>
      <c r="F16" s="142">
        <v>0</v>
      </c>
      <c r="G16" s="142">
        <v>45.13</v>
      </c>
      <c r="H16" s="142">
        <v>0</v>
      </c>
      <c r="I16" s="142">
        <v>0</v>
      </c>
      <c r="J16" s="142">
        <v>0</v>
      </c>
      <c r="K16" s="142">
        <v>0</v>
      </c>
      <c r="L16" s="142">
        <v>45.13</v>
      </c>
      <c r="M16" s="143">
        <v>1717.67</v>
      </c>
      <c r="N16" s="130" t="str">
        <f t="shared" si="0"/>
        <v>si</v>
      </c>
      <c r="O16" s="323" t="s">
        <v>444</v>
      </c>
      <c r="P16" s="322" t="s">
        <v>146</v>
      </c>
      <c r="Q16" s="324">
        <v>1717.6</v>
      </c>
      <c r="R16" s="141">
        <f t="shared" si="1"/>
        <v>-7.0000000000163709E-2</v>
      </c>
    </row>
    <row r="17" spans="1:31" s="130" customFormat="1">
      <c r="A17" s="30" t="s">
        <v>32</v>
      </c>
      <c r="B17" s="130" t="s">
        <v>33</v>
      </c>
      <c r="C17" s="141">
        <v>1292.8000000000002</v>
      </c>
      <c r="D17" s="141">
        <v>0</v>
      </c>
      <c r="E17" s="142">
        <v>1292.8000000000002</v>
      </c>
      <c r="F17" s="142">
        <v>0</v>
      </c>
      <c r="G17" s="142">
        <v>45.13</v>
      </c>
      <c r="H17" s="142">
        <v>0</v>
      </c>
      <c r="I17" s="142">
        <v>0</v>
      </c>
      <c r="J17" s="142">
        <v>316.81</v>
      </c>
      <c r="K17" s="142">
        <v>0</v>
      </c>
      <c r="L17" s="142">
        <v>361.94</v>
      </c>
      <c r="M17" s="143">
        <v>930.86000000000013</v>
      </c>
      <c r="N17" s="130" t="str">
        <f t="shared" si="0"/>
        <v>si</v>
      </c>
      <c r="O17" s="323" t="s">
        <v>445</v>
      </c>
      <c r="P17" s="322" t="s">
        <v>33</v>
      </c>
      <c r="Q17" s="324">
        <v>930.8</v>
      </c>
      <c r="R17" s="141">
        <f t="shared" si="1"/>
        <v>-6.0000000000172804E-2</v>
      </c>
    </row>
    <row r="18" spans="1:31" s="130" customFormat="1">
      <c r="A18" s="30" t="s">
        <v>34</v>
      </c>
      <c r="B18" s="130" t="s">
        <v>35</v>
      </c>
      <c r="C18" s="141">
        <v>4318.8</v>
      </c>
      <c r="D18" s="141">
        <v>0</v>
      </c>
      <c r="E18" s="142">
        <v>4318.8</v>
      </c>
      <c r="F18" s="142">
        <v>0</v>
      </c>
      <c r="G18" s="142">
        <v>45.13</v>
      </c>
      <c r="H18" s="142">
        <v>0</v>
      </c>
      <c r="I18" s="142">
        <v>0</v>
      </c>
      <c r="J18" s="142">
        <v>0</v>
      </c>
      <c r="K18" s="142">
        <v>551.08699999999999</v>
      </c>
      <c r="L18" s="142">
        <v>596.21699999999998</v>
      </c>
      <c r="M18" s="143">
        <v>3722.5830000000001</v>
      </c>
      <c r="N18" s="130" t="str">
        <f t="shared" si="0"/>
        <v>si</v>
      </c>
      <c r="O18" s="323" t="s">
        <v>446</v>
      </c>
      <c r="P18" s="322" t="s">
        <v>35</v>
      </c>
      <c r="Q18" s="324">
        <v>3722.4</v>
      </c>
      <c r="R18" s="141">
        <f t="shared" si="1"/>
        <v>-0.18299999999999272</v>
      </c>
    </row>
    <row r="19" spans="1:31" s="130" customFormat="1">
      <c r="A19" s="30" t="s">
        <v>38</v>
      </c>
      <c r="B19" s="130" t="s">
        <v>39</v>
      </c>
      <c r="C19" s="141">
        <v>2762.8</v>
      </c>
      <c r="D19" s="141">
        <v>0</v>
      </c>
      <c r="E19" s="142">
        <v>2762.8</v>
      </c>
      <c r="F19" s="142">
        <v>0</v>
      </c>
      <c r="G19" s="142">
        <v>45.13</v>
      </c>
      <c r="H19" s="142">
        <v>0</v>
      </c>
      <c r="I19" s="142">
        <v>117.81</v>
      </c>
      <c r="J19" s="142">
        <v>906.77</v>
      </c>
      <c r="K19" s="142">
        <v>0</v>
      </c>
      <c r="L19" s="142">
        <v>1069.71</v>
      </c>
      <c r="M19" s="143">
        <v>1693.0900000000001</v>
      </c>
      <c r="N19" s="130" t="str">
        <f t="shared" si="0"/>
        <v>si</v>
      </c>
      <c r="O19" s="323" t="s">
        <v>447</v>
      </c>
      <c r="P19" s="322" t="s">
        <v>39</v>
      </c>
      <c r="Q19" s="324">
        <v>1693</v>
      </c>
      <c r="R19" s="141">
        <f t="shared" si="1"/>
        <v>-9.0000000000145519E-2</v>
      </c>
    </row>
    <row r="20" spans="1:31" s="130" customFormat="1">
      <c r="A20" s="30" t="s">
        <v>40</v>
      </c>
      <c r="B20" s="130" t="s">
        <v>428</v>
      </c>
      <c r="C20" s="141">
        <v>7908.9000000000005</v>
      </c>
      <c r="D20" s="141">
        <v>0</v>
      </c>
      <c r="E20" s="142">
        <v>7908.9000000000005</v>
      </c>
      <c r="F20" s="142">
        <v>100</v>
      </c>
      <c r="G20" s="142">
        <v>45.13</v>
      </c>
      <c r="H20" s="142">
        <v>0</v>
      </c>
      <c r="I20" s="142">
        <v>0</v>
      </c>
      <c r="J20" s="142">
        <v>0</v>
      </c>
      <c r="K20" s="142">
        <v>910.09700000000021</v>
      </c>
      <c r="L20" s="142">
        <v>1055.2270000000003</v>
      </c>
      <c r="M20" s="143">
        <v>6853.6730000000007</v>
      </c>
      <c r="N20" s="130" t="str">
        <f t="shared" si="0"/>
        <v>no</v>
      </c>
      <c r="O20" s="323" t="s">
        <v>448</v>
      </c>
      <c r="P20" s="322" t="s">
        <v>41</v>
      </c>
      <c r="Q20" s="324">
        <v>6853.8</v>
      </c>
      <c r="R20" s="141">
        <f t="shared" si="1"/>
        <v>0.12699999999949796</v>
      </c>
    </row>
    <row r="21" spans="1:31" s="130" customFormat="1">
      <c r="A21" s="30" t="s">
        <v>42</v>
      </c>
      <c r="B21" s="130" t="s">
        <v>43</v>
      </c>
      <c r="C21" s="141">
        <v>12538.04</v>
      </c>
      <c r="D21" s="141">
        <v>0</v>
      </c>
      <c r="E21" s="142">
        <v>12538.04</v>
      </c>
      <c r="F21" s="142">
        <v>0</v>
      </c>
      <c r="G21" s="142">
        <v>45.13</v>
      </c>
      <c r="H21" s="142">
        <v>0</v>
      </c>
      <c r="I21" s="142">
        <v>0</v>
      </c>
      <c r="J21" s="142">
        <v>0</v>
      </c>
      <c r="K21" s="142">
        <v>1373.0110000000002</v>
      </c>
      <c r="L21" s="142">
        <v>1418.1410000000003</v>
      </c>
      <c r="M21" s="143">
        <v>11119.899000000001</v>
      </c>
      <c r="N21" s="130" t="str">
        <f t="shared" si="0"/>
        <v>si</v>
      </c>
      <c r="O21" s="323" t="s">
        <v>449</v>
      </c>
      <c r="P21" s="322" t="s">
        <v>43</v>
      </c>
      <c r="Q21" s="324">
        <v>11120</v>
      </c>
      <c r="R21" s="141">
        <f t="shared" si="1"/>
        <v>0.10099999999874854</v>
      </c>
    </row>
    <row r="22" spans="1:31" s="130" customFormat="1">
      <c r="A22" s="30" t="s">
        <v>44</v>
      </c>
      <c r="B22" s="130" t="s">
        <v>45</v>
      </c>
      <c r="C22" s="141">
        <v>46564.98</v>
      </c>
      <c r="D22" s="141">
        <v>0</v>
      </c>
      <c r="E22" s="142">
        <v>46564.98</v>
      </c>
      <c r="F22" s="142">
        <v>500</v>
      </c>
      <c r="G22" s="142">
        <v>45.13</v>
      </c>
      <c r="H22" s="142">
        <v>0</v>
      </c>
      <c r="I22" s="142">
        <v>0</v>
      </c>
      <c r="J22" s="142">
        <v>345.44</v>
      </c>
      <c r="K22" s="142">
        <v>4775.7050000000008</v>
      </c>
      <c r="L22" s="142">
        <v>5666.2750000000005</v>
      </c>
      <c r="M22" s="143">
        <v>40898.705000000002</v>
      </c>
      <c r="N22" s="130" t="str">
        <f t="shared" si="0"/>
        <v>si</v>
      </c>
      <c r="O22" s="323" t="s">
        <v>450</v>
      </c>
      <c r="P22" s="322" t="s">
        <v>45</v>
      </c>
      <c r="Q22" s="324">
        <v>40898.6</v>
      </c>
      <c r="R22" s="141">
        <f t="shared" si="1"/>
        <v>-0.10500000000320142</v>
      </c>
      <c r="AD22" s="304" t="s">
        <v>407</v>
      </c>
      <c r="AE22" s="303" t="s">
        <v>50</v>
      </c>
    </row>
    <row r="23" spans="1:31" s="130" customFormat="1">
      <c r="A23" s="30" t="s">
        <v>46</v>
      </c>
      <c r="B23" s="130" t="s">
        <v>387</v>
      </c>
      <c r="C23" s="141">
        <v>4262.8</v>
      </c>
      <c r="D23" s="141">
        <v>0</v>
      </c>
      <c r="E23" s="142">
        <v>4262.8</v>
      </c>
      <c r="F23" s="142">
        <v>0</v>
      </c>
      <c r="G23" s="142">
        <v>45.13</v>
      </c>
      <c r="H23" s="142">
        <v>0</v>
      </c>
      <c r="I23" s="142">
        <v>0</v>
      </c>
      <c r="J23" s="142">
        <v>0</v>
      </c>
      <c r="K23" s="142">
        <v>545.48699999999997</v>
      </c>
      <c r="L23" s="142">
        <v>590.61699999999996</v>
      </c>
      <c r="M23" s="143">
        <v>3672.183</v>
      </c>
      <c r="N23" s="130" t="str">
        <f t="shared" si="0"/>
        <v>no</v>
      </c>
      <c r="O23" s="323" t="s">
        <v>46</v>
      </c>
      <c r="P23" s="322" t="s">
        <v>47</v>
      </c>
      <c r="Q23" s="324">
        <v>3672.2</v>
      </c>
      <c r="R23" s="141">
        <f t="shared" si="1"/>
        <v>1.6999999999825377E-2</v>
      </c>
    </row>
    <row r="24" spans="1:31" s="130" customFormat="1">
      <c r="A24" s="30" t="s">
        <v>48</v>
      </c>
      <c r="B24" s="130" t="s">
        <v>49</v>
      </c>
      <c r="C24" s="141">
        <v>18762.8</v>
      </c>
      <c r="D24" s="141">
        <v>0</v>
      </c>
      <c r="E24" s="142">
        <v>18762.8</v>
      </c>
      <c r="F24" s="142">
        <v>0</v>
      </c>
      <c r="G24" s="142">
        <v>45.13</v>
      </c>
      <c r="H24" s="142">
        <v>355.82</v>
      </c>
      <c r="I24" s="142">
        <v>0</v>
      </c>
      <c r="J24" s="142">
        <v>0</v>
      </c>
      <c r="K24" s="142">
        <v>1995.4870000000001</v>
      </c>
      <c r="L24" s="142">
        <v>2396.4369999999999</v>
      </c>
      <c r="M24" s="143">
        <v>16366.362999999999</v>
      </c>
      <c r="N24" s="130" t="str">
        <f t="shared" si="0"/>
        <v>si</v>
      </c>
      <c r="O24" s="323" t="s">
        <v>48</v>
      </c>
      <c r="P24" s="322" t="s">
        <v>49</v>
      </c>
      <c r="Q24" s="324">
        <v>16366.4</v>
      </c>
      <c r="R24" s="141">
        <f t="shared" si="1"/>
        <v>3.7000000000261934E-2</v>
      </c>
    </row>
    <row r="25" spans="1:31" s="130" customFormat="1">
      <c r="A25" s="30" t="s">
        <v>51</v>
      </c>
      <c r="B25" s="130" t="s">
        <v>52</v>
      </c>
      <c r="C25" s="141">
        <v>13762.8</v>
      </c>
      <c r="D25" s="141">
        <v>0</v>
      </c>
      <c r="E25" s="142">
        <v>13762.8</v>
      </c>
      <c r="F25" s="142">
        <v>0</v>
      </c>
      <c r="G25" s="142">
        <v>45.13</v>
      </c>
      <c r="H25" s="142">
        <v>310.19</v>
      </c>
      <c r="I25" s="142">
        <v>0</v>
      </c>
      <c r="J25" s="142">
        <v>0</v>
      </c>
      <c r="K25" s="142">
        <v>1495.4870000000001</v>
      </c>
      <c r="L25" s="142">
        <v>1850.807</v>
      </c>
      <c r="M25" s="143">
        <v>11911.992999999999</v>
      </c>
      <c r="N25" s="130" t="str">
        <f t="shared" si="0"/>
        <v>si</v>
      </c>
      <c r="O25" s="323" t="s">
        <v>451</v>
      </c>
      <c r="P25" s="322" t="s">
        <v>52</v>
      </c>
      <c r="Q25" s="324">
        <v>11912</v>
      </c>
      <c r="R25" s="141">
        <f t="shared" si="1"/>
        <v>7.0000000014260877E-3</v>
      </c>
    </row>
    <row r="26" spans="1:31" s="130" customFormat="1">
      <c r="A26" s="30" t="s">
        <v>53</v>
      </c>
      <c r="B26" s="130" t="s">
        <v>54</v>
      </c>
      <c r="C26" s="141">
        <v>4262.8</v>
      </c>
      <c r="D26" s="141">
        <v>0</v>
      </c>
      <c r="E26" s="142">
        <v>4262.8</v>
      </c>
      <c r="F26" s="142">
        <v>0</v>
      </c>
      <c r="G26" s="142">
        <v>45.13</v>
      </c>
      <c r="H26" s="142">
        <v>0</v>
      </c>
      <c r="I26" s="142">
        <v>0</v>
      </c>
      <c r="J26" s="142">
        <v>837.96</v>
      </c>
      <c r="K26" s="142">
        <v>545.48699999999997</v>
      </c>
      <c r="L26" s="142">
        <v>1428.577</v>
      </c>
      <c r="M26" s="143">
        <v>2834.223</v>
      </c>
      <c r="N26" s="130" t="str">
        <f t="shared" si="0"/>
        <v>si</v>
      </c>
      <c r="O26" s="323" t="s">
        <v>452</v>
      </c>
      <c r="P26" s="322" t="s">
        <v>54</v>
      </c>
      <c r="Q26" s="324">
        <v>2834.2</v>
      </c>
      <c r="R26" s="141">
        <f t="shared" si="1"/>
        <v>-2.3000000000138243E-2</v>
      </c>
    </row>
    <row r="27" spans="1:31" s="130" customFormat="1">
      <c r="A27" s="30" t="s">
        <v>55</v>
      </c>
      <c r="B27" s="130" t="s">
        <v>56</v>
      </c>
      <c r="C27" s="141">
        <v>14555.009999999998</v>
      </c>
      <c r="D27" s="141">
        <v>0</v>
      </c>
      <c r="E27" s="142">
        <v>14555.009999999998</v>
      </c>
      <c r="F27" s="142">
        <v>0</v>
      </c>
      <c r="G27" s="142">
        <v>45.13</v>
      </c>
      <c r="H27" s="142">
        <v>0</v>
      </c>
      <c r="I27" s="142">
        <v>117.81</v>
      </c>
      <c r="J27" s="142">
        <v>0</v>
      </c>
      <c r="K27" s="142">
        <v>1574.7080000000001</v>
      </c>
      <c r="L27" s="142">
        <v>1737.6480000000001</v>
      </c>
      <c r="M27" s="143">
        <v>12817.361999999997</v>
      </c>
      <c r="N27" s="130" t="str">
        <f t="shared" si="0"/>
        <v>si</v>
      </c>
      <c r="O27" s="323" t="s">
        <v>453</v>
      </c>
      <c r="P27" s="322" t="s">
        <v>56</v>
      </c>
      <c r="Q27" s="324">
        <v>12817.4</v>
      </c>
      <c r="R27" s="141">
        <f t="shared" si="1"/>
        <v>3.8000000002284651E-2</v>
      </c>
    </row>
    <row r="28" spans="1:31" s="130" customFormat="1" ht="15">
      <c r="A28" s="30"/>
      <c r="B28" s="138" t="s">
        <v>431</v>
      </c>
      <c r="C28" s="141">
        <v>162.80000000000018</v>
      </c>
      <c r="D28" s="141">
        <v>0</v>
      </c>
      <c r="E28" s="142">
        <v>162.80000000000018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3">
        <v>162.80000000000018</v>
      </c>
      <c r="N28" s="130" t="str">
        <f t="shared" si="0"/>
        <v>si</v>
      </c>
      <c r="O28" s="323" t="s">
        <v>493</v>
      </c>
      <c r="P28" s="322" t="s">
        <v>492</v>
      </c>
      <c r="Q28" s="324">
        <v>162.80000000000001</v>
      </c>
      <c r="R28" s="141">
        <f t="shared" si="1"/>
        <v>0</v>
      </c>
    </row>
    <row r="29" spans="1:31" s="130" customFormat="1">
      <c r="A29" s="30" t="s">
        <v>57</v>
      </c>
      <c r="B29" s="130" t="s">
        <v>58</v>
      </c>
      <c r="C29" s="141">
        <v>5262.8</v>
      </c>
      <c r="D29" s="141">
        <v>0</v>
      </c>
      <c r="E29" s="142">
        <v>5262.8</v>
      </c>
      <c r="F29" s="142">
        <v>500</v>
      </c>
      <c r="G29" s="142">
        <v>45.13</v>
      </c>
      <c r="H29" s="142">
        <v>0</v>
      </c>
      <c r="I29" s="142">
        <v>105.31</v>
      </c>
      <c r="J29" s="142">
        <v>0</v>
      </c>
      <c r="K29" s="142">
        <v>645.48700000000008</v>
      </c>
      <c r="L29" s="142">
        <v>1295.9270000000001</v>
      </c>
      <c r="M29" s="143">
        <v>3966.873</v>
      </c>
      <c r="N29" s="130" t="str">
        <f t="shared" si="0"/>
        <v>si</v>
      </c>
      <c r="O29" s="323" t="s">
        <v>454</v>
      </c>
      <c r="P29" s="322" t="s">
        <v>58</v>
      </c>
      <c r="Q29" s="324">
        <v>3967</v>
      </c>
      <c r="R29" s="141">
        <f t="shared" si="1"/>
        <v>0.12699999999995271</v>
      </c>
    </row>
    <row r="30" spans="1:31" s="130" customFormat="1">
      <c r="A30" s="30" t="s">
        <v>59</v>
      </c>
      <c r="B30" s="130" t="s">
        <v>60</v>
      </c>
      <c r="C30" s="141">
        <v>5646.43</v>
      </c>
      <c r="D30" s="141">
        <v>0</v>
      </c>
      <c r="E30" s="142">
        <v>5646.43</v>
      </c>
      <c r="F30" s="142">
        <v>0</v>
      </c>
      <c r="G30" s="142">
        <v>45.13</v>
      </c>
      <c r="H30" s="142">
        <v>0</v>
      </c>
      <c r="I30" s="142">
        <v>117.81</v>
      </c>
      <c r="J30" s="142">
        <v>0</v>
      </c>
      <c r="K30" s="142">
        <v>683.85</v>
      </c>
      <c r="L30" s="142">
        <v>846.79</v>
      </c>
      <c r="M30" s="143">
        <v>4799.6400000000003</v>
      </c>
      <c r="N30" s="130" t="str">
        <f t="shared" si="0"/>
        <v>si</v>
      </c>
      <c r="O30" s="323" t="s">
        <v>455</v>
      </c>
      <c r="P30" s="322" t="s">
        <v>60</v>
      </c>
      <c r="Q30" s="324">
        <v>4799.8</v>
      </c>
      <c r="R30" s="141">
        <f t="shared" si="1"/>
        <v>0.15999999999985448</v>
      </c>
    </row>
    <row r="31" spans="1:31" s="130" customFormat="1">
      <c r="A31" s="30" t="s">
        <v>61</v>
      </c>
      <c r="B31" s="130" t="s">
        <v>62</v>
      </c>
      <c r="C31" s="141">
        <v>2362.79</v>
      </c>
      <c r="D31" s="141">
        <v>0</v>
      </c>
      <c r="E31" s="142">
        <v>2362.79</v>
      </c>
      <c r="F31" s="142">
        <v>0</v>
      </c>
      <c r="G31" s="142">
        <v>45.13</v>
      </c>
      <c r="H31" s="142">
        <v>0</v>
      </c>
      <c r="I31" s="142">
        <v>117.81</v>
      </c>
      <c r="J31" s="142">
        <v>1075.52</v>
      </c>
      <c r="K31" s="142">
        <v>0</v>
      </c>
      <c r="L31" s="142">
        <v>1238.46</v>
      </c>
      <c r="M31" s="143">
        <v>1124.33</v>
      </c>
      <c r="N31" s="130" t="str">
        <f t="shared" si="0"/>
        <v>si</v>
      </c>
      <c r="O31" s="323" t="s">
        <v>61</v>
      </c>
      <c r="P31" s="322" t="s">
        <v>62</v>
      </c>
      <c r="Q31" s="324">
        <v>1124.4000000000001</v>
      </c>
      <c r="R31" s="141">
        <f t="shared" si="1"/>
        <v>7.0000000000163709E-2</v>
      </c>
    </row>
    <row r="32" spans="1:31" s="130" customFormat="1" ht="15">
      <c r="A32" s="30"/>
      <c r="B32" s="264" t="s">
        <v>415</v>
      </c>
      <c r="C32" s="141">
        <v>3096.13</v>
      </c>
      <c r="D32" s="141">
        <v>0</v>
      </c>
      <c r="E32" s="142">
        <v>3096.13</v>
      </c>
      <c r="F32" s="142">
        <v>0</v>
      </c>
      <c r="G32" s="142">
        <v>45.13</v>
      </c>
      <c r="H32" s="142">
        <v>0</v>
      </c>
      <c r="I32" s="142">
        <v>0</v>
      </c>
      <c r="J32" s="142">
        <v>0</v>
      </c>
      <c r="K32" s="142">
        <v>0</v>
      </c>
      <c r="L32" s="142">
        <v>45.13</v>
      </c>
      <c r="M32" s="143">
        <v>3051</v>
      </c>
      <c r="N32" s="130" t="str">
        <f>IF(B32=P35,"si","no")</f>
        <v>no</v>
      </c>
      <c r="O32" s="323" t="s">
        <v>457</v>
      </c>
      <c r="P32" s="322" t="s">
        <v>458</v>
      </c>
      <c r="Q32" s="324">
        <v>3051</v>
      </c>
      <c r="R32" s="141">
        <f t="shared" si="1"/>
        <v>0</v>
      </c>
      <c r="S32" s="303" t="s">
        <v>403</v>
      </c>
    </row>
    <row r="33" spans="1:20" s="130" customFormat="1">
      <c r="A33" s="30" t="s">
        <v>63</v>
      </c>
      <c r="B33" s="130" t="s">
        <v>64</v>
      </c>
      <c r="C33" s="141">
        <v>4012.8</v>
      </c>
      <c r="D33" s="141">
        <v>0</v>
      </c>
      <c r="E33" s="142">
        <v>4012.8</v>
      </c>
      <c r="F33" s="142">
        <v>0</v>
      </c>
      <c r="G33" s="142">
        <v>45.13</v>
      </c>
      <c r="H33" s="142">
        <v>0</v>
      </c>
      <c r="I33" s="142">
        <v>0</v>
      </c>
      <c r="J33" s="142">
        <v>0</v>
      </c>
      <c r="K33" s="142">
        <v>520.48699999999997</v>
      </c>
      <c r="L33" s="142">
        <v>565.61699999999996</v>
      </c>
      <c r="M33" s="143">
        <v>3447.183</v>
      </c>
      <c r="N33" s="130" t="str">
        <f>IF(B33=P32,"si","no")</f>
        <v>no</v>
      </c>
      <c r="O33" s="323" t="s">
        <v>63</v>
      </c>
      <c r="P33" s="322" t="s">
        <v>64</v>
      </c>
      <c r="Q33" s="324">
        <v>3447.2</v>
      </c>
      <c r="R33" s="141">
        <f t="shared" si="1"/>
        <v>1.6999999999825377E-2</v>
      </c>
    </row>
    <row r="34" spans="1:20" s="130" customFormat="1">
      <c r="A34" s="30" t="s">
        <v>65</v>
      </c>
      <c r="B34" s="130" t="s">
        <v>66</v>
      </c>
      <c r="C34" s="141">
        <v>2142.8000000000002</v>
      </c>
      <c r="D34" s="141">
        <v>0</v>
      </c>
      <c r="E34" s="142">
        <v>2142.8000000000002</v>
      </c>
      <c r="F34" s="142">
        <v>0</v>
      </c>
      <c r="G34" s="142">
        <v>45.13</v>
      </c>
      <c r="H34" s="142">
        <v>0</v>
      </c>
      <c r="I34" s="142">
        <v>0</v>
      </c>
      <c r="J34" s="142">
        <v>0</v>
      </c>
      <c r="K34" s="142">
        <v>0</v>
      </c>
      <c r="L34" s="142">
        <v>45.13</v>
      </c>
      <c r="M34" s="143">
        <v>2097.67</v>
      </c>
      <c r="N34" s="130" t="str">
        <f>IF(B34=P33,"si","no")</f>
        <v>no</v>
      </c>
      <c r="O34" s="323" t="s">
        <v>459</v>
      </c>
      <c r="P34" s="322" t="s">
        <v>66</v>
      </c>
      <c r="Q34" s="324">
        <v>2097.8000000000002</v>
      </c>
      <c r="R34" s="141">
        <f t="shared" si="1"/>
        <v>0.13000000000010914</v>
      </c>
    </row>
    <row r="35" spans="1:20" s="130" customFormat="1">
      <c r="A35" s="30" t="s">
        <v>67</v>
      </c>
      <c r="B35" s="130" t="s">
        <v>435</v>
      </c>
      <c r="C35" s="141">
        <v>2762.8</v>
      </c>
      <c r="D35" s="141">
        <v>0</v>
      </c>
      <c r="E35" s="142">
        <v>2762.8</v>
      </c>
      <c r="F35" s="142">
        <v>0</v>
      </c>
      <c r="G35" s="142">
        <v>45.13</v>
      </c>
      <c r="H35" s="142">
        <v>0</v>
      </c>
      <c r="I35" s="142">
        <v>117.81</v>
      </c>
      <c r="J35" s="142">
        <v>1146.5999999999999</v>
      </c>
      <c r="K35" s="142">
        <v>0</v>
      </c>
      <c r="L35" s="142">
        <v>1309.54</v>
      </c>
      <c r="M35" s="143">
        <v>1453.2600000000002</v>
      </c>
      <c r="N35" s="130" t="str">
        <f>IF(B35=P34,"si","no")</f>
        <v>no</v>
      </c>
      <c r="O35" s="323" t="s">
        <v>456</v>
      </c>
      <c r="P35" s="322" t="s">
        <v>68</v>
      </c>
      <c r="Q35" s="324">
        <v>1453.2</v>
      </c>
      <c r="R35" s="141">
        <f t="shared" si="1"/>
        <v>-6.0000000000172804E-2</v>
      </c>
    </row>
    <row r="36" spans="1:20" s="130" customFormat="1">
      <c r="A36" s="304" t="s">
        <v>400</v>
      </c>
      <c r="B36" s="130" t="s">
        <v>379</v>
      </c>
      <c r="C36" s="141">
        <v>1762.8000000000002</v>
      </c>
      <c r="D36" s="141">
        <v>0</v>
      </c>
      <c r="E36" s="142">
        <v>1762.8000000000002</v>
      </c>
      <c r="F36" s="142">
        <v>0</v>
      </c>
      <c r="G36" s="142">
        <v>45.13</v>
      </c>
      <c r="H36" s="142">
        <v>0</v>
      </c>
      <c r="I36" s="142">
        <v>0</v>
      </c>
      <c r="J36" s="142">
        <v>0</v>
      </c>
      <c r="K36" s="142">
        <v>0</v>
      </c>
      <c r="L36" s="142">
        <v>45.13</v>
      </c>
      <c r="M36" s="143">
        <v>1717.67</v>
      </c>
      <c r="N36" s="130" t="str">
        <f t="shared" si="0"/>
        <v>si</v>
      </c>
      <c r="O36" s="323" t="s">
        <v>400</v>
      </c>
      <c r="P36" s="322" t="s">
        <v>460</v>
      </c>
      <c r="Q36" s="324">
        <v>1717.8</v>
      </c>
      <c r="R36" s="141">
        <f t="shared" si="1"/>
        <v>0.12999999999988177</v>
      </c>
      <c r="S36" s="303" t="s">
        <v>86</v>
      </c>
    </row>
    <row r="37" spans="1:20" s="130" customFormat="1">
      <c r="A37" s="30" t="s">
        <v>69</v>
      </c>
      <c r="B37" s="130" t="s">
        <v>373</v>
      </c>
      <c r="C37" s="141">
        <v>20872.45</v>
      </c>
      <c r="D37" s="141">
        <v>0</v>
      </c>
      <c r="E37" s="142">
        <v>20872.45</v>
      </c>
      <c r="F37" s="142">
        <v>0</v>
      </c>
      <c r="G37" s="142">
        <v>45.13</v>
      </c>
      <c r="H37" s="142">
        <v>58.19</v>
      </c>
      <c r="I37" s="142">
        <v>0</v>
      </c>
      <c r="J37" s="142">
        <v>0</v>
      </c>
      <c r="K37" s="142">
        <v>2206.4520000000002</v>
      </c>
      <c r="L37" s="142">
        <v>2309.7720000000004</v>
      </c>
      <c r="M37" s="143">
        <v>18562.678</v>
      </c>
      <c r="N37" s="130" t="str">
        <f t="shared" si="0"/>
        <v>no</v>
      </c>
      <c r="O37" s="323" t="s">
        <v>69</v>
      </c>
      <c r="P37" s="322" t="s">
        <v>70</v>
      </c>
      <c r="Q37" s="324">
        <v>18562.8</v>
      </c>
      <c r="R37" s="141">
        <f t="shared" si="1"/>
        <v>0.12199999999938882</v>
      </c>
    </row>
    <row r="38" spans="1:20" s="130" customFormat="1">
      <c r="A38" s="30" t="s">
        <v>71</v>
      </c>
      <c r="B38" s="130" t="s">
        <v>72</v>
      </c>
      <c r="C38" s="141">
        <v>4012.8</v>
      </c>
      <c r="D38" s="141">
        <v>0</v>
      </c>
      <c r="E38" s="142">
        <v>4012.8</v>
      </c>
      <c r="F38" s="142">
        <v>0</v>
      </c>
      <c r="G38" s="142">
        <v>45.13</v>
      </c>
      <c r="H38" s="142">
        <v>0</v>
      </c>
      <c r="I38" s="142">
        <v>0</v>
      </c>
      <c r="J38" s="142">
        <v>1045.54</v>
      </c>
      <c r="K38" s="142">
        <v>520.48699999999997</v>
      </c>
      <c r="L38" s="142">
        <v>1611.1570000000002</v>
      </c>
      <c r="M38" s="143">
        <v>2401.643</v>
      </c>
      <c r="N38" s="130" t="str">
        <f t="shared" si="0"/>
        <v>si</v>
      </c>
      <c r="O38" s="323" t="s">
        <v>461</v>
      </c>
      <c r="P38" s="322" t="s">
        <v>72</v>
      </c>
      <c r="Q38" s="324">
        <v>2401.8000000000002</v>
      </c>
      <c r="R38" s="141">
        <f t="shared" si="1"/>
        <v>0.1570000000001528</v>
      </c>
      <c r="S38" s="303" t="s">
        <v>88</v>
      </c>
    </row>
    <row r="39" spans="1:20" s="318" customFormat="1">
      <c r="A39" s="313" t="s">
        <v>75</v>
      </c>
      <c r="B39" s="318" t="s">
        <v>390</v>
      </c>
      <c r="C39" s="319">
        <v>12038.8</v>
      </c>
      <c r="D39" s="319">
        <v>0</v>
      </c>
      <c r="E39" s="320">
        <v>12038.8</v>
      </c>
      <c r="F39" s="320">
        <v>0</v>
      </c>
      <c r="G39" s="320">
        <v>45.13</v>
      </c>
      <c r="H39" s="320">
        <v>0</v>
      </c>
      <c r="I39" s="320">
        <v>117.81</v>
      </c>
      <c r="J39" s="320">
        <v>1200.08</v>
      </c>
      <c r="K39" s="320">
        <v>1323.0870000000002</v>
      </c>
      <c r="L39" s="320">
        <v>2686.107</v>
      </c>
      <c r="M39" s="321">
        <v>9352.6929999999993</v>
      </c>
      <c r="N39" s="318" t="str">
        <f t="shared" si="0"/>
        <v>no</v>
      </c>
      <c r="O39" s="323" t="s">
        <v>464</v>
      </c>
      <c r="P39" s="322" t="s">
        <v>76</v>
      </c>
      <c r="Q39" s="324">
        <v>9352.6</v>
      </c>
      <c r="R39" s="141">
        <f t="shared" si="1"/>
        <v>-9.299999999893771E-2</v>
      </c>
    </row>
    <row r="40" spans="1:20" s="318" customFormat="1">
      <c r="A40" s="313" t="s">
        <v>77</v>
      </c>
      <c r="B40" s="318" t="s">
        <v>78</v>
      </c>
      <c r="C40" s="319">
        <v>5812.8</v>
      </c>
      <c r="D40" s="319">
        <v>0</v>
      </c>
      <c r="E40" s="320">
        <v>5812.8</v>
      </c>
      <c r="F40" s="320">
        <v>0</v>
      </c>
      <c r="G40" s="320">
        <v>45.13</v>
      </c>
      <c r="H40" s="320">
        <v>0</v>
      </c>
      <c r="I40" s="320">
        <v>117.81</v>
      </c>
      <c r="J40" s="320">
        <v>887.44</v>
      </c>
      <c r="K40" s="320">
        <v>700.48700000000008</v>
      </c>
      <c r="L40" s="320">
        <v>1750.8670000000002</v>
      </c>
      <c r="M40" s="321">
        <v>4061.933</v>
      </c>
      <c r="N40" s="318" t="str">
        <f t="shared" si="0"/>
        <v>si</v>
      </c>
      <c r="O40" s="323" t="s">
        <v>465</v>
      </c>
      <c r="P40" s="322" t="s">
        <v>78</v>
      </c>
      <c r="Q40" s="324">
        <v>4062</v>
      </c>
      <c r="R40" s="141">
        <f t="shared" si="1"/>
        <v>6.7000000000007276E-2</v>
      </c>
    </row>
    <row r="41" spans="1:20" s="318" customFormat="1">
      <c r="A41" s="313" t="s">
        <v>79</v>
      </c>
      <c r="B41" s="318" t="s">
        <v>80</v>
      </c>
      <c r="C41" s="319">
        <v>3537.8</v>
      </c>
      <c r="D41" s="319">
        <v>0</v>
      </c>
      <c r="E41" s="320">
        <v>3537.8</v>
      </c>
      <c r="F41" s="320">
        <v>0</v>
      </c>
      <c r="G41" s="320">
        <v>45.13</v>
      </c>
      <c r="H41" s="320">
        <v>0</v>
      </c>
      <c r="I41" s="320">
        <v>0</v>
      </c>
      <c r="J41" s="320">
        <v>0</v>
      </c>
      <c r="K41" s="320">
        <v>472.98700000000002</v>
      </c>
      <c r="L41" s="320">
        <v>518.11700000000008</v>
      </c>
      <c r="M41" s="321">
        <v>3019.683</v>
      </c>
      <c r="N41" s="318" t="str">
        <f t="shared" si="0"/>
        <v>si</v>
      </c>
      <c r="O41" s="323" t="s">
        <v>466</v>
      </c>
      <c r="P41" s="322" t="s">
        <v>80</v>
      </c>
      <c r="Q41" s="324">
        <v>3019.6</v>
      </c>
      <c r="R41" s="141">
        <f t="shared" si="1"/>
        <v>-8.3000000000083674E-2</v>
      </c>
    </row>
    <row r="42" spans="1:20" s="130" customFormat="1">
      <c r="A42" s="30" t="s">
        <v>81</v>
      </c>
      <c r="B42" s="130" t="s">
        <v>82</v>
      </c>
      <c r="C42" s="141">
        <v>3503.6099999999997</v>
      </c>
      <c r="D42" s="141">
        <v>0</v>
      </c>
      <c r="E42" s="142">
        <v>3503.6099999999997</v>
      </c>
      <c r="F42" s="142">
        <v>0</v>
      </c>
      <c r="G42" s="142">
        <v>45.13</v>
      </c>
      <c r="H42" s="142">
        <v>0</v>
      </c>
      <c r="I42" s="142">
        <v>0</v>
      </c>
      <c r="J42" s="142">
        <v>0</v>
      </c>
      <c r="K42" s="142">
        <v>469.56799999999998</v>
      </c>
      <c r="L42" s="142">
        <v>514.69799999999998</v>
      </c>
      <c r="M42" s="143">
        <v>2988.9119999999998</v>
      </c>
      <c r="N42" s="130" t="str">
        <f t="shared" si="0"/>
        <v>si</v>
      </c>
      <c r="O42" s="323" t="s">
        <v>467</v>
      </c>
      <c r="P42" s="322" t="s">
        <v>82</v>
      </c>
      <c r="Q42" s="324">
        <v>2989</v>
      </c>
      <c r="R42" s="141">
        <f t="shared" si="1"/>
        <v>8.8000000000192813E-2</v>
      </c>
    </row>
    <row r="43" spans="1:20" s="130" customFormat="1" ht="15">
      <c r="A43" s="30"/>
      <c r="B43" s="264" t="s">
        <v>419</v>
      </c>
      <c r="C43" s="141">
        <v>629.46000000000026</v>
      </c>
      <c r="D43" s="141">
        <v>0</v>
      </c>
      <c r="E43" s="142">
        <v>629.46000000000026</v>
      </c>
      <c r="F43" s="142">
        <v>0</v>
      </c>
      <c r="G43" s="142">
        <v>45.13</v>
      </c>
      <c r="H43" s="142">
        <v>0</v>
      </c>
      <c r="I43" s="142">
        <v>0</v>
      </c>
      <c r="J43" s="142">
        <v>0</v>
      </c>
      <c r="K43" s="142">
        <v>0</v>
      </c>
      <c r="L43" s="142">
        <v>45.13</v>
      </c>
      <c r="M43" s="143">
        <v>584.33000000000027</v>
      </c>
      <c r="N43" s="130" t="str">
        <f>IF(B43=P44,"si","no")</f>
        <v>no</v>
      </c>
      <c r="O43" s="323"/>
      <c r="P43" s="322"/>
      <c r="Q43" s="324">
        <v>584.4</v>
      </c>
      <c r="R43" s="141">
        <f t="shared" si="1"/>
        <v>6.9999999999708962E-2</v>
      </c>
      <c r="S43" s="303" t="s">
        <v>404</v>
      </c>
    </row>
    <row r="44" spans="1:20" s="130" customFormat="1">
      <c r="A44" s="30" t="s">
        <v>83</v>
      </c>
      <c r="B44" s="130" t="s">
        <v>84</v>
      </c>
      <c r="C44" s="141">
        <v>1312.8000000000002</v>
      </c>
      <c r="D44" s="141">
        <v>0</v>
      </c>
      <c r="E44" s="142">
        <v>1312.8000000000002</v>
      </c>
      <c r="F44" s="142">
        <v>0</v>
      </c>
      <c r="G44" s="142">
        <v>45.13</v>
      </c>
      <c r="H44" s="142">
        <v>0</v>
      </c>
      <c r="I44" s="142">
        <v>0</v>
      </c>
      <c r="J44" s="142">
        <v>0</v>
      </c>
      <c r="K44" s="142">
        <v>0</v>
      </c>
      <c r="L44" s="142">
        <v>45.13</v>
      </c>
      <c r="M44" s="143">
        <v>1267.67</v>
      </c>
      <c r="N44" s="130" t="str">
        <f>IF(B44=P45,"si","no")</f>
        <v>no</v>
      </c>
      <c r="O44" s="323" t="s">
        <v>468</v>
      </c>
      <c r="P44" s="322" t="s">
        <v>84</v>
      </c>
      <c r="Q44" s="324">
        <v>1267.8</v>
      </c>
      <c r="R44" s="141">
        <f t="shared" si="1"/>
        <v>0.12999999999988177</v>
      </c>
    </row>
    <row r="45" spans="1:20" s="130" customFormat="1">
      <c r="A45" s="30" t="s">
        <v>147</v>
      </c>
      <c r="B45" s="130" t="s">
        <v>336</v>
      </c>
      <c r="C45" s="141">
        <v>15672.009999999998</v>
      </c>
      <c r="D45" s="141">
        <v>0</v>
      </c>
      <c r="E45" s="142">
        <v>15672.009999999998</v>
      </c>
      <c r="F45" s="142">
        <v>0</v>
      </c>
      <c r="G45" s="142">
        <v>45.13</v>
      </c>
      <c r="H45" s="142">
        <v>0</v>
      </c>
      <c r="I45" s="142">
        <v>0</v>
      </c>
      <c r="J45" s="142">
        <v>0</v>
      </c>
      <c r="K45" s="142">
        <v>1686.4079999999999</v>
      </c>
      <c r="L45" s="142">
        <v>1731.538</v>
      </c>
      <c r="M45" s="143">
        <v>13940.471999999998</v>
      </c>
      <c r="N45" s="130" t="str">
        <f>IF(B45=P46,"si","no")</f>
        <v>no</v>
      </c>
      <c r="O45" s="323" t="s">
        <v>147</v>
      </c>
      <c r="P45" s="322" t="s">
        <v>336</v>
      </c>
      <c r="Q45" s="324">
        <v>13940.4</v>
      </c>
      <c r="R45" s="141">
        <f t="shared" si="1"/>
        <v>-7.1999999998297426E-2</v>
      </c>
      <c r="S45" s="303" t="s">
        <v>90</v>
      </c>
    </row>
    <row r="46" spans="1:20" s="130" customFormat="1">
      <c r="A46" s="30" t="s">
        <v>401</v>
      </c>
      <c r="B46" s="130" t="s">
        <v>382</v>
      </c>
      <c r="C46" s="141">
        <v>2012.8000000000002</v>
      </c>
      <c r="D46" s="141">
        <v>0</v>
      </c>
      <c r="E46" s="142">
        <v>2012.8000000000002</v>
      </c>
      <c r="F46" s="142">
        <v>0</v>
      </c>
      <c r="G46" s="142">
        <v>45.13</v>
      </c>
      <c r="H46" s="142">
        <v>0</v>
      </c>
      <c r="I46" s="142">
        <v>0</v>
      </c>
      <c r="J46" s="142">
        <v>0</v>
      </c>
      <c r="K46" s="142">
        <v>0</v>
      </c>
      <c r="L46" s="142">
        <v>45.13</v>
      </c>
      <c r="M46" s="143">
        <v>1967.67</v>
      </c>
      <c r="N46" s="130" t="str">
        <f>IF(B46=P47,"si","no")</f>
        <v>no</v>
      </c>
      <c r="O46" s="323" t="s">
        <v>401</v>
      </c>
      <c r="P46" s="322" t="s">
        <v>469</v>
      </c>
      <c r="Q46" s="324">
        <v>1967.8</v>
      </c>
      <c r="R46" s="141">
        <f t="shared" si="1"/>
        <v>0.12999999999988177</v>
      </c>
      <c r="S46" s="315" t="s">
        <v>496</v>
      </c>
      <c r="T46" s="314" t="s">
        <v>86</v>
      </c>
    </row>
    <row r="47" spans="1:20" s="130" customFormat="1" ht="15">
      <c r="A47" s="30"/>
      <c r="B47" s="267" t="s">
        <v>422</v>
      </c>
      <c r="C47" s="141">
        <v>762.80000000000018</v>
      </c>
      <c r="D47" s="141">
        <v>0</v>
      </c>
      <c r="E47" s="142">
        <v>762.80000000000018</v>
      </c>
      <c r="F47" s="142">
        <v>0</v>
      </c>
      <c r="G47" s="142">
        <v>45.13</v>
      </c>
      <c r="H47" s="142">
        <v>0</v>
      </c>
      <c r="I47" s="142">
        <v>0</v>
      </c>
      <c r="J47" s="142">
        <v>0</v>
      </c>
      <c r="K47" s="142">
        <v>0</v>
      </c>
      <c r="L47" s="142">
        <v>45.13</v>
      </c>
      <c r="M47" s="143">
        <v>717.67000000000019</v>
      </c>
      <c r="N47" s="130" t="str">
        <f>IF(B47=P49,"si","no")</f>
        <v>no</v>
      </c>
      <c r="O47" s="323" t="s">
        <v>471</v>
      </c>
      <c r="P47" s="322" t="s">
        <v>472</v>
      </c>
      <c r="Q47" s="324">
        <v>717.8</v>
      </c>
      <c r="R47" s="141">
        <f t="shared" si="1"/>
        <v>0.12999999999976808</v>
      </c>
      <c r="S47" s="315" t="s">
        <v>495</v>
      </c>
      <c r="T47" s="314" t="s">
        <v>88</v>
      </c>
    </row>
    <row r="48" spans="1:20" s="130" customFormat="1">
      <c r="A48" s="30" t="s">
        <v>91</v>
      </c>
      <c r="B48" s="130" t="s">
        <v>92</v>
      </c>
      <c r="C48" s="141">
        <v>4512.8</v>
      </c>
      <c r="D48" s="141">
        <v>0</v>
      </c>
      <c r="E48" s="142">
        <v>4512.8</v>
      </c>
      <c r="F48" s="142">
        <v>0</v>
      </c>
      <c r="G48" s="142">
        <v>45.13</v>
      </c>
      <c r="H48" s="142">
        <v>0</v>
      </c>
      <c r="I48" s="142">
        <v>0</v>
      </c>
      <c r="J48" s="142">
        <v>395.88</v>
      </c>
      <c r="K48" s="142">
        <v>570.48699999999997</v>
      </c>
      <c r="L48" s="142">
        <v>1011.497</v>
      </c>
      <c r="M48" s="143">
        <v>3501.3030000000003</v>
      </c>
      <c r="N48" s="130" t="str">
        <f>IF(B48=P48,"si","no")</f>
        <v>si</v>
      </c>
      <c r="O48" s="323" t="s">
        <v>91</v>
      </c>
      <c r="P48" s="322" t="s">
        <v>92</v>
      </c>
      <c r="Q48" s="324">
        <v>3501.4</v>
      </c>
      <c r="R48" s="141">
        <f t="shared" si="1"/>
        <v>9.6999999999752617E-2</v>
      </c>
      <c r="S48" s="315" t="s">
        <v>470</v>
      </c>
      <c r="T48" s="314" t="s">
        <v>404</v>
      </c>
    </row>
    <row r="49" spans="1:20" s="130" customFormat="1">
      <c r="A49" s="30" t="s">
        <v>93</v>
      </c>
      <c r="B49" s="130" t="s">
        <v>374</v>
      </c>
      <c r="C49" s="141">
        <v>27651.94</v>
      </c>
      <c r="D49" s="141">
        <v>0</v>
      </c>
      <c r="E49" s="142">
        <v>27651.94</v>
      </c>
      <c r="F49" s="142">
        <v>0</v>
      </c>
      <c r="G49" s="142">
        <v>45.13</v>
      </c>
      <c r="H49" s="142">
        <v>0</v>
      </c>
      <c r="I49" s="142">
        <v>0</v>
      </c>
      <c r="J49" s="142">
        <v>0</v>
      </c>
      <c r="K49" s="142">
        <v>2884.4009999999998</v>
      </c>
      <c r="L49" s="142">
        <v>2929.5309999999999</v>
      </c>
      <c r="M49" s="143">
        <v>24722.409</v>
      </c>
      <c r="N49" s="130" t="str">
        <f t="shared" ref="N49:N68" si="2">IF(B49=P50,"si","no")</f>
        <v>no</v>
      </c>
      <c r="O49" s="323" t="s">
        <v>93</v>
      </c>
      <c r="P49" s="322" t="s">
        <v>94</v>
      </c>
      <c r="Q49" s="324">
        <v>24722.400000000001</v>
      </c>
      <c r="R49" s="141">
        <f t="shared" si="1"/>
        <v>-8.9999999981955625E-3</v>
      </c>
      <c r="S49" s="315" t="s">
        <v>473</v>
      </c>
      <c r="T49" s="314" t="s">
        <v>90</v>
      </c>
    </row>
    <row r="50" spans="1:20" s="130" customFormat="1">
      <c r="A50" s="30" t="s">
        <v>95</v>
      </c>
      <c r="B50" s="130" t="s">
        <v>337</v>
      </c>
      <c r="C50" s="141">
        <v>1762.8000000000002</v>
      </c>
      <c r="D50" s="141">
        <v>0</v>
      </c>
      <c r="E50" s="142">
        <v>1762.8000000000002</v>
      </c>
      <c r="F50" s="142">
        <v>0</v>
      </c>
      <c r="G50" s="142">
        <v>45.13</v>
      </c>
      <c r="H50" s="142">
        <v>0</v>
      </c>
      <c r="I50" s="142">
        <v>0</v>
      </c>
      <c r="J50" s="142">
        <v>0</v>
      </c>
      <c r="K50" s="142">
        <v>0</v>
      </c>
      <c r="L50" s="142">
        <v>45.13</v>
      </c>
      <c r="M50" s="143">
        <v>1717.67</v>
      </c>
      <c r="N50" s="130" t="str">
        <f t="shared" si="2"/>
        <v>no</v>
      </c>
      <c r="O50" s="323" t="s">
        <v>474</v>
      </c>
      <c r="P50" s="322" t="s">
        <v>96</v>
      </c>
      <c r="Q50" s="324">
        <v>1717.8</v>
      </c>
      <c r="R50" s="141">
        <f t="shared" si="1"/>
        <v>0.12999999999988177</v>
      </c>
    </row>
    <row r="51" spans="1:20" s="130" customFormat="1">
      <c r="A51" s="30" t="s">
        <v>97</v>
      </c>
      <c r="B51" s="130" t="s">
        <v>394</v>
      </c>
      <c r="C51" s="141">
        <v>7822.3600000000015</v>
      </c>
      <c r="D51" s="141">
        <v>0</v>
      </c>
      <c r="E51" s="142">
        <v>7822.3600000000015</v>
      </c>
      <c r="F51" s="142">
        <v>0</v>
      </c>
      <c r="G51" s="142">
        <v>45.13</v>
      </c>
      <c r="H51" s="142">
        <v>0</v>
      </c>
      <c r="I51" s="142">
        <v>117.81</v>
      </c>
      <c r="J51" s="142">
        <v>0</v>
      </c>
      <c r="K51" s="142">
        <v>901.44300000000021</v>
      </c>
      <c r="L51" s="142">
        <v>1064.3830000000003</v>
      </c>
      <c r="M51" s="143">
        <v>6757.9770000000008</v>
      </c>
      <c r="N51" s="130" t="str">
        <f t="shared" si="2"/>
        <v>no</v>
      </c>
      <c r="O51" s="323" t="s">
        <v>475</v>
      </c>
      <c r="P51" s="322" t="s">
        <v>98</v>
      </c>
      <c r="Q51" s="324">
        <v>6758</v>
      </c>
      <c r="R51" s="141">
        <f t="shared" si="1"/>
        <v>2.2999999999228748E-2</v>
      </c>
    </row>
    <row r="52" spans="1:20" s="130" customFormat="1">
      <c r="A52" s="30" t="s">
        <v>99</v>
      </c>
      <c r="B52" s="130" t="s">
        <v>100</v>
      </c>
      <c r="C52" s="141">
        <v>2142.8000000000002</v>
      </c>
      <c r="D52" s="141">
        <v>0</v>
      </c>
      <c r="E52" s="142">
        <v>2142.8000000000002</v>
      </c>
      <c r="F52" s="142">
        <v>0</v>
      </c>
      <c r="G52" s="142">
        <v>45.13</v>
      </c>
      <c r="H52" s="142">
        <v>0</v>
      </c>
      <c r="I52" s="142">
        <v>0</v>
      </c>
      <c r="J52" s="142">
        <v>0</v>
      </c>
      <c r="K52" s="142">
        <v>0</v>
      </c>
      <c r="L52" s="142">
        <v>45.13</v>
      </c>
      <c r="M52" s="143">
        <v>2097.67</v>
      </c>
      <c r="N52" s="130" t="str">
        <f t="shared" si="2"/>
        <v>no</v>
      </c>
      <c r="O52" s="323" t="s">
        <v>476</v>
      </c>
      <c r="P52" s="322" t="s">
        <v>100</v>
      </c>
      <c r="Q52" s="324">
        <v>2097.8000000000002</v>
      </c>
      <c r="R52" s="141">
        <f t="shared" si="1"/>
        <v>0.13000000000010914</v>
      </c>
    </row>
    <row r="53" spans="1:20" s="130" customFormat="1">
      <c r="A53" s="30" t="s">
        <v>101</v>
      </c>
      <c r="B53" s="130" t="s">
        <v>429</v>
      </c>
      <c r="C53" s="141">
        <v>8518.7999999999993</v>
      </c>
      <c r="D53" s="141">
        <v>0</v>
      </c>
      <c r="E53" s="142">
        <v>8518.7999999999993</v>
      </c>
      <c r="F53" s="142">
        <v>0</v>
      </c>
      <c r="G53" s="142">
        <v>45.13</v>
      </c>
      <c r="H53" s="142">
        <v>0</v>
      </c>
      <c r="I53" s="142">
        <v>0</v>
      </c>
      <c r="J53" s="142">
        <v>0</v>
      </c>
      <c r="K53" s="142">
        <v>971.09</v>
      </c>
      <c r="L53" s="142">
        <v>1016.22</v>
      </c>
      <c r="M53" s="143">
        <v>7502.579999999999</v>
      </c>
      <c r="N53" s="130" t="str">
        <f t="shared" si="2"/>
        <v>no</v>
      </c>
      <c r="O53" s="323" t="s">
        <v>477</v>
      </c>
      <c r="P53" s="322" t="s">
        <v>478</v>
      </c>
      <c r="Q53" s="324">
        <v>7502.6</v>
      </c>
      <c r="R53" s="141">
        <f t="shared" si="1"/>
        <v>2.0000000001346052E-2</v>
      </c>
    </row>
    <row r="54" spans="1:20" s="130" customFormat="1">
      <c r="A54" s="30" t="s">
        <v>371</v>
      </c>
      <c r="B54" s="130" t="s">
        <v>372</v>
      </c>
      <c r="C54" s="141">
        <v>4762.8</v>
      </c>
      <c r="D54" s="141">
        <v>0</v>
      </c>
      <c r="E54" s="142">
        <v>4762.8</v>
      </c>
      <c r="F54" s="142">
        <v>0</v>
      </c>
      <c r="G54" s="142">
        <v>45.13</v>
      </c>
      <c r="H54" s="142">
        <v>0</v>
      </c>
      <c r="I54" s="142">
        <v>0</v>
      </c>
      <c r="J54" s="142">
        <v>1014.46</v>
      </c>
      <c r="K54" s="142">
        <v>595.48699999999997</v>
      </c>
      <c r="L54" s="142">
        <v>1655.0770000000002</v>
      </c>
      <c r="M54" s="143">
        <v>3107.723</v>
      </c>
      <c r="N54" s="130" t="str">
        <f t="shared" si="2"/>
        <v>no</v>
      </c>
      <c r="O54" s="323" t="s">
        <v>371</v>
      </c>
      <c r="P54" s="322" t="s">
        <v>372</v>
      </c>
      <c r="Q54" s="324">
        <v>3107.8</v>
      </c>
      <c r="R54" s="141">
        <f t="shared" si="1"/>
        <v>7.7000000000225555E-2</v>
      </c>
    </row>
    <row r="55" spans="1:20" s="130" customFormat="1" ht="15">
      <c r="A55" s="30"/>
      <c r="B55" s="311" t="s">
        <v>423</v>
      </c>
      <c r="C55" s="141">
        <v>762.80000000000018</v>
      </c>
      <c r="D55" s="141">
        <v>0</v>
      </c>
      <c r="E55" s="142">
        <v>762.80000000000018</v>
      </c>
      <c r="F55" s="142">
        <v>0</v>
      </c>
      <c r="G55" s="142">
        <v>45.13</v>
      </c>
      <c r="H55" s="142">
        <v>0</v>
      </c>
      <c r="I55" s="142">
        <v>0</v>
      </c>
      <c r="J55" s="142">
        <v>0</v>
      </c>
      <c r="K55" s="142">
        <v>0</v>
      </c>
      <c r="L55" s="142">
        <v>45.13</v>
      </c>
      <c r="M55" s="143">
        <v>717.67000000000019</v>
      </c>
      <c r="N55" s="130" t="str">
        <f t="shared" si="2"/>
        <v>no</v>
      </c>
      <c r="O55" s="323" t="s">
        <v>479</v>
      </c>
      <c r="P55" s="322" t="s">
        <v>480</v>
      </c>
      <c r="Q55" s="324">
        <v>717.8</v>
      </c>
      <c r="R55" s="141">
        <f t="shared" si="1"/>
        <v>0.12999999999976808</v>
      </c>
    </row>
    <row r="56" spans="1:20" s="130" customFormat="1">
      <c r="A56" s="304" t="s">
        <v>402</v>
      </c>
      <c r="B56" s="312" t="s">
        <v>375</v>
      </c>
      <c r="C56" s="141">
        <v>2012.8000000000002</v>
      </c>
      <c r="D56" s="141">
        <v>0</v>
      </c>
      <c r="E56" s="142">
        <v>2012.8000000000002</v>
      </c>
      <c r="F56" s="142">
        <v>0</v>
      </c>
      <c r="G56" s="142">
        <v>45.13</v>
      </c>
      <c r="H56" s="142">
        <v>0</v>
      </c>
      <c r="I56" s="142">
        <v>0</v>
      </c>
      <c r="J56" s="142">
        <v>0</v>
      </c>
      <c r="K56" s="142">
        <v>0</v>
      </c>
      <c r="L56" s="142">
        <v>45.13</v>
      </c>
      <c r="M56" s="143">
        <v>1967.67</v>
      </c>
      <c r="N56" s="130" t="str">
        <f t="shared" si="2"/>
        <v>no</v>
      </c>
      <c r="O56" s="323" t="s">
        <v>402</v>
      </c>
      <c r="P56" s="322" t="s">
        <v>481</v>
      </c>
      <c r="Q56" s="324">
        <v>1967.8</v>
      </c>
      <c r="R56" s="141">
        <f t="shared" si="1"/>
        <v>0.12999999999988177</v>
      </c>
    </row>
    <row r="57" spans="1:20" s="130" customFormat="1">
      <c r="A57" s="30" t="s">
        <v>103</v>
      </c>
      <c r="B57" s="130" t="s">
        <v>104</v>
      </c>
      <c r="C57" s="141">
        <v>2762.8</v>
      </c>
      <c r="D57" s="141">
        <v>0</v>
      </c>
      <c r="E57" s="142">
        <v>2762.8</v>
      </c>
      <c r="F57" s="142">
        <v>0</v>
      </c>
      <c r="G57" s="142">
        <v>45.13</v>
      </c>
      <c r="H57" s="142">
        <v>0</v>
      </c>
      <c r="I57" s="142">
        <v>0</v>
      </c>
      <c r="J57" s="142">
        <v>1303.1099999999999</v>
      </c>
      <c r="K57" s="142">
        <v>0</v>
      </c>
      <c r="L57" s="142">
        <v>1348.24</v>
      </c>
      <c r="M57" s="143">
        <v>1414.5600000000002</v>
      </c>
      <c r="N57" s="130" t="str">
        <f t="shared" si="2"/>
        <v>no</v>
      </c>
      <c r="O57" s="323" t="s">
        <v>338</v>
      </c>
      <c r="P57" s="322" t="s">
        <v>104</v>
      </c>
      <c r="Q57" s="324">
        <v>1414.6</v>
      </c>
      <c r="R57" s="141">
        <f t="shared" si="1"/>
        <v>3.9999999999736247E-2</v>
      </c>
    </row>
    <row r="58" spans="1:20" s="130" customFormat="1">
      <c r="A58" s="30" t="s">
        <v>105</v>
      </c>
      <c r="B58" s="130" t="s">
        <v>106</v>
      </c>
      <c r="C58" s="141">
        <v>5896.43</v>
      </c>
      <c r="D58" s="141">
        <v>0</v>
      </c>
      <c r="E58" s="142">
        <v>5896.43</v>
      </c>
      <c r="F58" s="142">
        <v>0</v>
      </c>
      <c r="G58" s="142">
        <v>45.13</v>
      </c>
      <c r="H58" s="142">
        <v>0</v>
      </c>
      <c r="I58" s="142">
        <v>117.81</v>
      </c>
      <c r="J58" s="142">
        <v>1041.05</v>
      </c>
      <c r="K58" s="142">
        <v>708.85</v>
      </c>
      <c r="L58" s="142">
        <v>1912.8400000000001</v>
      </c>
      <c r="M58" s="143">
        <v>3983.59</v>
      </c>
      <c r="N58" s="130" t="str">
        <f t="shared" si="2"/>
        <v>no</v>
      </c>
      <c r="O58" s="323" t="s">
        <v>482</v>
      </c>
      <c r="P58" s="322" t="s">
        <v>106</v>
      </c>
      <c r="Q58" s="324">
        <v>3983.6</v>
      </c>
      <c r="R58" s="141">
        <f t="shared" si="1"/>
        <v>9.9999999997635314E-3</v>
      </c>
    </row>
    <row r="59" spans="1:20" s="130" customFormat="1">
      <c r="A59" s="30" t="s">
        <v>107</v>
      </c>
      <c r="B59" s="130" t="s">
        <v>108</v>
      </c>
      <c r="C59" s="141">
        <v>2602.8000000000002</v>
      </c>
      <c r="D59" s="141">
        <v>0</v>
      </c>
      <c r="E59" s="142">
        <v>2602.8000000000002</v>
      </c>
      <c r="F59" s="142">
        <v>0</v>
      </c>
      <c r="G59" s="142">
        <v>45.13</v>
      </c>
      <c r="H59" s="142">
        <v>0</v>
      </c>
      <c r="I59" s="142">
        <v>76.56</v>
      </c>
      <c r="J59" s="142">
        <v>0</v>
      </c>
      <c r="K59" s="142">
        <v>0</v>
      </c>
      <c r="L59" s="142">
        <v>121.69</v>
      </c>
      <c r="M59" s="143">
        <v>2481.11</v>
      </c>
      <c r="N59" s="130" t="str">
        <f t="shared" si="2"/>
        <v>no</v>
      </c>
      <c r="O59" s="323" t="s">
        <v>107</v>
      </c>
      <c r="P59" s="322" t="s">
        <v>108</v>
      </c>
      <c r="Q59" s="324">
        <v>2481</v>
      </c>
      <c r="R59" s="141">
        <f t="shared" si="1"/>
        <v>-0.11000000000012733</v>
      </c>
    </row>
    <row r="60" spans="1:20" s="318" customFormat="1">
      <c r="A60" s="313" t="s">
        <v>109</v>
      </c>
      <c r="B60" s="318" t="s">
        <v>110</v>
      </c>
      <c r="C60" s="319">
        <v>17262.8</v>
      </c>
      <c r="D60" s="319">
        <v>0</v>
      </c>
      <c r="E60" s="320">
        <v>17262.8</v>
      </c>
      <c r="F60" s="320">
        <v>0</v>
      </c>
      <c r="G60" s="320">
        <v>45.13</v>
      </c>
      <c r="H60" s="320">
        <v>0</v>
      </c>
      <c r="I60" s="320">
        <v>0</v>
      </c>
      <c r="J60" s="320">
        <v>462.61</v>
      </c>
      <c r="K60" s="320">
        <v>1845.4870000000001</v>
      </c>
      <c r="L60" s="320">
        <v>2353.2269999999999</v>
      </c>
      <c r="M60" s="321">
        <v>14909.573</v>
      </c>
      <c r="N60" s="318" t="str">
        <f t="shared" si="2"/>
        <v>no</v>
      </c>
      <c r="O60" s="323" t="s">
        <v>483</v>
      </c>
      <c r="P60" s="322" t="s">
        <v>110</v>
      </c>
      <c r="Q60" s="324">
        <v>14909.6</v>
      </c>
      <c r="R60" s="141">
        <f t="shared" si="1"/>
        <v>2.7000000000043656E-2</v>
      </c>
      <c r="S60" s="313" t="s">
        <v>487</v>
      </c>
      <c r="T60" s="318" t="s">
        <v>405</v>
      </c>
    </row>
    <row r="61" spans="1:20" s="130" customFormat="1">
      <c r="A61" s="30" t="s">
        <v>111</v>
      </c>
      <c r="B61" s="130" t="s">
        <v>112</v>
      </c>
      <c r="C61" s="141">
        <v>1762.8000000000002</v>
      </c>
      <c r="D61" s="141">
        <v>0</v>
      </c>
      <c r="E61" s="142">
        <v>1762.8000000000002</v>
      </c>
      <c r="F61" s="142">
        <v>150</v>
      </c>
      <c r="G61" s="142">
        <v>45.13</v>
      </c>
      <c r="H61" s="142">
        <v>0</v>
      </c>
      <c r="I61" s="142">
        <v>0</v>
      </c>
      <c r="J61" s="142">
        <v>0</v>
      </c>
      <c r="K61" s="142">
        <v>0</v>
      </c>
      <c r="L61" s="142">
        <v>195.13</v>
      </c>
      <c r="M61" s="143">
        <v>1567.67</v>
      </c>
      <c r="N61" s="130" t="str">
        <f t="shared" si="2"/>
        <v>no</v>
      </c>
      <c r="O61" s="323" t="s">
        <v>111</v>
      </c>
      <c r="P61" s="322" t="s">
        <v>112</v>
      </c>
      <c r="Q61" s="324">
        <v>1567.8</v>
      </c>
      <c r="R61" s="141">
        <f t="shared" si="1"/>
        <v>0.12999999999988177</v>
      </c>
    </row>
    <row r="62" spans="1:20" s="318" customFormat="1">
      <c r="A62" s="313" t="s">
        <v>113</v>
      </c>
      <c r="B62" s="318" t="s">
        <v>114</v>
      </c>
      <c r="C62" s="319">
        <v>5262.8</v>
      </c>
      <c r="D62" s="319">
        <v>0</v>
      </c>
      <c r="E62" s="320">
        <v>5262.8</v>
      </c>
      <c r="F62" s="320">
        <v>0</v>
      </c>
      <c r="G62" s="320">
        <v>45.13</v>
      </c>
      <c r="H62" s="320">
        <v>0</v>
      </c>
      <c r="I62" s="320">
        <v>0</v>
      </c>
      <c r="J62" s="320">
        <v>0</v>
      </c>
      <c r="K62" s="320">
        <v>645.48700000000008</v>
      </c>
      <c r="L62" s="320">
        <v>690.61700000000008</v>
      </c>
      <c r="M62" s="321">
        <v>4572.183</v>
      </c>
      <c r="N62" s="318" t="str">
        <f t="shared" si="2"/>
        <v>no</v>
      </c>
      <c r="O62" s="323" t="s">
        <v>484</v>
      </c>
      <c r="P62" s="322" t="s">
        <v>114</v>
      </c>
      <c r="Q62" s="324">
        <v>4572.2</v>
      </c>
      <c r="R62" s="141">
        <f t="shared" si="1"/>
        <v>1.6999999999825377E-2</v>
      </c>
    </row>
    <row r="63" spans="1:20" s="306" customFormat="1">
      <c r="A63" s="30" t="s">
        <v>115</v>
      </c>
      <c r="B63" s="130" t="s">
        <v>116</v>
      </c>
      <c r="C63" s="141">
        <v>1762.8000000000002</v>
      </c>
      <c r="D63" s="141">
        <v>0</v>
      </c>
      <c r="E63" s="142">
        <v>1762.8000000000002</v>
      </c>
      <c r="F63" s="142">
        <v>0</v>
      </c>
      <c r="G63" s="142">
        <v>45.13</v>
      </c>
      <c r="H63" s="142">
        <v>0</v>
      </c>
      <c r="I63" s="142">
        <v>0</v>
      </c>
      <c r="J63" s="142">
        <v>0</v>
      </c>
      <c r="K63" s="142">
        <v>0</v>
      </c>
      <c r="L63" s="142">
        <v>45.13</v>
      </c>
      <c r="M63" s="143">
        <v>1717.67</v>
      </c>
      <c r="N63" s="130" t="str">
        <f t="shared" si="2"/>
        <v>no</v>
      </c>
      <c r="O63" s="323" t="s">
        <v>485</v>
      </c>
      <c r="P63" s="322" t="s">
        <v>116</v>
      </c>
      <c r="Q63" s="324">
        <v>1717.8</v>
      </c>
      <c r="R63" s="141">
        <f t="shared" si="1"/>
        <v>0.12999999999988177</v>
      </c>
    </row>
    <row r="64" spans="1:20">
      <c r="A64" s="30" t="s">
        <v>117</v>
      </c>
      <c r="B64" s="130" t="s">
        <v>118</v>
      </c>
      <c r="C64" s="141">
        <v>2762.8</v>
      </c>
      <c r="D64" s="141">
        <v>0</v>
      </c>
      <c r="E64" s="142">
        <v>2762.8</v>
      </c>
      <c r="F64" s="142">
        <v>0</v>
      </c>
      <c r="G64" s="142">
        <v>45.13</v>
      </c>
      <c r="H64" s="142">
        <v>0</v>
      </c>
      <c r="I64" s="142">
        <v>0</v>
      </c>
      <c r="J64" s="142">
        <v>1309.77</v>
      </c>
      <c r="K64" s="142">
        <v>0</v>
      </c>
      <c r="L64" s="142">
        <v>1354.9</v>
      </c>
      <c r="M64" s="143">
        <v>1407.9</v>
      </c>
      <c r="N64" s="130" t="str">
        <f t="shared" si="2"/>
        <v>no</v>
      </c>
      <c r="O64" s="323" t="s">
        <v>486</v>
      </c>
      <c r="P64" s="322" t="s">
        <v>118</v>
      </c>
      <c r="Q64" s="324">
        <v>1407.8</v>
      </c>
      <c r="R64" s="141">
        <f t="shared" si="1"/>
        <v>-0.10000000000013642</v>
      </c>
    </row>
    <row r="65" spans="1:18">
      <c r="A65" s="30" t="s">
        <v>406</v>
      </c>
      <c r="B65" s="130" t="s">
        <v>384</v>
      </c>
      <c r="C65" s="141">
        <v>2762.8</v>
      </c>
      <c r="D65" s="141">
        <v>0</v>
      </c>
      <c r="E65" s="142">
        <v>2762.8</v>
      </c>
      <c r="F65" s="142">
        <v>0</v>
      </c>
      <c r="G65" s="142">
        <v>45.13</v>
      </c>
      <c r="H65" s="142">
        <v>0</v>
      </c>
      <c r="I65" s="142">
        <v>0</v>
      </c>
      <c r="J65" s="142">
        <v>0</v>
      </c>
      <c r="K65" s="142">
        <v>0</v>
      </c>
      <c r="L65" s="142">
        <v>45.13</v>
      </c>
      <c r="M65" s="143">
        <v>2717.67</v>
      </c>
      <c r="N65" s="130" t="str">
        <f t="shared" si="2"/>
        <v>no</v>
      </c>
      <c r="O65" s="323" t="s">
        <v>406</v>
      </c>
      <c r="P65" s="322" t="s">
        <v>488</v>
      </c>
      <c r="Q65" s="324">
        <v>2717.6</v>
      </c>
      <c r="R65" s="141">
        <f t="shared" si="1"/>
        <v>-7.0000000000163709E-2</v>
      </c>
    </row>
    <row r="66" spans="1:18">
      <c r="A66" s="30" t="s">
        <v>152</v>
      </c>
      <c r="B66" s="130" t="s">
        <v>14</v>
      </c>
      <c r="C66" s="141">
        <v>4318.8</v>
      </c>
      <c r="D66" s="141">
        <v>0</v>
      </c>
      <c r="E66" s="142">
        <v>4318.8</v>
      </c>
      <c r="F66" s="142">
        <v>0</v>
      </c>
      <c r="G66" s="142">
        <v>45.13</v>
      </c>
      <c r="H66" s="142">
        <v>0</v>
      </c>
      <c r="I66" s="142">
        <v>0</v>
      </c>
      <c r="J66" s="142">
        <v>0</v>
      </c>
      <c r="K66" s="142">
        <v>551.08699999999999</v>
      </c>
      <c r="L66" s="142">
        <v>596.21699999999998</v>
      </c>
      <c r="M66" s="143">
        <v>3722.5830000000001</v>
      </c>
      <c r="N66" s="130" t="str">
        <f t="shared" si="2"/>
        <v>no</v>
      </c>
      <c r="O66" s="323" t="s">
        <v>489</v>
      </c>
      <c r="P66" s="322" t="s">
        <v>14</v>
      </c>
      <c r="Q66" s="324">
        <v>3722.4</v>
      </c>
      <c r="R66" s="141">
        <f t="shared" si="1"/>
        <v>-0.18299999999999272</v>
      </c>
    </row>
    <row r="67" spans="1:18">
      <c r="A67" s="30" t="s">
        <v>119</v>
      </c>
      <c r="B67" s="130" t="s">
        <v>120</v>
      </c>
      <c r="C67" s="141">
        <v>5887.8</v>
      </c>
      <c r="D67" s="141">
        <v>0</v>
      </c>
      <c r="E67" s="142">
        <v>5887.8</v>
      </c>
      <c r="F67" s="142">
        <v>0</v>
      </c>
      <c r="G67" s="142">
        <v>45.13</v>
      </c>
      <c r="H67" s="142">
        <v>0</v>
      </c>
      <c r="I67" s="142">
        <v>0</v>
      </c>
      <c r="J67" s="142">
        <v>288.38</v>
      </c>
      <c r="K67" s="142">
        <v>707.98700000000008</v>
      </c>
      <c r="L67" s="142">
        <v>1041.4970000000001</v>
      </c>
      <c r="M67" s="143">
        <v>4846.3029999999999</v>
      </c>
      <c r="N67" s="130" t="str">
        <f t="shared" si="2"/>
        <v>no</v>
      </c>
      <c r="O67" s="323" t="s">
        <v>490</v>
      </c>
      <c r="P67" s="322" t="s">
        <v>120</v>
      </c>
      <c r="Q67" s="324">
        <v>4846.2</v>
      </c>
      <c r="R67" s="141">
        <f t="shared" si="1"/>
        <v>-0.10300000000006548</v>
      </c>
    </row>
    <row r="68" spans="1:18" s="318" customFormat="1">
      <c r="A68" s="313" t="s">
        <v>121</v>
      </c>
      <c r="B68" s="318" t="s">
        <v>122</v>
      </c>
      <c r="C68" s="319">
        <v>58583.41</v>
      </c>
      <c r="D68" s="319">
        <v>0</v>
      </c>
      <c r="E68" s="320">
        <v>58583.41</v>
      </c>
      <c r="F68" s="320">
        <v>1500</v>
      </c>
      <c r="G68" s="320">
        <v>45.13</v>
      </c>
      <c r="H68" s="320">
        <v>491.57</v>
      </c>
      <c r="I68" s="320">
        <v>0</v>
      </c>
      <c r="J68" s="320">
        <v>92.96</v>
      </c>
      <c r="K68" s="320">
        <v>5977.5480000000007</v>
      </c>
      <c r="L68" s="320">
        <v>8107.2080000000005</v>
      </c>
      <c r="M68" s="321">
        <v>50476.202000000005</v>
      </c>
      <c r="N68" s="318" t="str">
        <f t="shared" si="2"/>
        <v>no</v>
      </c>
      <c r="O68" s="323" t="s">
        <v>491</v>
      </c>
      <c r="P68" s="322" t="s">
        <v>122</v>
      </c>
      <c r="Q68" s="324">
        <v>50476.2</v>
      </c>
      <c r="R68" s="141">
        <f>+Q68-M68</f>
        <v>-2.0000000076834112E-3</v>
      </c>
    </row>
    <row r="69" spans="1:18">
      <c r="A69" s="310"/>
      <c r="B69" s="303"/>
      <c r="C69" s="307"/>
      <c r="D69" s="309"/>
      <c r="E69" s="309"/>
      <c r="F69" s="309"/>
      <c r="G69" s="309"/>
      <c r="H69" s="309"/>
      <c r="K69" s="8"/>
      <c r="L69" s="307"/>
      <c r="M69" s="307"/>
      <c r="O69" s="313"/>
      <c r="P69" s="318"/>
      <c r="Q69" s="318"/>
    </row>
    <row r="70" spans="1:18"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O70" s="303"/>
    </row>
    <row r="71" spans="1:18">
      <c r="A71" s="308"/>
      <c r="B71" s="306"/>
      <c r="C71" s="306" t="s">
        <v>15</v>
      </c>
      <c r="D71" s="306" t="s">
        <v>15</v>
      </c>
      <c r="E71" s="306" t="s">
        <v>15</v>
      </c>
      <c r="F71" s="306" t="s">
        <v>15</v>
      </c>
      <c r="G71" s="306" t="s">
        <v>15</v>
      </c>
      <c r="H71" s="306" t="s">
        <v>15</v>
      </c>
      <c r="I71" s="306" t="s">
        <v>15</v>
      </c>
      <c r="J71" s="306" t="s">
        <v>15</v>
      </c>
      <c r="K71" s="306" t="s">
        <v>15</v>
      </c>
      <c r="L71" s="306" t="s">
        <v>15</v>
      </c>
      <c r="M71" s="306" t="s">
        <v>15</v>
      </c>
      <c r="O71" s="303"/>
    </row>
    <row r="72" spans="1:18">
      <c r="A72" s="310" t="s">
        <v>16</v>
      </c>
      <c r="B72" s="303" t="s">
        <v>17</v>
      </c>
      <c r="C72" s="309">
        <f>SUM(C11:C71)</f>
        <v>441972.84999999963</v>
      </c>
      <c r="D72" s="317">
        <f t="shared" ref="D72:M72" si="3">SUM(D11:D71)</f>
        <v>0</v>
      </c>
      <c r="E72" s="317">
        <f t="shared" si="3"/>
        <v>441972.84999999963</v>
      </c>
      <c r="F72" s="317">
        <f t="shared" si="3"/>
        <v>2750</v>
      </c>
      <c r="G72" s="317">
        <f t="shared" si="3"/>
        <v>2572.4100000000035</v>
      </c>
      <c r="H72" s="317">
        <f t="shared" si="3"/>
        <v>1720.54</v>
      </c>
      <c r="I72" s="317">
        <f t="shared" si="3"/>
        <v>1318.7199999999996</v>
      </c>
      <c r="J72" s="317">
        <f t="shared" si="3"/>
        <v>13670.38</v>
      </c>
      <c r="K72" s="317">
        <f t="shared" si="3"/>
        <v>43366.677000000003</v>
      </c>
      <c r="L72" s="317">
        <f t="shared" si="3"/>
        <v>65398.726999999977</v>
      </c>
      <c r="M72" s="317">
        <f t="shared" si="3"/>
        <v>376574.12299999996</v>
      </c>
      <c r="O72" s="303"/>
    </row>
    <row r="73" spans="1:18">
      <c r="O73" s="303"/>
    </row>
    <row r="74" spans="1:18">
      <c r="M74" s="303">
        <v>376575.6</v>
      </c>
      <c r="O74" s="303"/>
    </row>
    <row r="75" spans="1:18">
      <c r="M75" s="316">
        <f>+M72-M74</f>
        <v>-1.4770000000135042</v>
      </c>
      <c r="O75" s="303"/>
    </row>
    <row r="76" spans="1:18">
      <c r="O76" s="303"/>
    </row>
    <row r="77" spans="1:18">
      <c r="O77" s="303"/>
    </row>
    <row r="78" spans="1:18">
      <c r="O78" s="303"/>
    </row>
    <row r="84" spans="1:13">
      <c r="A84" s="304" t="s">
        <v>89</v>
      </c>
      <c r="B84" s="303" t="s">
        <v>90</v>
      </c>
      <c r="C84" s="307">
        <v>2012.8000000000002</v>
      </c>
      <c r="D84" s="307">
        <v>0</v>
      </c>
      <c r="E84" s="13">
        <v>2012.8000000000002</v>
      </c>
      <c r="F84" s="13">
        <v>0</v>
      </c>
      <c r="G84" s="13">
        <v>45.13</v>
      </c>
      <c r="H84" s="13">
        <v>0</v>
      </c>
      <c r="I84" s="13">
        <v>0</v>
      </c>
      <c r="J84" s="13">
        <v>0</v>
      </c>
      <c r="K84" s="13">
        <v>0</v>
      </c>
      <c r="L84" s="13">
        <v>45.13</v>
      </c>
      <c r="M84" s="13">
        <v>1967.67</v>
      </c>
    </row>
  </sheetData>
  <pageMargins left="0.42" right="0.70866141732283472" top="0.42" bottom="0.46" header="0.31496062992125984" footer="0.31496062992125984"/>
  <pageSetup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84"/>
  <sheetViews>
    <sheetView zoomScaleNormal="100" workbookViewId="0">
      <pane xSplit="4" ySplit="8" topLeftCell="M9" activePane="bottomRight" state="frozen"/>
      <selection pane="topRight" activeCell="E1" sqref="E1"/>
      <selection pane="bottomLeft" activeCell="A9" sqref="A9"/>
      <selection pane="bottomRight" activeCell="M1" sqref="M1:Q65536"/>
    </sheetView>
  </sheetViews>
  <sheetFormatPr baseColWidth="10" defaultRowHeight="15"/>
  <cols>
    <col min="1" max="1" width="11.42578125" style="8"/>
    <col min="2" max="2" width="11.42578125" style="11"/>
    <col min="3" max="3" width="11.140625" style="8" bestFit="1" customWidth="1"/>
    <col min="4" max="4" width="33.42578125" style="8" customWidth="1"/>
    <col min="5" max="5" width="11.42578125" style="137"/>
    <col min="6" max="6" width="4" style="137" customWidth="1"/>
    <col min="7" max="7" width="11.42578125" style="8"/>
    <col min="8" max="8" width="11.5703125" style="11" customWidth="1"/>
    <col min="9" max="9" width="13.42578125" style="8" customWidth="1"/>
    <col min="10" max="10" width="40.42578125" style="8" bestFit="1" customWidth="1"/>
    <col min="11" max="11" width="11.42578125" style="137"/>
    <col min="12" max="12" width="11.42578125" style="8"/>
    <col min="13" max="13" width="36.5703125" style="8" customWidth="1"/>
    <col min="14" max="14" width="11.42578125" style="8"/>
    <col min="15" max="15" width="11.42578125" style="137"/>
    <col min="16" max="16" width="32.85546875" style="8" customWidth="1"/>
    <col min="17" max="17" width="11.42578125" style="322"/>
    <col min="18" max="16384" width="11.42578125" style="137"/>
  </cols>
  <sheetData>
    <row r="1" spans="1:17">
      <c r="A1" s="7" t="s">
        <v>0</v>
      </c>
      <c r="B1" s="270"/>
      <c r="C1" s="137"/>
      <c r="D1" s="90" t="s">
        <v>370</v>
      </c>
      <c r="E1" s="90"/>
      <c r="G1" s="271" t="s">
        <v>0</v>
      </c>
      <c r="H1" s="270"/>
      <c r="J1" s="272" t="s">
        <v>17</v>
      </c>
      <c r="L1" s="18" t="s">
        <v>0</v>
      </c>
      <c r="M1" s="325" t="s">
        <v>17</v>
      </c>
      <c r="N1" s="302"/>
      <c r="P1" s="113" t="s">
        <v>17</v>
      </c>
    </row>
    <row r="2" spans="1:17" ht="18">
      <c r="A2" s="9" t="s">
        <v>1</v>
      </c>
      <c r="B2" s="273" t="s">
        <v>149</v>
      </c>
      <c r="C2" s="137"/>
      <c r="G2" s="273" t="s">
        <v>368</v>
      </c>
      <c r="H2" s="274"/>
      <c r="L2" s="19" t="s">
        <v>1</v>
      </c>
      <c r="M2" s="10" t="s">
        <v>501</v>
      </c>
      <c r="N2" s="302"/>
      <c r="P2" s="2" t="s">
        <v>368</v>
      </c>
    </row>
    <row r="3" spans="1:17" ht="15.75">
      <c r="A3" s="137"/>
      <c r="B3" s="275" t="s">
        <v>2</v>
      </c>
      <c r="C3" s="137"/>
      <c r="D3" s="298" t="s">
        <v>430</v>
      </c>
      <c r="G3" s="276" t="s">
        <v>2</v>
      </c>
      <c r="H3" s="277"/>
      <c r="L3" s="302"/>
      <c r="M3" s="326" t="s">
        <v>2</v>
      </c>
      <c r="N3" s="302"/>
      <c r="P3" s="31" t="s">
        <v>2</v>
      </c>
    </row>
    <row r="4" spans="1:17" ht="15.75">
      <c r="A4" s="137"/>
      <c r="B4" s="275" t="e">
        <f>+#REF!</f>
        <v>#REF!</v>
      </c>
      <c r="C4" s="133"/>
      <c r="G4" s="278" t="e">
        <f>+B4</f>
        <v>#REF!</v>
      </c>
      <c r="H4" s="277"/>
      <c r="L4" s="302"/>
      <c r="M4" s="4" t="s">
        <v>500</v>
      </c>
      <c r="N4" s="110"/>
      <c r="P4" s="4" t="s">
        <v>500</v>
      </c>
    </row>
    <row r="5" spans="1:17" ht="15.75">
      <c r="A5" s="137"/>
      <c r="B5" s="275" t="s">
        <v>150</v>
      </c>
      <c r="C5" s="137"/>
      <c r="G5" s="11"/>
      <c r="H5" s="277"/>
      <c r="L5" s="302"/>
      <c r="M5" s="305"/>
      <c r="N5" s="302"/>
      <c r="P5" s="305" t="s">
        <v>150</v>
      </c>
    </row>
    <row r="6" spans="1:17" ht="15.75">
      <c r="A6" s="137"/>
      <c r="B6" s="275" t="s">
        <v>3</v>
      </c>
      <c r="C6" s="137"/>
      <c r="G6" s="11"/>
      <c r="H6" s="277"/>
      <c r="L6" s="302"/>
      <c r="M6" s="305"/>
      <c r="N6" s="302"/>
      <c r="P6" s="305" t="s">
        <v>3</v>
      </c>
    </row>
    <row r="8" spans="1:17" ht="15.75" thickBot="1">
      <c r="A8" s="17" t="s">
        <v>4</v>
      </c>
      <c r="B8" s="279"/>
      <c r="C8" s="12" t="s">
        <v>11</v>
      </c>
      <c r="D8" s="12" t="s">
        <v>5</v>
      </c>
      <c r="G8" s="17" t="s">
        <v>4</v>
      </c>
      <c r="H8" s="279"/>
      <c r="I8" s="12" t="s">
        <v>11</v>
      </c>
      <c r="J8" s="12" t="s">
        <v>5</v>
      </c>
      <c r="L8" s="27" t="s">
        <v>4</v>
      </c>
      <c r="M8" s="6" t="s">
        <v>5</v>
      </c>
      <c r="N8" s="28" t="s">
        <v>11</v>
      </c>
      <c r="P8" s="6" t="s">
        <v>5</v>
      </c>
      <c r="Q8" s="28" t="s">
        <v>11</v>
      </c>
    </row>
    <row r="9" spans="1:17" s="135" customFormat="1" ht="15.75" thickTop="1">
      <c r="B9" s="280"/>
      <c r="H9" s="280"/>
      <c r="L9" s="302"/>
      <c r="M9" s="302"/>
      <c r="N9" s="302"/>
      <c r="P9" s="302"/>
      <c r="Q9" s="302"/>
    </row>
    <row r="10" spans="1:17" s="135" customFormat="1">
      <c r="A10" s="14" t="s">
        <v>21</v>
      </c>
      <c r="B10" s="281">
        <v>1183378845</v>
      </c>
      <c r="C10" s="282">
        <v>1237.1999999999998</v>
      </c>
      <c r="D10" s="15" t="s">
        <v>155</v>
      </c>
      <c r="E10" s="135" t="str">
        <f>IF(D10=M10,"SI","NO")</f>
        <v>NO</v>
      </c>
      <c r="G10" s="14" t="s">
        <v>21</v>
      </c>
      <c r="H10" s="281">
        <v>1183378845</v>
      </c>
      <c r="I10" s="282">
        <v>1554.98</v>
      </c>
      <c r="J10" s="15" t="s">
        <v>155</v>
      </c>
      <c r="K10" s="135" t="e">
        <f>IF(J10=#REF!,"SI","NO")</f>
        <v>#REF!</v>
      </c>
      <c r="L10" s="265" t="s">
        <v>24</v>
      </c>
      <c r="M10" s="266" t="s">
        <v>25</v>
      </c>
      <c r="N10" s="143">
        <v>1237.1999999999998</v>
      </c>
      <c r="O10" s="135" t="str">
        <f>IF(M10=P10,"SI","NO")</f>
        <v>SI</v>
      </c>
      <c r="P10" s="266" t="s">
        <v>25</v>
      </c>
      <c r="Q10" s="143">
        <v>2762.8</v>
      </c>
    </row>
    <row r="11" spans="1:17" s="135" customFormat="1">
      <c r="A11" s="14" t="s">
        <v>24</v>
      </c>
      <c r="B11" s="281">
        <v>2859592156</v>
      </c>
      <c r="C11" s="282">
        <v>1237.1999999999998</v>
      </c>
      <c r="D11" s="15" t="s">
        <v>25</v>
      </c>
      <c r="G11" s="14" t="s">
        <v>24</v>
      </c>
      <c r="H11" s="281">
        <v>2859592156</v>
      </c>
      <c r="I11" s="282">
        <v>2762.8</v>
      </c>
      <c r="J11" s="15" t="s">
        <v>25</v>
      </c>
      <c r="K11" s="135" t="str">
        <f t="shared" ref="K11:K42" si="0">IF(J11=L10,"SI","NO")</f>
        <v>NO</v>
      </c>
      <c r="L11" s="265" t="s">
        <v>26</v>
      </c>
      <c r="M11" s="266" t="s">
        <v>27</v>
      </c>
      <c r="N11" s="143">
        <v>1237.1999999999998</v>
      </c>
      <c r="O11" s="135" t="str">
        <f t="shared" ref="O11:O67" si="1">IF(M11=P11,"SI","NO")</f>
        <v>SI</v>
      </c>
      <c r="P11" s="266" t="s">
        <v>27</v>
      </c>
      <c r="Q11" s="143">
        <v>1762.8000000000002</v>
      </c>
    </row>
    <row r="12" spans="1:17" s="135" customFormat="1">
      <c r="A12" s="14" t="s">
        <v>26</v>
      </c>
      <c r="B12" s="281">
        <v>2914894898</v>
      </c>
      <c r="C12" s="282">
        <v>1237.1999999999998</v>
      </c>
      <c r="D12" s="15" t="s">
        <v>27</v>
      </c>
      <c r="G12" s="14" t="s">
        <v>26</v>
      </c>
      <c r="H12" s="281">
        <v>2914894898</v>
      </c>
      <c r="I12" s="282">
        <v>1762.8000000000002</v>
      </c>
      <c r="J12" s="15" t="s">
        <v>27</v>
      </c>
      <c r="K12" s="135" t="str">
        <f t="shared" si="0"/>
        <v>NO</v>
      </c>
      <c r="L12" s="265" t="s">
        <v>28</v>
      </c>
      <c r="M12" s="266" t="s">
        <v>29</v>
      </c>
      <c r="N12" s="143">
        <v>1237.1999999999998</v>
      </c>
      <c r="O12" s="135" t="str">
        <f t="shared" si="1"/>
        <v>SI</v>
      </c>
      <c r="P12" s="266" t="s">
        <v>29</v>
      </c>
      <c r="Q12" s="143">
        <v>1957.3000000000002</v>
      </c>
    </row>
    <row r="13" spans="1:17" s="135" customFormat="1">
      <c r="A13" s="14" t="s">
        <v>28</v>
      </c>
      <c r="B13" s="281">
        <v>1461266403</v>
      </c>
      <c r="C13" s="282">
        <v>1237.1999999999998</v>
      </c>
      <c r="D13" s="15" t="s">
        <v>29</v>
      </c>
      <c r="G13" s="14" t="s">
        <v>28</v>
      </c>
      <c r="H13" s="281">
        <v>1461266403</v>
      </c>
      <c r="I13" s="282">
        <v>1957.3000000000002</v>
      </c>
      <c r="J13" s="15" t="s">
        <v>29</v>
      </c>
      <c r="K13" s="135" t="str">
        <f t="shared" si="0"/>
        <v>NO</v>
      </c>
      <c r="L13" s="265" t="s">
        <v>30</v>
      </c>
      <c r="M13" s="266" t="s">
        <v>432</v>
      </c>
      <c r="N13" s="143">
        <v>1237.1999999999998</v>
      </c>
      <c r="O13" s="135" t="str">
        <f t="shared" si="1"/>
        <v>SI</v>
      </c>
      <c r="P13" s="266" t="s">
        <v>432</v>
      </c>
      <c r="Q13" s="143">
        <v>3581.4700000000003</v>
      </c>
    </row>
    <row r="14" spans="1:17" s="135" customFormat="1">
      <c r="A14" s="14" t="s">
        <v>30</v>
      </c>
      <c r="B14" s="281">
        <v>1467420064</v>
      </c>
      <c r="C14" s="282">
        <v>1237.1999999999998</v>
      </c>
      <c r="D14" s="15" t="s">
        <v>31</v>
      </c>
      <c r="G14" s="14" t="s">
        <v>30</v>
      </c>
      <c r="H14" s="281">
        <v>1467420064</v>
      </c>
      <c r="I14" s="282">
        <v>3581.4700000000003</v>
      </c>
      <c r="J14" s="15" t="s">
        <v>31</v>
      </c>
      <c r="K14" s="135" t="str">
        <f t="shared" si="0"/>
        <v>NO</v>
      </c>
      <c r="L14" s="265"/>
      <c r="M14" s="264" t="s">
        <v>410</v>
      </c>
      <c r="N14" s="143">
        <v>1237.1999999999998</v>
      </c>
      <c r="O14" s="135" t="str">
        <f t="shared" si="1"/>
        <v>SI</v>
      </c>
      <c r="P14" s="328" t="s">
        <v>410</v>
      </c>
      <c r="Q14" s="143">
        <v>1762.8000000000002</v>
      </c>
    </row>
    <row r="15" spans="1:17" s="135" customFormat="1">
      <c r="A15" s="14"/>
      <c r="B15" s="281">
        <v>1296442625</v>
      </c>
      <c r="C15" s="282">
        <v>1237.1999999999998</v>
      </c>
      <c r="D15" s="8" t="s">
        <v>410</v>
      </c>
      <c r="G15" s="14"/>
      <c r="H15" s="281">
        <v>1296442625</v>
      </c>
      <c r="I15" s="282">
        <v>2162.8000000000002</v>
      </c>
      <c r="J15" s="8" t="s">
        <v>410</v>
      </c>
      <c r="K15" s="135" t="str">
        <f t="shared" si="0"/>
        <v>NO</v>
      </c>
      <c r="L15" s="265"/>
      <c r="M15" s="138" t="s">
        <v>497</v>
      </c>
      <c r="N15" s="143">
        <v>1237.1999999999998</v>
      </c>
      <c r="O15" s="135" t="str">
        <f t="shared" si="1"/>
        <v>SI</v>
      </c>
      <c r="P15" s="138" t="s">
        <v>497</v>
      </c>
      <c r="Q15" s="143">
        <v>1762.8000000000002</v>
      </c>
    </row>
    <row r="16" spans="1:17" s="135" customFormat="1">
      <c r="A16" s="14" t="s">
        <v>130</v>
      </c>
      <c r="B16" s="281">
        <v>2966659578</v>
      </c>
      <c r="C16" s="282">
        <v>1237.1999999999998</v>
      </c>
      <c r="D16" s="15" t="s">
        <v>146</v>
      </c>
      <c r="G16" s="14" t="s">
        <v>130</v>
      </c>
      <c r="H16" s="281">
        <v>2966659578</v>
      </c>
      <c r="I16" s="282">
        <v>1762.8000000000002</v>
      </c>
      <c r="J16" s="15" t="s">
        <v>146</v>
      </c>
      <c r="K16" s="135" t="str">
        <f t="shared" si="0"/>
        <v>NO</v>
      </c>
      <c r="L16" s="265" t="s">
        <v>130</v>
      </c>
      <c r="M16" s="266" t="s">
        <v>282</v>
      </c>
      <c r="N16" s="143">
        <v>1237.1999999999998</v>
      </c>
      <c r="O16" s="135" t="str">
        <f t="shared" si="1"/>
        <v>SI</v>
      </c>
      <c r="P16" s="327" t="s">
        <v>282</v>
      </c>
      <c r="Q16" s="143">
        <v>1762.8000000000002</v>
      </c>
    </row>
    <row r="17" spans="1:17" s="135" customFormat="1">
      <c r="A17" s="14" t="s">
        <v>32</v>
      </c>
      <c r="B17" s="281">
        <v>2615562821</v>
      </c>
      <c r="C17" s="282">
        <v>1237.1999999999998</v>
      </c>
      <c r="D17" s="15" t="s">
        <v>33</v>
      </c>
      <c r="G17" s="14" t="s">
        <v>32</v>
      </c>
      <c r="H17" s="281">
        <v>2615562821</v>
      </c>
      <c r="I17" s="282">
        <v>975.99000000000024</v>
      </c>
      <c r="J17" s="15" t="s">
        <v>33</v>
      </c>
      <c r="K17" s="135" t="str">
        <f t="shared" si="0"/>
        <v>NO</v>
      </c>
      <c r="L17" s="265" t="s">
        <v>32</v>
      </c>
      <c r="M17" s="266" t="s">
        <v>33</v>
      </c>
      <c r="N17" s="143">
        <v>1237.1999999999998</v>
      </c>
      <c r="O17" s="135" t="str">
        <f t="shared" si="1"/>
        <v>SI</v>
      </c>
      <c r="P17" s="266" t="s">
        <v>33</v>
      </c>
      <c r="Q17" s="143">
        <v>975.99000000000024</v>
      </c>
    </row>
    <row r="18" spans="1:17" s="135" customFormat="1">
      <c r="A18" s="14" t="s">
        <v>34</v>
      </c>
      <c r="B18" s="281">
        <v>2987650868</v>
      </c>
      <c r="C18" s="282">
        <v>1237.1999999999998</v>
      </c>
      <c r="D18" s="15" t="s">
        <v>35</v>
      </c>
      <c r="G18" s="14" t="s">
        <v>34</v>
      </c>
      <c r="H18" s="281">
        <v>2987650868</v>
      </c>
      <c r="I18" s="282">
        <v>3763.2000000000003</v>
      </c>
      <c r="J18" s="15" t="s">
        <v>35</v>
      </c>
      <c r="K18" s="135" t="str">
        <f t="shared" si="0"/>
        <v>NO</v>
      </c>
      <c r="L18" s="265" t="s">
        <v>34</v>
      </c>
      <c r="M18" s="266" t="s">
        <v>35</v>
      </c>
      <c r="N18" s="143">
        <v>1237.1999999999998</v>
      </c>
      <c r="O18" s="135" t="str">
        <f t="shared" si="1"/>
        <v>SI</v>
      </c>
      <c r="P18" s="266" t="s">
        <v>35</v>
      </c>
      <c r="Q18" s="143">
        <v>3763.2000000000003</v>
      </c>
    </row>
    <row r="19" spans="1:17" s="135" customFormat="1">
      <c r="A19" s="14" t="s">
        <v>38</v>
      </c>
      <c r="B19" s="281">
        <v>2893195635</v>
      </c>
      <c r="C19" s="282">
        <v>1237.1999999999998</v>
      </c>
      <c r="D19" s="15" t="s">
        <v>39</v>
      </c>
      <c r="G19" s="14" t="s">
        <v>38</v>
      </c>
      <c r="H19" s="281">
        <v>2893195635</v>
      </c>
      <c r="I19" s="282">
        <v>1738.2200000000003</v>
      </c>
      <c r="J19" s="15" t="s">
        <v>39</v>
      </c>
      <c r="K19" s="135" t="str">
        <f t="shared" si="0"/>
        <v>NO</v>
      </c>
      <c r="L19" s="265" t="s">
        <v>38</v>
      </c>
      <c r="M19" s="266" t="s">
        <v>39</v>
      </c>
      <c r="N19" s="143">
        <v>1237.1999999999998</v>
      </c>
      <c r="O19" s="135" t="str">
        <f t="shared" si="1"/>
        <v>SI</v>
      </c>
      <c r="P19" s="266" t="s">
        <v>39</v>
      </c>
      <c r="Q19" s="143">
        <v>1738.2200000000003</v>
      </c>
    </row>
    <row r="20" spans="1:17" s="135" customFormat="1">
      <c r="A20" s="14" t="s">
        <v>40</v>
      </c>
      <c r="B20" s="281">
        <v>2765125111</v>
      </c>
      <c r="C20" s="282">
        <v>1237.1999999999998</v>
      </c>
      <c r="D20" s="15" t="s">
        <v>386</v>
      </c>
      <c r="G20" s="14" t="s">
        <v>40</v>
      </c>
      <c r="H20" s="281">
        <v>2765125111</v>
      </c>
      <c r="I20" s="282">
        <v>412.80000000000018</v>
      </c>
      <c r="J20" s="15" t="s">
        <v>386</v>
      </c>
      <c r="K20" s="135" t="str">
        <f t="shared" si="0"/>
        <v>NO</v>
      </c>
      <c r="L20" s="265" t="s">
        <v>40</v>
      </c>
      <c r="M20" s="266" t="s">
        <v>386</v>
      </c>
      <c r="N20" s="143">
        <v>1237.1999999999998</v>
      </c>
      <c r="O20" s="135" t="str">
        <f t="shared" si="1"/>
        <v>SI</v>
      </c>
      <c r="P20" s="266" t="s">
        <v>386</v>
      </c>
      <c r="Q20" s="143">
        <v>412.80000000000018</v>
      </c>
    </row>
    <row r="21" spans="1:17" s="135" customFormat="1">
      <c r="A21" s="14" t="s">
        <v>42</v>
      </c>
      <c r="B21" s="281">
        <v>2943846814</v>
      </c>
      <c r="C21" s="282">
        <v>1237.1999999999998</v>
      </c>
      <c r="D21" s="283" t="s">
        <v>43</v>
      </c>
      <c r="G21" s="14" t="s">
        <v>42</v>
      </c>
      <c r="H21" s="281">
        <v>2943846814</v>
      </c>
      <c r="I21" s="282">
        <v>2262.8000000000002</v>
      </c>
      <c r="J21" s="283" t="s">
        <v>43</v>
      </c>
      <c r="K21" s="135" t="str">
        <f t="shared" si="0"/>
        <v>NO</v>
      </c>
      <c r="L21" s="265" t="s">
        <v>42</v>
      </c>
      <c r="M21" s="266" t="s">
        <v>43</v>
      </c>
      <c r="N21" s="143">
        <v>1237.1999999999998</v>
      </c>
      <c r="O21" s="135" t="str">
        <f t="shared" si="1"/>
        <v>SI</v>
      </c>
      <c r="P21" s="266" t="s">
        <v>43</v>
      </c>
      <c r="Q21" s="143">
        <v>2262.8000000000002</v>
      </c>
    </row>
    <row r="22" spans="1:17" s="135" customFormat="1">
      <c r="A22" s="14" t="s">
        <v>44</v>
      </c>
      <c r="B22" s="281">
        <v>2637315589</v>
      </c>
      <c r="C22" s="282">
        <v>1237.1999999999998</v>
      </c>
      <c r="D22" s="15" t="s">
        <v>45</v>
      </c>
      <c r="G22" s="14" t="s">
        <v>44</v>
      </c>
      <c r="H22" s="281">
        <v>2637315589</v>
      </c>
      <c r="I22" s="282">
        <v>2417.36</v>
      </c>
      <c r="J22" s="15" t="s">
        <v>45</v>
      </c>
      <c r="K22" s="135" t="str">
        <f t="shared" si="0"/>
        <v>NO</v>
      </c>
      <c r="L22" s="265" t="s">
        <v>44</v>
      </c>
      <c r="M22" s="266" t="s">
        <v>45</v>
      </c>
      <c r="N22" s="143">
        <v>1237.1999999999998</v>
      </c>
      <c r="O22" s="135" t="str">
        <f t="shared" si="1"/>
        <v>SI</v>
      </c>
      <c r="P22" s="266" t="s">
        <v>45</v>
      </c>
      <c r="Q22" s="143">
        <v>2417.36</v>
      </c>
    </row>
    <row r="23" spans="1:17" s="135" customFormat="1">
      <c r="A23" s="14" t="s">
        <v>48</v>
      </c>
      <c r="B23" s="281">
        <v>2928980233</v>
      </c>
      <c r="C23" s="282">
        <v>1237.1999999999998</v>
      </c>
      <c r="D23" s="15" t="s">
        <v>49</v>
      </c>
      <c r="G23" s="14" t="s">
        <v>48</v>
      </c>
      <c r="H23" s="281">
        <v>2928980233</v>
      </c>
      <c r="I23" s="282">
        <v>1906.9800000000002</v>
      </c>
      <c r="J23" s="15" t="s">
        <v>49</v>
      </c>
      <c r="K23" s="135" t="str">
        <f t="shared" si="0"/>
        <v>NO</v>
      </c>
      <c r="L23" s="265" t="s">
        <v>46</v>
      </c>
      <c r="M23" s="266" t="s">
        <v>387</v>
      </c>
      <c r="N23" s="143">
        <v>1237.1999999999998</v>
      </c>
      <c r="O23" s="135" t="str">
        <f t="shared" si="1"/>
        <v>SI</v>
      </c>
      <c r="P23" s="266" t="s">
        <v>387</v>
      </c>
      <c r="Q23" s="143">
        <v>2512.8000000000002</v>
      </c>
    </row>
    <row r="24" spans="1:17" s="135" customFormat="1">
      <c r="A24" s="14" t="s">
        <v>51</v>
      </c>
      <c r="B24" s="281">
        <v>2734223152</v>
      </c>
      <c r="C24" s="282">
        <v>1237.1999999999998</v>
      </c>
      <c r="D24" s="15" t="s">
        <v>52</v>
      </c>
      <c r="G24" s="14" t="s">
        <v>51</v>
      </c>
      <c r="H24" s="281">
        <v>2734223152</v>
      </c>
      <c r="I24" s="282">
        <v>2952.61</v>
      </c>
      <c r="J24" s="15" t="s">
        <v>52</v>
      </c>
      <c r="K24" s="135" t="str">
        <f t="shared" si="0"/>
        <v>NO</v>
      </c>
      <c r="L24" s="265" t="s">
        <v>48</v>
      </c>
      <c r="M24" s="266" t="s">
        <v>49</v>
      </c>
      <c r="N24" s="143">
        <v>1237.1999999999998</v>
      </c>
      <c r="O24" s="135" t="str">
        <f t="shared" si="1"/>
        <v>SI</v>
      </c>
      <c r="P24" s="266" t="s">
        <v>49</v>
      </c>
      <c r="Q24" s="143">
        <v>1906.9800000000002</v>
      </c>
    </row>
    <row r="25" spans="1:17" s="135" customFormat="1">
      <c r="A25" s="14" t="s">
        <v>53</v>
      </c>
      <c r="B25" s="281">
        <v>2897100388</v>
      </c>
      <c r="C25" s="282">
        <v>1237.1999999999998</v>
      </c>
      <c r="D25" s="15" t="s">
        <v>54</v>
      </c>
      <c r="G25" s="14" t="s">
        <v>53</v>
      </c>
      <c r="H25" s="281">
        <v>2897100388</v>
      </c>
      <c r="I25" s="282">
        <v>674.84000000000015</v>
      </c>
      <c r="J25" s="15" t="s">
        <v>54</v>
      </c>
      <c r="K25" s="135" t="str">
        <f t="shared" si="0"/>
        <v>NO</v>
      </c>
      <c r="L25" s="265"/>
      <c r="M25" s="138" t="s">
        <v>498</v>
      </c>
      <c r="N25" s="143">
        <v>1237.1999999999998</v>
      </c>
      <c r="O25" s="135" t="str">
        <f t="shared" si="1"/>
        <v>SI</v>
      </c>
      <c r="P25" s="291" t="s">
        <v>498</v>
      </c>
      <c r="Q25" s="143">
        <v>1562.79</v>
      </c>
    </row>
    <row r="26" spans="1:17" s="135" customFormat="1">
      <c r="A26" s="14" t="s">
        <v>55</v>
      </c>
      <c r="B26" s="281">
        <v>2743852393</v>
      </c>
      <c r="C26" s="282">
        <v>1237.1999999999998</v>
      </c>
      <c r="D26" s="15" t="s">
        <v>56</v>
      </c>
      <c r="G26" s="14" t="s">
        <v>55</v>
      </c>
      <c r="H26" s="281">
        <v>2743852393</v>
      </c>
      <c r="I26" s="282">
        <v>1644.9900000000002</v>
      </c>
      <c r="J26" s="15" t="s">
        <v>56</v>
      </c>
      <c r="K26" s="135" t="str">
        <f t="shared" si="0"/>
        <v>NO</v>
      </c>
      <c r="L26" s="265" t="s">
        <v>51</v>
      </c>
      <c r="M26" s="266" t="s">
        <v>52</v>
      </c>
      <c r="N26" s="143">
        <v>1237.1999999999998</v>
      </c>
      <c r="O26" s="135" t="str">
        <f t="shared" si="1"/>
        <v>SI</v>
      </c>
      <c r="P26" s="327" t="s">
        <v>52</v>
      </c>
      <c r="Q26" s="143">
        <v>2952.61</v>
      </c>
    </row>
    <row r="27" spans="1:17" s="135" customFormat="1">
      <c r="A27" s="14" t="s">
        <v>57</v>
      </c>
      <c r="B27" s="281">
        <v>2949799338</v>
      </c>
      <c r="C27" s="282">
        <v>1237.1999999999998</v>
      </c>
      <c r="D27" s="15" t="s">
        <v>58</v>
      </c>
      <c r="G27" s="14" t="s">
        <v>57</v>
      </c>
      <c r="H27" s="281">
        <v>2949799338</v>
      </c>
      <c r="I27" s="282">
        <v>1157.4900000000002</v>
      </c>
      <c r="J27" s="15" t="s">
        <v>58</v>
      </c>
      <c r="K27" s="135" t="str">
        <f t="shared" si="0"/>
        <v>NO</v>
      </c>
      <c r="L27" s="265" t="s">
        <v>53</v>
      </c>
      <c r="M27" s="266" t="s">
        <v>54</v>
      </c>
      <c r="N27" s="143">
        <v>1237.1999999999998</v>
      </c>
      <c r="O27" s="135" t="str">
        <f t="shared" si="1"/>
        <v>SI</v>
      </c>
      <c r="P27" s="266" t="s">
        <v>54</v>
      </c>
      <c r="Q27" s="143">
        <v>1512.8000000000002</v>
      </c>
    </row>
    <row r="28" spans="1:17" s="135" customFormat="1">
      <c r="A28" s="14" t="s">
        <v>59</v>
      </c>
      <c r="B28" s="281">
        <v>2945821312</v>
      </c>
      <c r="C28" s="282">
        <v>1237.1999999999998</v>
      </c>
      <c r="D28" s="15" t="s">
        <v>60</v>
      </c>
      <c r="G28" s="14" t="s">
        <v>59</v>
      </c>
      <c r="H28" s="281">
        <v>2945821312</v>
      </c>
      <c r="I28" s="282">
        <v>1144.9900000000002</v>
      </c>
      <c r="J28" s="15" t="s">
        <v>60</v>
      </c>
      <c r="K28" s="135" t="str">
        <f t="shared" si="0"/>
        <v>NO</v>
      </c>
      <c r="L28" s="265" t="s">
        <v>55</v>
      </c>
      <c r="M28" s="266" t="s">
        <v>56</v>
      </c>
      <c r="N28" s="143">
        <v>1237.1999999999998</v>
      </c>
      <c r="O28" s="135" t="str">
        <f t="shared" si="1"/>
        <v>SI</v>
      </c>
      <c r="P28" s="266" t="s">
        <v>56</v>
      </c>
      <c r="Q28" s="143">
        <v>4944.99</v>
      </c>
    </row>
    <row r="29" spans="1:17" s="135" customFormat="1">
      <c r="A29" s="14" t="s">
        <v>61</v>
      </c>
      <c r="B29" s="281">
        <v>2871132644</v>
      </c>
      <c r="C29" s="282">
        <v>1237.1999999999998</v>
      </c>
      <c r="D29" s="15" t="s">
        <v>62</v>
      </c>
      <c r="G29" s="14" t="s">
        <v>61</v>
      </c>
      <c r="H29" s="281">
        <v>2871132644</v>
      </c>
      <c r="I29" s="282">
        <v>1149.4700000000003</v>
      </c>
      <c r="J29" s="15" t="s">
        <v>62</v>
      </c>
      <c r="K29" s="135" t="str">
        <f t="shared" si="0"/>
        <v>NO</v>
      </c>
      <c r="L29" s="265" t="s">
        <v>57</v>
      </c>
      <c r="M29" s="266" t="s">
        <v>58</v>
      </c>
      <c r="N29" s="143">
        <v>1237.1999999999998</v>
      </c>
      <c r="O29" s="135" t="str">
        <f t="shared" si="1"/>
        <v>SI</v>
      </c>
      <c r="P29" s="266" t="s">
        <v>58</v>
      </c>
      <c r="Q29" s="143">
        <v>1157.4900000000002</v>
      </c>
    </row>
    <row r="30" spans="1:17" s="135" customFormat="1">
      <c r="A30" s="14"/>
      <c r="B30" s="281">
        <v>1116618499</v>
      </c>
      <c r="C30" s="282">
        <v>907.28266666666673</v>
      </c>
      <c r="D30" s="15" t="s">
        <v>415</v>
      </c>
      <c r="G30" s="14"/>
      <c r="H30" s="281">
        <v>1116618499</v>
      </c>
      <c r="I30" s="282">
        <v>2882.047333333333</v>
      </c>
      <c r="J30" s="15" t="s">
        <v>415</v>
      </c>
      <c r="K30" s="135" t="str">
        <f t="shared" si="0"/>
        <v>NO</v>
      </c>
      <c r="L30" s="265" t="s">
        <v>59</v>
      </c>
      <c r="M30" s="266" t="s">
        <v>60</v>
      </c>
      <c r="N30" s="143">
        <v>1237.1999999999998</v>
      </c>
      <c r="O30" s="135" t="str">
        <f t="shared" si="1"/>
        <v>SI</v>
      </c>
      <c r="P30" s="266" t="s">
        <v>60</v>
      </c>
      <c r="Q30" s="143">
        <v>1644.9900000000002</v>
      </c>
    </row>
    <row r="31" spans="1:17" s="135" customFormat="1">
      <c r="A31" s="14" t="s">
        <v>63</v>
      </c>
      <c r="B31" s="281">
        <v>2887709471</v>
      </c>
      <c r="C31" s="282">
        <v>1237.1999999999998</v>
      </c>
      <c r="D31" s="15" t="s">
        <v>64</v>
      </c>
      <c r="G31" s="14" t="s">
        <v>63</v>
      </c>
      <c r="H31" s="281">
        <v>2887709471</v>
      </c>
      <c r="I31" s="282">
        <v>762.80000000000018</v>
      </c>
      <c r="J31" s="15" t="s">
        <v>64</v>
      </c>
      <c r="K31" s="135" t="str">
        <f t="shared" si="0"/>
        <v>NO</v>
      </c>
      <c r="L31" s="265" t="s">
        <v>61</v>
      </c>
      <c r="M31" s="266" t="s">
        <v>62</v>
      </c>
      <c r="N31" s="143">
        <v>1237.1999999999998</v>
      </c>
      <c r="O31" s="135" t="str">
        <f t="shared" si="1"/>
        <v>SI</v>
      </c>
      <c r="P31" s="266" t="s">
        <v>62</v>
      </c>
      <c r="Q31" s="143">
        <v>69.470000000000255</v>
      </c>
    </row>
    <row r="32" spans="1:17" s="135" customFormat="1">
      <c r="A32" s="14" t="s">
        <v>65</v>
      </c>
      <c r="B32" s="281">
        <v>2886339700</v>
      </c>
      <c r="C32" s="282">
        <v>1237.1999999999998</v>
      </c>
      <c r="D32" s="15" t="s">
        <v>66</v>
      </c>
      <c r="G32" s="14" t="s">
        <v>65</v>
      </c>
      <c r="H32" s="281">
        <v>2886339700</v>
      </c>
      <c r="I32" s="282">
        <v>1762.8000000000002</v>
      </c>
      <c r="J32" s="15" t="s">
        <v>66</v>
      </c>
      <c r="K32" s="135" t="str">
        <f t="shared" si="0"/>
        <v>NO</v>
      </c>
      <c r="L32" s="265" t="s">
        <v>63</v>
      </c>
      <c r="M32" s="266" t="s">
        <v>64</v>
      </c>
      <c r="N32" s="143">
        <v>1237.1999999999998</v>
      </c>
      <c r="O32" s="135" t="str">
        <f t="shared" si="1"/>
        <v>SI</v>
      </c>
      <c r="P32" s="266" t="s">
        <v>64</v>
      </c>
      <c r="Q32" s="143">
        <v>762.80000000000018</v>
      </c>
    </row>
    <row r="33" spans="1:17" s="135" customFormat="1">
      <c r="A33" s="14" t="s">
        <v>67</v>
      </c>
      <c r="B33" s="281">
        <v>1109785957</v>
      </c>
      <c r="C33" s="282">
        <v>1237.1999999999998</v>
      </c>
      <c r="D33" s="15" t="s">
        <v>388</v>
      </c>
      <c r="G33" s="14" t="s">
        <v>67</v>
      </c>
      <c r="H33" s="281">
        <v>1109785957</v>
      </c>
      <c r="I33" s="282">
        <v>1498.3900000000003</v>
      </c>
      <c r="J33" s="15" t="s">
        <v>388</v>
      </c>
      <c r="K33" s="135" t="str">
        <f t="shared" si="0"/>
        <v>NO</v>
      </c>
      <c r="L33" s="265" t="s">
        <v>65</v>
      </c>
      <c r="M33" s="266" t="s">
        <v>66</v>
      </c>
      <c r="N33" s="143">
        <v>1237.1999999999998</v>
      </c>
      <c r="O33" s="135" t="str">
        <f t="shared" si="1"/>
        <v>SI</v>
      </c>
      <c r="P33" s="266" t="s">
        <v>66</v>
      </c>
      <c r="Q33" s="143">
        <v>2142.8000000000002</v>
      </c>
    </row>
    <row r="34" spans="1:17" s="135" customFormat="1">
      <c r="A34" s="14"/>
      <c r="B34" s="290">
        <v>2946209440</v>
      </c>
      <c r="C34" s="282">
        <v>1237.1999999999998</v>
      </c>
      <c r="D34" s="15" t="s">
        <v>379</v>
      </c>
      <c r="G34" s="14"/>
      <c r="H34" s="290">
        <v>2946209440</v>
      </c>
      <c r="I34" s="282">
        <v>1762.8000000000002</v>
      </c>
      <c r="J34" s="15" t="s">
        <v>379</v>
      </c>
      <c r="K34" s="135" t="str">
        <f t="shared" si="0"/>
        <v>NO</v>
      </c>
      <c r="L34" s="265" t="s">
        <v>67</v>
      </c>
      <c r="M34" s="266" t="s">
        <v>433</v>
      </c>
      <c r="N34" s="143">
        <v>1237.1999999999998</v>
      </c>
      <c r="O34" s="135" t="str">
        <f t="shared" si="1"/>
        <v>SI</v>
      </c>
      <c r="P34" s="266" t="s">
        <v>433</v>
      </c>
      <c r="Q34" s="143">
        <v>1498.3900000000003</v>
      </c>
    </row>
    <row r="35" spans="1:17" s="135" customFormat="1">
      <c r="A35" s="14" t="s">
        <v>69</v>
      </c>
      <c r="B35" s="281">
        <v>2659973974</v>
      </c>
      <c r="C35" s="282">
        <v>1237</v>
      </c>
      <c r="D35" s="15" t="s">
        <v>373</v>
      </c>
      <c r="G35" s="14" t="s">
        <v>69</v>
      </c>
      <c r="H35" s="281">
        <v>2659973974</v>
      </c>
      <c r="I35" s="282">
        <v>2204.81</v>
      </c>
      <c r="J35" s="15" t="s">
        <v>373</v>
      </c>
      <c r="K35" s="135" t="str">
        <f t="shared" si="0"/>
        <v>NO</v>
      </c>
      <c r="L35" s="265"/>
      <c r="M35" s="139" t="s">
        <v>379</v>
      </c>
      <c r="N35" s="143">
        <v>1237.1999999999998</v>
      </c>
      <c r="O35" s="135" t="str">
        <f t="shared" si="1"/>
        <v>SI</v>
      </c>
      <c r="P35" s="329" t="s">
        <v>379</v>
      </c>
      <c r="Q35" s="143">
        <v>1762.8000000000002</v>
      </c>
    </row>
    <row r="36" spans="1:17" s="135" customFormat="1">
      <c r="A36" s="14" t="s">
        <v>71</v>
      </c>
      <c r="B36" s="281">
        <v>2786636659</v>
      </c>
      <c r="C36" s="282">
        <v>1237.1999999999998</v>
      </c>
      <c r="D36" s="15" t="s">
        <v>72</v>
      </c>
      <c r="G36" s="14" t="s">
        <v>71</v>
      </c>
      <c r="H36" s="281">
        <v>2786636659</v>
      </c>
      <c r="I36" s="282">
        <v>967.26000000000022</v>
      </c>
      <c r="J36" s="15" t="s">
        <v>72</v>
      </c>
      <c r="K36" s="135" t="str">
        <f t="shared" si="0"/>
        <v>NO</v>
      </c>
      <c r="L36" s="265" t="s">
        <v>69</v>
      </c>
      <c r="M36" s="266" t="s">
        <v>373</v>
      </c>
      <c r="N36" s="143">
        <v>1237.1999999999998</v>
      </c>
      <c r="O36" s="135" t="str">
        <f t="shared" si="1"/>
        <v>SI</v>
      </c>
      <c r="P36" s="327" t="s">
        <v>373</v>
      </c>
      <c r="Q36" s="143">
        <v>2204.61</v>
      </c>
    </row>
    <row r="37" spans="1:17" s="135" customFormat="1">
      <c r="A37" s="14" t="s">
        <v>75</v>
      </c>
      <c r="B37" s="281">
        <v>2745564778</v>
      </c>
      <c r="C37" s="282">
        <v>1237.1999999999998</v>
      </c>
      <c r="D37" s="15" t="s">
        <v>398</v>
      </c>
      <c r="G37" s="14" t="s">
        <v>75</v>
      </c>
      <c r="H37" s="281">
        <v>2745564778</v>
      </c>
      <c r="I37" s="282">
        <v>1444.9100000000003</v>
      </c>
      <c r="J37" s="15" t="s">
        <v>398</v>
      </c>
      <c r="K37" s="135" t="str">
        <f t="shared" si="0"/>
        <v>NO</v>
      </c>
      <c r="L37" s="265" t="s">
        <v>71</v>
      </c>
      <c r="M37" s="266" t="s">
        <v>72</v>
      </c>
      <c r="N37" s="143">
        <v>1237.1999999999998</v>
      </c>
      <c r="O37" s="135" t="str">
        <f t="shared" si="1"/>
        <v>SI</v>
      </c>
      <c r="P37" s="266" t="s">
        <v>72</v>
      </c>
      <c r="Q37" s="143">
        <v>7076.4950000000008</v>
      </c>
    </row>
    <row r="38" spans="1:17" s="135" customFormat="1">
      <c r="A38" s="14" t="s">
        <v>77</v>
      </c>
      <c r="B38" s="281">
        <v>2760229598</v>
      </c>
      <c r="C38" s="282">
        <v>1237.1999999999998</v>
      </c>
      <c r="D38" s="15" t="s">
        <v>78</v>
      </c>
      <c r="G38" s="14" t="s">
        <v>77</v>
      </c>
      <c r="H38" s="281">
        <v>2760229598</v>
      </c>
      <c r="I38" s="282">
        <v>4301.4500000000007</v>
      </c>
      <c r="J38" s="15" t="s">
        <v>78</v>
      </c>
      <c r="K38" s="135" t="str">
        <f t="shared" si="0"/>
        <v>NO</v>
      </c>
      <c r="L38" s="265" t="s">
        <v>75</v>
      </c>
      <c r="M38" s="266" t="s">
        <v>390</v>
      </c>
      <c r="N38" s="143">
        <v>1237.1999999999998</v>
      </c>
      <c r="O38" s="135" t="str">
        <f t="shared" si="1"/>
        <v>SI</v>
      </c>
      <c r="P38" s="266" t="s">
        <v>390</v>
      </c>
      <c r="Q38" s="143">
        <v>1444.9100000000003</v>
      </c>
    </row>
    <row r="39" spans="1:17" s="135" customFormat="1">
      <c r="A39" s="14" t="s">
        <v>79</v>
      </c>
      <c r="B39" s="281">
        <v>1404990536</v>
      </c>
      <c r="C39" s="282">
        <v>1237.1999999999998</v>
      </c>
      <c r="D39" s="15" t="s">
        <v>80</v>
      </c>
      <c r="G39" s="14" t="s">
        <v>79</v>
      </c>
      <c r="H39" s="281">
        <v>1404990536</v>
      </c>
      <c r="I39" s="282">
        <v>237.79999999999995</v>
      </c>
      <c r="J39" s="15" t="s">
        <v>80</v>
      </c>
      <c r="K39" s="135" t="str">
        <f t="shared" si="0"/>
        <v>NO</v>
      </c>
      <c r="L39" s="265" t="s">
        <v>77</v>
      </c>
      <c r="M39" s="266" t="s">
        <v>78</v>
      </c>
      <c r="N39" s="143">
        <v>1237.1999999999998</v>
      </c>
      <c r="O39" s="135" t="str">
        <f t="shared" si="1"/>
        <v>SI</v>
      </c>
      <c r="P39" s="266" t="s">
        <v>78</v>
      </c>
      <c r="Q39" s="143">
        <v>2257.5500000000002</v>
      </c>
    </row>
    <row r="40" spans="1:17" s="135" customFormat="1">
      <c r="A40" s="14" t="s">
        <v>81</v>
      </c>
      <c r="B40" s="281">
        <v>2884661508</v>
      </c>
      <c r="C40" s="282">
        <v>1237.1999999999998</v>
      </c>
      <c r="D40" s="15" t="s">
        <v>82</v>
      </c>
      <c r="G40" s="14" t="s">
        <v>81</v>
      </c>
      <c r="H40" s="281">
        <v>2884661508</v>
      </c>
      <c r="I40" s="282">
        <v>1112.8000000000002</v>
      </c>
      <c r="J40" s="15" t="s">
        <v>82</v>
      </c>
      <c r="K40" s="135" t="str">
        <f t="shared" si="0"/>
        <v>NO</v>
      </c>
      <c r="L40" s="265" t="s">
        <v>79</v>
      </c>
      <c r="M40" s="266" t="s">
        <v>80</v>
      </c>
      <c r="N40" s="143">
        <v>1237.1999999999998</v>
      </c>
      <c r="O40" s="135" t="str">
        <f t="shared" si="1"/>
        <v>SI</v>
      </c>
      <c r="P40" s="266" t="s">
        <v>80</v>
      </c>
      <c r="Q40" s="143">
        <v>287.79999999999995</v>
      </c>
    </row>
    <row r="41" spans="1:17" s="135" customFormat="1">
      <c r="A41" s="14"/>
      <c r="B41" s="281">
        <v>1116669077</v>
      </c>
      <c r="C41" s="282">
        <v>412.40666666666669</v>
      </c>
      <c r="D41" s="8" t="s">
        <v>419</v>
      </c>
      <c r="G41" s="14"/>
      <c r="H41" s="281">
        <v>1116669077</v>
      </c>
      <c r="I41" s="282">
        <v>254.25333333333327</v>
      </c>
      <c r="J41" s="8" t="s">
        <v>419</v>
      </c>
      <c r="K41" s="135" t="str">
        <f t="shared" si="0"/>
        <v>NO</v>
      </c>
      <c r="L41" s="265" t="s">
        <v>81</v>
      </c>
      <c r="M41" s="266" t="s">
        <v>82</v>
      </c>
      <c r="N41" s="143">
        <v>1237.1999999999998</v>
      </c>
      <c r="O41" s="135" t="str">
        <f t="shared" si="1"/>
        <v>SI</v>
      </c>
      <c r="P41" s="266" t="s">
        <v>82</v>
      </c>
      <c r="Q41" s="143">
        <v>1463.42</v>
      </c>
    </row>
    <row r="42" spans="1:17" s="135" customFormat="1">
      <c r="A42" s="14" t="s">
        <v>83</v>
      </c>
      <c r="B42" s="281">
        <v>2864339452</v>
      </c>
      <c r="C42" s="282">
        <v>1237.1999999999998</v>
      </c>
      <c r="D42" s="15" t="s">
        <v>84</v>
      </c>
      <c r="G42" s="14" t="s">
        <v>83</v>
      </c>
      <c r="H42" s="281">
        <v>2864339452</v>
      </c>
      <c r="I42" s="282">
        <v>1312.8000000000002</v>
      </c>
      <c r="J42" s="15" t="s">
        <v>84</v>
      </c>
      <c r="K42" s="135" t="str">
        <f t="shared" si="0"/>
        <v>NO</v>
      </c>
      <c r="L42" s="265"/>
      <c r="M42" s="264" t="s">
        <v>419</v>
      </c>
      <c r="N42" s="143">
        <v>1237.1999999999998</v>
      </c>
      <c r="O42" s="135" t="str">
        <f t="shared" si="1"/>
        <v>SI</v>
      </c>
      <c r="P42" s="328" t="s">
        <v>419</v>
      </c>
      <c r="Q42" s="143">
        <v>762.80000000000018</v>
      </c>
    </row>
    <row r="43" spans="1:17" s="135" customFormat="1">
      <c r="A43" s="14" t="s">
        <v>147</v>
      </c>
      <c r="B43" s="281">
        <v>2782513943</v>
      </c>
      <c r="C43" s="282">
        <v>1237.1999999999998</v>
      </c>
      <c r="D43" s="15" t="s">
        <v>336</v>
      </c>
      <c r="G43" s="14" t="s">
        <v>147</v>
      </c>
      <c r="H43" s="281">
        <v>2782513943</v>
      </c>
      <c r="I43" s="282">
        <v>1262.8000000000002</v>
      </c>
      <c r="J43" s="15" t="s">
        <v>336</v>
      </c>
      <c r="K43" s="135" t="str">
        <f t="shared" ref="K43:K64" si="2">IF(J43=L42,"SI","NO")</f>
        <v>NO</v>
      </c>
      <c r="L43" s="265" t="s">
        <v>83</v>
      </c>
      <c r="M43" s="266" t="s">
        <v>84</v>
      </c>
      <c r="N43" s="143">
        <v>1237.1999999999998</v>
      </c>
      <c r="O43" s="135" t="str">
        <f t="shared" si="1"/>
        <v>SI</v>
      </c>
      <c r="P43" s="327" t="s">
        <v>84</v>
      </c>
      <c r="Q43" s="143">
        <v>1312.8000000000002</v>
      </c>
    </row>
    <row r="44" spans="1:17" s="135" customFormat="1">
      <c r="A44" s="14"/>
      <c r="B44" s="281">
        <v>1131318969</v>
      </c>
      <c r="C44" s="13">
        <v>1190.0033333333333</v>
      </c>
      <c r="D44" s="15" t="s">
        <v>382</v>
      </c>
      <c r="G44" s="14"/>
      <c r="H44" s="281">
        <v>1131318969</v>
      </c>
      <c r="I44" s="282">
        <v>2059.9966666666669</v>
      </c>
      <c r="J44" s="15" t="s">
        <v>382</v>
      </c>
      <c r="K44" s="135" t="str">
        <f t="shared" si="2"/>
        <v>NO</v>
      </c>
      <c r="L44" s="268" t="s">
        <v>147</v>
      </c>
      <c r="M44" s="266" t="s">
        <v>336</v>
      </c>
      <c r="N44" s="143">
        <v>1237.1999999999998</v>
      </c>
      <c r="O44" s="135" t="str">
        <f t="shared" si="1"/>
        <v>SI</v>
      </c>
      <c r="P44" s="266" t="s">
        <v>336</v>
      </c>
      <c r="Q44" s="143">
        <v>1262.8000000000002</v>
      </c>
    </row>
    <row r="45" spans="1:17" s="135" customFormat="1">
      <c r="A45" s="14"/>
      <c r="B45" s="281">
        <v>1116673821</v>
      </c>
      <c r="C45" s="13">
        <v>412.40666666666669</v>
      </c>
      <c r="D45" s="8" t="s">
        <v>422</v>
      </c>
      <c r="G45" s="14"/>
      <c r="H45" s="281">
        <v>1116673821</v>
      </c>
      <c r="I45" s="282">
        <v>254.25333333333327</v>
      </c>
      <c r="J45" s="8" t="s">
        <v>422</v>
      </c>
      <c r="K45" s="135" t="str">
        <f t="shared" si="2"/>
        <v>NO</v>
      </c>
      <c r="L45" s="265"/>
      <c r="M45" s="139" t="s">
        <v>382</v>
      </c>
      <c r="N45" s="143">
        <v>1237.1999999999998</v>
      </c>
      <c r="O45" s="135" t="str">
        <f t="shared" si="1"/>
        <v>SI</v>
      </c>
      <c r="P45" s="329" t="s">
        <v>382</v>
      </c>
      <c r="Q45" s="143">
        <v>2012.8000000000002</v>
      </c>
    </row>
    <row r="46" spans="1:17" s="135" customFormat="1">
      <c r="A46" s="14" t="s">
        <v>91</v>
      </c>
      <c r="B46" s="281">
        <v>2934137264</v>
      </c>
      <c r="C46" s="282">
        <v>1237</v>
      </c>
      <c r="D46" s="283" t="s">
        <v>92</v>
      </c>
      <c r="G46" s="14" t="s">
        <v>91</v>
      </c>
      <c r="H46" s="281">
        <v>2934137264</v>
      </c>
      <c r="I46" s="282">
        <v>2117.12</v>
      </c>
      <c r="J46" s="283" t="s">
        <v>92</v>
      </c>
      <c r="K46" s="135" t="str">
        <f t="shared" si="2"/>
        <v>NO</v>
      </c>
      <c r="L46" s="265"/>
      <c r="M46" s="267" t="s">
        <v>422</v>
      </c>
      <c r="N46" s="143">
        <v>1237.1999999999998</v>
      </c>
      <c r="O46" s="135" t="str">
        <f t="shared" si="1"/>
        <v>SI</v>
      </c>
      <c r="P46" s="267" t="s">
        <v>422</v>
      </c>
      <c r="Q46" s="143">
        <v>762.80000000000018</v>
      </c>
    </row>
    <row r="47" spans="1:17" s="135" customFormat="1">
      <c r="A47" s="14" t="s">
        <v>93</v>
      </c>
      <c r="B47" s="281">
        <v>2912923548</v>
      </c>
      <c r="C47" s="282">
        <v>1237.1999999999998</v>
      </c>
      <c r="D47" s="15" t="s">
        <v>374</v>
      </c>
      <c r="G47" s="14" t="s">
        <v>93</v>
      </c>
      <c r="H47" s="281">
        <v>2912923548</v>
      </c>
      <c r="I47" s="282">
        <v>9275.61</v>
      </c>
      <c r="J47" s="15" t="s">
        <v>374</v>
      </c>
      <c r="K47" s="135" t="str">
        <f t="shared" si="2"/>
        <v>NO</v>
      </c>
      <c r="L47" s="265" t="s">
        <v>91</v>
      </c>
      <c r="M47" s="266" t="s">
        <v>92</v>
      </c>
      <c r="N47" s="143">
        <v>1237.1999999999998</v>
      </c>
      <c r="O47" s="135" t="str">
        <f t="shared" si="1"/>
        <v>SI</v>
      </c>
      <c r="P47" s="327" t="s">
        <v>92</v>
      </c>
      <c r="Q47" s="143">
        <v>8176.1550000000007</v>
      </c>
    </row>
    <row r="48" spans="1:17" s="135" customFormat="1">
      <c r="A48" s="14" t="s">
        <v>95</v>
      </c>
      <c r="B48" s="281">
        <v>2985396239</v>
      </c>
      <c r="C48" s="282">
        <v>1237.1999999999998</v>
      </c>
      <c r="D48" s="15" t="s">
        <v>337</v>
      </c>
      <c r="G48" s="14" t="s">
        <v>95</v>
      </c>
      <c r="H48" s="281">
        <v>2985396239</v>
      </c>
      <c r="I48" s="282">
        <v>1762.8000000000002</v>
      </c>
      <c r="J48" s="15" t="s">
        <v>337</v>
      </c>
      <c r="K48" s="135" t="str">
        <f t="shared" si="2"/>
        <v>NO</v>
      </c>
      <c r="L48" s="265" t="s">
        <v>93</v>
      </c>
      <c r="M48" s="266" t="s">
        <v>374</v>
      </c>
      <c r="N48" s="143">
        <v>1237.1999999999998</v>
      </c>
      <c r="O48" s="135" t="str">
        <f t="shared" si="1"/>
        <v>SI</v>
      </c>
      <c r="P48" s="266" t="s">
        <v>374</v>
      </c>
      <c r="Q48" s="143">
        <v>1262.8000000000002</v>
      </c>
    </row>
    <row r="49" spans="1:17" s="135" customFormat="1">
      <c r="A49" s="14" t="s">
        <v>97</v>
      </c>
      <c r="B49" s="281">
        <v>2893013472</v>
      </c>
      <c r="C49" s="282">
        <v>1237.1999999999998</v>
      </c>
      <c r="D49" s="15" t="s">
        <v>394</v>
      </c>
      <c r="G49" s="14" t="s">
        <v>97</v>
      </c>
      <c r="H49" s="281">
        <v>2893013472</v>
      </c>
      <c r="I49" s="282">
        <v>3144.9900000000002</v>
      </c>
      <c r="J49" s="15" t="s">
        <v>394</v>
      </c>
      <c r="K49" s="135" t="str">
        <f t="shared" si="2"/>
        <v>NO</v>
      </c>
      <c r="L49" s="265" t="s">
        <v>95</v>
      </c>
      <c r="M49" s="266" t="s">
        <v>337</v>
      </c>
      <c r="N49" s="143">
        <v>1237.1999999999998</v>
      </c>
      <c r="O49" s="135" t="str">
        <f t="shared" si="1"/>
        <v>SI</v>
      </c>
      <c r="P49" s="266" t="s">
        <v>337</v>
      </c>
      <c r="Q49" s="143">
        <v>1762.8000000000002</v>
      </c>
    </row>
    <row r="50" spans="1:17" s="135" customFormat="1">
      <c r="A50" s="14" t="s">
        <v>99</v>
      </c>
      <c r="B50" s="281">
        <v>2836126510</v>
      </c>
      <c r="C50" s="282">
        <v>1237.1999999999998</v>
      </c>
      <c r="D50" s="284" t="s">
        <v>100</v>
      </c>
      <c r="G50" s="14" t="s">
        <v>99</v>
      </c>
      <c r="H50" s="281">
        <v>2836126510</v>
      </c>
      <c r="I50" s="282">
        <v>1762.8000000000002</v>
      </c>
      <c r="J50" s="284" t="s">
        <v>100</v>
      </c>
      <c r="K50" s="135" t="str">
        <f t="shared" si="2"/>
        <v>NO</v>
      </c>
      <c r="L50" s="265" t="s">
        <v>97</v>
      </c>
      <c r="M50" s="266" t="s">
        <v>394</v>
      </c>
      <c r="N50" s="143">
        <v>1237.1999999999998</v>
      </c>
      <c r="O50" s="135" t="str">
        <f t="shared" si="1"/>
        <v>SI</v>
      </c>
      <c r="P50" s="266" t="s">
        <v>394</v>
      </c>
      <c r="Q50" s="143">
        <v>3144.9900000000002</v>
      </c>
    </row>
    <row r="51" spans="1:17" s="135" customFormat="1">
      <c r="A51" s="14" t="s">
        <v>101</v>
      </c>
      <c r="B51" s="281">
        <v>2894923057</v>
      </c>
      <c r="C51" s="282">
        <v>1237.1999999999998</v>
      </c>
      <c r="D51" s="283" t="s">
        <v>429</v>
      </c>
      <c r="G51" s="14" t="s">
        <v>101</v>
      </c>
      <c r="H51" s="281">
        <v>2894923057</v>
      </c>
      <c r="I51" s="282">
        <v>3345.6539999999995</v>
      </c>
      <c r="J51" s="283" t="s">
        <v>429</v>
      </c>
      <c r="K51" s="135" t="str">
        <f t="shared" si="2"/>
        <v>NO</v>
      </c>
      <c r="L51" s="265" t="s">
        <v>99</v>
      </c>
      <c r="M51" s="266" t="s">
        <v>100</v>
      </c>
      <c r="N51" s="143">
        <v>1237.1999999999998</v>
      </c>
      <c r="O51" s="135" t="str">
        <f t="shared" si="1"/>
        <v>SI</v>
      </c>
      <c r="P51" s="266" t="s">
        <v>100</v>
      </c>
      <c r="Q51" s="143">
        <v>2142.8000000000002</v>
      </c>
    </row>
    <row r="52" spans="1:17" s="135" customFormat="1">
      <c r="A52" s="14"/>
      <c r="B52" s="281" t="s">
        <v>369</v>
      </c>
      <c r="C52" s="282">
        <v>1237.1999999999998</v>
      </c>
      <c r="D52" s="285" t="s">
        <v>396</v>
      </c>
      <c r="G52" s="14"/>
      <c r="H52" s="281" t="s">
        <v>369</v>
      </c>
      <c r="I52" s="282">
        <v>3418.34</v>
      </c>
      <c r="J52" s="285" t="s">
        <v>396</v>
      </c>
      <c r="K52" s="135" t="str">
        <f t="shared" si="2"/>
        <v>NO</v>
      </c>
      <c r="L52" s="265" t="s">
        <v>101</v>
      </c>
      <c r="M52" s="266" t="s">
        <v>395</v>
      </c>
      <c r="N52" s="143">
        <v>1237.1999999999998</v>
      </c>
      <c r="O52" s="135" t="str">
        <f t="shared" si="1"/>
        <v>SI</v>
      </c>
      <c r="P52" s="266" t="s">
        <v>395</v>
      </c>
      <c r="Q52" s="143">
        <v>3262.8</v>
      </c>
    </row>
    <row r="53" spans="1:17" s="135" customFormat="1">
      <c r="A53" s="14"/>
      <c r="B53" s="281">
        <v>1117339461</v>
      </c>
      <c r="C53" s="282">
        <v>412.40666666666669</v>
      </c>
      <c r="D53" s="8" t="s">
        <v>423</v>
      </c>
      <c r="G53" s="14"/>
      <c r="H53" s="281">
        <v>1117339461</v>
      </c>
      <c r="I53" s="282">
        <v>254.25333333333327</v>
      </c>
      <c r="J53" s="8" t="s">
        <v>423</v>
      </c>
      <c r="K53" s="135" t="str">
        <f t="shared" si="2"/>
        <v>NO</v>
      </c>
      <c r="L53" s="268" t="s">
        <v>371</v>
      </c>
      <c r="M53" s="269" t="s">
        <v>372</v>
      </c>
      <c r="N53" s="143">
        <v>1237.1999999999998</v>
      </c>
      <c r="O53" s="135" t="str">
        <f t="shared" si="1"/>
        <v>SI</v>
      </c>
      <c r="P53" s="269" t="s">
        <v>372</v>
      </c>
      <c r="Q53" s="143">
        <v>3148.34</v>
      </c>
    </row>
    <row r="54" spans="1:17" s="135" customFormat="1">
      <c r="A54" s="14"/>
      <c r="B54" s="281">
        <v>2872910578</v>
      </c>
      <c r="C54" s="282">
        <v>1237.1999999999998</v>
      </c>
      <c r="D54" s="8" t="s">
        <v>375</v>
      </c>
      <c r="G54" s="14"/>
      <c r="H54" s="281">
        <v>2872910578</v>
      </c>
      <c r="I54" s="282">
        <v>2012.8000000000002</v>
      </c>
      <c r="J54" s="8" t="s">
        <v>375</v>
      </c>
      <c r="K54" s="135" t="str">
        <f t="shared" si="2"/>
        <v>NO</v>
      </c>
      <c r="L54" s="265"/>
      <c r="M54" s="311" t="s">
        <v>423</v>
      </c>
      <c r="N54" s="143">
        <v>1237.1999999999998</v>
      </c>
      <c r="O54" s="135" t="str">
        <f t="shared" si="1"/>
        <v>SI</v>
      </c>
      <c r="P54" s="311" t="s">
        <v>423</v>
      </c>
      <c r="Q54" s="143">
        <v>762.80000000000018</v>
      </c>
    </row>
    <row r="55" spans="1:17" s="135" customFormat="1">
      <c r="A55" s="14" t="s">
        <v>103</v>
      </c>
      <c r="B55" s="281">
        <v>2914530241</v>
      </c>
      <c r="C55" s="282">
        <v>1237.1999999999998</v>
      </c>
      <c r="D55" s="15" t="s">
        <v>104</v>
      </c>
      <c r="G55" s="14" t="s">
        <v>103</v>
      </c>
      <c r="H55" s="281">
        <v>2914530241</v>
      </c>
      <c r="I55" s="282">
        <v>1459.6900000000003</v>
      </c>
      <c r="J55" s="15" t="s">
        <v>104</v>
      </c>
      <c r="K55" s="135" t="str">
        <f t="shared" si="2"/>
        <v>NO</v>
      </c>
      <c r="L55" s="265"/>
      <c r="M55" s="129" t="s">
        <v>375</v>
      </c>
      <c r="N55" s="143">
        <v>1237.1999999999998</v>
      </c>
      <c r="O55" s="135" t="str">
        <f t="shared" si="1"/>
        <v>SI</v>
      </c>
      <c r="P55" s="330" t="s">
        <v>375</v>
      </c>
      <c r="Q55" s="143">
        <v>2012.8000000000002</v>
      </c>
    </row>
    <row r="56" spans="1:17" s="135" customFormat="1">
      <c r="A56" s="14" t="s">
        <v>105</v>
      </c>
      <c r="B56" s="281">
        <v>1413691810</v>
      </c>
      <c r="C56" s="282">
        <v>1237.1999999999998</v>
      </c>
      <c r="D56" s="15" t="s">
        <v>106</v>
      </c>
      <c r="G56" s="14" t="s">
        <v>105</v>
      </c>
      <c r="H56" s="281">
        <v>1413691810</v>
      </c>
      <c r="I56" s="282">
        <v>853.94000000000028</v>
      </c>
      <c r="J56" s="15" t="s">
        <v>106</v>
      </c>
      <c r="K56" s="135" t="str">
        <f t="shared" si="2"/>
        <v>NO</v>
      </c>
      <c r="L56" s="265" t="s">
        <v>338</v>
      </c>
      <c r="M56" s="327" t="s">
        <v>104</v>
      </c>
      <c r="N56" s="143">
        <v>1237.1999999999998</v>
      </c>
      <c r="O56" s="135" t="str">
        <f t="shared" si="1"/>
        <v>SI</v>
      </c>
      <c r="P56" s="327" t="s">
        <v>104</v>
      </c>
      <c r="Q56" s="143">
        <v>1459.6900000000003</v>
      </c>
    </row>
    <row r="57" spans="1:17" s="135" customFormat="1">
      <c r="A57" s="14" t="s">
        <v>107</v>
      </c>
      <c r="B57" s="281">
        <v>2965106850</v>
      </c>
      <c r="C57" s="282">
        <v>1237.1999999999998</v>
      </c>
      <c r="D57" s="15" t="s">
        <v>108</v>
      </c>
      <c r="G57" s="14" t="s">
        <v>107</v>
      </c>
      <c r="H57" s="281">
        <v>2965106850</v>
      </c>
      <c r="I57" s="282">
        <v>2586.2400000000002</v>
      </c>
      <c r="J57" s="15" t="s">
        <v>108</v>
      </c>
      <c r="K57" s="135" t="str">
        <f t="shared" si="2"/>
        <v>NO</v>
      </c>
      <c r="L57" s="265" t="s">
        <v>105</v>
      </c>
      <c r="M57" s="266" t="s">
        <v>106</v>
      </c>
      <c r="N57" s="143">
        <v>1237.1999999999998</v>
      </c>
      <c r="O57" s="135" t="str">
        <f t="shared" si="1"/>
        <v>SI</v>
      </c>
      <c r="P57" s="327" t="s">
        <v>106</v>
      </c>
      <c r="Q57" s="143">
        <v>853.94000000000028</v>
      </c>
    </row>
    <row r="58" spans="1:17" s="285" customFormat="1">
      <c r="A58" s="14" t="s">
        <v>109</v>
      </c>
      <c r="B58" s="281">
        <v>2729733183</v>
      </c>
      <c r="C58" s="282">
        <v>1199.3626666666667</v>
      </c>
      <c r="D58" s="15" t="s">
        <v>110</v>
      </c>
      <c r="E58" s="135"/>
      <c r="F58" s="135"/>
      <c r="G58" s="14" t="s">
        <v>109</v>
      </c>
      <c r="H58" s="281">
        <v>2729733183</v>
      </c>
      <c r="I58" s="282">
        <v>1838.027333333333</v>
      </c>
      <c r="J58" s="15" t="s">
        <v>110</v>
      </c>
      <c r="K58" s="285" t="str">
        <f t="shared" si="2"/>
        <v>NO</v>
      </c>
      <c r="L58" s="265" t="s">
        <v>107</v>
      </c>
      <c r="M58" s="266" t="s">
        <v>108</v>
      </c>
      <c r="N58" s="143">
        <v>1237.1999999999998</v>
      </c>
      <c r="O58" s="135" t="str">
        <f t="shared" si="1"/>
        <v>SI</v>
      </c>
      <c r="P58" s="266" t="s">
        <v>108</v>
      </c>
      <c r="Q58" s="143">
        <v>1186.2400000000002</v>
      </c>
    </row>
    <row r="59" spans="1:17" s="285" customFormat="1">
      <c r="A59" s="292" t="s">
        <v>111</v>
      </c>
      <c r="B59" s="293">
        <v>2929389652</v>
      </c>
      <c r="C59" s="282">
        <v>1237.1999999999998</v>
      </c>
      <c r="D59" s="283" t="s">
        <v>112</v>
      </c>
      <c r="G59" s="292" t="s">
        <v>111</v>
      </c>
      <c r="H59" s="293">
        <v>2929389652</v>
      </c>
      <c r="I59" s="282">
        <v>2612.8000000000002</v>
      </c>
      <c r="J59" s="283" t="s">
        <v>112</v>
      </c>
      <c r="K59" s="285" t="str">
        <f t="shared" si="2"/>
        <v>NO</v>
      </c>
      <c r="L59" s="265" t="s">
        <v>109</v>
      </c>
      <c r="M59" s="266" t="s">
        <v>110</v>
      </c>
      <c r="N59" s="143">
        <v>1237.1999999999998</v>
      </c>
      <c r="O59" s="135" t="str">
        <f t="shared" si="1"/>
        <v>SI</v>
      </c>
      <c r="P59" s="266" t="s">
        <v>110</v>
      </c>
      <c r="Q59" s="143">
        <v>1800.19</v>
      </c>
    </row>
    <row r="60" spans="1:17" s="285" customFormat="1">
      <c r="A60" s="292" t="s">
        <v>115</v>
      </c>
      <c r="B60" s="293">
        <v>1405570565</v>
      </c>
      <c r="C60" s="282">
        <v>1237.1999999999998</v>
      </c>
      <c r="D60" s="283" t="s">
        <v>116</v>
      </c>
      <c r="G60" s="292" t="s">
        <v>115</v>
      </c>
      <c r="H60" s="293">
        <v>1405570565</v>
      </c>
      <c r="I60" s="282">
        <v>1762.8000000000002</v>
      </c>
      <c r="J60" s="283" t="s">
        <v>116</v>
      </c>
      <c r="K60" s="285" t="str">
        <f t="shared" si="2"/>
        <v>NO</v>
      </c>
      <c r="L60" s="265" t="s">
        <v>111</v>
      </c>
      <c r="M60" s="266" t="s">
        <v>112</v>
      </c>
      <c r="N60" s="143">
        <v>1237.1999999999998</v>
      </c>
      <c r="O60" s="135" t="str">
        <f t="shared" si="1"/>
        <v>SI</v>
      </c>
      <c r="P60" s="266" t="s">
        <v>112</v>
      </c>
      <c r="Q60" s="143">
        <v>1412.8000000000002</v>
      </c>
    </row>
    <row r="61" spans="1:17" s="285" customFormat="1">
      <c r="A61" s="292" t="s">
        <v>117</v>
      </c>
      <c r="B61" s="293">
        <v>2937082010</v>
      </c>
      <c r="C61" s="282">
        <v>1237.1999999999998</v>
      </c>
      <c r="D61" s="283" t="s">
        <v>118</v>
      </c>
      <c r="G61" s="292" t="s">
        <v>117</v>
      </c>
      <c r="H61" s="293">
        <v>2937082010</v>
      </c>
      <c r="I61" s="282">
        <v>1453.0300000000002</v>
      </c>
      <c r="J61" s="283" t="s">
        <v>118</v>
      </c>
      <c r="K61" s="285" t="str">
        <f t="shared" si="2"/>
        <v>NO</v>
      </c>
      <c r="L61" s="265" t="s">
        <v>113</v>
      </c>
      <c r="M61" s="266" t="s">
        <v>114</v>
      </c>
      <c r="N61" s="143">
        <v>1237.1999999999998</v>
      </c>
      <c r="O61" s="135" t="str">
        <f t="shared" si="1"/>
        <v>SI</v>
      </c>
      <c r="P61" s="266" t="s">
        <v>114</v>
      </c>
      <c r="Q61" s="143">
        <v>4612.8</v>
      </c>
    </row>
    <row r="62" spans="1:17" s="285" customFormat="1">
      <c r="A62" s="292" t="s">
        <v>152</v>
      </c>
      <c r="B62" s="293">
        <v>2952243423</v>
      </c>
      <c r="C62" s="282">
        <v>1237.1999999999998</v>
      </c>
      <c r="D62" s="283" t="s">
        <v>14</v>
      </c>
      <c r="G62" s="292" t="s">
        <v>152</v>
      </c>
      <c r="H62" s="293">
        <v>2952243423</v>
      </c>
      <c r="I62" s="282">
        <v>3763.2000000000003</v>
      </c>
      <c r="J62" s="283" t="s">
        <v>14</v>
      </c>
      <c r="K62" s="285" t="str">
        <f t="shared" si="2"/>
        <v>NO</v>
      </c>
      <c r="L62" s="265" t="s">
        <v>115</v>
      </c>
      <c r="M62" s="266" t="s">
        <v>499</v>
      </c>
      <c r="N62" s="143">
        <v>1237.1999999999998</v>
      </c>
      <c r="O62" s="135" t="str">
        <f t="shared" si="1"/>
        <v>SI</v>
      </c>
      <c r="P62" s="266" t="s">
        <v>499</v>
      </c>
      <c r="Q62" s="143">
        <v>1562.8000000000002</v>
      </c>
    </row>
    <row r="63" spans="1:17" s="285" customFormat="1">
      <c r="A63" s="292" t="s">
        <v>119</v>
      </c>
      <c r="B63" s="293">
        <v>1435597188</v>
      </c>
      <c r="C63" s="282">
        <v>1237.1999999999998</v>
      </c>
      <c r="D63" s="283" t="s">
        <v>120</v>
      </c>
      <c r="G63" s="292" t="s">
        <v>119</v>
      </c>
      <c r="H63" s="293">
        <v>1435597188</v>
      </c>
      <c r="I63" s="282">
        <v>4886.92</v>
      </c>
      <c r="J63" s="283" t="s">
        <v>120</v>
      </c>
      <c r="K63" s="285" t="str">
        <f t="shared" si="2"/>
        <v>NO</v>
      </c>
      <c r="L63" s="265" t="s">
        <v>117</v>
      </c>
      <c r="M63" s="266" t="s">
        <v>118</v>
      </c>
      <c r="N63" s="143">
        <v>1237.1999999999998</v>
      </c>
      <c r="O63" s="135" t="str">
        <f t="shared" si="1"/>
        <v>SI</v>
      </c>
      <c r="P63" s="266" t="s">
        <v>118</v>
      </c>
      <c r="Q63" s="143">
        <v>1453.0300000000002</v>
      </c>
    </row>
    <row r="64" spans="1:17" s="135" customFormat="1">
      <c r="A64" s="292" t="s">
        <v>121</v>
      </c>
      <c r="B64" s="293">
        <v>1110345261</v>
      </c>
      <c r="C64" s="282">
        <v>1237.1999999999998</v>
      </c>
      <c r="D64" s="283" t="s">
        <v>122</v>
      </c>
      <c r="E64" s="285"/>
      <c r="F64" s="285"/>
      <c r="G64" s="292" t="s">
        <v>121</v>
      </c>
      <c r="H64" s="293">
        <v>1110345261</v>
      </c>
      <c r="I64" s="282">
        <v>14678.27</v>
      </c>
      <c r="J64" s="283" t="s">
        <v>122</v>
      </c>
      <c r="K64" s="135" t="str">
        <f t="shared" si="2"/>
        <v>NO</v>
      </c>
      <c r="L64" s="265"/>
      <c r="M64" s="139" t="s">
        <v>384</v>
      </c>
      <c r="N64" s="143">
        <v>1237.1999999999998</v>
      </c>
      <c r="O64" s="135" t="str">
        <f t="shared" si="1"/>
        <v>SI</v>
      </c>
      <c r="P64" s="329" t="s">
        <v>384</v>
      </c>
      <c r="Q64" s="143">
        <v>2762.8</v>
      </c>
    </row>
    <row r="65" spans="1:17" s="285" customFormat="1" ht="15.75" thickBot="1">
      <c r="A65" s="292"/>
      <c r="B65" s="293"/>
      <c r="C65" s="299">
        <f>SUM(C10:C64)</f>
        <v>65156.26866666662</v>
      </c>
      <c r="G65" s="292"/>
      <c r="H65" s="293"/>
      <c r="I65" s="299">
        <f>SUM(I10:I64)</f>
        <v>124817.94533333338</v>
      </c>
      <c r="L65" s="268" t="s">
        <v>152</v>
      </c>
      <c r="M65" s="266" t="s">
        <v>14</v>
      </c>
      <c r="N65" s="143">
        <v>1237.1999999999998</v>
      </c>
      <c r="O65" s="135" t="str">
        <f t="shared" si="1"/>
        <v>SI</v>
      </c>
      <c r="P65" s="327" t="s">
        <v>14</v>
      </c>
      <c r="Q65" s="143">
        <v>3763.2000000000003</v>
      </c>
    </row>
    <row r="66" spans="1:17" s="285" customFormat="1" ht="15.75" thickTop="1">
      <c r="A66" s="292"/>
      <c r="B66" s="293"/>
      <c r="C66" s="282"/>
      <c r="G66" s="292"/>
      <c r="H66" s="293"/>
      <c r="I66" s="282"/>
      <c r="L66" s="265" t="s">
        <v>119</v>
      </c>
      <c r="M66" s="266" t="s">
        <v>120</v>
      </c>
      <c r="N66" s="143">
        <v>1237.1999999999998</v>
      </c>
      <c r="O66" s="135" t="str">
        <f t="shared" si="1"/>
        <v>SI</v>
      </c>
      <c r="P66" s="266" t="s">
        <v>120</v>
      </c>
      <c r="Q66" s="143">
        <v>4751.92</v>
      </c>
    </row>
    <row r="67" spans="1:17" s="285" customFormat="1">
      <c r="A67" s="292" t="s">
        <v>46</v>
      </c>
      <c r="B67" s="293" t="s">
        <v>216</v>
      </c>
      <c r="C67" s="282">
        <v>1237.1999999999998</v>
      </c>
      <c r="D67" s="283" t="s">
        <v>387</v>
      </c>
      <c r="G67" s="292" t="s">
        <v>46</v>
      </c>
      <c r="H67" s="293" t="s">
        <v>216</v>
      </c>
      <c r="I67" s="282">
        <v>1512.8000000000002</v>
      </c>
      <c r="J67" s="283" t="s">
        <v>387</v>
      </c>
      <c r="K67" s="285" t="str">
        <f>IF(J67=L66,"SI","NO")</f>
        <v>NO</v>
      </c>
      <c r="L67" s="265" t="s">
        <v>121</v>
      </c>
      <c r="M67" s="266" t="s">
        <v>122</v>
      </c>
      <c r="N67" s="143">
        <v>1237.1999999999998</v>
      </c>
      <c r="O67" s="135" t="str">
        <f t="shared" si="1"/>
        <v>SI</v>
      </c>
      <c r="P67" s="266" t="s">
        <v>122</v>
      </c>
      <c r="Q67" s="143">
        <v>36292.058000000005</v>
      </c>
    </row>
    <row r="68" spans="1:17" s="285" customFormat="1">
      <c r="A68" s="292"/>
      <c r="B68" s="293" t="s">
        <v>335</v>
      </c>
      <c r="C68" s="282">
        <v>1237.1999999999998</v>
      </c>
      <c r="D68" s="283" t="s">
        <v>384</v>
      </c>
      <c r="G68" s="293"/>
      <c r="H68" s="293" t="s">
        <v>335</v>
      </c>
      <c r="I68" s="282">
        <v>3763.2000000000003</v>
      </c>
      <c r="J68" s="283" t="s">
        <v>384</v>
      </c>
      <c r="K68" s="285" t="str">
        <f>IF(J68=L67,"SI","NO")</f>
        <v>NO</v>
      </c>
      <c r="L68" s="310"/>
      <c r="M68" s="322"/>
      <c r="N68" s="8"/>
      <c r="O68" s="135"/>
      <c r="P68" s="130"/>
      <c r="Q68" s="143"/>
    </row>
    <row r="69" spans="1:17" s="285" customFormat="1" ht="15.75" thickBot="1">
      <c r="A69" s="292"/>
      <c r="B69" s="293"/>
      <c r="C69" s="294">
        <f>SUM(C67:C68)</f>
        <v>2474.3999999999996</v>
      </c>
      <c r="D69" s="283"/>
      <c r="G69" s="292"/>
      <c r="H69" s="293"/>
      <c r="I69" s="299">
        <f>SUM(I67:I68)</f>
        <v>5276</v>
      </c>
      <c r="J69" s="283"/>
      <c r="L69" s="8"/>
      <c r="M69" s="8"/>
      <c r="N69" s="13"/>
      <c r="O69" s="135"/>
      <c r="P69" s="322"/>
      <c r="Q69" s="324"/>
    </row>
    <row r="70" spans="1:17" s="285" customFormat="1" ht="15.75" thickTop="1">
      <c r="A70" s="292"/>
      <c r="B70" s="293"/>
      <c r="C70" s="282"/>
      <c r="D70" s="283"/>
      <c r="G70" s="292"/>
      <c r="H70" s="293"/>
      <c r="I70" s="282"/>
      <c r="J70" s="283"/>
      <c r="L70" s="308"/>
      <c r="M70" s="306"/>
      <c r="N70" s="306"/>
      <c r="O70" s="135"/>
      <c r="P70" s="8"/>
      <c r="Q70" s="324"/>
    </row>
    <row r="71" spans="1:17" s="285" customFormat="1">
      <c r="A71" s="292" t="s">
        <v>113</v>
      </c>
      <c r="B71" s="293" t="s">
        <v>267</v>
      </c>
      <c r="C71" s="282">
        <v>1237.1999999999998</v>
      </c>
      <c r="D71" s="283" t="s">
        <v>114</v>
      </c>
      <c r="G71" s="292" t="s">
        <v>113</v>
      </c>
      <c r="H71" s="293" t="s">
        <v>267</v>
      </c>
      <c r="I71" s="282">
        <v>4612.8</v>
      </c>
      <c r="J71" s="283" t="s">
        <v>114</v>
      </c>
      <c r="K71" s="285" t="str">
        <f>IF(J71=L70,"SI","NO")</f>
        <v>NO</v>
      </c>
      <c r="L71" s="310" t="s">
        <v>16</v>
      </c>
      <c r="M71" s="322"/>
      <c r="N71" s="317"/>
      <c r="O71" s="135"/>
      <c r="P71" s="306"/>
      <c r="Q71" s="306"/>
    </row>
    <row r="72" spans="1:17" s="135" customFormat="1" ht="15.75" thickBot="1">
      <c r="A72" s="14"/>
      <c r="B72" s="281"/>
      <c r="C72" s="294">
        <f>SUM(C71)</f>
        <v>1237.1999999999998</v>
      </c>
      <c r="D72" s="15"/>
      <c r="G72" s="14"/>
      <c r="H72" s="281"/>
      <c r="I72" s="294">
        <f>SUM(I71)</f>
        <v>4612.8</v>
      </c>
      <c r="J72" s="15"/>
      <c r="L72" s="8"/>
      <c r="M72" s="8"/>
      <c r="N72" s="8"/>
      <c r="P72" s="322"/>
      <c r="Q72" s="317"/>
    </row>
    <row r="73" spans="1:17" s="135" customFormat="1" ht="15.75" thickTop="1">
      <c r="A73" s="14"/>
      <c r="B73" s="281"/>
      <c r="C73" s="282"/>
      <c r="D73" s="15"/>
      <c r="G73" s="14"/>
      <c r="H73" s="281"/>
      <c r="I73" s="282"/>
      <c r="J73" s="15"/>
      <c r="L73" s="302"/>
      <c r="M73" s="302"/>
      <c r="N73" s="324"/>
      <c r="P73" s="8"/>
      <c r="Q73" s="322"/>
    </row>
    <row r="74" spans="1:17">
      <c r="A74" s="15"/>
      <c r="B74" s="286"/>
      <c r="C74" s="287"/>
      <c r="D74" s="15"/>
      <c r="E74" s="135"/>
      <c r="F74" s="135"/>
      <c r="G74" s="15"/>
      <c r="H74" s="286"/>
      <c r="I74" s="287"/>
      <c r="J74" s="15"/>
      <c r="L74" s="323" t="s">
        <v>17</v>
      </c>
      <c r="M74" s="322"/>
      <c r="N74" s="24"/>
    </row>
    <row r="75" spans="1:17">
      <c r="A75" s="135"/>
      <c r="B75" s="295" t="s">
        <v>334</v>
      </c>
      <c r="C75" s="142">
        <f>+C65</f>
        <v>65156.26866666662</v>
      </c>
      <c r="D75" s="135"/>
      <c r="E75" s="135"/>
      <c r="F75" s="135"/>
      <c r="G75" s="15"/>
      <c r="H75" s="295" t="s">
        <v>334</v>
      </c>
      <c r="I75" s="142">
        <f>+I65</f>
        <v>124817.94533333338</v>
      </c>
      <c r="J75" s="15"/>
    </row>
    <row r="76" spans="1:17">
      <c r="A76" s="14" t="s">
        <v>17</v>
      </c>
      <c r="B76" s="296" t="s">
        <v>335</v>
      </c>
      <c r="C76" s="142">
        <f>+C69</f>
        <v>2474.3999999999996</v>
      </c>
      <c r="D76" s="15" t="s">
        <v>17</v>
      </c>
      <c r="E76" s="135"/>
      <c r="F76" s="135"/>
      <c r="G76" s="15"/>
      <c r="H76" s="296" t="s">
        <v>335</v>
      </c>
      <c r="I76" s="142">
        <f>+I69</f>
        <v>5276</v>
      </c>
      <c r="J76" s="15"/>
    </row>
    <row r="77" spans="1:17">
      <c r="A77" s="15"/>
      <c r="B77" s="297" t="s">
        <v>332</v>
      </c>
      <c r="C77" s="142">
        <f>+C72</f>
        <v>1237.1999999999998</v>
      </c>
      <c r="D77" s="15"/>
      <c r="E77" s="135"/>
      <c r="F77" s="135"/>
      <c r="G77" s="15"/>
      <c r="H77" s="297" t="s">
        <v>332</v>
      </c>
      <c r="I77" s="142">
        <f>+I72</f>
        <v>4612.8</v>
      </c>
      <c r="J77" s="15"/>
    </row>
    <row r="78" spans="1:17" ht="15.75" thickBot="1">
      <c r="C78" s="123">
        <f>SUM(C75:C77)</f>
        <v>68867.868666666618</v>
      </c>
      <c r="I78" s="123">
        <f>SUM(I75:I77)</f>
        <v>134706.74533333338</v>
      </c>
    </row>
    <row r="79" spans="1:17">
      <c r="A79" s="288"/>
      <c r="B79" s="289"/>
      <c r="C79" s="288"/>
      <c r="D79" s="288"/>
      <c r="E79" s="133"/>
      <c r="F79" s="133"/>
      <c r="G79" s="288"/>
      <c r="H79" s="289"/>
      <c r="I79" s="288"/>
      <c r="J79" s="288"/>
      <c r="L79" s="323" t="s">
        <v>89</v>
      </c>
      <c r="M79" s="322" t="s">
        <v>90</v>
      </c>
      <c r="N79" s="324">
        <v>1237.1999999999998</v>
      </c>
    </row>
    <row r="84" spans="16:17">
      <c r="P84" s="322" t="s">
        <v>90</v>
      </c>
      <c r="Q84" s="13">
        <v>2012.8000000000002</v>
      </c>
    </row>
  </sheetData>
  <pageMargins left="0.7" right="0.7" top="0.75" bottom="0.75" header="0.3" footer="0.3"/>
  <pageSetup scale="57" orientation="portrait" r:id="rId1"/>
  <colBreaks count="1" manualBreakCount="1">
    <brk id="5" max="7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topLeftCell="E1" workbookViewId="0">
      <pane ySplit="3" topLeftCell="A4" activePane="bottomLeft" state="frozen"/>
      <selection activeCell="E1" sqref="E1"/>
      <selection pane="bottomLeft" activeCell="E3" sqref="E3"/>
    </sheetView>
  </sheetViews>
  <sheetFormatPr baseColWidth="10" defaultRowHeight="15"/>
  <cols>
    <col min="1" max="1" width="11.42578125" style="15"/>
    <col min="2" max="2" width="12" style="331" customWidth="1"/>
    <col min="3" max="3" width="38.7109375" style="8" bestFit="1" customWidth="1"/>
    <col min="4" max="4" width="17.28515625" style="8" bestFit="1" customWidth="1"/>
    <col min="5" max="5" width="30.42578125" style="332" customWidth="1"/>
    <col min="6" max="7" width="17.42578125" style="332" customWidth="1"/>
    <col min="8" max="9" width="13.7109375" style="137" customWidth="1"/>
    <col min="10" max="10" width="15.7109375" style="137" customWidth="1"/>
    <col min="11" max="11" width="22" style="15" bestFit="1" customWidth="1"/>
    <col min="12" max="12" width="11.42578125" style="15"/>
    <col min="13" max="13" width="13.140625" style="15" hidden="1" customWidth="1"/>
    <col min="14" max="15" width="0" style="15" hidden="1" customWidth="1"/>
    <col min="16" max="16" width="11.5703125" style="15" hidden="1" customWidth="1"/>
    <col min="17" max="19" width="0" style="15" hidden="1" customWidth="1"/>
    <col min="20" max="20" width="11.42578125" style="15"/>
    <col min="21" max="21" width="0" style="15" hidden="1" customWidth="1"/>
    <col min="22" max="22" width="10.7109375" style="15" hidden="1" customWidth="1"/>
    <col min="23" max="29" width="0" style="15" hidden="1" customWidth="1"/>
    <col min="30" max="30" width="11.42578125" style="15"/>
    <col min="31" max="31" width="13.42578125" style="15" customWidth="1"/>
    <col min="32" max="16384" width="11.42578125" style="15"/>
  </cols>
  <sheetData>
    <row r="1" spans="1:31">
      <c r="E1" s="332" t="s">
        <v>772</v>
      </c>
      <c r="F1" s="332">
        <v>15</v>
      </c>
    </row>
    <row r="3" spans="1:31" ht="51">
      <c r="A3" s="337" t="s">
        <v>627</v>
      </c>
      <c r="B3" s="337" t="s">
        <v>625</v>
      </c>
      <c r="C3" s="338" t="s">
        <v>5</v>
      </c>
      <c r="D3" s="338" t="s">
        <v>502</v>
      </c>
      <c r="E3" s="338" t="s">
        <v>503</v>
      </c>
      <c r="F3" s="338" t="s">
        <v>619</v>
      </c>
      <c r="G3" s="338" t="s">
        <v>622</v>
      </c>
      <c r="H3" s="338" t="s">
        <v>612</v>
      </c>
      <c r="I3" s="380" t="s">
        <v>797</v>
      </c>
      <c r="J3" s="338" t="s">
        <v>614</v>
      </c>
      <c r="K3" s="338" t="s">
        <v>773</v>
      </c>
      <c r="L3" s="338" t="s">
        <v>796</v>
      </c>
      <c r="M3" s="338" t="s">
        <v>800</v>
      </c>
      <c r="N3" s="338" t="s">
        <v>801</v>
      </c>
      <c r="O3" s="338" t="s">
        <v>802</v>
      </c>
      <c r="P3" s="338" t="s">
        <v>798</v>
      </c>
      <c r="Q3" s="338" t="s">
        <v>803</v>
      </c>
      <c r="R3" s="338" t="s">
        <v>804</v>
      </c>
      <c r="S3" s="381" t="s">
        <v>805</v>
      </c>
      <c r="T3" s="380" t="s">
        <v>806</v>
      </c>
      <c r="U3" s="338" t="s">
        <v>809</v>
      </c>
      <c r="V3" s="338" t="s">
        <v>186</v>
      </c>
      <c r="W3" s="338" t="s">
        <v>810</v>
      </c>
      <c r="X3" s="338" t="s">
        <v>811</v>
      </c>
      <c r="Y3" s="338" t="s">
        <v>820</v>
      </c>
      <c r="Z3" s="338" t="s">
        <v>821</v>
      </c>
      <c r="AA3" s="338" t="s">
        <v>827</v>
      </c>
      <c r="AB3" s="338" t="s">
        <v>822</v>
      </c>
      <c r="AC3" s="338" t="s">
        <v>823</v>
      </c>
      <c r="AD3" s="338" t="s">
        <v>817</v>
      </c>
      <c r="AE3" s="338" t="s">
        <v>828</v>
      </c>
    </row>
    <row r="4" spans="1:31">
      <c r="A4" s="343">
        <v>1</v>
      </c>
      <c r="B4" s="344" t="s">
        <v>626</v>
      </c>
      <c r="C4" s="333" t="s">
        <v>595</v>
      </c>
      <c r="D4" s="333" t="s">
        <v>192</v>
      </c>
      <c r="E4" s="333" t="s">
        <v>140</v>
      </c>
      <c r="F4" s="343" t="s">
        <v>620</v>
      </c>
      <c r="G4" s="357">
        <v>15.2</v>
      </c>
      <c r="H4" s="341">
        <v>6000</v>
      </c>
      <c r="I4" s="341">
        <f>$K4*$G4</f>
        <v>3000</v>
      </c>
      <c r="J4" s="342">
        <v>0</v>
      </c>
      <c r="K4" s="372">
        <f>IFERROR(IF($F4="BASE",($H4/2)/$G4,((H4/2)+J4)/G4),"ERROR")</f>
        <v>197.36842105263159</v>
      </c>
      <c r="L4" s="372">
        <f>($I4/$G4)*'FACTORES FIJOS'!$B$3</f>
        <v>6000</v>
      </c>
      <c r="M4" s="373">
        <f>IF($G4='FACTORES FIJOS'!$D$5,VLOOKUP($L4,'TABLA QUINCENAL'!$B$6:$F$16,4,TRUE),IF($G4='FACTORES FIJOS'!$D$3,VLOOKUP($L4,'TABLA SEMANAL'!$C$6:$G$16,4,TRUE),"FALSO"))</f>
        <v>0.21360000000000001</v>
      </c>
      <c r="N4" s="374">
        <f>VLOOKUP($L4,'TABLA QUINCENAL'!$B$6:$F$16,1,TRUE)</f>
        <v>5081.41</v>
      </c>
      <c r="O4" s="374">
        <f>VLOOKUP($L4,'TABLA QUINCENAL'!$B$6:$F$16,2,TRUE)</f>
        <v>10248.450000000001</v>
      </c>
      <c r="P4" s="372">
        <f>$L4-$N4</f>
        <v>918.59000000000015</v>
      </c>
      <c r="Q4" s="372">
        <f>$P4*$M4</f>
        <v>196.21082400000003</v>
      </c>
      <c r="R4" s="374">
        <f>VLOOKUP($L4,'TABLA QUINCENAL'!$B$6:$F$16,3,TRUE)</f>
        <v>538.20000000000005</v>
      </c>
      <c r="S4" s="372">
        <f>$Q4+$R4</f>
        <v>734.41082400000005</v>
      </c>
      <c r="T4" s="372">
        <f>($S4/'FACTORES FIJOS'!$B$3)*CELAYA!$G4</f>
        <v>367.20541200000002</v>
      </c>
      <c r="U4" s="372">
        <f>IFERROR((VLOOKUP($L4,'TABLA QUINCENAL'!$G$6:$I$16,3,TRUE)/'FACTORES FIJOS'!$B$3)*$G4,"ERROR")</f>
        <v>0</v>
      </c>
      <c r="V4" s="372">
        <f>$T4-$U4</f>
        <v>367.20541200000002</v>
      </c>
      <c r="W4" s="372">
        <f>IF($V4&gt;=0,$V4,0)</f>
        <v>367.20541200000002</v>
      </c>
      <c r="X4" s="372">
        <f>IF($V4&lt;0,$V4*(-1),0)</f>
        <v>0</v>
      </c>
      <c r="Y4" s="372">
        <f>($K4*'FACTORES FIJOS'!$B$10)</f>
        <v>3.9473684210526319</v>
      </c>
      <c r="Z4" s="372">
        <f>($K$4-(3*'FACTORES FIJOS'!$F$3))*'FACTORES FIJOS'!$D$10</f>
        <v>-0.45663157894736855</v>
      </c>
      <c r="AA4" s="372">
        <f>($K4*'FACTORES FIJOS'!$F$10)</f>
        <v>3.9473684210526319</v>
      </c>
      <c r="AB4" s="372">
        <f>($K4*'FACTORES FIJOS'!$H$10)</f>
        <v>1.9736842105263159</v>
      </c>
      <c r="AC4" s="372">
        <f>($K4*'FACTORES FIJOS'!$J$10)</f>
        <v>1.9736842105263159</v>
      </c>
      <c r="AD4" s="372">
        <f>SUM($Y4:$AC4)*(ROUNDDOWN($G4,0))</f>
        <v>170.78210526315792</v>
      </c>
    </row>
    <row r="5" spans="1:31">
      <c r="A5" s="343">
        <f>A4+1</f>
        <v>2</v>
      </c>
      <c r="B5" s="344" t="s">
        <v>626</v>
      </c>
      <c r="C5" s="333" t="s">
        <v>404</v>
      </c>
      <c r="D5" s="333" t="s">
        <v>192</v>
      </c>
      <c r="E5" s="333" t="s">
        <v>204</v>
      </c>
      <c r="F5" s="343" t="s">
        <v>620</v>
      </c>
      <c r="G5" s="357">
        <v>15.2</v>
      </c>
      <c r="H5" s="341">
        <v>11100</v>
      </c>
      <c r="I5" s="341">
        <f t="shared" ref="I5:I68" si="0">$K5*$G5</f>
        <v>5550</v>
      </c>
      <c r="J5" s="342">
        <v>0</v>
      </c>
      <c r="K5" s="372">
        <f t="shared" ref="K5:K68" si="1">IFERROR(IF($F5="BASE",($H5/2)/$G5,((H5/2)+J5)/G5),"ERROR")</f>
        <v>365.13157894736844</v>
      </c>
      <c r="L5" s="372">
        <f>($I5/$G5)*'FACTORES FIJOS'!$B$3</f>
        <v>11100</v>
      </c>
      <c r="M5" s="373">
        <f>IF($G5='FACTORES FIJOS'!$D$5,VLOOKUP($L5,'TABLA QUINCENAL'!$B$6:$F$16,4,TRUE),IF($G5='FACTORES FIJOS'!$D$3,VLOOKUP($L5,'TABLA QUINCENAL'!$B$6:$F$16,4,TRUE),"FALSO"))</f>
        <v>0.23519999999999999</v>
      </c>
      <c r="N5" s="374">
        <f>VLOOKUP($L5,'TABLA QUINCENAL'!$B$6:$F$16,1,TRUE)</f>
        <v>10248.459999999999</v>
      </c>
      <c r="O5" s="374">
        <f>VLOOKUP($L5,'TABLA QUINCENAL'!$B$6:$F$16,2,TRUE)</f>
        <v>16153.05</v>
      </c>
      <c r="P5" s="372">
        <f t="shared" ref="P5:P68" si="2">$L5-$N5</f>
        <v>851.54000000000087</v>
      </c>
      <c r="Q5" s="372">
        <f t="shared" ref="Q5:Q68" si="3">$P5*$M5</f>
        <v>200.2822080000002</v>
      </c>
      <c r="R5" s="374">
        <f>VLOOKUP($L5,'TABLA QUINCENAL'!$B$6:$F$16,3,TRUE)</f>
        <v>1641.75</v>
      </c>
      <c r="S5" s="372">
        <f t="shared" ref="S5:S68" si="4">$Q5+$R5</f>
        <v>1842.0322080000001</v>
      </c>
      <c r="T5" s="372">
        <f>$S5/'FACTORES FIJOS'!$B$3*CELAYA!$G5</f>
        <v>921.01610400000004</v>
      </c>
      <c r="U5" s="372">
        <f>IFERROR((VLOOKUP($L5,'TABLA QUINCENAL'!$G$6:$I$16,3,TRUE)/'FACTORES FIJOS'!$B$3)*$G5,"ERROR")</f>
        <v>0</v>
      </c>
      <c r="V5" s="372">
        <f t="shared" ref="V5:V68" si="5">$T5-$U5</f>
        <v>921.01610400000004</v>
      </c>
      <c r="W5" s="372">
        <f t="shared" ref="W5:W68" si="6">IF($V5&gt;=0,$V5,0)</f>
        <v>921.01610400000004</v>
      </c>
      <c r="X5" s="372">
        <f t="shared" ref="X5:X68" si="7">IF($V5&lt;0,$V5*(-1),0)</f>
        <v>0</v>
      </c>
      <c r="Y5" s="372">
        <f>($K5*'FACTORES FIJOS'!$B$10)</f>
        <v>7.302631578947369</v>
      </c>
      <c r="Z5" s="372">
        <f>($K$4-(3*'FACTORES FIJOS'!$F$3))*'FACTORES FIJOS'!$D$10</f>
        <v>-0.45663157894736855</v>
      </c>
      <c r="AA5" s="372">
        <f>($K5*'FACTORES FIJOS'!$F$10)</f>
        <v>7.302631578947369</v>
      </c>
      <c r="AB5" s="372">
        <f>($K5*'FACTORES FIJOS'!$H$10)</f>
        <v>3.6513157894736845</v>
      </c>
      <c r="AC5" s="372">
        <f>($K5*'FACTORES FIJOS'!$J$10)</f>
        <v>3.6513157894736845</v>
      </c>
      <c r="AD5" s="372">
        <f t="shared" ref="AD5:AD68" si="8">SUM($Y5:$AC5)*(ROUNDDOWN($G5,0))</f>
        <v>321.7689473684211</v>
      </c>
    </row>
    <row r="6" spans="1:31">
      <c r="A6" s="343">
        <f t="shared" ref="A6:A69" si="9">A5+1</f>
        <v>3</v>
      </c>
      <c r="B6" s="344" t="s">
        <v>626</v>
      </c>
      <c r="C6" s="333" t="s">
        <v>546</v>
      </c>
      <c r="D6" s="333" t="s">
        <v>192</v>
      </c>
      <c r="E6" s="333" t="s">
        <v>198</v>
      </c>
      <c r="F6" s="343" t="s">
        <v>620</v>
      </c>
      <c r="G6" s="357">
        <v>15.2</v>
      </c>
      <c r="H6" s="341">
        <v>13000</v>
      </c>
      <c r="I6" s="341">
        <f t="shared" si="0"/>
        <v>6500</v>
      </c>
      <c r="J6" s="342">
        <v>0</v>
      </c>
      <c r="K6" s="372">
        <f t="shared" si="1"/>
        <v>427.63157894736844</v>
      </c>
      <c r="L6" s="372">
        <f>($I6/$G6)*'FACTORES FIJOS'!$B$3</f>
        <v>13000</v>
      </c>
      <c r="M6" s="373">
        <f>IF($G6='FACTORES FIJOS'!$D$5,VLOOKUP($L6,'TABLA QUINCENAL'!$B$6:$F$16,4,TRUE),IF($G6='FACTORES FIJOS'!$D$3,VLOOKUP($L6,'TABLA QUINCENAL'!$B$6:$F$16,4,TRUE),"FALSO"))</f>
        <v>0.23519999999999999</v>
      </c>
      <c r="N6" s="374">
        <f>VLOOKUP($L6,'TABLA QUINCENAL'!$B$6:$F$16,1,TRUE)</f>
        <v>10248.459999999999</v>
      </c>
      <c r="O6" s="374">
        <f>VLOOKUP($L6,'TABLA QUINCENAL'!$B$6:$F$16,2,TRUE)</f>
        <v>16153.05</v>
      </c>
      <c r="P6" s="372">
        <f t="shared" si="2"/>
        <v>2751.5400000000009</v>
      </c>
      <c r="Q6" s="372">
        <f t="shared" si="3"/>
        <v>647.16220800000019</v>
      </c>
      <c r="R6" s="374">
        <f>VLOOKUP($L6,'TABLA QUINCENAL'!$B$6:$F$16,3,TRUE)</f>
        <v>1641.75</v>
      </c>
      <c r="S6" s="372">
        <f t="shared" si="4"/>
        <v>2288.9122080000002</v>
      </c>
      <c r="T6" s="372">
        <f>$S6/'FACTORES FIJOS'!$B$3*CELAYA!$G6</f>
        <v>1144.4561040000001</v>
      </c>
      <c r="U6" s="372">
        <f>IFERROR((VLOOKUP($L6,'TABLA QUINCENAL'!$G$6:$I$16,3,TRUE)/'FACTORES FIJOS'!$B$3)*$G6,"ERROR")</f>
        <v>0</v>
      </c>
      <c r="V6" s="372">
        <f t="shared" si="5"/>
        <v>1144.4561040000001</v>
      </c>
      <c r="W6" s="372">
        <f t="shared" si="6"/>
        <v>1144.4561040000001</v>
      </c>
      <c r="X6" s="372">
        <f t="shared" si="7"/>
        <v>0</v>
      </c>
      <c r="Y6" s="372">
        <f>($K6*'FACTORES FIJOS'!$B$10)</f>
        <v>8.5526315789473681</v>
      </c>
      <c r="Z6" s="372">
        <f>($K$4-(3*'FACTORES FIJOS'!$F$3))*'FACTORES FIJOS'!$D$10</f>
        <v>-0.45663157894736855</v>
      </c>
      <c r="AA6" s="372">
        <f>($K6*'FACTORES FIJOS'!$F$10)</f>
        <v>8.5526315789473681</v>
      </c>
      <c r="AB6" s="372">
        <f>($K6*'FACTORES FIJOS'!$H$10)</f>
        <v>4.2763157894736841</v>
      </c>
      <c r="AC6" s="372">
        <f>($K6*'FACTORES FIJOS'!$J$10)</f>
        <v>4.2763157894736841</v>
      </c>
      <c r="AD6" s="372">
        <f t="shared" si="8"/>
        <v>378.01894736842104</v>
      </c>
    </row>
    <row r="7" spans="1:31">
      <c r="A7" s="343">
        <f t="shared" si="9"/>
        <v>4</v>
      </c>
      <c r="B7" s="344" t="s">
        <v>626</v>
      </c>
      <c r="C7" s="333" t="s">
        <v>618</v>
      </c>
      <c r="D7" s="333" t="s">
        <v>192</v>
      </c>
      <c r="E7" s="333" t="s">
        <v>613</v>
      </c>
      <c r="F7" s="343" t="s">
        <v>620</v>
      </c>
      <c r="G7" s="357">
        <v>15.2</v>
      </c>
      <c r="H7" s="341">
        <v>15000</v>
      </c>
      <c r="I7" s="341">
        <f t="shared" si="0"/>
        <v>7500</v>
      </c>
      <c r="J7" s="342">
        <v>0</v>
      </c>
      <c r="K7" s="372">
        <f t="shared" si="1"/>
        <v>493.42105263157896</v>
      </c>
      <c r="L7" s="372">
        <f>($I7/$G7)*'FACTORES FIJOS'!$B$3</f>
        <v>15000</v>
      </c>
      <c r="M7" s="373">
        <f>IF($G7='FACTORES FIJOS'!$D$5,VLOOKUP($L7,'TABLA QUINCENAL'!$B$6:$F$16,4,TRUE),IF($G7='FACTORES FIJOS'!$D$3,VLOOKUP($L7,'TABLA QUINCENAL'!$B$6:$F$16,4,TRUE),"FALSO"))</f>
        <v>0.23519999999999999</v>
      </c>
      <c r="N7" s="374">
        <f>VLOOKUP($L7,'TABLA QUINCENAL'!$B$6:$F$16,1,TRUE)</f>
        <v>10248.459999999999</v>
      </c>
      <c r="O7" s="374">
        <f>VLOOKUP($L7,'TABLA QUINCENAL'!$B$6:$F$16,2,TRUE)</f>
        <v>16153.05</v>
      </c>
      <c r="P7" s="372">
        <f t="shared" si="2"/>
        <v>4751.5400000000009</v>
      </c>
      <c r="Q7" s="372">
        <f t="shared" si="3"/>
        <v>1117.5622080000003</v>
      </c>
      <c r="R7" s="374">
        <f>VLOOKUP($L7,'TABLA QUINCENAL'!$B$6:$F$16,3,TRUE)</f>
        <v>1641.75</v>
      </c>
      <c r="S7" s="372">
        <f t="shared" si="4"/>
        <v>2759.3122080000003</v>
      </c>
      <c r="T7" s="372">
        <f>$S7/'FACTORES FIJOS'!$B$3*CELAYA!$G7</f>
        <v>1379.6561040000001</v>
      </c>
      <c r="U7" s="372">
        <f>IFERROR((VLOOKUP($L7,'TABLA QUINCENAL'!$G$6:$I$16,3,TRUE)/'FACTORES FIJOS'!$B$3)*$G7,"ERROR")</f>
        <v>0</v>
      </c>
      <c r="V7" s="372">
        <f t="shared" si="5"/>
        <v>1379.6561040000001</v>
      </c>
      <c r="W7" s="372">
        <f t="shared" si="6"/>
        <v>1379.6561040000001</v>
      </c>
      <c r="X7" s="372">
        <f t="shared" si="7"/>
        <v>0</v>
      </c>
      <c r="Y7" s="372">
        <f>($K7*'FACTORES FIJOS'!$B$10)</f>
        <v>9.8684210526315788</v>
      </c>
      <c r="Z7" s="372">
        <f>($K$4-(3*'FACTORES FIJOS'!$F$3))*'FACTORES FIJOS'!$D$10</f>
        <v>-0.45663157894736855</v>
      </c>
      <c r="AA7" s="372">
        <f>($K7*'FACTORES FIJOS'!$F$10)</f>
        <v>9.8684210526315788</v>
      </c>
      <c r="AB7" s="372">
        <f>($K7*'FACTORES FIJOS'!$H$10)</f>
        <v>4.9342105263157894</v>
      </c>
      <c r="AC7" s="372">
        <f>($K7*'FACTORES FIJOS'!$J$10)</f>
        <v>4.9342105263157894</v>
      </c>
      <c r="AD7" s="372">
        <f t="shared" si="8"/>
        <v>437.22947368421052</v>
      </c>
    </row>
    <row r="8" spans="1:31">
      <c r="A8" s="343">
        <f t="shared" si="9"/>
        <v>5</v>
      </c>
      <c r="B8" s="344" t="s">
        <v>626</v>
      </c>
      <c r="C8" s="333" t="s">
        <v>579</v>
      </c>
      <c r="D8" s="333" t="s">
        <v>192</v>
      </c>
      <c r="E8" s="333" t="s">
        <v>613</v>
      </c>
      <c r="F8" s="343" t="s">
        <v>620</v>
      </c>
      <c r="G8" s="357">
        <v>15.2</v>
      </c>
      <c r="H8" s="341">
        <v>5500</v>
      </c>
      <c r="I8" s="341">
        <f t="shared" si="0"/>
        <v>2750</v>
      </c>
      <c r="J8" s="342">
        <v>0</v>
      </c>
      <c r="K8" s="372">
        <f t="shared" si="1"/>
        <v>180.92105263157896</v>
      </c>
      <c r="L8" s="372">
        <f>($I8/$G8)*'FACTORES FIJOS'!$B$3</f>
        <v>5500</v>
      </c>
      <c r="M8" s="373">
        <f>IF($G8='FACTORES FIJOS'!$D$5,VLOOKUP($L8,'TABLA QUINCENAL'!$B$6:$F$16,4,TRUE),IF($G8='FACTORES FIJOS'!$D$3,VLOOKUP($L8,'TABLA QUINCENAL'!$B$6:$F$16,4,TRUE),"FALSO"))</f>
        <v>0.21360000000000001</v>
      </c>
      <c r="N8" s="374">
        <f>VLOOKUP($L8,'TABLA QUINCENAL'!$B$6:$F$16,1,TRUE)</f>
        <v>5081.41</v>
      </c>
      <c r="O8" s="374">
        <f>VLOOKUP($L8,'TABLA QUINCENAL'!$B$6:$F$16,2,TRUE)</f>
        <v>10248.450000000001</v>
      </c>
      <c r="P8" s="372">
        <f t="shared" si="2"/>
        <v>418.59000000000015</v>
      </c>
      <c r="Q8" s="372">
        <f t="shared" si="3"/>
        <v>89.410824000000034</v>
      </c>
      <c r="R8" s="374">
        <f>VLOOKUP($L8,'TABLA QUINCENAL'!$B$6:$F$16,3,TRUE)</f>
        <v>538.20000000000005</v>
      </c>
      <c r="S8" s="372">
        <f t="shared" si="4"/>
        <v>627.61082400000009</v>
      </c>
      <c r="T8" s="372">
        <f>$S8/'FACTORES FIJOS'!$B$3*CELAYA!$G8</f>
        <v>313.80541200000005</v>
      </c>
      <c r="U8" s="372">
        <f>IFERROR((VLOOKUP($L8,'TABLA QUINCENAL'!$G$6:$I$16,3,TRUE)/'FACTORES FIJOS'!$B$3)*$G8,"ERROR")</f>
        <v>0</v>
      </c>
      <c r="V8" s="372">
        <f t="shared" si="5"/>
        <v>313.80541200000005</v>
      </c>
      <c r="W8" s="372">
        <f t="shared" si="6"/>
        <v>313.80541200000005</v>
      </c>
      <c r="X8" s="372">
        <f t="shared" si="7"/>
        <v>0</v>
      </c>
      <c r="Y8" s="372">
        <f>($K8*'FACTORES FIJOS'!$B$10)</f>
        <v>3.6184210526315792</v>
      </c>
      <c r="Z8" s="372">
        <f>($K$4-(3*'FACTORES FIJOS'!$F$3))*'FACTORES FIJOS'!$D$10</f>
        <v>-0.45663157894736855</v>
      </c>
      <c r="AA8" s="372">
        <f>($K8*'FACTORES FIJOS'!$F$10)</f>
        <v>3.6184210526315792</v>
      </c>
      <c r="AB8" s="372">
        <f>($K8*'FACTORES FIJOS'!$H$10)</f>
        <v>1.8092105263157896</v>
      </c>
      <c r="AC8" s="372">
        <f>($K8*'FACTORES FIJOS'!$J$10)</f>
        <v>1.8092105263157896</v>
      </c>
      <c r="AD8" s="372">
        <f t="shared" si="8"/>
        <v>155.97947368421052</v>
      </c>
    </row>
    <row r="9" spans="1:31">
      <c r="A9" s="343">
        <f t="shared" si="9"/>
        <v>6</v>
      </c>
      <c r="B9" s="344" t="s">
        <v>626</v>
      </c>
      <c r="C9" s="333" t="s">
        <v>552</v>
      </c>
      <c r="D9" s="333" t="s">
        <v>192</v>
      </c>
      <c r="E9" s="333" t="s">
        <v>553</v>
      </c>
      <c r="F9" s="343" t="s">
        <v>620</v>
      </c>
      <c r="G9" s="357">
        <v>15.2</v>
      </c>
      <c r="H9" s="341">
        <v>5000</v>
      </c>
      <c r="I9" s="341">
        <f t="shared" si="0"/>
        <v>2500</v>
      </c>
      <c r="J9" s="342">
        <v>0</v>
      </c>
      <c r="K9" s="372">
        <f t="shared" si="1"/>
        <v>164.47368421052633</v>
      </c>
      <c r="L9" s="372">
        <f>($I9/$G9)*'FACTORES FIJOS'!$B$3</f>
        <v>5000</v>
      </c>
      <c r="M9" s="373">
        <f>IF($G9='FACTORES FIJOS'!$D$5,VLOOKUP($L9,'TABLA QUINCENAL'!$B$6:$F$16,4,TRUE),IF($G9='FACTORES FIJOS'!$D$3,VLOOKUP($L9,'TABLA QUINCENAL'!$B$6:$F$16,4,TRUE),"FALSO"))</f>
        <v>0.1792</v>
      </c>
      <c r="N9" s="374">
        <f>VLOOKUP($L9,'TABLA QUINCENAL'!$B$6:$F$16,1,TRUE)</f>
        <v>4244.1099999999997</v>
      </c>
      <c r="O9" s="374">
        <f>VLOOKUP($L9,'TABLA QUINCENAL'!$B$6:$F$16,2,TRUE)</f>
        <v>5081.3999999999996</v>
      </c>
      <c r="P9" s="372">
        <f t="shared" si="2"/>
        <v>755.89000000000033</v>
      </c>
      <c r="Q9" s="372">
        <f t="shared" si="3"/>
        <v>135.45548800000006</v>
      </c>
      <c r="R9" s="374">
        <f>VLOOKUP($L9,'TABLA QUINCENAL'!$B$6:$F$16,3,TRUE)</f>
        <v>388.05</v>
      </c>
      <c r="S9" s="372">
        <f t="shared" si="4"/>
        <v>523.50548800000001</v>
      </c>
      <c r="T9" s="372">
        <f>$S9/'FACTORES FIJOS'!$B$3*CELAYA!$G9</f>
        <v>261.75274400000001</v>
      </c>
      <c r="U9" s="372">
        <f>IFERROR((VLOOKUP($L9,'TABLA QUINCENAL'!$G$6:$I$16,3,TRUE)/'FACTORES FIJOS'!$B$3)*$G9,"ERROR")</f>
        <v>0</v>
      </c>
      <c r="V9" s="372">
        <f t="shared" si="5"/>
        <v>261.75274400000001</v>
      </c>
      <c r="W9" s="372">
        <f t="shared" si="6"/>
        <v>261.75274400000001</v>
      </c>
      <c r="X9" s="372">
        <f t="shared" si="7"/>
        <v>0</v>
      </c>
      <c r="Y9" s="372">
        <f>($K9*'FACTORES FIJOS'!$B$10)</f>
        <v>3.2894736842105265</v>
      </c>
      <c r="Z9" s="372">
        <f>($K$4-(3*'FACTORES FIJOS'!$F$3))*'FACTORES FIJOS'!$D$10</f>
        <v>-0.45663157894736855</v>
      </c>
      <c r="AA9" s="372">
        <f>($K9*'FACTORES FIJOS'!$F$10)</f>
        <v>3.2894736842105265</v>
      </c>
      <c r="AB9" s="372">
        <f>($K9*'FACTORES FIJOS'!$H$10)</f>
        <v>1.6447368421052633</v>
      </c>
      <c r="AC9" s="372">
        <f>($K9*'FACTORES FIJOS'!$J$10)</f>
        <v>1.6447368421052633</v>
      </c>
      <c r="AD9" s="372">
        <f t="shared" si="8"/>
        <v>141.17684210526318</v>
      </c>
    </row>
    <row r="10" spans="1:31">
      <c r="A10" s="343">
        <f t="shared" si="9"/>
        <v>7</v>
      </c>
      <c r="B10" s="344" t="s">
        <v>626</v>
      </c>
      <c r="C10" s="333" t="s">
        <v>610</v>
      </c>
      <c r="D10" s="333" t="s">
        <v>192</v>
      </c>
      <c r="E10" s="333" t="s">
        <v>125</v>
      </c>
      <c r="F10" s="343" t="s">
        <v>620</v>
      </c>
      <c r="G10" s="357">
        <v>15.2</v>
      </c>
      <c r="H10" s="341">
        <v>6500</v>
      </c>
      <c r="I10" s="341">
        <f t="shared" si="0"/>
        <v>3250</v>
      </c>
      <c r="J10" s="342">
        <v>0</v>
      </c>
      <c r="K10" s="372">
        <f t="shared" si="1"/>
        <v>213.81578947368422</v>
      </c>
      <c r="L10" s="372">
        <f>($I10/$G10)*'FACTORES FIJOS'!$B$3</f>
        <v>6500</v>
      </c>
      <c r="M10" s="373">
        <f>IF($G10='FACTORES FIJOS'!$D$5,VLOOKUP($L10,'TABLA QUINCENAL'!$B$6:$F$16,4,TRUE),IF($G10='FACTORES FIJOS'!$D$3,VLOOKUP($L10,'TABLA QUINCENAL'!$B$6:$F$16,4,TRUE),"FALSO"))</f>
        <v>0.21360000000000001</v>
      </c>
      <c r="N10" s="374">
        <f>VLOOKUP($L10,'TABLA QUINCENAL'!$B$6:$F$16,1,TRUE)</f>
        <v>5081.41</v>
      </c>
      <c r="O10" s="374">
        <f>VLOOKUP($L10,'TABLA QUINCENAL'!$B$6:$F$16,2,TRUE)</f>
        <v>10248.450000000001</v>
      </c>
      <c r="P10" s="372">
        <f t="shared" si="2"/>
        <v>1418.5900000000001</v>
      </c>
      <c r="Q10" s="372">
        <f t="shared" si="3"/>
        <v>303.01082400000007</v>
      </c>
      <c r="R10" s="374">
        <f>VLOOKUP($L10,'TABLA QUINCENAL'!$B$6:$F$16,3,TRUE)</f>
        <v>538.20000000000005</v>
      </c>
      <c r="S10" s="372">
        <f t="shared" si="4"/>
        <v>841.21082400000012</v>
      </c>
      <c r="T10" s="372">
        <f>$S10/'FACTORES FIJOS'!$B$3*CELAYA!$G10</f>
        <v>420.60541200000006</v>
      </c>
      <c r="U10" s="372">
        <f>IFERROR((VLOOKUP($L10,'TABLA QUINCENAL'!$G$6:$I$16,3,TRUE)/'FACTORES FIJOS'!$B$3)*$G10,"ERROR")</f>
        <v>0</v>
      </c>
      <c r="V10" s="372">
        <f t="shared" si="5"/>
        <v>420.60541200000006</v>
      </c>
      <c r="W10" s="372">
        <f t="shared" si="6"/>
        <v>420.60541200000006</v>
      </c>
      <c r="X10" s="372">
        <f t="shared" si="7"/>
        <v>0</v>
      </c>
      <c r="Y10" s="372">
        <f>($K10*'FACTORES FIJOS'!$B$10)</f>
        <v>4.2763157894736841</v>
      </c>
      <c r="Z10" s="372">
        <f>($K$4-(3*'FACTORES FIJOS'!$F$3))*'FACTORES FIJOS'!$D$10</f>
        <v>-0.45663157894736855</v>
      </c>
      <c r="AA10" s="372">
        <f>($K10*'FACTORES FIJOS'!$F$10)</f>
        <v>4.2763157894736841</v>
      </c>
      <c r="AB10" s="372">
        <f>($K10*'FACTORES FIJOS'!$H$10)</f>
        <v>2.138157894736842</v>
      </c>
      <c r="AC10" s="372">
        <f>($K10*'FACTORES FIJOS'!$J$10)</f>
        <v>2.138157894736842</v>
      </c>
      <c r="AD10" s="372">
        <f t="shared" si="8"/>
        <v>185.58473684210529</v>
      </c>
    </row>
    <row r="11" spans="1:31">
      <c r="A11" s="343">
        <f t="shared" si="9"/>
        <v>8</v>
      </c>
      <c r="B11" s="344" t="s">
        <v>626</v>
      </c>
      <c r="C11" s="333" t="s">
        <v>543</v>
      </c>
      <c r="D11" s="333" t="s">
        <v>192</v>
      </c>
      <c r="E11" s="333" t="s">
        <v>616</v>
      </c>
      <c r="F11" s="343" t="s">
        <v>620</v>
      </c>
      <c r="G11" s="357">
        <v>15.2</v>
      </c>
      <c r="H11" s="341">
        <v>5000</v>
      </c>
      <c r="I11" s="341">
        <f t="shared" si="0"/>
        <v>2500</v>
      </c>
      <c r="J11" s="342">
        <v>0</v>
      </c>
      <c r="K11" s="372">
        <f t="shared" si="1"/>
        <v>164.47368421052633</v>
      </c>
      <c r="L11" s="372">
        <f>($I11/$G11)*'FACTORES FIJOS'!$B$3</f>
        <v>5000</v>
      </c>
      <c r="M11" s="373">
        <f>IF($G11='FACTORES FIJOS'!$D$5,VLOOKUP($L11,'TABLA QUINCENAL'!$B$6:$F$16,4,TRUE),IF($G11='FACTORES FIJOS'!$D$3,VLOOKUP($L11,'TABLA QUINCENAL'!$B$6:$F$16,4,TRUE),"FALSO"))</f>
        <v>0.1792</v>
      </c>
      <c r="N11" s="374">
        <f>VLOOKUP($L11,'TABLA QUINCENAL'!$B$6:$F$16,1,TRUE)</f>
        <v>4244.1099999999997</v>
      </c>
      <c r="O11" s="374">
        <f>VLOOKUP($L11,'TABLA QUINCENAL'!$B$6:$F$16,2,TRUE)</f>
        <v>5081.3999999999996</v>
      </c>
      <c r="P11" s="372">
        <f t="shared" si="2"/>
        <v>755.89000000000033</v>
      </c>
      <c r="Q11" s="372">
        <f t="shared" si="3"/>
        <v>135.45548800000006</v>
      </c>
      <c r="R11" s="374">
        <f>VLOOKUP($L11,'TABLA QUINCENAL'!$B$6:$F$16,3,TRUE)</f>
        <v>388.05</v>
      </c>
      <c r="S11" s="372">
        <f t="shared" si="4"/>
        <v>523.50548800000001</v>
      </c>
      <c r="T11" s="372">
        <f>$S11/'FACTORES FIJOS'!$B$3*CELAYA!$G11</f>
        <v>261.75274400000001</v>
      </c>
      <c r="U11" s="372">
        <f>IFERROR((VLOOKUP($L11,'TABLA QUINCENAL'!$G$6:$I$16,3,TRUE)/'FACTORES FIJOS'!$B$3)*$G11,"ERROR")</f>
        <v>0</v>
      </c>
      <c r="V11" s="372">
        <f t="shared" si="5"/>
        <v>261.75274400000001</v>
      </c>
      <c r="W11" s="372">
        <f t="shared" si="6"/>
        <v>261.75274400000001</v>
      </c>
      <c r="X11" s="372">
        <f t="shared" si="7"/>
        <v>0</v>
      </c>
      <c r="Y11" s="372">
        <f>($K11*'FACTORES FIJOS'!$B$10)</f>
        <v>3.2894736842105265</v>
      </c>
      <c r="Z11" s="372">
        <f>($K$4-(3*'FACTORES FIJOS'!$F$3))*'FACTORES FIJOS'!$D$10</f>
        <v>-0.45663157894736855</v>
      </c>
      <c r="AA11" s="372">
        <f>($K11*'FACTORES FIJOS'!$F$10)</f>
        <v>3.2894736842105265</v>
      </c>
      <c r="AB11" s="372">
        <f>($K11*'FACTORES FIJOS'!$H$10)</f>
        <v>1.6447368421052633</v>
      </c>
      <c r="AC11" s="372">
        <f>($K11*'FACTORES FIJOS'!$J$10)</f>
        <v>1.6447368421052633</v>
      </c>
      <c r="AD11" s="372">
        <f t="shared" si="8"/>
        <v>141.17684210526318</v>
      </c>
    </row>
    <row r="12" spans="1:31">
      <c r="A12" s="343">
        <f t="shared" si="9"/>
        <v>9</v>
      </c>
      <c r="B12" s="344" t="s">
        <v>626</v>
      </c>
      <c r="C12" s="333" t="s">
        <v>598</v>
      </c>
      <c r="D12" s="333" t="s">
        <v>192</v>
      </c>
      <c r="E12" s="333" t="s">
        <v>599</v>
      </c>
      <c r="F12" s="343" t="s">
        <v>620</v>
      </c>
      <c r="G12" s="357">
        <v>15.2</v>
      </c>
      <c r="H12" s="341">
        <v>4000.0000000000005</v>
      </c>
      <c r="I12" s="341">
        <f t="shared" si="0"/>
        <v>2000.0000000000002</v>
      </c>
      <c r="J12" s="342">
        <v>0</v>
      </c>
      <c r="K12" s="372">
        <f t="shared" si="1"/>
        <v>131.57894736842107</v>
      </c>
      <c r="L12" s="372">
        <f>($I12/$G12)*'FACTORES FIJOS'!$B$3</f>
        <v>4000.0000000000005</v>
      </c>
      <c r="M12" s="373">
        <f>IF($G12='FACTORES FIJOS'!$D$5,VLOOKUP($L12,'TABLA QUINCENAL'!$B$6:$F$16,4,TRUE),IF($G12='FACTORES FIJOS'!$D$3,VLOOKUP($L12,'TABLA QUINCENAL'!$B$6:$F$16,4,TRUE),"FALSO"))</f>
        <v>0.16</v>
      </c>
      <c r="N12" s="374">
        <f>VLOOKUP($L12,'TABLA QUINCENAL'!$B$6:$F$16,1,TRUE)</f>
        <v>3651.01</v>
      </c>
      <c r="O12" s="374">
        <f>VLOOKUP($L12,'TABLA QUINCENAL'!$B$6:$F$16,2,TRUE)</f>
        <v>4244.1000000000004</v>
      </c>
      <c r="P12" s="372">
        <f t="shared" si="2"/>
        <v>348.99000000000024</v>
      </c>
      <c r="Q12" s="372">
        <f t="shared" si="3"/>
        <v>55.838400000000036</v>
      </c>
      <c r="R12" s="374">
        <f>VLOOKUP($L12,'TABLA QUINCENAL'!$B$6:$F$16,3,TRUE)</f>
        <v>293.25</v>
      </c>
      <c r="S12" s="372">
        <f t="shared" si="4"/>
        <v>349.08840000000004</v>
      </c>
      <c r="T12" s="372">
        <f>$S12/'FACTORES FIJOS'!$B$3*CELAYA!$G12</f>
        <v>174.54420000000002</v>
      </c>
      <c r="U12" s="372">
        <f>IFERROR((VLOOKUP($L12,'TABLA QUINCENAL'!$G$6:$I$16,3,TRUE)/'FACTORES FIJOS'!$B$3)*$G12,"ERROR")</f>
        <v>0</v>
      </c>
      <c r="V12" s="372">
        <f t="shared" si="5"/>
        <v>174.54420000000002</v>
      </c>
      <c r="W12" s="372">
        <f t="shared" si="6"/>
        <v>174.54420000000002</v>
      </c>
      <c r="X12" s="372">
        <f t="shared" si="7"/>
        <v>0</v>
      </c>
      <c r="Y12" s="372">
        <f>($K12*'FACTORES FIJOS'!$B$10)</f>
        <v>2.6315789473684212</v>
      </c>
      <c r="Z12" s="372">
        <f>($K$4-(3*'FACTORES FIJOS'!$F$3))*'FACTORES FIJOS'!$D$10</f>
        <v>-0.45663157894736855</v>
      </c>
      <c r="AA12" s="372">
        <f>($K12*'FACTORES FIJOS'!$F$10)</f>
        <v>2.6315789473684212</v>
      </c>
      <c r="AB12" s="372">
        <f>($K12*'FACTORES FIJOS'!$H$10)</f>
        <v>1.3157894736842106</v>
      </c>
      <c r="AC12" s="372">
        <f>($K12*'FACTORES FIJOS'!$J$10)</f>
        <v>1.3157894736842106</v>
      </c>
      <c r="AD12" s="372">
        <f t="shared" si="8"/>
        <v>111.57157894736844</v>
      </c>
    </row>
    <row r="13" spans="1:31">
      <c r="A13" s="343">
        <f t="shared" si="9"/>
        <v>10</v>
      </c>
      <c r="B13" s="344" t="s">
        <v>626</v>
      </c>
      <c r="C13" s="333" t="s">
        <v>561</v>
      </c>
      <c r="D13" s="333" t="s">
        <v>192</v>
      </c>
      <c r="E13" s="333" t="s">
        <v>562</v>
      </c>
      <c r="F13" s="343" t="s">
        <v>620</v>
      </c>
      <c r="G13" s="357">
        <v>15.2</v>
      </c>
      <c r="H13" s="341">
        <v>25000</v>
      </c>
      <c r="I13" s="341">
        <f t="shared" si="0"/>
        <v>12500</v>
      </c>
      <c r="J13" s="342">
        <v>0</v>
      </c>
      <c r="K13" s="372">
        <f t="shared" si="1"/>
        <v>822.36842105263156</v>
      </c>
      <c r="L13" s="372">
        <f>($I13/$G13)*'FACTORES FIJOS'!$B$3</f>
        <v>25000</v>
      </c>
      <c r="M13" s="373">
        <f>IF($G13='FACTORES FIJOS'!$D$5,VLOOKUP($L13,'TABLA QUINCENAL'!$B$6:$F$16,4,TRUE),IF($G13='FACTORES FIJOS'!$D$3,VLOOKUP($L13,'TABLA QUINCENAL'!$B$6:$F$16,4,TRUE),"FALSO"))</f>
        <v>0.3</v>
      </c>
      <c r="N13" s="374">
        <f>VLOOKUP($L13,'TABLA QUINCENAL'!$B$6:$F$16,1,TRUE)</f>
        <v>16153.06</v>
      </c>
      <c r="O13" s="374">
        <f>VLOOKUP($L13,'TABLA QUINCENAL'!$B$6:$F$16,2,TRUE)</f>
        <v>30838.799999999999</v>
      </c>
      <c r="P13" s="372">
        <f t="shared" si="2"/>
        <v>8846.94</v>
      </c>
      <c r="Q13" s="372">
        <f t="shared" si="3"/>
        <v>2654.0819999999999</v>
      </c>
      <c r="R13" s="374">
        <f>VLOOKUP($L13,'TABLA QUINCENAL'!$B$6:$F$16,3,TRUE)</f>
        <v>3030.6</v>
      </c>
      <c r="S13" s="372">
        <f t="shared" si="4"/>
        <v>5684.6819999999998</v>
      </c>
      <c r="T13" s="372">
        <f>$S13/'FACTORES FIJOS'!$B$3*CELAYA!$G13</f>
        <v>2842.3409999999999</v>
      </c>
      <c r="U13" s="372">
        <f>IFERROR((VLOOKUP($L13,'TABLA QUINCENAL'!$G$6:$I$16,3,TRUE)/'FACTORES FIJOS'!$B$3)*$G13,"ERROR")</f>
        <v>0</v>
      </c>
      <c r="V13" s="372">
        <f t="shared" si="5"/>
        <v>2842.3409999999999</v>
      </c>
      <c r="W13" s="372">
        <f t="shared" si="6"/>
        <v>2842.3409999999999</v>
      </c>
      <c r="X13" s="372">
        <f t="shared" si="7"/>
        <v>0</v>
      </c>
      <c r="Y13" s="372">
        <f>($K13*'FACTORES FIJOS'!$B$10)</f>
        <v>16.44736842105263</v>
      </c>
      <c r="Z13" s="372">
        <f>($K$4-(3*'FACTORES FIJOS'!$F$3))*'FACTORES FIJOS'!$D$10</f>
        <v>-0.45663157894736855</v>
      </c>
      <c r="AA13" s="372">
        <f>($K13*'FACTORES FIJOS'!$F$10)</f>
        <v>16.44736842105263</v>
      </c>
      <c r="AB13" s="372">
        <f>($K13*'FACTORES FIJOS'!$H$10)</f>
        <v>8.223684210526315</v>
      </c>
      <c r="AC13" s="372">
        <f>($K13*'FACTORES FIJOS'!$J$10)</f>
        <v>8.223684210526315</v>
      </c>
      <c r="AD13" s="372">
        <f t="shared" si="8"/>
        <v>733.28210526315786</v>
      </c>
    </row>
    <row r="14" spans="1:31">
      <c r="A14" s="343">
        <f t="shared" si="9"/>
        <v>11</v>
      </c>
      <c r="B14" s="344" t="s">
        <v>626</v>
      </c>
      <c r="C14" s="333" t="s">
        <v>602</v>
      </c>
      <c r="D14" s="333" t="s">
        <v>192</v>
      </c>
      <c r="E14" s="333" t="s">
        <v>603</v>
      </c>
      <c r="F14" s="343" t="s">
        <v>620</v>
      </c>
      <c r="G14" s="357">
        <v>15.2</v>
      </c>
      <c r="H14" s="341">
        <v>12500</v>
      </c>
      <c r="I14" s="341">
        <f t="shared" si="0"/>
        <v>6250</v>
      </c>
      <c r="J14" s="342">
        <v>0</v>
      </c>
      <c r="K14" s="372">
        <f t="shared" si="1"/>
        <v>411.18421052631578</v>
      </c>
      <c r="L14" s="372">
        <f>($I14/$G14)*'FACTORES FIJOS'!$B$3</f>
        <v>12500</v>
      </c>
      <c r="M14" s="373">
        <f>IF($G14='FACTORES FIJOS'!$D$5,VLOOKUP($L14,'TABLA QUINCENAL'!$B$6:$F$16,4,TRUE),IF($G14='FACTORES FIJOS'!$D$3,VLOOKUP($L14,'TABLA QUINCENAL'!$B$6:$F$16,4,TRUE),"FALSO"))</f>
        <v>0.23519999999999999</v>
      </c>
      <c r="N14" s="374">
        <f>VLOOKUP($L14,'TABLA QUINCENAL'!$B$6:$F$16,1,TRUE)</f>
        <v>10248.459999999999</v>
      </c>
      <c r="O14" s="374">
        <f>VLOOKUP($L14,'TABLA QUINCENAL'!$B$6:$F$16,2,TRUE)</f>
        <v>16153.05</v>
      </c>
      <c r="P14" s="372">
        <f t="shared" si="2"/>
        <v>2251.5400000000009</v>
      </c>
      <c r="Q14" s="372">
        <f t="shared" si="3"/>
        <v>529.56220800000017</v>
      </c>
      <c r="R14" s="374">
        <f>VLOOKUP($L14,'TABLA QUINCENAL'!$B$6:$F$16,3,TRUE)</f>
        <v>1641.75</v>
      </c>
      <c r="S14" s="372">
        <f t="shared" si="4"/>
        <v>2171.3122080000003</v>
      </c>
      <c r="T14" s="372">
        <f>$S14/'FACTORES FIJOS'!$B$3*CELAYA!$G14</f>
        <v>1085.6561040000001</v>
      </c>
      <c r="U14" s="372">
        <f>IFERROR((VLOOKUP($L14,'TABLA QUINCENAL'!$G$6:$I$16,3,TRUE)/'FACTORES FIJOS'!$B$3)*$G14,"ERROR")</f>
        <v>0</v>
      </c>
      <c r="V14" s="372">
        <f t="shared" si="5"/>
        <v>1085.6561040000001</v>
      </c>
      <c r="W14" s="372">
        <f t="shared" si="6"/>
        <v>1085.6561040000001</v>
      </c>
      <c r="X14" s="372">
        <f t="shared" si="7"/>
        <v>0</v>
      </c>
      <c r="Y14" s="372">
        <f>($K14*'FACTORES FIJOS'!$B$10)</f>
        <v>8.223684210526315</v>
      </c>
      <c r="Z14" s="372">
        <f>($K$4-(3*'FACTORES FIJOS'!$F$3))*'FACTORES FIJOS'!$D$10</f>
        <v>-0.45663157894736855</v>
      </c>
      <c r="AA14" s="372">
        <f>($K14*'FACTORES FIJOS'!$F$10)</f>
        <v>8.223684210526315</v>
      </c>
      <c r="AB14" s="372">
        <f>($K14*'FACTORES FIJOS'!$H$10)</f>
        <v>4.1118421052631575</v>
      </c>
      <c r="AC14" s="372">
        <f>($K14*'FACTORES FIJOS'!$J$10)</f>
        <v>4.1118421052631575</v>
      </c>
      <c r="AD14" s="372">
        <f t="shared" si="8"/>
        <v>363.21631578947364</v>
      </c>
    </row>
    <row r="15" spans="1:31">
      <c r="A15" s="343">
        <f t="shared" si="9"/>
        <v>12</v>
      </c>
      <c r="B15" s="344" t="s">
        <v>626</v>
      </c>
      <c r="C15" s="333" t="s">
        <v>548</v>
      </c>
      <c r="D15" s="333" t="s">
        <v>192</v>
      </c>
      <c r="E15" s="333" t="s">
        <v>128</v>
      </c>
      <c r="F15" s="343" t="s">
        <v>620</v>
      </c>
      <c r="G15" s="357">
        <v>15.2</v>
      </c>
      <c r="H15" s="341">
        <v>5600</v>
      </c>
      <c r="I15" s="341">
        <f t="shared" si="0"/>
        <v>2800</v>
      </c>
      <c r="J15" s="342">
        <v>0</v>
      </c>
      <c r="K15" s="372">
        <f t="shared" si="1"/>
        <v>184.21052631578948</v>
      </c>
      <c r="L15" s="372">
        <f>($I15/$G15)*'FACTORES FIJOS'!$B$3</f>
        <v>5600</v>
      </c>
      <c r="M15" s="373">
        <f>IF($G15='FACTORES FIJOS'!$D$5,VLOOKUP($L15,'TABLA QUINCENAL'!$B$6:$F$16,4,TRUE),IF($G15='FACTORES FIJOS'!$D$3,VLOOKUP($L15,'TABLA QUINCENAL'!$B$6:$F$16,4,TRUE),"FALSO"))</f>
        <v>0.21360000000000001</v>
      </c>
      <c r="N15" s="374">
        <f>VLOOKUP($L15,'TABLA QUINCENAL'!$B$6:$F$16,1,TRUE)</f>
        <v>5081.41</v>
      </c>
      <c r="O15" s="374">
        <f>VLOOKUP($L15,'TABLA QUINCENAL'!$B$6:$F$16,2,TRUE)</f>
        <v>10248.450000000001</v>
      </c>
      <c r="P15" s="372">
        <f t="shared" si="2"/>
        <v>518.59000000000015</v>
      </c>
      <c r="Q15" s="372">
        <f t="shared" si="3"/>
        <v>110.77082400000003</v>
      </c>
      <c r="R15" s="374">
        <f>VLOOKUP($L15,'TABLA QUINCENAL'!$B$6:$F$16,3,TRUE)</f>
        <v>538.20000000000005</v>
      </c>
      <c r="S15" s="372">
        <f t="shared" si="4"/>
        <v>648.97082400000011</v>
      </c>
      <c r="T15" s="372">
        <f>$S15/'FACTORES FIJOS'!$B$3*CELAYA!$G15</f>
        <v>324.48541200000005</v>
      </c>
      <c r="U15" s="372">
        <f>IFERROR((VLOOKUP($L15,'TABLA QUINCENAL'!$G$6:$I$16,3,TRUE)/'FACTORES FIJOS'!$B$3)*$G15,"ERROR")</f>
        <v>0</v>
      </c>
      <c r="V15" s="372">
        <f t="shared" si="5"/>
        <v>324.48541200000005</v>
      </c>
      <c r="W15" s="372">
        <f t="shared" si="6"/>
        <v>324.48541200000005</v>
      </c>
      <c r="X15" s="372">
        <f t="shared" si="7"/>
        <v>0</v>
      </c>
      <c r="Y15" s="372">
        <f>($K15*'FACTORES FIJOS'!$B$10)</f>
        <v>3.6842105263157898</v>
      </c>
      <c r="Z15" s="372">
        <f>($K$4-(3*'FACTORES FIJOS'!$F$3))*'FACTORES FIJOS'!$D$10</f>
        <v>-0.45663157894736855</v>
      </c>
      <c r="AA15" s="372">
        <f>($K15*'FACTORES FIJOS'!$F$10)</f>
        <v>3.6842105263157898</v>
      </c>
      <c r="AB15" s="372">
        <f>($K15*'FACTORES FIJOS'!$H$10)</f>
        <v>1.8421052631578949</v>
      </c>
      <c r="AC15" s="372">
        <f>($K15*'FACTORES FIJOS'!$J$10)</f>
        <v>1.8421052631578949</v>
      </c>
      <c r="AD15" s="372">
        <f t="shared" si="8"/>
        <v>158.94000000000003</v>
      </c>
    </row>
    <row r="16" spans="1:31">
      <c r="A16" s="343">
        <f t="shared" si="9"/>
        <v>13</v>
      </c>
      <c r="B16" s="344" t="s">
        <v>626</v>
      </c>
      <c r="C16" s="333" t="s">
        <v>547</v>
      </c>
      <c r="D16" s="333" t="s">
        <v>192</v>
      </c>
      <c r="E16" s="333" t="s">
        <v>128</v>
      </c>
      <c r="F16" s="343" t="s">
        <v>620</v>
      </c>
      <c r="G16" s="357">
        <v>15.2</v>
      </c>
      <c r="H16" s="341">
        <v>5600</v>
      </c>
      <c r="I16" s="341">
        <f t="shared" si="0"/>
        <v>2800</v>
      </c>
      <c r="J16" s="342">
        <v>0</v>
      </c>
      <c r="K16" s="372">
        <f t="shared" si="1"/>
        <v>184.21052631578948</v>
      </c>
      <c r="L16" s="372">
        <f>($I16/$G16)*'FACTORES FIJOS'!$B$3</f>
        <v>5600</v>
      </c>
      <c r="M16" s="373">
        <f>IF($G16='FACTORES FIJOS'!$D$5,VLOOKUP($L16,'TABLA QUINCENAL'!$B$6:$F$16,4,TRUE),IF($G16='FACTORES FIJOS'!$D$3,VLOOKUP($L16,'TABLA QUINCENAL'!$B$6:$F$16,4,TRUE),"FALSO"))</f>
        <v>0.21360000000000001</v>
      </c>
      <c r="N16" s="374">
        <f>VLOOKUP($L16,'TABLA QUINCENAL'!$B$6:$F$16,1,TRUE)</f>
        <v>5081.41</v>
      </c>
      <c r="O16" s="374">
        <f>VLOOKUP($L16,'TABLA QUINCENAL'!$B$6:$F$16,2,TRUE)</f>
        <v>10248.450000000001</v>
      </c>
      <c r="P16" s="372">
        <f t="shared" si="2"/>
        <v>518.59000000000015</v>
      </c>
      <c r="Q16" s="372">
        <f t="shared" si="3"/>
        <v>110.77082400000003</v>
      </c>
      <c r="R16" s="374">
        <f>VLOOKUP($L16,'TABLA QUINCENAL'!$B$6:$F$16,3,TRUE)</f>
        <v>538.20000000000005</v>
      </c>
      <c r="S16" s="372">
        <f t="shared" si="4"/>
        <v>648.97082400000011</v>
      </c>
      <c r="T16" s="372">
        <f>$S16/'FACTORES FIJOS'!$B$3*CELAYA!$G16</f>
        <v>324.48541200000005</v>
      </c>
      <c r="U16" s="372">
        <f>IFERROR((VLOOKUP($L16,'TABLA QUINCENAL'!$G$6:$I$16,3,TRUE)/'FACTORES FIJOS'!$B$3)*$G16,"ERROR")</f>
        <v>0</v>
      </c>
      <c r="V16" s="372">
        <f t="shared" si="5"/>
        <v>324.48541200000005</v>
      </c>
      <c r="W16" s="372">
        <f t="shared" si="6"/>
        <v>324.48541200000005</v>
      </c>
      <c r="X16" s="372">
        <f t="shared" si="7"/>
        <v>0</v>
      </c>
      <c r="Y16" s="372">
        <f>($K16*'FACTORES FIJOS'!$B$10)</f>
        <v>3.6842105263157898</v>
      </c>
      <c r="Z16" s="372">
        <f>($K$4-(3*'FACTORES FIJOS'!$F$3))*'FACTORES FIJOS'!$D$10</f>
        <v>-0.45663157894736855</v>
      </c>
      <c r="AA16" s="372">
        <f>($K16*'FACTORES FIJOS'!$F$10)</f>
        <v>3.6842105263157898</v>
      </c>
      <c r="AB16" s="372">
        <f>($K16*'FACTORES FIJOS'!$H$10)</f>
        <v>1.8421052631578949</v>
      </c>
      <c r="AC16" s="372">
        <f>($K16*'FACTORES FIJOS'!$J$10)</f>
        <v>1.8421052631578949</v>
      </c>
      <c r="AD16" s="372">
        <f t="shared" si="8"/>
        <v>158.94000000000003</v>
      </c>
    </row>
    <row r="17" spans="1:30">
      <c r="A17" s="343">
        <f t="shared" si="9"/>
        <v>14</v>
      </c>
      <c r="B17" s="344" t="s">
        <v>626</v>
      </c>
      <c r="C17" s="333" t="s">
        <v>563</v>
      </c>
      <c r="D17" s="333" t="s">
        <v>192</v>
      </c>
      <c r="E17" s="333" t="s">
        <v>564</v>
      </c>
      <c r="F17" s="343" t="s">
        <v>620</v>
      </c>
      <c r="G17" s="357">
        <v>15.2</v>
      </c>
      <c r="H17" s="341">
        <v>7000</v>
      </c>
      <c r="I17" s="341">
        <f t="shared" si="0"/>
        <v>3500</v>
      </c>
      <c r="J17" s="342">
        <v>0</v>
      </c>
      <c r="K17" s="372">
        <f t="shared" si="1"/>
        <v>230.26315789473685</v>
      </c>
      <c r="L17" s="372">
        <f>($I17/$G17)*'FACTORES FIJOS'!$B$3</f>
        <v>7000</v>
      </c>
      <c r="M17" s="373">
        <f>IF($G17='FACTORES FIJOS'!$D$5,VLOOKUP($L17,'TABLA QUINCENAL'!$B$6:$F$16,4,TRUE),IF($G17='FACTORES FIJOS'!$D$3,VLOOKUP($L17,'TABLA QUINCENAL'!$B$6:$F$16,4,TRUE),"FALSO"))</f>
        <v>0.21360000000000001</v>
      </c>
      <c r="N17" s="374">
        <f>VLOOKUP($L17,'TABLA QUINCENAL'!$B$6:$F$16,1,TRUE)</f>
        <v>5081.41</v>
      </c>
      <c r="O17" s="374">
        <f>VLOOKUP($L17,'TABLA QUINCENAL'!$B$6:$F$16,2,TRUE)</f>
        <v>10248.450000000001</v>
      </c>
      <c r="P17" s="372">
        <f t="shared" si="2"/>
        <v>1918.5900000000001</v>
      </c>
      <c r="Q17" s="372">
        <f t="shared" si="3"/>
        <v>409.81082400000008</v>
      </c>
      <c r="R17" s="374">
        <f>VLOOKUP($L17,'TABLA QUINCENAL'!$B$6:$F$16,3,TRUE)</f>
        <v>538.20000000000005</v>
      </c>
      <c r="S17" s="372">
        <f t="shared" si="4"/>
        <v>948.01082400000018</v>
      </c>
      <c r="T17" s="372">
        <f>$S17/'FACTORES FIJOS'!$B$3*CELAYA!$G17</f>
        <v>474.00541200000009</v>
      </c>
      <c r="U17" s="372">
        <f>IFERROR((VLOOKUP($L17,'TABLA QUINCENAL'!$G$6:$I$16,3,TRUE)/'FACTORES FIJOS'!$B$3)*$G17,"ERROR")</f>
        <v>0</v>
      </c>
      <c r="V17" s="372">
        <f t="shared" si="5"/>
        <v>474.00541200000009</v>
      </c>
      <c r="W17" s="372">
        <f t="shared" si="6"/>
        <v>474.00541200000009</v>
      </c>
      <c r="X17" s="372">
        <f t="shared" si="7"/>
        <v>0</v>
      </c>
      <c r="Y17" s="372">
        <f>($K17*'FACTORES FIJOS'!$B$10)</f>
        <v>4.6052631578947372</v>
      </c>
      <c r="Z17" s="372">
        <f>($K$4-(3*'FACTORES FIJOS'!$F$3))*'FACTORES FIJOS'!$D$10</f>
        <v>-0.45663157894736855</v>
      </c>
      <c r="AA17" s="372">
        <f>($K17*'FACTORES FIJOS'!$F$10)</f>
        <v>4.6052631578947372</v>
      </c>
      <c r="AB17" s="372">
        <f>($K17*'FACTORES FIJOS'!$H$10)</f>
        <v>2.3026315789473686</v>
      </c>
      <c r="AC17" s="372">
        <f>($K17*'FACTORES FIJOS'!$J$10)</f>
        <v>2.3026315789473686</v>
      </c>
      <c r="AD17" s="372">
        <f t="shared" si="8"/>
        <v>200.38736842105263</v>
      </c>
    </row>
    <row r="18" spans="1:30">
      <c r="A18" s="343">
        <f t="shared" si="9"/>
        <v>15</v>
      </c>
      <c r="B18" s="344" t="s">
        <v>626</v>
      </c>
      <c r="C18" s="333" t="s">
        <v>578</v>
      </c>
      <c r="D18" s="333" t="s">
        <v>192</v>
      </c>
      <c r="E18" s="333" t="s">
        <v>143</v>
      </c>
      <c r="F18" s="343" t="s">
        <v>620</v>
      </c>
      <c r="G18" s="357">
        <v>15.2</v>
      </c>
      <c r="H18" s="341">
        <v>3500</v>
      </c>
      <c r="I18" s="341">
        <f t="shared" si="0"/>
        <v>1750</v>
      </c>
      <c r="J18" s="342">
        <v>0</v>
      </c>
      <c r="K18" s="372">
        <f t="shared" si="1"/>
        <v>115.13157894736842</v>
      </c>
      <c r="L18" s="372">
        <f>($I18/$G18)*'FACTORES FIJOS'!$B$3</f>
        <v>3500</v>
      </c>
      <c r="M18" s="373">
        <f>IF($G18='FACTORES FIJOS'!$D$5,VLOOKUP($L18,'TABLA QUINCENAL'!$B$6:$F$16,4,TRUE),IF($G18='FACTORES FIJOS'!$D$3,VLOOKUP($L18,'TABLA QUINCENAL'!$B$6:$F$16,4,TRUE),"FALSO"))</f>
        <v>0.10879999999999999</v>
      </c>
      <c r="N18" s="374">
        <f>VLOOKUP($L18,'TABLA QUINCENAL'!$B$6:$F$16,1,TRUE)</f>
        <v>2077.5100000000002</v>
      </c>
      <c r="O18" s="374">
        <f>VLOOKUP($L18,'TABLA QUINCENAL'!$B$6:$F$16,2,TRUE)</f>
        <v>3651</v>
      </c>
      <c r="P18" s="372">
        <f t="shared" si="2"/>
        <v>1422.4899999999998</v>
      </c>
      <c r="Q18" s="372">
        <f t="shared" si="3"/>
        <v>154.76691199999996</v>
      </c>
      <c r="R18" s="374">
        <f>VLOOKUP($L18,'TABLA QUINCENAL'!$B$6:$F$16,3,TRUE)</f>
        <v>121.95</v>
      </c>
      <c r="S18" s="372">
        <f t="shared" si="4"/>
        <v>276.71691199999998</v>
      </c>
      <c r="T18" s="372">
        <f>$S18/'FACTORES FIJOS'!$B$3*CELAYA!$G18</f>
        <v>138.35845599999999</v>
      </c>
      <c r="U18" s="372">
        <f>IFERROR((VLOOKUP($L18,'TABLA QUINCENAL'!$G$6:$I$16,3,TRUE)/'FACTORES FIJOS'!$B$3)*$G18,"ERROR")</f>
        <v>62.54999999999999</v>
      </c>
      <c r="V18" s="372">
        <f t="shared" si="5"/>
        <v>75.808456000000007</v>
      </c>
      <c r="W18" s="372">
        <f t="shared" si="6"/>
        <v>75.808456000000007</v>
      </c>
      <c r="X18" s="372">
        <f t="shared" si="7"/>
        <v>0</v>
      </c>
      <c r="Y18" s="372">
        <f>($K18*'FACTORES FIJOS'!$B$10)</f>
        <v>2.3026315789473686</v>
      </c>
      <c r="Z18" s="372">
        <f>($K$4-(3*'FACTORES FIJOS'!$F$3))*'FACTORES FIJOS'!$D$10</f>
        <v>-0.45663157894736855</v>
      </c>
      <c r="AA18" s="372">
        <f>($K18*'FACTORES FIJOS'!$F$10)</f>
        <v>2.3026315789473686</v>
      </c>
      <c r="AB18" s="372">
        <f>($K18*'FACTORES FIJOS'!$H$10)</f>
        <v>1.1513157894736843</v>
      </c>
      <c r="AC18" s="372">
        <f>($K18*'FACTORES FIJOS'!$J$10)</f>
        <v>1.1513157894736843</v>
      </c>
      <c r="AD18" s="372">
        <f t="shared" si="8"/>
        <v>96.768947368421038</v>
      </c>
    </row>
    <row r="19" spans="1:30">
      <c r="A19" s="343">
        <f t="shared" si="9"/>
        <v>16</v>
      </c>
      <c r="B19" s="344" t="s">
        <v>626</v>
      </c>
      <c r="C19" s="333" t="s">
        <v>540</v>
      </c>
      <c r="D19" s="333" t="s">
        <v>192</v>
      </c>
      <c r="E19" s="333" t="s">
        <v>127</v>
      </c>
      <c r="F19" s="343" t="s">
        <v>620</v>
      </c>
      <c r="G19" s="357">
        <v>15.2</v>
      </c>
      <c r="H19" s="341">
        <v>6500</v>
      </c>
      <c r="I19" s="341">
        <f t="shared" si="0"/>
        <v>3250</v>
      </c>
      <c r="J19" s="342">
        <v>0</v>
      </c>
      <c r="K19" s="372">
        <f t="shared" si="1"/>
        <v>213.81578947368422</v>
      </c>
      <c r="L19" s="372">
        <f>($I19/$G19)*'FACTORES FIJOS'!$B$3</f>
        <v>6500</v>
      </c>
      <c r="M19" s="373">
        <f>IF($G19='FACTORES FIJOS'!$D$5,VLOOKUP($L19,'TABLA QUINCENAL'!$B$6:$F$16,4,TRUE),IF($G19='FACTORES FIJOS'!$D$3,VLOOKUP($L19,'TABLA QUINCENAL'!$B$6:$F$16,4,TRUE),"FALSO"))</f>
        <v>0.21360000000000001</v>
      </c>
      <c r="N19" s="374">
        <f>VLOOKUP($L19,'TABLA QUINCENAL'!$B$6:$F$16,1,TRUE)</f>
        <v>5081.41</v>
      </c>
      <c r="O19" s="374">
        <f>VLOOKUP($L19,'TABLA QUINCENAL'!$B$6:$F$16,2,TRUE)</f>
        <v>10248.450000000001</v>
      </c>
      <c r="P19" s="372">
        <f t="shared" si="2"/>
        <v>1418.5900000000001</v>
      </c>
      <c r="Q19" s="372">
        <f t="shared" si="3"/>
        <v>303.01082400000007</v>
      </c>
      <c r="R19" s="374">
        <f>VLOOKUP($L19,'TABLA QUINCENAL'!$B$6:$F$16,3,TRUE)</f>
        <v>538.20000000000005</v>
      </c>
      <c r="S19" s="372">
        <f t="shared" si="4"/>
        <v>841.21082400000012</v>
      </c>
      <c r="T19" s="372">
        <f>$S19/'FACTORES FIJOS'!$B$3*CELAYA!$G19</f>
        <v>420.60541200000006</v>
      </c>
      <c r="U19" s="372">
        <f>IFERROR((VLOOKUP($L19,'TABLA QUINCENAL'!$G$6:$I$16,3,TRUE)/'FACTORES FIJOS'!$B$3)*$G19,"ERROR")</f>
        <v>0</v>
      </c>
      <c r="V19" s="372">
        <f t="shared" si="5"/>
        <v>420.60541200000006</v>
      </c>
      <c r="W19" s="372">
        <f t="shared" si="6"/>
        <v>420.60541200000006</v>
      </c>
      <c r="X19" s="372">
        <f t="shared" si="7"/>
        <v>0</v>
      </c>
      <c r="Y19" s="372">
        <f>($K19*'FACTORES FIJOS'!$B$10)</f>
        <v>4.2763157894736841</v>
      </c>
      <c r="Z19" s="372">
        <f>($K$4-(3*'FACTORES FIJOS'!$F$3))*'FACTORES FIJOS'!$D$10</f>
        <v>-0.45663157894736855</v>
      </c>
      <c r="AA19" s="372">
        <f>($K19*'FACTORES FIJOS'!$F$10)</f>
        <v>4.2763157894736841</v>
      </c>
      <c r="AB19" s="372">
        <f>($K19*'FACTORES FIJOS'!$H$10)</f>
        <v>2.138157894736842</v>
      </c>
      <c r="AC19" s="372">
        <f>($K19*'FACTORES FIJOS'!$J$10)</f>
        <v>2.138157894736842</v>
      </c>
      <c r="AD19" s="372">
        <f t="shared" si="8"/>
        <v>185.58473684210529</v>
      </c>
    </row>
    <row r="20" spans="1:30">
      <c r="A20" s="343">
        <f t="shared" si="9"/>
        <v>17</v>
      </c>
      <c r="B20" s="344" t="s">
        <v>626</v>
      </c>
      <c r="C20" s="333" t="s">
        <v>549</v>
      </c>
      <c r="D20" s="333" t="s">
        <v>192</v>
      </c>
      <c r="E20" s="333" t="s">
        <v>127</v>
      </c>
      <c r="F20" s="343" t="s">
        <v>620</v>
      </c>
      <c r="G20" s="357">
        <v>15.2</v>
      </c>
      <c r="H20" s="341">
        <v>6500</v>
      </c>
      <c r="I20" s="341">
        <f t="shared" si="0"/>
        <v>3250</v>
      </c>
      <c r="J20" s="342">
        <v>0</v>
      </c>
      <c r="K20" s="372">
        <f t="shared" si="1"/>
        <v>213.81578947368422</v>
      </c>
      <c r="L20" s="372">
        <f>($I20/$G20)*'FACTORES FIJOS'!$B$3</f>
        <v>6500</v>
      </c>
      <c r="M20" s="373">
        <f>IF($G20='FACTORES FIJOS'!$D$5,VLOOKUP($L20,'TABLA QUINCENAL'!$B$6:$F$16,4,TRUE),IF($G20='FACTORES FIJOS'!$D$3,VLOOKUP($L20,'TABLA QUINCENAL'!$B$6:$F$16,4,TRUE),"FALSO"))</f>
        <v>0.21360000000000001</v>
      </c>
      <c r="N20" s="374">
        <f>VLOOKUP($L20,'TABLA QUINCENAL'!$B$6:$F$16,1,TRUE)</f>
        <v>5081.41</v>
      </c>
      <c r="O20" s="374">
        <f>VLOOKUP($L20,'TABLA QUINCENAL'!$B$6:$F$16,2,TRUE)</f>
        <v>10248.450000000001</v>
      </c>
      <c r="P20" s="372">
        <f t="shared" si="2"/>
        <v>1418.5900000000001</v>
      </c>
      <c r="Q20" s="372">
        <f t="shared" si="3"/>
        <v>303.01082400000007</v>
      </c>
      <c r="R20" s="374">
        <f>VLOOKUP($L20,'TABLA QUINCENAL'!$B$6:$F$16,3,TRUE)</f>
        <v>538.20000000000005</v>
      </c>
      <c r="S20" s="372">
        <f t="shared" si="4"/>
        <v>841.21082400000012</v>
      </c>
      <c r="T20" s="372">
        <f>$S20/'FACTORES FIJOS'!$B$3*CELAYA!$G20</f>
        <v>420.60541200000006</v>
      </c>
      <c r="U20" s="372">
        <f>IFERROR((VLOOKUP($L20,'TABLA QUINCENAL'!$G$6:$I$16,3,TRUE)/'FACTORES FIJOS'!$B$3)*$G20,"ERROR")</f>
        <v>0</v>
      </c>
      <c r="V20" s="372">
        <f t="shared" si="5"/>
        <v>420.60541200000006</v>
      </c>
      <c r="W20" s="372">
        <f t="shared" si="6"/>
        <v>420.60541200000006</v>
      </c>
      <c r="X20" s="372">
        <f t="shared" si="7"/>
        <v>0</v>
      </c>
      <c r="Y20" s="372">
        <f>($K20*'FACTORES FIJOS'!$B$10)</f>
        <v>4.2763157894736841</v>
      </c>
      <c r="Z20" s="372">
        <f>($K$4-(3*'FACTORES FIJOS'!$F$3))*'FACTORES FIJOS'!$D$10</f>
        <v>-0.45663157894736855</v>
      </c>
      <c r="AA20" s="372">
        <f>($K20*'FACTORES FIJOS'!$F$10)</f>
        <v>4.2763157894736841</v>
      </c>
      <c r="AB20" s="372">
        <f>($K20*'FACTORES FIJOS'!$H$10)</f>
        <v>2.138157894736842</v>
      </c>
      <c r="AC20" s="372">
        <f>($K20*'FACTORES FIJOS'!$J$10)</f>
        <v>2.138157894736842</v>
      </c>
      <c r="AD20" s="372">
        <f t="shared" si="8"/>
        <v>185.58473684210529</v>
      </c>
    </row>
    <row r="21" spans="1:30">
      <c r="A21" s="343">
        <f t="shared" si="9"/>
        <v>18</v>
      </c>
      <c r="B21" s="344" t="s">
        <v>626</v>
      </c>
      <c r="C21" s="333" t="s">
        <v>550</v>
      </c>
      <c r="D21" s="333" t="s">
        <v>192</v>
      </c>
      <c r="E21" s="333" t="s">
        <v>551</v>
      </c>
      <c r="F21" s="343" t="s">
        <v>620</v>
      </c>
      <c r="G21" s="357">
        <v>15.2</v>
      </c>
      <c r="H21" s="341">
        <v>6500</v>
      </c>
      <c r="I21" s="341">
        <f t="shared" si="0"/>
        <v>3250</v>
      </c>
      <c r="J21" s="342">
        <v>0</v>
      </c>
      <c r="K21" s="372">
        <f t="shared" si="1"/>
        <v>213.81578947368422</v>
      </c>
      <c r="L21" s="372">
        <f>($I21/$G21)*'FACTORES FIJOS'!$B$3</f>
        <v>6500</v>
      </c>
      <c r="M21" s="373">
        <f>IF($G21='FACTORES FIJOS'!$D$5,VLOOKUP($L21,'TABLA QUINCENAL'!$B$6:$F$16,4,TRUE),IF($G21='FACTORES FIJOS'!$D$3,VLOOKUP($L21,'TABLA QUINCENAL'!$B$6:$F$16,4,TRUE),"FALSO"))</f>
        <v>0.21360000000000001</v>
      </c>
      <c r="N21" s="374">
        <f>VLOOKUP($L21,'TABLA QUINCENAL'!$B$6:$F$16,1,TRUE)</f>
        <v>5081.41</v>
      </c>
      <c r="O21" s="374">
        <f>VLOOKUP($L21,'TABLA QUINCENAL'!$B$6:$F$16,2,TRUE)</f>
        <v>10248.450000000001</v>
      </c>
      <c r="P21" s="372">
        <f t="shared" si="2"/>
        <v>1418.5900000000001</v>
      </c>
      <c r="Q21" s="372">
        <f t="shared" si="3"/>
        <v>303.01082400000007</v>
      </c>
      <c r="R21" s="374">
        <f>VLOOKUP($L21,'TABLA QUINCENAL'!$B$6:$F$16,3,TRUE)</f>
        <v>538.20000000000005</v>
      </c>
      <c r="S21" s="372">
        <f t="shared" si="4"/>
        <v>841.21082400000012</v>
      </c>
      <c r="T21" s="372">
        <f>$S21/'FACTORES FIJOS'!$B$3*CELAYA!$G21</f>
        <v>420.60541200000006</v>
      </c>
      <c r="U21" s="372">
        <f>IFERROR((VLOOKUP($L21,'TABLA QUINCENAL'!$G$6:$I$16,3,TRUE)/'FACTORES FIJOS'!$B$3)*$G21,"ERROR")</f>
        <v>0</v>
      </c>
      <c r="V21" s="372">
        <f t="shared" si="5"/>
        <v>420.60541200000006</v>
      </c>
      <c r="W21" s="372">
        <f t="shared" si="6"/>
        <v>420.60541200000006</v>
      </c>
      <c r="X21" s="372">
        <f t="shared" si="7"/>
        <v>0</v>
      </c>
      <c r="Y21" s="372">
        <f>($K21*'FACTORES FIJOS'!$B$10)</f>
        <v>4.2763157894736841</v>
      </c>
      <c r="Z21" s="372">
        <f>($K$4-(3*'FACTORES FIJOS'!$F$3))*'FACTORES FIJOS'!$D$10</f>
        <v>-0.45663157894736855</v>
      </c>
      <c r="AA21" s="372">
        <f>($K21*'FACTORES FIJOS'!$F$10)</f>
        <v>4.2763157894736841</v>
      </c>
      <c r="AB21" s="372">
        <f>($K21*'FACTORES FIJOS'!$H$10)</f>
        <v>2.138157894736842</v>
      </c>
      <c r="AC21" s="372">
        <f>($K21*'FACTORES FIJOS'!$J$10)</f>
        <v>2.138157894736842</v>
      </c>
      <c r="AD21" s="372">
        <f t="shared" si="8"/>
        <v>185.58473684210529</v>
      </c>
    </row>
    <row r="22" spans="1:30">
      <c r="A22" s="343">
        <f t="shared" si="9"/>
        <v>19</v>
      </c>
      <c r="B22" s="344" t="s">
        <v>626</v>
      </c>
      <c r="C22" s="333" t="s">
        <v>572</v>
      </c>
      <c r="D22" s="333" t="s">
        <v>207</v>
      </c>
      <c r="E22" s="333" t="s">
        <v>574</v>
      </c>
      <c r="F22" s="343" t="s">
        <v>620</v>
      </c>
      <c r="G22" s="357">
        <v>15.2</v>
      </c>
      <c r="H22" s="341">
        <v>4500</v>
      </c>
      <c r="I22" s="341">
        <f t="shared" si="0"/>
        <v>2250</v>
      </c>
      <c r="J22" s="342">
        <v>0</v>
      </c>
      <c r="K22" s="372">
        <f t="shared" si="1"/>
        <v>148.0263157894737</v>
      </c>
      <c r="L22" s="372">
        <f>($I22/$G22)*'FACTORES FIJOS'!$B$3</f>
        <v>4500</v>
      </c>
      <c r="M22" s="373">
        <f>IF($G22='FACTORES FIJOS'!$D$5,VLOOKUP($L22,'TABLA QUINCENAL'!$B$6:$F$16,4,TRUE),IF($G22='FACTORES FIJOS'!$D$3,VLOOKUP($L22,'TABLA QUINCENAL'!$B$6:$F$16,4,TRUE),"FALSO"))</f>
        <v>0.1792</v>
      </c>
      <c r="N22" s="374">
        <f>VLOOKUP($L22,'TABLA QUINCENAL'!$B$6:$F$16,1,TRUE)</f>
        <v>4244.1099999999997</v>
      </c>
      <c r="O22" s="374">
        <f>VLOOKUP($L22,'TABLA QUINCENAL'!$B$6:$F$16,2,TRUE)</f>
        <v>5081.3999999999996</v>
      </c>
      <c r="P22" s="372">
        <f t="shared" si="2"/>
        <v>255.89000000000033</v>
      </c>
      <c r="Q22" s="372">
        <f t="shared" si="3"/>
        <v>45.855488000000058</v>
      </c>
      <c r="R22" s="374">
        <f>VLOOKUP($L22,'TABLA QUINCENAL'!$B$6:$F$16,3,TRUE)</f>
        <v>388.05</v>
      </c>
      <c r="S22" s="372">
        <f t="shared" si="4"/>
        <v>433.90548800000005</v>
      </c>
      <c r="T22" s="372">
        <f>$S22/'FACTORES FIJOS'!$B$3*CELAYA!$G22</f>
        <v>216.95274400000002</v>
      </c>
      <c r="U22" s="372">
        <f>IFERROR((VLOOKUP($L22,'TABLA QUINCENAL'!$G$6:$I$16,3,TRUE)/'FACTORES FIJOS'!$B$3)*$G22,"ERROR")</f>
        <v>0</v>
      </c>
      <c r="V22" s="372">
        <f t="shared" si="5"/>
        <v>216.95274400000002</v>
      </c>
      <c r="W22" s="372">
        <f t="shared" si="6"/>
        <v>216.95274400000002</v>
      </c>
      <c r="X22" s="372">
        <f t="shared" si="7"/>
        <v>0</v>
      </c>
      <c r="Y22" s="372">
        <f>($K22*'FACTORES FIJOS'!$B$10)</f>
        <v>2.9605263157894739</v>
      </c>
      <c r="Z22" s="372">
        <f>($K$4-(3*'FACTORES FIJOS'!$F$3))*'FACTORES FIJOS'!$D$10</f>
        <v>-0.45663157894736855</v>
      </c>
      <c r="AA22" s="372">
        <f>($K22*'FACTORES FIJOS'!$F$10)</f>
        <v>2.9605263157894739</v>
      </c>
      <c r="AB22" s="372">
        <f>($K22*'FACTORES FIJOS'!$H$10)</f>
        <v>1.4802631578947369</v>
      </c>
      <c r="AC22" s="372">
        <f>($K22*'FACTORES FIJOS'!$J$10)</f>
        <v>1.4802631578947369</v>
      </c>
      <c r="AD22" s="372">
        <f t="shared" si="8"/>
        <v>126.37421052631579</v>
      </c>
    </row>
    <row r="23" spans="1:30">
      <c r="A23" s="343">
        <f t="shared" si="9"/>
        <v>20</v>
      </c>
      <c r="B23" s="344" t="s">
        <v>626</v>
      </c>
      <c r="C23" s="333" t="s">
        <v>573</v>
      </c>
      <c r="D23" s="333" t="s">
        <v>207</v>
      </c>
      <c r="E23" s="333" t="s">
        <v>574</v>
      </c>
      <c r="F23" s="343" t="s">
        <v>620</v>
      </c>
      <c r="G23" s="357">
        <v>15.2</v>
      </c>
      <c r="H23" s="341">
        <v>4500</v>
      </c>
      <c r="I23" s="341">
        <f t="shared" si="0"/>
        <v>2250</v>
      </c>
      <c r="J23" s="342">
        <v>0</v>
      </c>
      <c r="K23" s="372">
        <f t="shared" si="1"/>
        <v>148.0263157894737</v>
      </c>
      <c r="L23" s="372">
        <f>($I23/$G23)*'FACTORES FIJOS'!$B$3</f>
        <v>4500</v>
      </c>
      <c r="M23" s="373">
        <f>IF($G23='FACTORES FIJOS'!$D$5,VLOOKUP($L23,'TABLA QUINCENAL'!$B$6:$F$16,4,TRUE),IF($G23='FACTORES FIJOS'!$D$3,VLOOKUP($L23,'TABLA QUINCENAL'!$B$6:$F$16,4,TRUE),"FALSO"))</f>
        <v>0.1792</v>
      </c>
      <c r="N23" s="374">
        <f>VLOOKUP($L23,'TABLA QUINCENAL'!$B$6:$F$16,1,TRUE)</f>
        <v>4244.1099999999997</v>
      </c>
      <c r="O23" s="374">
        <f>VLOOKUP($L23,'TABLA QUINCENAL'!$B$6:$F$16,2,TRUE)</f>
        <v>5081.3999999999996</v>
      </c>
      <c r="P23" s="372">
        <f t="shared" si="2"/>
        <v>255.89000000000033</v>
      </c>
      <c r="Q23" s="372">
        <f t="shared" si="3"/>
        <v>45.855488000000058</v>
      </c>
      <c r="R23" s="374">
        <f>VLOOKUP($L23,'TABLA QUINCENAL'!$B$6:$F$16,3,TRUE)</f>
        <v>388.05</v>
      </c>
      <c r="S23" s="372">
        <f t="shared" si="4"/>
        <v>433.90548800000005</v>
      </c>
      <c r="T23" s="372">
        <f>$S23/'FACTORES FIJOS'!$B$3*CELAYA!$G23</f>
        <v>216.95274400000002</v>
      </c>
      <c r="U23" s="372">
        <f>IFERROR((VLOOKUP($L23,'TABLA QUINCENAL'!$G$6:$I$16,3,TRUE)/'FACTORES FIJOS'!$B$3)*$G23,"ERROR")</f>
        <v>0</v>
      </c>
      <c r="V23" s="372">
        <f t="shared" si="5"/>
        <v>216.95274400000002</v>
      </c>
      <c r="W23" s="372">
        <f t="shared" si="6"/>
        <v>216.95274400000002</v>
      </c>
      <c r="X23" s="372">
        <f t="shared" si="7"/>
        <v>0</v>
      </c>
      <c r="Y23" s="372">
        <f>($K23*'FACTORES FIJOS'!$B$10)</f>
        <v>2.9605263157894739</v>
      </c>
      <c r="Z23" s="372">
        <f>($K$4-(3*'FACTORES FIJOS'!$F$3))*'FACTORES FIJOS'!$D$10</f>
        <v>-0.45663157894736855</v>
      </c>
      <c r="AA23" s="372">
        <f>($K23*'FACTORES FIJOS'!$F$10)</f>
        <v>2.9605263157894739</v>
      </c>
      <c r="AB23" s="372">
        <f>($K23*'FACTORES FIJOS'!$H$10)</f>
        <v>1.4802631578947369</v>
      </c>
      <c r="AC23" s="372">
        <f>($K23*'FACTORES FIJOS'!$J$10)</f>
        <v>1.4802631578947369</v>
      </c>
      <c r="AD23" s="372">
        <f t="shared" si="8"/>
        <v>126.37421052631579</v>
      </c>
    </row>
    <row r="24" spans="1:30">
      <c r="A24" s="343">
        <f t="shared" si="9"/>
        <v>21</v>
      </c>
      <c r="B24" s="344" t="s">
        <v>626</v>
      </c>
      <c r="C24" s="340" t="s">
        <v>581</v>
      </c>
      <c r="D24" s="333" t="s">
        <v>207</v>
      </c>
      <c r="E24" s="333" t="s">
        <v>574</v>
      </c>
      <c r="F24" s="343" t="s">
        <v>620</v>
      </c>
      <c r="G24" s="357">
        <v>15.2</v>
      </c>
      <c r="H24" s="341">
        <v>4000.0000000000005</v>
      </c>
      <c r="I24" s="341">
        <f t="shared" si="0"/>
        <v>2000.0000000000002</v>
      </c>
      <c r="J24" s="342">
        <v>0</v>
      </c>
      <c r="K24" s="372">
        <f t="shared" si="1"/>
        <v>131.57894736842107</v>
      </c>
      <c r="L24" s="372">
        <f>($I24/$G24)*'FACTORES FIJOS'!$B$3</f>
        <v>4000.0000000000005</v>
      </c>
      <c r="M24" s="373">
        <f>IF($G24='FACTORES FIJOS'!$D$5,VLOOKUP($L24,'TABLA QUINCENAL'!$B$6:$F$16,4,TRUE),IF($G24='FACTORES FIJOS'!$D$3,VLOOKUP($L24,'TABLA QUINCENAL'!$B$6:$F$16,4,TRUE),"FALSO"))</f>
        <v>0.16</v>
      </c>
      <c r="N24" s="374">
        <f>VLOOKUP($L24,'TABLA QUINCENAL'!$B$6:$F$16,1,TRUE)</f>
        <v>3651.01</v>
      </c>
      <c r="O24" s="374">
        <f>VLOOKUP($L24,'TABLA QUINCENAL'!$B$6:$F$16,2,TRUE)</f>
        <v>4244.1000000000004</v>
      </c>
      <c r="P24" s="372">
        <f t="shared" si="2"/>
        <v>348.99000000000024</v>
      </c>
      <c r="Q24" s="372">
        <f t="shared" si="3"/>
        <v>55.838400000000036</v>
      </c>
      <c r="R24" s="374">
        <f>VLOOKUP($L24,'TABLA QUINCENAL'!$B$6:$F$16,3,TRUE)</f>
        <v>293.25</v>
      </c>
      <c r="S24" s="372">
        <f t="shared" si="4"/>
        <v>349.08840000000004</v>
      </c>
      <c r="T24" s="372">
        <f>$S24/'FACTORES FIJOS'!$B$3*CELAYA!$G24</f>
        <v>174.54420000000002</v>
      </c>
      <c r="U24" s="372">
        <f>IFERROR((VLOOKUP($L24,'TABLA QUINCENAL'!$G$6:$I$16,3,TRUE)/'FACTORES FIJOS'!$B$3)*$G24,"ERROR")</f>
        <v>0</v>
      </c>
      <c r="V24" s="372">
        <f t="shared" si="5"/>
        <v>174.54420000000002</v>
      </c>
      <c r="W24" s="372">
        <f t="shared" si="6"/>
        <v>174.54420000000002</v>
      </c>
      <c r="X24" s="372">
        <f t="shared" si="7"/>
        <v>0</v>
      </c>
      <c r="Y24" s="372">
        <f>($K24*'FACTORES FIJOS'!$B$10)</f>
        <v>2.6315789473684212</v>
      </c>
      <c r="Z24" s="372">
        <f>($K$4-(3*'FACTORES FIJOS'!$F$3))*'FACTORES FIJOS'!$D$10</f>
        <v>-0.45663157894736855</v>
      </c>
      <c r="AA24" s="372">
        <f>($K24*'FACTORES FIJOS'!$F$10)</f>
        <v>2.6315789473684212</v>
      </c>
      <c r="AB24" s="372">
        <f>($K24*'FACTORES FIJOS'!$H$10)</f>
        <v>1.3157894736842106</v>
      </c>
      <c r="AC24" s="372">
        <f>($K24*'FACTORES FIJOS'!$J$10)</f>
        <v>1.3157894736842106</v>
      </c>
      <c r="AD24" s="372">
        <f t="shared" si="8"/>
        <v>111.57157894736844</v>
      </c>
    </row>
    <row r="25" spans="1:30">
      <c r="A25" s="343">
        <f t="shared" si="9"/>
        <v>22</v>
      </c>
      <c r="B25" s="344" t="s">
        <v>626</v>
      </c>
      <c r="C25" s="333" t="s">
        <v>544</v>
      </c>
      <c r="D25" s="333" t="s">
        <v>207</v>
      </c>
      <c r="E25" s="333" t="s">
        <v>545</v>
      </c>
      <c r="F25" s="343" t="s">
        <v>620</v>
      </c>
      <c r="G25" s="357">
        <v>15.2</v>
      </c>
      <c r="H25" s="341">
        <v>5000</v>
      </c>
      <c r="I25" s="341">
        <f t="shared" si="0"/>
        <v>2500</v>
      </c>
      <c r="J25" s="342">
        <v>0</v>
      </c>
      <c r="K25" s="372">
        <f t="shared" si="1"/>
        <v>164.47368421052633</v>
      </c>
      <c r="L25" s="372">
        <f>($I25/$G25)*'FACTORES FIJOS'!$B$3</f>
        <v>5000</v>
      </c>
      <c r="M25" s="373">
        <f>IF($G25='FACTORES FIJOS'!$D$5,VLOOKUP($L25,'TABLA QUINCENAL'!$B$6:$F$16,4,TRUE),IF($G25='FACTORES FIJOS'!$D$3,VLOOKUP($L25,'TABLA QUINCENAL'!$B$6:$F$16,4,TRUE),"FALSO"))</f>
        <v>0.1792</v>
      </c>
      <c r="N25" s="374">
        <f>VLOOKUP($L25,'TABLA QUINCENAL'!$B$6:$F$16,1,TRUE)</f>
        <v>4244.1099999999997</v>
      </c>
      <c r="O25" s="374">
        <f>VLOOKUP($L25,'TABLA QUINCENAL'!$B$6:$F$16,2,TRUE)</f>
        <v>5081.3999999999996</v>
      </c>
      <c r="P25" s="372">
        <f t="shared" si="2"/>
        <v>755.89000000000033</v>
      </c>
      <c r="Q25" s="372">
        <f t="shared" si="3"/>
        <v>135.45548800000006</v>
      </c>
      <c r="R25" s="374">
        <f>VLOOKUP($L25,'TABLA QUINCENAL'!$B$6:$F$16,3,TRUE)</f>
        <v>388.05</v>
      </c>
      <c r="S25" s="372">
        <f t="shared" si="4"/>
        <v>523.50548800000001</v>
      </c>
      <c r="T25" s="372">
        <f>$S25/'FACTORES FIJOS'!$B$3*CELAYA!$G25</f>
        <v>261.75274400000001</v>
      </c>
      <c r="U25" s="372">
        <f>IFERROR((VLOOKUP($L25,'TABLA QUINCENAL'!$G$6:$I$16,3,TRUE)/'FACTORES FIJOS'!$B$3)*$G25,"ERROR")</f>
        <v>0</v>
      </c>
      <c r="V25" s="372">
        <f t="shared" si="5"/>
        <v>261.75274400000001</v>
      </c>
      <c r="W25" s="372">
        <f t="shared" si="6"/>
        <v>261.75274400000001</v>
      </c>
      <c r="X25" s="372">
        <f t="shared" si="7"/>
        <v>0</v>
      </c>
      <c r="Y25" s="372">
        <f>($K25*'FACTORES FIJOS'!$B$10)</f>
        <v>3.2894736842105265</v>
      </c>
      <c r="Z25" s="372">
        <f>($K$4-(3*'FACTORES FIJOS'!$F$3))*'FACTORES FIJOS'!$D$10</f>
        <v>-0.45663157894736855</v>
      </c>
      <c r="AA25" s="372">
        <f>($K25*'FACTORES FIJOS'!$F$10)</f>
        <v>3.2894736842105265</v>
      </c>
      <c r="AB25" s="372">
        <f>($K25*'FACTORES FIJOS'!$H$10)</f>
        <v>1.6447368421052633</v>
      </c>
      <c r="AC25" s="372">
        <f>($K25*'FACTORES FIJOS'!$J$10)</f>
        <v>1.6447368421052633</v>
      </c>
      <c r="AD25" s="372">
        <f t="shared" si="8"/>
        <v>141.17684210526318</v>
      </c>
    </row>
    <row r="26" spans="1:30">
      <c r="A26" s="343">
        <f t="shared" si="9"/>
        <v>23</v>
      </c>
      <c r="B26" s="344" t="s">
        <v>626</v>
      </c>
      <c r="C26" s="333" t="s">
        <v>604</v>
      </c>
      <c r="D26" s="333" t="s">
        <v>207</v>
      </c>
      <c r="E26" s="333" t="s">
        <v>133</v>
      </c>
      <c r="F26" s="343" t="s">
        <v>620</v>
      </c>
      <c r="G26" s="357">
        <v>15.2</v>
      </c>
      <c r="H26" s="341">
        <v>7000</v>
      </c>
      <c r="I26" s="341">
        <f t="shared" si="0"/>
        <v>3500</v>
      </c>
      <c r="J26" s="342">
        <v>0</v>
      </c>
      <c r="K26" s="372">
        <f t="shared" si="1"/>
        <v>230.26315789473685</v>
      </c>
      <c r="L26" s="372">
        <f>($I26/$G26)*'FACTORES FIJOS'!$B$3</f>
        <v>7000</v>
      </c>
      <c r="M26" s="373">
        <f>IF($G26='FACTORES FIJOS'!$D$5,VLOOKUP($L26,'TABLA QUINCENAL'!$B$6:$F$16,4,TRUE),IF($G26='FACTORES FIJOS'!$D$3,VLOOKUP($L26,'TABLA QUINCENAL'!$B$6:$F$16,4,TRUE),"FALSO"))</f>
        <v>0.21360000000000001</v>
      </c>
      <c r="N26" s="374">
        <f>VLOOKUP($L26,'TABLA QUINCENAL'!$B$6:$F$16,1,TRUE)</f>
        <v>5081.41</v>
      </c>
      <c r="O26" s="374">
        <f>VLOOKUP($L26,'TABLA QUINCENAL'!$B$6:$F$16,2,TRUE)</f>
        <v>10248.450000000001</v>
      </c>
      <c r="P26" s="372">
        <f t="shared" si="2"/>
        <v>1918.5900000000001</v>
      </c>
      <c r="Q26" s="372">
        <f t="shared" si="3"/>
        <v>409.81082400000008</v>
      </c>
      <c r="R26" s="374">
        <f>VLOOKUP($L26,'TABLA QUINCENAL'!$B$6:$F$16,3,TRUE)</f>
        <v>538.20000000000005</v>
      </c>
      <c r="S26" s="372">
        <f t="shared" si="4"/>
        <v>948.01082400000018</v>
      </c>
      <c r="T26" s="372">
        <f>$S26/'FACTORES FIJOS'!$B$3*CELAYA!$G26</f>
        <v>474.00541200000009</v>
      </c>
      <c r="U26" s="372">
        <f>IFERROR((VLOOKUP($L26,'TABLA QUINCENAL'!$G$6:$I$16,3,TRUE)/'FACTORES FIJOS'!$B$3)*$G26,"ERROR")</f>
        <v>0</v>
      </c>
      <c r="V26" s="372">
        <f t="shared" si="5"/>
        <v>474.00541200000009</v>
      </c>
      <c r="W26" s="372">
        <f t="shared" si="6"/>
        <v>474.00541200000009</v>
      </c>
      <c r="X26" s="372">
        <f t="shared" si="7"/>
        <v>0</v>
      </c>
      <c r="Y26" s="372">
        <f>($K26*'FACTORES FIJOS'!$B$10)</f>
        <v>4.6052631578947372</v>
      </c>
      <c r="Z26" s="372">
        <f>($K$4-(3*'FACTORES FIJOS'!$F$3))*'FACTORES FIJOS'!$D$10</f>
        <v>-0.45663157894736855</v>
      </c>
      <c r="AA26" s="372">
        <f>($K26*'FACTORES FIJOS'!$F$10)</f>
        <v>4.6052631578947372</v>
      </c>
      <c r="AB26" s="372">
        <f>($K26*'FACTORES FIJOS'!$H$10)</f>
        <v>2.3026315789473686</v>
      </c>
      <c r="AC26" s="372">
        <f>($K26*'FACTORES FIJOS'!$J$10)</f>
        <v>2.3026315789473686</v>
      </c>
      <c r="AD26" s="372">
        <f t="shared" si="8"/>
        <v>200.38736842105263</v>
      </c>
    </row>
    <row r="27" spans="1:30">
      <c r="A27" s="343">
        <f t="shared" si="9"/>
        <v>24</v>
      </c>
      <c r="B27" s="344" t="s">
        <v>626</v>
      </c>
      <c r="C27" s="333" t="s">
        <v>588</v>
      </c>
      <c r="D27" s="333" t="s">
        <v>615</v>
      </c>
      <c r="E27" s="333" t="s">
        <v>589</v>
      </c>
      <c r="F27" s="343" t="s">
        <v>620</v>
      </c>
      <c r="G27" s="357">
        <v>15.2</v>
      </c>
      <c r="H27" s="341">
        <v>4000.0000000000005</v>
      </c>
      <c r="I27" s="341">
        <f t="shared" si="0"/>
        <v>2000.0000000000002</v>
      </c>
      <c r="J27" s="342">
        <v>0</v>
      </c>
      <c r="K27" s="372">
        <f t="shared" si="1"/>
        <v>131.57894736842107</v>
      </c>
      <c r="L27" s="372">
        <f>($I27/$G27)*'FACTORES FIJOS'!$B$3</f>
        <v>4000.0000000000005</v>
      </c>
      <c r="M27" s="373">
        <f>IF($G27='FACTORES FIJOS'!$D$5,VLOOKUP($L27,'TABLA QUINCENAL'!$B$6:$F$16,4,TRUE),IF($G27='FACTORES FIJOS'!$D$3,VLOOKUP($L27,'TABLA QUINCENAL'!$B$6:$F$16,4,TRUE),"FALSO"))</f>
        <v>0.16</v>
      </c>
      <c r="N27" s="374">
        <f>VLOOKUP($L27,'TABLA QUINCENAL'!$B$6:$F$16,1,TRUE)</f>
        <v>3651.01</v>
      </c>
      <c r="O27" s="374">
        <f>VLOOKUP($L27,'TABLA QUINCENAL'!$B$6:$F$16,2,TRUE)</f>
        <v>4244.1000000000004</v>
      </c>
      <c r="P27" s="372">
        <f t="shared" si="2"/>
        <v>348.99000000000024</v>
      </c>
      <c r="Q27" s="372">
        <f t="shared" si="3"/>
        <v>55.838400000000036</v>
      </c>
      <c r="R27" s="374">
        <f>VLOOKUP($L27,'TABLA QUINCENAL'!$B$6:$F$16,3,TRUE)</f>
        <v>293.25</v>
      </c>
      <c r="S27" s="372">
        <f t="shared" si="4"/>
        <v>349.08840000000004</v>
      </c>
      <c r="T27" s="372">
        <f>$S27/'FACTORES FIJOS'!$B$3*CELAYA!$G27</f>
        <v>174.54420000000002</v>
      </c>
      <c r="U27" s="372">
        <f>IFERROR((VLOOKUP($L27,'TABLA QUINCENAL'!$G$6:$I$16,3,TRUE)/'FACTORES FIJOS'!$B$3)*$G27,"ERROR")</f>
        <v>0</v>
      </c>
      <c r="V27" s="372">
        <f t="shared" si="5"/>
        <v>174.54420000000002</v>
      </c>
      <c r="W27" s="372">
        <f t="shared" si="6"/>
        <v>174.54420000000002</v>
      </c>
      <c r="X27" s="372">
        <f t="shared" si="7"/>
        <v>0</v>
      </c>
      <c r="Y27" s="372">
        <f>($K27*'FACTORES FIJOS'!$B$10)</f>
        <v>2.6315789473684212</v>
      </c>
      <c r="Z27" s="372">
        <f>($K$4-(3*'FACTORES FIJOS'!$F$3))*'FACTORES FIJOS'!$D$10</f>
        <v>-0.45663157894736855</v>
      </c>
      <c r="AA27" s="372">
        <f>($K27*'FACTORES FIJOS'!$F$10)</f>
        <v>2.6315789473684212</v>
      </c>
      <c r="AB27" s="372">
        <f>($K27*'FACTORES FIJOS'!$H$10)</f>
        <v>1.3157894736842106</v>
      </c>
      <c r="AC27" s="372">
        <f>($K27*'FACTORES FIJOS'!$J$10)</f>
        <v>1.3157894736842106</v>
      </c>
      <c r="AD27" s="372">
        <f t="shared" si="8"/>
        <v>111.57157894736844</v>
      </c>
    </row>
    <row r="28" spans="1:30">
      <c r="A28" s="343">
        <f t="shared" si="9"/>
        <v>25</v>
      </c>
      <c r="B28" s="344" t="s">
        <v>626</v>
      </c>
      <c r="C28" s="340" t="s">
        <v>580</v>
      </c>
      <c r="D28" s="333" t="s">
        <v>199</v>
      </c>
      <c r="E28" s="333" t="s">
        <v>142</v>
      </c>
      <c r="F28" s="343" t="s">
        <v>620</v>
      </c>
      <c r="G28" s="357">
        <v>15.2</v>
      </c>
      <c r="H28" s="341">
        <v>7000</v>
      </c>
      <c r="I28" s="341">
        <f t="shared" si="0"/>
        <v>3500</v>
      </c>
      <c r="J28" s="342">
        <v>0</v>
      </c>
      <c r="K28" s="372">
        <f t="shared" si="1"/>
        <v>230.26315789473685</v>
      </c>
      <c r="L28" s="372">
        <f>($I28/$G28)*'FACTORES FIJOS'!$B$3</f>
        <v>7000</v>
      </c>
      <c r="M28" s="373">
        <f>IF($G28='FACTORES FIJOS'!$D$5,VLOOKUP($L28,'TABLA QUINCENAL'!$B$6:$F$16,4,TRUE),IF($G28='FACTORES FIJOS'!$D$3,VLOOKUP($L28,'TABLA QUINCENAL'!$B$6:$F$16,4,TRUE),"FALSO"))</f>
        <v>0.21360000000000001</v>
      </c>
      <c r="N28" s="374">
        <f>VLOOKUP($L28,'TABLA QUINCENAL'!$B$6:$F$16,1,TRUE)</f>
        <v>5081.41</v>
      </c>
      <c r="O28" s="374">
        <f>VLOOKUP($L28,'TABLA QUINCENAL'!$B$6:$F$16,2,TRUE)</f>
        <v>10248.450000000001</v>
      </c>
      <c r="P28" s="372">
        <f t="shared" si="2"/>
        <v>1918.5900000000001</v>
      </c>
      <c r="Q28" s="372">
        <f t="shared" si="3"/>
        <v>409.81082400000008</v>
      </c>
      <c r="R28" s="374">
        <f>VLOOKUP($L28,'TABLA QUINCENAL'!$B$6:$F$16,3,TRUE)</f>
        <v>538.20000000000005</v>
      </c>
      <c r="S28" s="372">
        <f t="shared" si="4"/>
        <v>948.01082400000018</v>
      </c>
      <c r="T28" s="372">
        <f>$S28/'FACTORES FIJOS'!$B$3*CELAYA!$G28</f>
        <v>474.00541200000009</v>
      </c>
      <c r="U28" s="372">
        <f>IFERROR((VLOOKUP($L28,'TABLA QUINCENAL'!$G$6:$I$16,3,TRUE)/'FACTORES FIJOS'!$B$3)*$G28,"ERROR")</f>
        <v>0</v>
      </c>
      <c r="V28" s="372">
        <f t="shared" si="5"/>
        <v>474.00541200000009</v>
      </c>
      <c r="W28" s="372">
        <f t="shared" si="6"/>
        <v>474.00541200000009</v>
      </c>
      <c r="X28" s="372">
        <f t="shared" si="7"/>
        <v>0</v>
      </c>
      <c r="Y28" s="372">
        <f>($K28*'FACTORES FIJOS'!$B$10)</f>
        <v>4.6052631578947372</v>
      </c>
      <c r="Z28" s="372">
        <f>($K$4-(3*'FACTORES FIJOS'!$F$3))*'FACTORES FIJOS'!$D$10</f>
        <v>-0.45663157894736855</v>
      </c>
      <c r="AA28" s="372">
        <f>($K28*'FACTORES FIJOS'!$F$10)</f>
        <v>4.6052631578947372</v>
      </c>
      <c r="AB28" s="372">
        <f>($K28*'FACTORES FIJOS'!$H$10)</f>
        <v>2.3026315789473686</v>
      </c>
      <c r="AC28" s="372">
        <f>($K28*'FACTORES FIJOS'!$J$10)</f>
        <v>2.3026315789473686</v>
      </c>
      <c r="AD28" s="372">
        <f t="shared" si="8"/>
        <v>200.38736842105263</v>
      </c>
    </row>
    <row r="29" spans="1:30">
      <c r="A29" s="343">
        <f t="shared" si="9"/>
        <v>26</v>
      </c>
      <c r="B29" s="344" t="s">
        <v>626</v>
      </c>
      <c r="C29" s="333" t="s">
        <v>605</v>
      </c>
      <c r="D29" s="333" t="s">
        <v>199</v>
      </c>
      <c r="E29" s="333" t="s">
        <v>606</v>
      </c>
      <c r="F29" s="343" t="s">
        <v>620</v>
      </c>
      <c r="G29" s="357">
        <v>15.2</v>
      </c>
      <c r="H29" s="341">
        <v>5500</v>
      </c>
      <c r="I29" s="341">
        <f t="shared" si="0"/>
        <v>2750</v>
      </c>
      <c r="J29" s="342">
        <v>0</v>
      </c>
      <c r="K29" s="372">
        <f t="shared" si="1"/>
        <v>180.92105263157896</v>
      </c>
      <c r="L29" s="372">
        <f>($I29/$G29)*'FACTORES FIJOS'!$B$3</f>
        <v>5500</v>
      </c>
      <c r="M29" s="373">
        <f>IF($G29='FACTORES FIJOS'!$D$5,VLOOKUP($L29,'TABLA QUINCENAL'!$B$6:$F$16,4,TRUE),IF($G29='FACTORES FIJOS'!$D$3,VLOOKUP($L29,'TABLA QUINCENAL'!$B$6:$F$16,4,TRUE),"FALSO"))</f>
        <v>0.21360000000000001</v>
      </c>
      <c r="N29" s="374">
        <f>VLOOKUP($L29,'TABLA QUINCENAL'!$B$6:$F$16,1,TRUE)</f>
        <v>5081.41</v>
      </c>
      <c r="O29" s="374">
        <f>VLOOKUP($L29,'TABLA QUINCENAL'!$B$6:$F$16,2,TRUE)</f>
        <v>10248.450000000001</v>
      </c>
      <c r="P29" s="372">
        <f t="shared" si="2"/>
        <v>418.59000000000015</v>
      </c>
      <c r="Q29" s="372">
        <f t="shared" si="3"/>
        <v>89.410824000000034</v>
      </c>
      <c r="R29" s="374">
        <f>VLOOKUP($L29,'TABLA QUINCENAL'!$B$6:$F$16,3,TRUE)</f>
        <v>538.20000000000005</v>
      </c>
      <c r="S29" s="372">
        <f t="shared" si="4"/>
        <v>627.61082400000009</v>
      </c>
      <c r="T29" s="372">
        <f>$S29/'FACTORES FIJOS'!$B$3*CELAYA!$G29</f>
        <v>313.80541200000005</v>
      </c>
      <c r="U29" s="372">
        <f>IFERROR((VLOOKUP($L29,'TABLA QUINCENAL'!$G$6:$I$16,3,TRUE)/'FACTORES FIJOS'!$B$3)*$G29,"ERROR")</f>
        <v>0</v>
      </c>
      <c r="V29" s="372">
        <f t="shared" si="5"/>
        <v>313.80541200000005</v>
      </c>
      <c r="W29" s="372">
        <f t="shared" si="6"/>
        <v>313.80541200000005</v>
      </c>
      <c r="X29" s="372">
        <f t="shared" si="7"/>
        <v>0</v>
      </c>
      <c r="Y29" s="372">
        <f>($K29*'FACTORES FIJOS'!$B$10)</f>
        <v>3.6184210526315792</v>
      </c>
      <c r="Z29" s="372">
        <f>($K$4-(3*'FACTORES FIJOS'!$F$3))*'FACTORES FIJOS'!$D$10</f>
        <v>-0.45663157894736855</v>
      </c>
      <c r="AA29" s="372">
        <f>($K29*'FACTORES FIJOS'!$F$10)</f>
        <v>3.6184210526315792</v>
      </c>
      <c r="AB29" s="372">
        <f>($K29*'FACTORES FIJOS'!$H$10)</f>
        <v>1.8092105263157896</v>
      </c>
      <c r="AC29" s="372">
        <f>($K29*'FACTORES FIJOS'!$J$10)</f>
        <v>1.8092105263157896</v>
      </c>
      <c r="AD29" s="372">
        <f t="shared" si="8"/>
        <v>155.97947368421052</v>
      </c>
    </row>
    <row r="30" spans="1:30">
      <c r="A30" s="343">
        <f t="shared" si="9"/>
        <v>27</v>
      </c>
      <c r="B30" s="344" t="s">
        <v>626</v>
      </c>
      <c r="C30" s="333" t="s">
        <v>583</v>
      </c>
      <c r="D30" s="333" t="s">
        <v>584</v>
      </c>
      <c r="E30" s="333" t="s">
        <v>584</v>
      </c>
      <c r="F30" s="343" t="s">
        <v>620</v>
      </c>
      <c r="G30" s="357">
        <v>15.2</v>
      </c>
      <c r="H30" s="341">
        <v>15000</v>
      </c>
      <c r="I30" s="341">
        <f t="shared" si="0"/>
        <v>7500</v>
      </c>
      <c r="J30" s="342">
        <v>0</v>
      </c>
      <c r="K30" s="372">
        <f t="shared" si="1"/>
        <v>493.42105263157896</v>
      </c>
      <c r="L30" s="372">
        <f>($I30/$G30)*'FACTORES FIJOS'!$B$3</f>
        <v>15000</v>
      </c>
      <c r="M30" s="373">
        <f>IF($G30='FACTORES FIJOS'!$D$5,VLOOKUP($L30,'TABLA QUINCENAL'!$B$6:$F$16,4,TRUE),IF($G30='FACTORES FIJOS'!$D$3,VLOOKUP($L30,'TABLA QUINCENAL'!$B$6:$F$16,4,TRUE),"FALSO"))</f>
        <v>0.23519999999999999</v>
      </c>
      <c r="N30" s="374">
        <f>VLOOKUP($L30,'TABLA QUINCENAL'!$B$6:$F$16,1,TRUE)</f>
        <v>10248.459999999999</v>
      </c>
      <c r="O30" s="374">
        <f>VLOOKUP($L30,'TABLA QUINCENAL'!$B$6:$F$16,2,TRUE)</f>
        <v>16153.05</v>
      </c>
      <c r="P30" s="372">
        <f t="shared" si="2"/>
        <v>4751.5400000000009</v>
      </c>
      <c r="Q30" s="372">
        <f t="shared" si="3"/>
        <v>1117.5622080000003</v>
      </c>
      <c r="R30" s="374">
        <f>VLOOKUP($L30,'TABLA QUINCENAL'!$B$6:$F$16,3,TRUE)</f>
        <v>1641.75</v>
      </c>
      <c r="S30" s="372">
        <f t="shared" si="4"/>
        <v>2759.3122080000003</v>
      </c>
      <c r="T30" s="372">
        <f>$S30/'FACTORES FIJOS'!$B$3*CELAYA!$G30</f>
        <v>1379.6561040000001</v>
      </c>
      <c r="U30" s="372">
        <f>IFERROR((VLOOKUP($L30,'TABLA QUINCENAL'!$G$6:$I$16,3,TRUE)/'FACTORES FIJOS'!$B$3)*$G30,"ERROR")</f>
        <v>0</v>
      </c>
      <c r="V30" s="372">
        <f t="shared" si="5"/>
        <v>1379.6561040000001</v>
      </c>
      <c r="W30" s="372">
        <f t="shared" si="6"/>
        <v>1379.6561040000001</v>
      </c>
      <c r="X30" s="372">
        <f t="shared" si="7"/>
        <v>0</v>
      </c>
      <c r="Y30" s="372">
        <f>($K30*'FACTORES FIJOS'!$B$10)</f>
        <v>9.8684210526315788</v>
      </c>
      <c r="Z30" s="372">
        <f>($K$4-(3*'FACTORES FIJOS'!$F$3))*'FACTORES FIJOS'!$D$10</f>
        <v>-0.45663157894736855</v>
      </c>
      <c r="AA30" s="372">
        <f>($K30*'FACTORES FIJOS'!$F$10)</f>
        <v>9.8684210526315788</v>
      </c>
      <c r="AB30" s="372">
        <f>($K30*'FACTORES FIJOS'!$H$10)</f>
        <v>4.9342105263157894</v>
      </c>
      <c r="AC30" s="372">
        <f>($K30*'FACTORES FIJOS'!$J$10)</f>
        <v>4.9342105263157894</v>
      </c>
      <c r="AD30" s="372">
        <f t="shared" si="8"/>
        <v>437.22947368421052</v>
      </c>
    </row>
    <row r="31" spans="1:30">
      <c r="A31" s="343">
        <f t="shared" si="9"/>
        <v>28</v>
      </c>
      <c r="B31" s="344" t="s">
        <v>626</v>
      </c>
      <c r="C31" s="333" t="s">
        <v>609</v>
      </c>
      <c r="D31" s="333" t="s">
        <v>584</v>
      </c>
      <c r="E31" s="333" t="s">
        <v>584</v>
      </c>
      <c r="F31" s="343" t="s">
        <v>620</v>
      </c>
      <c r="G31" s="357">
        <v>15.2</v>
      </c>
      <c r="H31" s="341">
        <v>7000</v>
      </c>
      <c r="I31" s="341">
        <f t="shared" si="0"/>
        <v>3500</v>
      </c>
      <c r="J31" s="342">
        <v>0</v>
      </c>
      <c r="K31" s="372">
        <f t="shared" si="1"/>
        <v>230.26315789473685</v>
      </c>
      <c r="L31" s="372">
        <f>($I31/$G31)*'FACTORES FIJOS'!$B$3</f>
        <v>7000</v>
      </c>
      <c r="M31" s="373">
        <f>IF($G31='FACTORES FIJOS'!$D$5,VLOOKUP($L31,'TABLA QUINCENAL'!$B$6:$F$16,4,TRUE),IF($G31='FACTORES FIJOS'!$D$3,VLOOKUP($L31,'TABLA QUINCENAL'!$B$6:$F$16,4,TRUE),"FALSO"))</f>
        <v>0.21360000000000001</v>
      </c>
      <c r="N31" s="374">
        <f>VLOOKUP($L31,'TABLA QUINCENAL'!$B$6:$F$16,1,TRUE)</f>
        <v>5081.41</v>
      </c>
      <c r="O31" s="374">
        <f>VLOOKUP($L31,'TABLA QUINCENAL'!$B$6:$F$16,2,TRUE)</f>
        <v>10248.450000000001</v>
      </c>
      <c r="P31" s="372">
        <f t="shared" si="2"/>
        <v>1918.5900000000001</v>
      </c>
      <c r="Q31" s="372">
        <f t="shared" si="3"/>
        <v>409.81082400000008</v>
      </c>
      <c r="R31" s="374">
        <f>VLOOKUP($L31,'TABLA QUINCENAL'!$B$6:$F$16,3,TRUE)</f>
        <v>538.20000000000005</v>
      </c>
      <c r="S31" s="372">
        <f t="shared" si="4"/>
        <v>948.01082400000018</v>
      </c>
      <c r="T31" s="372">
        <f>$S31/'FACTORES FIJOS'!$B$3*CELAYA!$G31</f>
        <v>474.00541200000009</v>
      </c>
      <c r="U31" s="372">
        <f>IFERROR((VLOOKUP($L31,'TABLA QUINCENAL'!$G$6:$I$16,3,TRUE)/'FACTORES FIJOS'!$B$3)*$G31,"ERROR")</f>
        <v>0</v>
      </c>
      <c r="V31" s="372">
        <f t="shared" si="5"/>
        <v>474.00541200000009</v>
      </c>
      <c r="W31" s="372">
        <f t="shared" si="6"/>
        <v>474.00541200000009</v>
      </c>
      <c r="X31" s="372">
        <f t="shared" si="7"/>
        <v>0</v>
      </c>
      <c r="Y31" s="372">
        <f>($K31*'FACTORES FIJOS'!$B$10)</f>
        <v>4.6052631578947372</v>
      </c>
      <c r="Z31" s="372">
        <f>($K$4-(3*'FACTORES FIJOS'!$F$3))*'FACTORES FIJOS'!$D$10</f>
        <v>-0.45663157894736855</v>
      </c>
      <c r="AA31" s="372">
        <f>($K31*'FACTORES FIJOS'!$F$10)</f>
        <v>4.6052631578947372</v>
      </c>
      <c r="AB31" s="372">
        <f>($K31*'FACTORES FIJOS'!$H$10)</f>
        <v>2.3026315789473686</v>
      </c>
      <c r="AC31" s="372">
        <f>($K31*'FACTORES FIJOS'!$J$10)</f>
        <v>2.3026315789473686</v>
      </c>
      <c r="AD31" s="372">
        <f t="shared" si="8"/>
        <v>200.38736842105263</v>
      </c>
    </row>
    <row r="32" spans="1:30">
      <c r="A32" s="343">
        <f t="shared" si="9"/>
        <v>29</v>
      </c>
      <c r="B32" s="344" t="s">
        <v>626</v>
      </c>
      <c r="C32" s="333" t="s">
        <v>593</v>
      </c>
      <c r="D32" s="333" t="s">
        <v>189</v>
      </c>
      <c r="E32" s="333" t="s">
        <v>191</v>
      </c>
      <c r="F32" s="343" t="s">
        <v>620</v>
      </c>
      <c r="G32" s="357">
        <v>15.2</v>
      </c>
      <c r="H32" s="341">
        <v>4000.0000000000005</v>
      </c>
      <c r="I32" s="341">
        <f t="shared" si="0"/>
        <v>2000.0000000000002</v>
      </c>
      <c r="J32" s="342">
        <v>0</v>
      </c>
      <c r="K32" s="372">
        <f t="shared" si="1"/>
        <v>131.57894736842107</v>
      </c>
      <c r="L32" s="372">
        <f>($I32/$G32)*'FACTORES FIJOS'!$B$3</f>
        <v>4000.0000000000005</v>
      </c>
      <c r="M32" s="373">
        <f>IF($G32='FACTORES FIJOS'!$D$5,VLOOKUP($L32,'TABLA QUINCENAL'!$B$6:$F$16,4,TRUE),IF($G32='FACTORES FIJOS'!$D$3,VLOOKUP($L32,'TABLA QUINCENAL'!$B$6:$F$16,4,TRUE),"FALSO"))</f>
        <v>0.16</v>
      </c>
      <c r="N32" s="374">
        <f>VLOOKUP($L32,'TABLA QUINCENAL'!$B$6:$F$16,1,TRUE)</f>
        <v>3651.01</v>
      </c>
      <c r="O32" s="374">
        <f>VLOOKUP($L32,'TABLA QUINCENAL'!$B$6:$F$16,2,TRUE)</f>
        <v>4244.1000000000004</v>
      </c>
      <c r="P32" s="372">
        <f t="shared" si="2"/>
        <v>348.99000000000024</v>
      </c>
      <c r="Q32" s="372">
        <f t="shared" si="3"/>
        <v>55.838400000000036</v>
      </c>
      <c r="R32" s="374">
        <f>VLOOKUP($L32,'TABLA QUINCENAL'!$B$6:$F$16,3,TRUE)</f>
        <v>293.25</v>
      </c>
      <c r="S32" s="372">
        <f t="shared" si="4"/>
        <v>349.08840000000004</v>
      </c>
      <c r="T32" s="372">
        <f>$S32/'FACTORES FIJOS'!$B$3*CELAYA!$G32</f>
        <v>174.54420000000002</v>
      </c>
      <c r="U32" s="372">
        <f>IFERROR((VLOOKUP($L32,'TABLA QUINCENAL'!$G$6:$I$16,3,TRUE)/'FACTORES FIJOS'!$B$3)*$G32,"ERROR")</f>
        <v>0</v>
      </c>
      <c r="V32" s="372">
        <f t="shared" si="5"/>
        <v>174.54420000000002</v>
      </c>
      <c r="W32" s="372">
        <f t="shared" si="6"/>
        <v>174.54420000000002</v>
      </c>
      <c r="X32" s="372">
        <f t="shared" si="7"/>
        <v>0</v>
      </c>
      <c r="Y32" s="372">
        <f>($K32*'FACTORES FIJOS'!$B$10)</f>
        <v>2.6315789473684212</v>
      </c>
      <c r="Z32" s="372">
        <f>($K$4-(3*'FACTORES FIJOS'!$F$3))*'FACTORES FIJOS'!$D$10</f>
        <v>-0.45663157894736855</v>
      </c>
      <c r="AA32" s="372">
        <f>($K32*'FACTORES FIJOS'!$F$10)</f>
        <v>2.6315789473684212</v>
      </c>
      <c r="AB32" s="372">
        <f>($K32*'FACTORES FIJOS'!$H$10)</f>
        <v>1.3157894736842106</v>
      </c>
      <c r="AC32" s="372">
        <f>($K32*'FACTORES FIJOS'!$J$10)</f>
        <v>1.3157894736842106</v>
      </c>
      <c r="AD32" s="372">
        <f t="shared" si="8"/>
        <v>111.57157894736844</v>
      </c>
    </row>
    <row r="33" spans="1:30">
      <c r="A33" s="343">
        <f t="shared" si="9"/>
        <v>30</v>
      </c>
      <c r="B33" s="344" t="s">
        <v>626</v>
      </c>
      <c r="C33" s="333" t="s">
        <v>600</v>
      </c>
      <c r="D33" s="333" t="s">
        <v>189</v>
      </c>
      <c r="E33" s="333" t="s">
        <v>601</v>
      </c>
      <c r="F33" s="343" t="s">
        <v>620</v>
      </c>
      <c r="G33" s="357">
        <v>15.2</v>
      </c>
      <c r="H33" s="341">
        <v>12000</v>
      </c>
      <c r="I33" s="341">
        <f t="shared" si="0"/>
        <v>6000</v>
      </c>
      <c r="J33" s="342">
        <v>0</v>
      </c>
      <c r="K33" s="372">
        <f t="shared" si="1"/>
        <v>394.73684210526318</v>
      </c>
      <c r="L33" s="372">
        <f>($I33/$G33)*'FACTORES FIJOS'!$B$3</f>
        <v>12000</v>
      </c>
      <c r="M33" s="373">
        <f>IF($G33='FACTORES FIJOS'!$D$5,VLOOKUP($L33,'TABLA QUINCENAL'!$B$6:$F$16,4,TRUE),IF($G33='FACTORES FIJOS'!$D$3,VLOOKUP($L33,'TABLA QUINCENAL'!$B$6:$F$16,4,TRUE),"FALSO"))</f>
        <v>0.23519999999999999</v>
      </c>
      <c r="N33" s="374">
        <f>VLOOKUP($L33,'TABLA QUINCENAL'!$B$6:$F$16,1,TRUE)</f>
        <v>10248.459999999999</v>
      </c>
      <c r="O33" s="374">
        <f>VLOOKUP($L33,'TABLA QUINCENAL'!$B$6:$F$16,2,TRUE)</f>
        <v>16153.05</v>
      </c>
      <c r="P33" s="372">
        <f t="shared" si="2"/>
        <v>1751.5400000000009</v>
      </c>
      <c r="Q33" s="372">
        <f t="shared" si="3"/>
        <v>411.9622080000002</v>
      </c>
      <c r="R33" s="374">
        <f>VLOOKUP($L33,'TABLA QUINCENAL'!$B$6:$F$16,3,TRUE)</f>
        <v>1641.75</v>
      </c>
      <c r="S33" s="372">
        <f t="shared" si="4"/>
        <v>2053.7122080000004</v>
      </c>
      <c r="T33" s="372">
        <f>$S33/'FACTORES FIJOS'!$B$3*CELAYA!$G33</f>
        <v>1026.8561040000002</v>
      </c>
      <c r="U33" s="372">
        <f>IFERROR((VLOOKUP($L33,'TABLA QUINCENAL'!$G$6:$I$16,3,TRUE)/'FACTORES FIJOS'!$B$3)*$G33,"ERROR")</f>
        <v>0</v>
      </c>
      <c r="V33" s="372">
        <f t="shared" si="5"/>
        <v>1026.8561040000002</v>
      </c>
      <c r="W33" s="372">
        <f t="shared" si="6"/>
        <v>1026.8561040000002</v>
      </c>
      <c r="X33" s="372">
        <f t="shared" si="7"/>
        <v>0</v>
      </c>
      <c r="Y33" s="372">
        <f>($K33*'FACTORES FIJOS'!$B$10)</f>
        <v>7.8947368421052637</v>
      </c>
      <c r="Z33" s="372">
        <f>($K$4-(3*'FACTORES FIJOS'!$F$3))*'FACTORES FIJOS'!$D$10</f>
        <v>-0.45663157894736855</v>
      </c>
      <c r="AA33" s="372">
        <f>($K33*'FACTORES FIJOS'!$F$10)</f>
        <v>7.8947368421052637</v>
      </c>
      <c r="AB33" s="372">
        <f>($K33*'FACTORES FIJOS'!$H$10)</f>
        <v>3.9473684210526319</v>
      </c>
      <c r="AC33" s="372">
        <f>($K33*'FACTORES FIJOS'!$J$10)</f>
        <v>3.9473684210526319</v>
      </c>
      <c r="AD33" s="372">
        <f t="shared" si="8"/>
        <v>348.4136842105263</v>
      </c>
    </row>
    <row r="34" spans="1:30">
      <c r="A34" s="343">
        <f t="shared" si="9"/>
        <v>31</v>
      </c>
      <c r="B34" s="344" t="s">
        <v>626</v>
      </c>
      <c r="C34" s="333" t="s">
        <v>541</v>
      </c>
      <c r="D34" s="333" t="s">
        <v>381</v>
      </c>
      <c r="E34" s="333" t="s">
        <v>542</v>
      </c>
      <c r="F34" s="343" t="s">
        <v>620</v>
      </c>
      <c r="G34" s="357">
        <v>15.2</v>
      </c>
      <c r="H34" s="341">
        <v>5000</v>
      </c>
      <c r="I34" s="341">
        <f t="shared" si="0"/>
        <v>2500</v>
      </c>
      <c r="J34" s="342">
        <v>0</v>
      </c>
      <c r="K34" s="372">
        <f t="shared" si="1"/>
        <v>164.47368421052633</v>
      </c>
      <c r="L34" s="372">
        <f>($I34/$G34)*'FACTORES FIJOS'!$B$3</f>
        <v>5000</v>
      </c>
      <c r="M34" s="373">
        <f>IF($G34='FACTORES FIJOS'!$D$5,VLOOKUP($L34,'TABLA QUINCENAL'!$B$6:$F$16,4,TRUE),IF($G34='FACTORES FIJOS'!$D$3,VLOOKUP($L34,'TABLA QUINCENAL'!$B$6:$F$16,4,TRUE),"FALSO"))</f>
        <v>0.1792</v>
      </c>
      <c r="N34" s="374">
        <f>VLOOKUP($L34,'TABLA QUINCENAL'!$B$6:$F$16,1,TRUE)</f>
        <v>4244.1099999999997</v>
      </c>
      <c r="O34" s="374">
        <f>VLOOKUP($L34,'TABLA QUINCENAL'!$B$6:$F$16,2,TRUE)</f>
        <v>5081.3999999999996</v>
      </c>
      <c r="P34" s="372">
        <f t="shared" si="2"/>
        <v>755.89000000000033</v>
      </c>
      <c r="Q34" s="372">
        <f t="shared" si="3"/>
        <v>135.45548800000006</v>
      </c>
      <c r="R34" s="374">
        <f>VLOOKUP($L34,'TABLA QUINCENAL'!$B$6:$F$16,3,TRUE)</f>
        <v>388.05</v>
      </c>
      <c r="S34" s="372">
        <f t="shared" si="4"/>
        <v>523.50548800000001</v>
      </c>
      <c r="T34" s="372">
        <f>$S34/'FACTORES FIJOS'!$B$3*CELAYA!$G34</f>
        <v>261.75274400000001</v>
      </c>
      <c r="U34" s="372">
        <f>IFERROR((VLOOKUP($L34,'TABLA QUINCENAL'!$G$6:$I$16,3,TRUE)/'FACTORES FIJOS'!$B$3)*$G34,"ERROR")</f>
        <v>0</v>
      </c>
      <c r="V34" s="372">
        <f t="shared" si="5"/>
        <v>261.75274400000001</v>
      </c>
      <c r="W34" s="372">
        <f t="shared" si="6"/>
        <v>261.75274400000001</v>
      </c>
      <c r="X34" s="372">
        <f t="shared" si="7"/>
        <v>0</v>
      </c>
      <c r="Y34" s="372">
        <f>($K34*'FACTORES FIJOS'!$B$10)</f>
        <v>3.2894736842105265</v>
      </c>
      <c r="Z34" s="372">
        <f>($K$4-(3*'FACTORES FIJOS'!$F$3))*'FACTORES FIJOS'!$D$10</f>
        <v>-0.45663157894736855</v>
      </c>
      <c r="AA34" s="372">
        <f>($K34*'FACTORES FIJOS'!$F$10)</f>
        <v>3.2894736842105265</v>
      </c>
      <c r="AB34" s="372">
        <f>($K34*'FACTORES FIJOS'!$H$10)</f>
        <v>1.6447368421052633</v>
      </c>
      <c r="AC34" s="372">
        <f>($K34*'FACTORES FIJOS'!$J$10)</f>
        <v>1.6447368421052633</v>
      </c>
      <c r="AD34" s="372">
        <f t="shared" si="8"/>
        <v>141.17684210526318</v>
      </c>
    </row>
    <row r="35" spans="1:30">
      <c r="A35" s="343">
        <f t="shared" si="9"/>
        <v>32</v>
      </c>
      <c r="B35" s="344" t="s">
        <v>626</v>
      </c>
      <c r="C35" s="333" t="s">
        <v>582</v>
      </c>
      <c r="D35" s="333" t="s">
        <v>210</v>
      </c>
      <c r="E35" s="333" t="s">
        <v>507</v>
      </c>
      <c r="F35" s="343" t="s">
        <v>621</v>
      </c>
      <c r="G35" s="357">
        <v>15.2</v>
      </c>
      <c r="H35" s="341">
        <v>3500</v>
      </c>
      <c r="I35" s="341">
        <f t="shared" si="0"/>
        <v>4660.3</v>
      </c>
      <c r="J35" s="342">
        <v>2910.3</v>
      </c>
      <c r="K35" s="372">
        <f t="shared" si="1"/>
        <v>306.59868421052636</v>
      </c>
      <c r="L35" s="372">
        <f>($I35/$G35)*'FACTORES FIJOS'!$B$3</f>
        <v>9320.6</v>
      </c>
      <c r="M35" s="373">
        <f>IF($G35='FACTORES FIJOS'!$D$5,VLOOKUP($L35,'TABLA QUINCENAL'!$B$6:$F$16,4,TRUE),IF($G35='FACTORES FIJOS'!$D$3,VLOOKUP($L35,'TABLA QUINCENAL'!$B$6:$F$16,4,TRUE),"FALSO"))</f>
        <v>0.21360000000000001</v>
      </c>
      <c r="N35" s="374">
        <f>VLOOKUP($L35,'TABLA QUINCENAL'!$B$6:$F$16,1,TRUE)</f>
        <v>5081.41</v>
      </c>
      <c r="O35" s="374">
        <f>VLOOKUP($L35,'TABLA QUINCENAL'!$B$6:$F$16,2,TRUE)</f>
        <v>10248.450000000001</v>
      </c>
      <c r="P35" s="372">
        <f t="shared" si="2"/>
        <v>4239.1900000000005</v>
      </c>
      <c r="Q35" s="372">
        <f t="shared" si="3"/>
        <v>905.49098400000014</v>
      </c>
      <c r="R35" s="374">
        <f>VLOOKUP($L35,'TABLA QUINCENAL'!$B$6:$F$16,3,TRUE)</f>
        <v>538.20000000000005</v>
      </c>
      <c r="S35" s="372">
        <f t="shared" si="4"/>
        <v>1443.6909840000003</v>
      </c>
      <c r="T35" s="372">
        <f>$S35/'FACTORES FIJOS'!$B$3*CELAYA!$G35</f>
        <v>721.84549200000015</v>
      </c>
      <c r="U35" s="372">
        <f>IFERROR((VLOOKUP($L35,'TABLA QUINCENAL'!$G$6:$I$16,3,TRUE)/'FACTORES FIJOS'!$B$3)*$G35,"ERROR")</f>
        <v>0</v>
      </c>
      <c r="V35" s="372">
        <f t="shared" si="5"/>
        <v>721.84549200000015</v>
      </c>
      <c r="W35" s="372">
        <f t="shared" si="6"/>
        <v>721.84549200000015</v>
      </c>
      <c r="X35" s="372">
        <f t="shared" si="7"/>
        <v>0</v>
      </c>
      <c r="Y35" s="372">
        <f>($K35*'FACTORES FIJOS'!$B$10)</f>
        <v>6.1319736842105277</v>
      </c>
      <c r="Z35" s="372">
        <f>($K$4-(3*'FACTORES FIJOS'!$F$3))*'FACTORES FIJOS'!$D$10</f>
        <v>-0.45663157894736855</v>
      </c>
      <c r="AA35" s="372">
        <f>($K35*'FACTORES FIJOS'!$F$10)</f>
        <v>6.1319736842105277</v>
      </c>
      <c r="AB35" s="372">
        <f>($K35*'FACTORES FIJOS'!$H$10)</f>
        <v>3.0659868421052638</v>
      </c>
      <c r="AC35" s="372">
        <f>($K35*'FACTORES FIJOS'!$J$10)</f>
        <v>3.0659868421052638</v>
      </c>
      <c r="AD35" s="372">
        <f t="shared" si="8"/>
        <v>269.08934210526326</v>
      </c>
    </row>
    <row r="36" spans="1:30">
      <c r="A36" s="343">
        <f t="shared" si="9"/>
        <v>33</v>
      </c>
      <c r="B36" s="344" t="s">
        <v>626</v>
      </c>
      <c r="C36" s="333" t="s">
        <v>611</v>
      </c>
      <c r="D36" s="333" t="s">
        <v>210</v>
      </c>
      <c r="E36" s="333" t="s">
        <v>505</v>
      </c>
      <c r="F36" s="343" t="s">
        <v>621</v>
      </c>
      <c r="G36" s="357">
        <v>15.2</v>
      </c>
      <c r="H36" s="341">
        <v>2400</v>
      </c>
      <c r="I36" s="341">
        <f t="shared" si="0"/>
        <v>5244.3</v>
      </c>
      <c r="J36" s="342">
        <v>4044.3</v>
      </c>
      <c r="K36" s="372">
        <f t="shared" si="1"/>
        <v>345.01973684210532</v>
      </c>
      <c r="L36" s="372">
        <f>($I36/$G36)*'FACTORES FIJOS'!$B$3</f>
        <v>10488.6</v>
      </c>
      <c r="M36" s="373">
        <f>IF($G36='FACTORES FIJOS'!$D$5,VLOOKUP($L36,'TABLA QUINCENAL'!$B$6:$F$16,4,TRUE),IF($G36='FACTORES FIJOS'!$D$3,VLOOKUP($L36,'TABLA QUINCENAL'!$B$6:$F$16,4,TRUE),"FALSO"))</f>
        <v>0.23519999999999999</v>
      </c>
      <c r="N36" s="374">
        <f>VLOOKUP($L36,'TABLA QUINCENAL'!$B$6:$F$16,1,TRUE)</f>
        <v>10248.459999999999</v>
      </c>
      <c r="O36" s="374">
        <f>VLOOKUP($L36,'TABLA QUINCENAL'!$B$6:$F$16,2,TRUE)</f>
        <v>16153.05</v>
      </c>
      <c r="P36" s="372">
        <f t="shared" si="2"/>
        <v>240.14000000000124</v>
      </c>
      <c r="Q36" s="372">
        <f t="shared" si="3"/>
        <v>56.48092800000029</v>
      </c>
      <c r="R36" s="374">
        <f>VLOOKUP($L36,'TABLA QUINCENAL'!$B$6:$F$16,3,TRUE)</f>
        <v>1641.75</v>
      </c>
      <c r="S36" s="372">
        <f t="shared" si="4"/>
        <v>1698.2309280000004</v>
      </c>
      <c r="T36" s="372">
        <f>$S36/'FACTORES FIJOS'!$B$3*CELAYA!$G36</f>
        <v>849.1154640000002</v>
      </c>
      <c r="U36" s="372">
        <f>IFERROR((VLOOKUP($L36,'TABLA QUINCENAL'!$G$6:$I$16,3,TRUE)/'FACTORES FIJOS'!$B$3)*$G36,"ERROR")</f>
        <v>0</v>
      </c>
      <c r="V36" s="372">
        <f t="shared" si="5"/>
        <v>849.1154640000002</v>
      </c>
      <c r="W36" s="372">
        <f t="shared" si="6"/>
        <v>849.1154640000002</v>
      </c>
      <c r="X36" s="372">
        <f t="shared" si="7"/>
        <v>0</v>
      </c>
      <c r="Y36" s="372">
        <f>($K36*'FACTORES FIJOS'!$B$10)</f>
        <v>6.9003947368421068</v>
      </c>
      <c r="Z36" s="372">
        <f>($K$4-(3*'FACTORES FIJOS'!$F$3))*'FACTORES FIJOS'!$D$10</f>
        <v>-0.45663157894736855</v>
      </c>
      <c r="AA36" s="372">
        <f>($K36*'FACTORES FIJOS'!$F$10)</f>
        <v>6.9003947368421068</v>
      </c>
      <c r="AB36" s="372">
        <f>($K36*'FACTORES FIJOS'!$H$10)</f>
        <v>3.4501973684210534</v>
      </c>
      <c r="AC36" s="372">
        <f>($K36*'FACTORES FIJOS'!$J$10)</f>
        <v>3.4501973684210534</v>
      </c>
      <c r="AD36" s="372">
        <f t="shared" si="8"/>
        <v>303.66828947368435</v>
      </c>
    </row>
    <row r="37" spans="1:30">
      <c r="A37" s="343">
        <f t="shared" si="9"/>
        <v>34</v>
      </c>
      <c r="B37" s="344" t="s">
        <v>626</v>
      </c>
      <c r="C37" s="333" t="s">
        <v>554</v>
      </c>
      <c r="D37" s="333" t="s">
        <v>210</v>
      </c>
      <c r="E37" s="333" t="s">
        <v>505</v>
      </c>
      <c r="F37" s="343" t="s">
        <v>621</v>
      </c>
      <c r="G37" s="357">
        <v>15.2</v>
      </c>
      <c r="H37" s="341">
        <v>2400</v>
      </c>
      <c r="I37" s="341">
        <f t="shared" si="0"/>
        <v>5060</v>
      </c>
      <c r="J37" s="342">
        <v>3859.9999999999995</v>
      </c>
      <c r="K37" s="372">
        <f t="shared" si="1"/>
        <v>332.89473684210526</v>
      </c>
      <c r="L37" s="372">
        <f>($I37/$G37)*'FACTORES FIJOS'!$B$3</f>
        <v>10120</v>
      </c>
      <c r="M37" s="373">
        <f>IF($G37='FACTORES FIJOS'!$D$5,VLOOKUP($L37,'TABLA QUINCENAL'!$B$6:$F$16,4,TRUE),IF($G37='FACTORES FIJOS'!$D$3,VLOOKUP($L37,'TABLA QUINCENAL'!$B$6:$F$16,4,TRUE),"FALSO"))</f>
        <v>0.21360000000000001</v>
      </c>
      <c r="N37" s="374">
        <f>VLOOKUP($L37,'TABLA QUINCENAL'!$B$6:$F$16,1,TRUE)</f>
        <v>5081.41</v>
      </c>
      <c r="O37" s="374">
        <f>VLOOKUP($L37,'TABLA QUINCENAL'!$B$6:$F$16,2,TRUE)</f>
        <v>10248.450000000001</v>
      </c>
      <c r="P37" s="372">
        <f t="shared" si="2"/>
        <v>5038.59</v>
      </c>
      <c r="Q37" s="372">
        <f t="shared" si="3"/>
        <v>1076.2428240000002</v>
      </c>
      <c r="R37" s="374">
        <f>VLOOKUP($L37,'TABLA QUINCENAL'!$B$6:$F$16,3,TRUE)</f>
        <v>538.20000000000005</v>
      </c>
      <c r="S37" s="372">
        <f t="shared" si="4"/>
        <v>1614.4428240000002</v>
      </c>
      <c r="T37" s="372">
        <f>$S37/'FACTORES FIJOS'!$B$3*CELAYA!$G37</f>
        <v>807.2214120000001</v>
      </c>
      <c r="U37" s="372">
        <f>IFERROR((VLOOKUP($L37,'TABLA QUINCENAL'!$G$6:$I$16,3,TRUE)/'FACTORES FIJOS'!$B$3)*$G37,"ERROR")</f>
        <v>0</v>
      </c>
      <c r="V37" s="372">
        <f t="shared" si="5"/>
        <v>807.2214120000001</v>
      </c>
      <c r="W37" s="372">
        <f t="shared" si="6"/>
        <v>807.2214120000001</v>
      </c>
      <c r="X37" s="372">
        <f t="shared" si="7"/>
        <v>0</v>
      </c>
      <c r="Y37" s="372">
        <f>($K37*'FACTORES FIJOS'!$B$10)</f>
        <v>6.6578947368421053</v>
      </c>
      <c r="Z37" s="372">
        <f>($K$4-(3*'FACTORES FIJOS'!$F$3))*'FACTORES FIJOS'!$D$10</f>
        <v>-0.45663157894736855</v>
      </c>
      <c r="AA37" s="372">
        <f>($K37*'FACTORES FIJOS'!$F$10)</f>
        <v>6.6578947368421053</v>
      </c>
      <c r="AB37" s="372">
        <f>($K37*'FACTORES FIJOS'!$H$10)</f>
        <v>3.3289473684210527</v>
      </c>
      <c r="AC37" s="372">
        <f>($K37*'FACTORES FIJOS'!$J$10)</f>
        <v>3.3289473684210527</v>
      </c>
      <c r="AD37" s="372">
        <f t="shared" si="8"/>
        <v>292.75578947368416</v>
      </c>
    </row>
    <row r="38" spans="1:30">
      <c r="A38" s="343">
        <f t="shared" si="9"/>
        <v>35</v>
      </c>
      <c r="B38" s="344" t="s">
        <v>626</v>
      </c>
      <c r="C38" s="333" t="s">
        <v>568</v>
      </c>
      <c r="D38" s="333" t="s">
        <v>210</v>
      </c>
      <c r="E38" s="333" t="s">
        <v>505</v>
      </c>
      <c r="F38" s="343" t="s">
        <v>621</v>
      </c>
      <c r="G38" s="357">
        <v>15.2</v>
      </c>
      <c r="H38" s="341">
        <v>2400</v>
      </c>
      <c r="I38" s="341">
        <f t="shared" si="0"/>
        <v>14680</v>
      </c>
      <c r="J38" s="342">
        <v>13480</v>
      </c>
      <c r="K38" s="372">
        <f t="shared" si="1"/>
        <v>965.78947368421052</v>
      </c>
      <c r="L38" s="372">
        <f>($I38/$G38)*'FACTORES FIJOS'!$B$3</f>
        <v>29360</v>
      </c>
      <c r="M38" s="373">
        <f>IF($G38='FACTORES FIJOS'!$D$5,VLOOKUP($L38,'TABLA QUINCENAL'!$B$6:$F$16,4,TRUE),IF($G38='FACTORES FIJOS'!$D$3,VLOOKUP($L38,'TABLA QUINCENAL'!$B$6:$F$16,4,TRUE),"FALSO"))</f>
        <v>0.3</v>
      </c>
      <c r="N38" s="374">
        <f>VLOOKUP($L38,'TABLA QUINCENAL'!$B$6:$F$16,1,TRUE)</f>
        <v>16153.06</v>
      </c>
      <c r="O38" s="374">
        <f>VLOOKUP($L38,'TABLA QUINCENAL'!$B$6:$F$16,2,TRUE)</f>
        <v>30838.799999999999</v>
      </c>
      <c r="P38" s="372">
        <f t="shared" si="2"/>
        <v>13206.94</v>
      </c>
      <c r="Q38" s="372">
        <f t="shared" si="3"/>
        <v>3962.0819999999999</v>
      </c>
      <c r="R38" s="374">
        <f>VLOOKUP($L38,'TABLA QUINCENAL'!$B$6:$F$16,3,TRUE)</f>
        <v>3030.6</v>
      </c>
      <c r="S38" s="372">
        <f t="shared" si="4"/>
        <v>6992.6819999999998</v>
      </c>
      <c r="T38" s="372">
        <f>$S38/'FACTORES FIJOS'!$B$3*CELAYA!$G38</f>
        <v>3496.3409999999999</v>
      </c>
      <c r="U38" s="372">
        <f>IFERROR((VLOOKUP($L38,'TABLA QUINCENAL'!$G$6:$I$16,3,TRUE)/'FACTORES FIJOS'!$B$3)*$G38,"ERROR")</f>
        <v>0</v>
      </c>
      <c r="V38" s="372">
        <f t="shared" si="5"/>
        <v>3496.3409999999999</v>
      </c>
      <c r="W38" s="372">
        <f t="shared" si="6"/>
        <v>3496.3409999999999</v>
      </c>
      <c r="X38" s="372">
        <f t="shared" si="7"/>
        <v>0</v>
      </c>
      <c r="Y38" s="372">
        <f>($K38*'FACTORES FIJOS'!$B$10)</f>
        <v>19.315789473684212</v>
      </c>
      <c r="Z38" s="372">
        <f>($K$4-(3*'FACTORES FIJOS'!$F$3))*'FACTORES FIJOS'!$D$10</f>
        <v>-0.45663157894736855</v>
      </c>
      <c r="AA38" s="372">
        <f>($K38*'FACTORES FIJOS'!$F$10)</f>
        <v>19.315789473684212</v>
      </c>
      <c r="AB38" s="372">
        <f>($K38*'FACTORES FIJOS'!$H$10)</f>
        <v>9.6578947368421062</v>
      </c>
      <c r="AC38" s="372">
        <f>($K38*'FACTORES FIJOS'!$J$10)</f>
        <v>9.6578947368421062</v>
      </c>
      <c r="AD38" s="372">
        <f t="shared" si="8"/>
        <v>862.36105263157913</v>
      </c>
    </row>
    <row r="39" spans="1:30">
      <c r="A39" s="343">
        <f t="shared" si="9"/>
        <v>36</v>
      </c>
      <c r="B39" s="344" t="s">
        <v>626</v>
      </c>
      <c r="C39" s="333" t="s">
        <v>608</v>
      </c>
      <c r="D39" s="333" t="s">
        <v>210</v>
      </c>
      <c r="E39" s="333" t="s">
        <v>505</v>
      </c>
      <c r="F39" s="343" t="s">
        <v>621</v>
      </c>
      <c r="G39" s="357">
        <v>15.2</v>
      </c>
      <c r="H39" s="341">
        <v>2474</v>
      </c>
      <c r="I39" s="341">
        <f t="shared" si="0"/>
        <v>1627</v>
      </c>
      <c r="J39" s="342">
        <v>390</v>
      </c>
      <c r="K39" s="372">
        <f t="shared" si="1"/>
        <v>107.03947368421053</v>
      </c>
      <c r="L39" s="372">
        <f>($I39/$G39)*'FACTORES FIJOS'!$B$3</f>
        <v>3254</v>
      </c>
      <c r="M39" s="373">
        <f>IF($G39='FACTORES FIJOS'!$D$5,VLOOKUP($L39,'TABLA QUINCENAL'!$B$6:$F$16,4,TRUE),IF($G39='FACTORES FIJOS'!$D$3,VLOOKUP($L39,'TABLA QUINCENAL'!$B$6:$F$16,4,TRUE),"FALSO"))</f>
        <v>0.10879999999999999</v>
      </c>
      <c r="N39" s="374">
        <f>VLOOKUP($L39,'TABLA QUINCENAL'!$B$6:$F$16,1,TRUE)</f>
        <v>2077.5100000000002</v>
      </c>
      <c r="O39" s="374">
        <f>VLOOKUP($L39,'TABLA QUINCENAL'!$B$6:$F$16,2,TRUE)</f>
        <v>3651</v>
      </c>
      <c r="P39" s="372">
        <f t="shared" si="2"/>
        <v>1176.4899999999998</v>
      </c>
      <c r="Q39" s="372">
        <f t="shared" si="3"/>
        <v>128.00211199999998</v>
      </c>
      <c r="R39" s="374">
        <f>VLOOKUP($L39,'TABLA QUINCENAL'!$B$6:$F$16,3,TRUE)</f>
        <v>121.95</v>
      </c>
      <c r="S39" s="372">
        <f t="shared" si="4"/>
        <v>249.952112</v>
      </c>
      <c r="T39" s="372">
        <f>$S39/'FACTORES FIJOS'!$B$3*CELAYA!$G39</f>
        <v>124.97605599999999</v>
      </c>
      <c r="U39" s="372">
        <f>IFERROR((VLOOKUP($L39,'TABLA QUINCENAL'!$G$6:$I$16,3,TRUE)/'FACTORES FIJOS'!$B$3)*$G39,"ERROR")</f>
        <v>62.54999999999999</v>
      </c>
      <c r="V39" s="372">
        <f t="shared" si="5"/>
        <v>62.426055999999996</v>
      </c>
      <c r="W39" s="372">
        <f t="shared" si="6"/>
        <v>62.426055999999996</v>
      </c>
      <c r="X39" s="372">
        <f t="shared" si="7"/>
        <v>0</v>
      </c>
      <c r="Y39" s="372">
        <f>($K39*'FACTORES FIJOS'!$B$10)</f>
        <v>2.1407894736842108</v>
      </c>
      <c r="Z39" s="372">
        <f>($K$4-(3*'FACTORES FIJOS'!$F$3))*'FACTORES FIJOS'!$D$10</f>
        <v>-0.45663157894736855</v>
      </c>
      <c r="AA39" s="372">
        <f>($K39*'FACTORES FIJOS'!$F$10)</f>
        <v>2.1407894736842108</v>
      </c>
      <c r="AB39" s="372">
        <f>($K39*'FACTORES FIJOS'!$H$10)</f>
        <v>1.0703947368421054</v>
      </c>
      <c r="AC39" s="372">
        <f>($K39*'FACTORES FIJOS'!$J$10)</f>
        <v>1.0703947368421054</v>
      </c>
      <c r="AD39" s="372">
        <f t="shared" si="8"/>
        <v>89.486052631578957</v>
      </c>
    </row>
    <row r="40" spans="1:30">
      <c r="A40" s="343">
        <f t="shared" si="9"/>
        <v>37</v>
      </c>
      <c r="B40" s="344" t="s">
        <v>626</v>
      </c>
      <c r="C40" s="333" t="s">
        <v>596</v>
      </c>
      <c r="D40" s="333" t="s">
        <v>210</v>
      </c>
      <c r="E40" s="333" t="s">
        <v>597</v>
      </c>
      <c r="F40" s="343" t="s">
        <v>621</v>
      </c>
      <c r="G40" s="357">
        <v>15.2</v>
      </c>
      <c r="H40" s="341">
        <v>2240</v>
      </c>
      <c r="I40" s="341">
        <f t="shared" si="0"/>
        <v>10828</v>
      </c>
      <c r="J40" s="342">
        <v>9708</v>
      </c>
      <c r="K40" s="372">
        <f t="shared" si="1"/>
        <v>712.36842105263156</v>
      </c>
      <c r="L40" s="372">
        <f>($I40/$G40)*'FACTORES FIJOS'!$B$3</f>
        <v>21656</v>
      </c>
      <c r="M40" s="373">
        <f>IF($G40='FACTORES FIJOS'!$D$5,VLOOKUP($L40,'TABLA QUINCENAL'!$B$6:$F$16,4,TRUE),IF($G40='FACTORES FIJOS'!$D$3,VLOOKUP($L40,'TABLA QUINCENAL'!$B$6:$F$16,4,TRUE),"FALSO"))</f>
        <v>0.3</v>
      </c>
      <c r="N40" s="374">
        <f>VLOOKUP($L40,'TABLA QUINCENAL'!$B$6:$F$16,1,TRUE)</f>
        <v>16153.06</v>
      </c>
      <c r="O40" s="374">
        <f>VLOOKUP($L40,'TABLA QUINCENAL'!$B$6:$F$16,2,TRUE)</f>
        <v>30838.799999999999</v>
      </c>
      <c r="P40" s="372">
        <f t="shared" si="2"/>
        <v>5502.9400000000005</v>
      </c>
      <c r="Q40" s="372">
        <f t="shared" si="3"/>
        <v>1650.8820000000001</v>
      </c>
      <c r="R40" s="374">
        <f>VLOOKUP($L40,'TABLA QUINCENAL'!$B$6:$F$16,3,TRUE)</f>
        <v>3030.6</v>
      </c>
      <c r="S40" s="372">
        <f t="shared" si="4"/>
        <v>4681.482</v>
      </c>
      <c r="T40" s="372">
        <f>$S40/'FACTORES FIJOS'!$B$3*CELAYA!$G40</f>
        <v>2340.741</v>
      </c>
      <c r="U40" s="372">
        <f>IFERROR((VLOOKUP($L40,'TABLA QUINCENAL'!$G$6:$I$16,3,TRUE)/'FACTORES FIJOS'!$B$3)*$G40,"ERROR")</f>
        <v>0</v>
      </c>
      <c r="V40" s="372">
        <f t="shared" si="5"/>
        <v>2340.741</v>
      </c>
      <c r="W40" s="372">
        <f t="shared" si="6"/>
        <v>2340.741</v>
      </c>
      <c r="X40" s="372">
        <f t="shared" si="7"/>
        <v>0</v>
      </c>
      <c r="Y40" s="372">
        <f>($K40*'FACTORES FIJOS'!$B$10)</f>
        <v>14.247368421052631</v>
      </c>
      <c r="Z40" s="372">
        <f>($K$4-(3*'FACTORES FIJOS'!$F$3))*'FACTORES FIJOS'!$D$10</f>
        <v>-0.45663157894736855</v>
      </c>
      <c r="AA40" s="372">
        <f>($K40*'FACTORES FIJOS'!$F$10)</f>
        <v>14.247368421052631</v>
      </c>
      <c r="AB40" s="372">
        <f>($K40*'FACTORES FIJOS'!$H$10)</f>
        <v>7.1236842105263154</v>
      </c>
      <c r="AC40" s="372">
        <f>($K40*'FACTORES FIJOS'!$J$10)</f>
        <v>7.1236842105263154</v>
      </c>
      <c r="AD40" s="372">
        <f t="shared" si="8"/>
        <v>634.28210526315786</v>
      </c>
    </row>
    <row r="41" spans="1:30">
      <c r="A41" s="343">
        <f t="shared" si="9"/>
        <v>38</v>
      </c>
      <c r="B41" s="344" t="s">
        <v>626</v>
      </c>
      <c r="C41" s="333" t="s">
        <v>590</v>
      </c>
      <c r="D41" s="333" t="s">
        <v>210</v>
      </c>
      <c r="E41" s="333" t="s">
        <v>576</v>
      </c>
      <c r="F41" s="343" t="s">
        <v>621</v>
      </c>
      <c r="G41" s="357">
        <v>15.2</v>
      </c>
      <c r="H41" s="341">
        <v>2240</v>
      </c>
      <c r="I41" s="341">
        <f t="shared" si="0"/>
        <v>6344.64</v>
      </c>
      <c r="J41" s="342">
        <v>5224.6400000000003</v>
      </c>
      <c r="K41" s="372">
        <f t="shared" si="1"/>
        <v>417.41052631578953</v>
      </c>
      <c r="L41" s="372">
        <f>($I41/$G41)*'FACTORES FIJOS'!$B$3</f>
        <v>12689.28</v>
      </c>
      <c r="M41" s="373">
        <f>IF($G41='FACTORES FIJOS'!$D$5,VLOOKUP($L41,'TABLA QUINCENAL'!$B$6:$F$16,4,TRUE),IF($G41='FACTORES FIJOS'!$D$3,VLOOKUP($L41,'TABLA QUINCENAL'!$B$6:$F$16,4,TRUE),"FALSO"))</f>
        <v>0.23519999999999999</v>
      </c>
      <c r="N41" s="374">
        <f>VLOOKUP($L41,'TABLA QUINCENAL'!$B$6:$F$16,1,TRUE)</f>
        <v>10248.459999999999</v>
      </c>
      <c r="O41" s="374">
        <f>VLOOKUP($L41,'TABLA QUINCENAL'!$B$6:$F$16,2,TRUE)</f>
        <v>16153.05</v>
      </c>
      <c r="P41" s="372">
        <f t="shared" si="2"/>
        <v>2440.8200000000015</v>
      </c>
      <c r="Q41" s="372">
        <f t="shared" si="3"/>
        <v>574.08086400000036</v>
      </c>
      <c r="R41" s="374">
        <f>VLOOKUP($L41,'TABLA QUINCENAL'!$B$6:$F$16,3,TRUE)</f>
        <v>1641.75</v>
      </c>
      <c r="S41" s="372">
        <f t="shared" si="4"/>
        <v>2215.8308640000005</v>
      </c>
      <c r="T41" s="372">
        <f>$S41/'FACTORES FIJOS'!$B$3*CELAYA!$G41</f>
        <v>1107.9154320000002</v>
      </c>
      <c r="U41" s="372">
        <f>IFERROR((VLOOKUP($L41,'TABLA QUINCENAL'!$G$6:$I$16,3,TRUE)/'FACTORES FIJOS'!$B$3)*$G41,"ERROR")</f>
        <v>0</v>
      </c>
      <c r="V41" s="372">
        <f t="shared" si="5"/>
        <v>1107.9154320000002</v>
      </c>
      <c r="W41" s="372">
        <f t="shared" si="6"/>
        <v>1107.9154320000002</v>
      </c>
      <c r="X41" s="372">
        <f t="shared" si="7"/>
        <v>0</v>
      </c>
      <c r="Y41" s="372">
        <f>($K41*'FACTORES FIJOS'!$B$10)</f>
        <v>8.3482105263157909</v>
      </c>
      <c r="Z41" s="372">
        <f>($K$4-(3*'FACTORES FIJOS'!$F$3))*'FACTORES FIJOS'!$D$10</f>
        <v>-0.45663157894736855</v>
      </c>
      <c r="AA41" s="372">
        <f>($K41*'FACTORES FIJOS'!$F$10)</f>
        <v>8.3482105263157909</v>
      </c>
      <c r="AB41" s="372">
        <f>($K41*'FACTORES FIJOS'!$H$10)</f>
        <v>4.1741052631578954</v>
      </c>
      <c r="AC41" s="372">
        <f>($K41*'FACTORES FIJOS'!$J$10)</f>
        <v>4.1741052631578954</v>
      </c>
      <c r="AD41" s="372">
        <f t="shared" si="8"/>
        <v>368.82</v>
      </c>
    </row>
    <row r="42" spans="1:30">
      <c r="A42" s="343">
        <f t="shared" si="9"/>
        <v>39</v>
      </c>
      <c r="B42" s="344" t="s">
        <v>626</v>
      </c>
      <c r="C42" s="333" t="s">
        <v>575</v>
      </c>
      <c r="D42" s="333" t="s">
        <v>210</v>
      </c>
      <c r="E42" s="333" t="s">
        <v>576</v>
      </c>
      <c r="F42" s="343" t="s">
        <v>621</v>
      </c>
      <c r="G42" s="357">
        <v>15.2</v>
      </c>
      <c r="H42" s="341">
        <v>2240</v>
      </c>
      <c r="I42" s="341">
        <f t="shared" si="0"/>
        <v>4893.8999999999996</v>
      </c>
      <c r="J42" s="342">
        <v>3773.9</v>
      </c>
      <c r="K42" s="372">
        <f t="shared" si="1"/>
        <v>321.96710526315786</v>
      </c>
      <c r="L42" s="372">
        <f>($I42/$G42)*'FACTORES FIJOS'!$B$3</f>
        <v>9787.7999999999993</v>
      </c>
      <c r="M42" s="373">
        <f>IF($G42='FACTORES FIJOS'!$D$5,VLOOKUP($L42,'TABLA QUINCENAL'!$B$6:$F$16,4,TRUE),IF($G42='FACTORES FIJOS'!$D$3,VLOOKUP($L42,'TABLA QUINCENAL'!$B$6:$F$16,4,TRUE),"FALSO"))</f>
        <v>0.21360000000000001</v>
      </c>
      <c r="N42" s="374">
        <f>VLOOKUP($L42,'TABLA QUINCENAL'!$B$6:$F$16,1,TRUE)</f>
        <v>5081.41</v>
      </c>
      <c r="O42" s="374">
        <f>VLOOKUP($L42,'TABLA QUINCENAL'!$B$6:$F$16,2,TRUE)</f>
        <v>10248.450000000001</v>
      </c>
      <c r="P42" s="372">
        <f t="shared" si="2"/>
        <v>4706.3899999999994</v>
      </c>
      <c r="Q42" s="372">
        <f t="shared" si="3"/>
        <v>1005.284904</v>
      </c>
      <c r="R42" s="374">
        <f>VLOOKUP($L42,'TABLA QUINCENAL'!$B$6:$F$16,3,TRUE)</f>
        <v>538.20000000000005</v>
      </c>
      <c r="S42" s="372">
        <f t="shared" si="4"/>
        <v>1543.4849039999999</v>
      </c>
      <c r="T42" s="372">
        <f>$S42/'FACTORES FIJOS'!$B$3*CELAYA!$G42</f>
        <v>771.74245199999996</v>
      </c>
      <c r="U42" s="372">
        <f>IFERROR((VLOOKUP($L42,'TABLA QUINCENAL'!$G$6:$I$16,3,TRUE)/'FACTORES FIJOS'!$B$3)*$G42,"ERROR")</f>
        <v>0</v>
      </c>
      <c r="V42" s="372">
        <f t="shared" si="5"/>
        <v>771.74245199999996</v>
      </c>
      <c r="W42" s="372">
        <f t="shared" si="6"/>
        <v>771.74245199999996</v>
      </c>
      <c r="X42" s="372">
        <f t="shared" si="7"/>
        <v>0</v>
      </c>
      <c r="Y42" s="372">
        <f>($K42*'FACTORES FIJOS'!$B$10)</f>
        <v>6.4393421052631572</v>
      </c>
      <c r="Z42" s="372">
        <f>($K$4-(3*'FACTORES FIJOS'!$F$3))*'FACTORES FIJOS'!$D$10</f>
        <v>-0.45663157894736855</v>
      </c>
      <c r="AA42" s="372">
        <f>($K42*'FACTORES FIJOS'!$F$10)</f>
        <v>6.4393421052631572</v>
      </c>
      <c r="AB42" s="372">
        <f>($K42*'FACTORES FIJOS'!$H$10)</f>
        <v>3.2196710526315786</v>
      </c>
      <c r="AC42" s="372">
        <f>($K42*'FACTORES FIJOS'!$J$10)</f>
        <v>3.2196710526315786</v>
      </c>
      <c r="AD42" s="372">
        <f t="shared" si="8"/>
        <v>282.92092105263157</v>
      </c>
    </row>
    <row r="43" spans="1:30">
      <c r="A43" s="343">
        <f t="shared" si="9"/>
        <v>40</v>
      </c>
      <c r="B43" s="344" t="s">
        <v>626</v>
      </c>
      <c r="C43" s="333" t="s">
        <v>591</v>
      </c>
      <c r="D43" s="333" t="s">
        <v>210</v>
      </c>
      <c r="E43" s="333" t="s">
        <v>592</v>
      </c>
      <c r="F43" s="343" t="s">
        <v>621</v>
      </c>
      <c r="G43" s="357">
        <v>15.2</v>
      </c>
      <c r="H43" s="341">
        <v>2400</v>
      </c>
      <c r="I43" s="341">
        <f t="shared" si="0"/>
        <v>9905.36</v>
      </c>
      <c r="J43" s="342">
        <v>8705.36</v>
      </c>
      <c r="K43" s="372">
        <f t="shared" si="1"/>
        <v>651.66842105263163</v>
      </c>
      <c r="L43" s="372">
        <f>($I43/$G43)*'FACTORES FIJOS'!$B$3</f>
        <v>19810.72</v>
      </c>
      <c r="M43" s="373">
        <f>IF($G43='FACTORES FIJOS'!$D$5,VLOOKUP($L43,'TABLA QUINCENAL'!$B$6:$F$16,4,TRUE),IF($G43='FACTORES FIJOS'!$D$3,VLOOKUP($L43,'TABLA QUINCENAL'!$B$6:$F$16,4,TRUE),"FALSO"))</f>
        <v>0.3</v>
      </c>
      <c r="N43" s="374">
        <f>VLOOKUP($L43,'TABLA QUINCENAL'!$B$6:$F$16,1,TRUE)</f>
        <v>16153.06</v>
      </c>
      <c r="O43" s="374">
        <f>VLOOKUP($L43,'TABLA QUINCENAL'!$B$6:$F$16,2,TRUE)</f>
        <v>30838.799999999999</v>
      </c>
      <c r="P43" s="372">
        <f t="shared" si="2"/>
        <v>3657.6600000000017</v>
      </c>
      <c r="Q43" s="372">
        <f t="shared" si="3"/>
        <v>1097.2980000000005</v>
      </c>
      <c r="R43" s="374">
        <f>VLOOKUP($L43,'TABLA QUINCENAL'!$B$6:$F$16,3,TRUE)</f>
        <v>3030.6</v>
      </c>
      <c r="S43" s="372">
        <f t="shared" si="4"/>
        <v>4127.8980000000001</v>
      </c>
      <c r="T43" s="372">
        <f>$S43/'FACTORES FIJOS'!$B$3*CELAYA!$G43</f>
        <v>2063.9490000000001</v>
      </c>
      <c r="U43" s="372">
        <f>IFERROR((VLOOKUP($L43,'TABLA QUINCENAL'!$G$6:$I$16,3,TRUE)/'FACTORES FIJOS'!$B$3)*$G43,"ERROR")</f>
        <v>0</v>
      </c>
      <c r="V43" s="372">
        <f t="shared" si="5"/>
        <v>2063.9490000000001</v>
      </c>
      <c r="W43" s="372">
        <f t="shared" si="6"/>
        <v>2063.9490000000001</v>
      </c>
      <c r="X43" s="372">
        <f t="shared" si="7"/>
        <v>0</v>
      </c>
      <c r="Y43" s="372">
        <f>($K43*'FACTORES FIJOS'!$B$10)</f>
        <v>13.033368421052632</v>
      </c>
      <c r="Z43" s="372">
        <f>($K$4-(3*'FACTORES FIJOS'!$F$3))*'FACTORES FIJOS'!$D$10</f>
        <v>-0.45663157894736855</v>
      </c>
      <c r="AA43" s="372">
        <f>($K43*'FACTORES FIJOS'!$F$10)</f>
        <v>13.033368421052632</v>
      </c>
      <c r="AB43" s="372">
        <f>($K43*'FACTORES FIJOS'!$H$10)</f>
        <v>6.5166842105263161</v>
      </c>
      <c r="AC43" s="372">
        <f>($K43*'FACTORES FIJOS'!$J$10)</f>
        <v>6.5166842105263161</v>
      </c>
      <c r="AD43" s="372">
        <f t="shared" si="8"/>
        <v>579.65210526315786</v>
      </c>
    </row>
    <row r="44" spans="1:30">
      <c r="A44" s="343">
        <f t="shared" si="9"/>
        <v>41</v>
      </c>
      <c r="B44" s="344" t="s">
        <v>626</v>
      </c>
      <c r="C44" s="333" t="s">
        <v>567</v>
      </c>
      <c r="D44" s="333" t="s">
        <v>210</v>
      </c>
      <c r="E44" s="333" t="s">
        <v>508</v>
      </c>
      <c r="F44" s="343" t="s">
        <v>621</v>
      </c>
      <c r="G44" s="357">
        <v>15.2</v>
      </c>
      <c r="H44" s="341">
        <v>2400</v>
      </c>
      <c r="I44" s="341">
        <f t="shared" si="0"/>
        <v>8584.4399999999987</v>
      </c>
      <c r="J44" s="342">
        <v>7384.44</v>
      </c>
      <c r="K44" s="372">
        <f t="shared" si="1"/>
        <v>564.76578947368409</v>
      </c>
      <c r="L44" s="372">
        <f>($I44/$G44)*'FACTORES FIJOS'!$B$3</f>
        <v>17168.879999999997</v>
      </c>
      <c r="M44" s="373">
        <f>IF($G44='FACTORES FIJOS'!$D$5,VLOOKUP($L44,'TABLA QUINCENAL'!$B$6:$F$16,4,TRUE),IF($G44='FACTORES FIJOS'!$D$3,VLOOKUP($L44,'TABLA QUINCENAL'!$B$6:$F$16,4,TRUE),"FALSO"))</f>
        <v>0.3</v>
      </c>
      <c r="N44" s="374">
        <f>VLOOKUP($L44,'TABLA QUINCENAL'!$B$6:$F$16,1,TRUE)</f>
        <v>16153.06</v>
      </c>
      <c r="O44" s="374">
        <f>VLOOKUP($L44,'TABLA QUINCENAL'!$B$6:$F$16,2,TRUE)</f>
        <v>30838.799999999999</v>
      </c>
      <c r="P44" s="372">
        <f t="shared" si="2"/>
        <v>1015.8199999999979</v>
      </c>
      <c r="Q44" s="372">
        <f t="shared" si="3"/>
        <v>304.74599999999936</v>
      </c>
      <c r="R44" s="374">
        <f>VLOOKUP($L44,'TABLA QUINCENAL'!$B$6:$F$16,3,TRUE)</f>
        <v>3030.6</v>
      </c>
      <c r="S44" s="372">
        <f t="shared" si="4"/>
        <v>3335.3459999999991</v>
      </c>
      <c r="T44" s="372">
        <f>$S44/'FACTORES FIJOS'!$B$3*CELAYA!$G44</f>
        <v>1667.6729999999995</v>
      </c>
      <c r="U44" s="372">
        <f>IFERROR((VLOOKUP($L44,'TABLA QUINCENAL'!$G$6:$I$16,3,TRUE)/'FACTORES FIJOS'!$B$3)*$G44,"ERROR")</f>
        <v>0</v>
      </c>
      <c r="V44" s="372">
        <f t="shared" si="5"/>
        <v>1667.6729999999995</v>
      </c>
      <c r="W44" s="372">
        <f t="shared" si="6"/>
        <v>1667.6729999999995</v>
      </c>
      <c r="X44" s="372">
        <f t="shared" si="7"/>
        <v>0</v>
      </c>
      <c r="Y44" s="372">
        <f>($K44*'FACTORES FIJOS'!$B$10)</f>
        <v>11.295315789473682</v>
      </c>
      <c r="Z44" s="372">
        <f>($K$4-(3*'FACTORES FIJOS'!$F$3))*'FACTORES FIJOS'!$D$10</f>
        <v>-0.45663157894736855</v>
      </c>
      <c r="AA44" s="372">
        <f>($K44*'FACTORES FIJOS'!$F$10)</f>
        <v>11.295315789473682</v>
      </c>
      <c r="AB44" s="372">
        <f>($K44*'FACTORES FIJOS'!$H$10)</f>
        <v>5.6476578947368408</v>
      </c>
      <c r="AC44" s="372">
        <f>($K44*'FACTORES FIJOS'!$J$10)</f>
        <v>5.6476578947368408</v>
      </c>
      <c r="AD44" s="372">
        <f t="shared" si="8"/>
        <v>501.43973684210516</v>
      </c>
    </row>
    <row r="45" spans="1:30">
      <c r="A45" s="343">
        <f t="shared" si="9"/>
        <v>42</v>
      </c>
      <c r="B45" s="344" t="s">
        <v>626</v>
      </c>
      <c r="C45" s="333" t="s">
        <v>594</v>
      </c>
      <c r="D45" s="333" t="s">
        <v>210</v>
      </c>
      <c r="E45" s="333" t="s">
        <v>508</v>
      </c>
      <c r="F45" s="343" t="s">
        <v>621</v>
      </c>
      <c r="G45" s="357">
        <v>15.2</v>
      </c>
      <c r="H45" s="341">
        <v>2400</v>
      </c>
      <c r="I45" s="341">
        <f t="shared" si="0"/>
        <v>6569.86</v>
      </c>
      <c r="J45" s="342">
        <v>5369.86</v>
      </c>
      <c r="K45" s="372">
        <f t="shared" si="1"/>
        <v>432.22763157894735</v>
      </c>
      <c r="L45" s="372">
        <f>($I45/$G45)*'FACTORES FIJOS'!$B$3</f>
        <v>13139.72</v>
      </c>
      <c r="M45" s="373">
        <f>IF($G45='FACTORES FIJOS'!$D$5,VLOOKUP($L45,'TABLA QUINCENAL'!$B$6:$F$16,4,TRUE),IF($G45='FACTORES FIJOS'!$D$3,VLOOKUP($L45,'TABLA QUINCENAL'!$B$6:$F$16,4,TRUE),"FALSO"))</f>
        <v>0.23519999999999999</v>
      </c>
      <c r="N45" s="374">
        <f>VLOOKUP($L45,'TABLA QUINCENAL'!$B$6:$F$16,1,TRUE)</f>
        <v>10248.459999999999</v>
      </c>
      <c r="O45" s="374">
        <f>VLOOKUP($L45,'TABLA QUINCENAL'!$B$6:$F$16,2,TRUE)</f>
        <v>16153.05</v>
      </c>
      <c r="P45" s="372">
        <f t="shared" si="2"/>
        <v>2891.26</v>
      </c>
      <c r="Q45" s="372">
        <f t="shared" si="3"/>
        <v>680.02435200000002</v>
      </c>
      <c r="R45" s="374">
        <f>VLOOKUP($L45,'TABLA QUINCENAL'!$B$6:$F$16,3,TRUE)</f>
        <v>1641.75</v>
      </c>
      <c r="S45" s="372">
        <f t="shared" si="4"/>
        <v>2321.7743519999999</v>
      </c>
      <c r="T45" s="372">
        <f>$S45/'FACTORES FIJOS'!$B$3*CELAYA!$G45</f>
        <v>1160.887176</v>
      </c>
      <c r="U45" s="372">
        <f>IFERROR((VLOOKUP($L45,'TABLA QUINCENAL'!$G$6:$I$16,3,TRUE)/'FACTORES FIJOS'!$B$3)*$G45,"ERROR")</f>
        <v>0</v>
      </c>
      <c r="V45" s="372">
        <f t="shared" si="5"/>
        <v>1160.887176</v>
      </c>
      <c r="W45" s="372">
        <f t="shared" si="6"/>
        <v>1160.887176</v>
      </c>
      <c r="X45" s="372">
        <f t="shared" si="7"/>
        <v>0</v>
      </c>
      <c r="Y45" s="372">
        <f>($K45*'FACTORES FIJOS'!$B$10)</f>
        <v>8.6445526315789465</v>
      </c>
      <c r="Z45" s="372">
        <f>($K$4-(3*'FACTORES FIJOS'!$F$3))*'FACTORES FIJOS'!$D$10</f>
        <v>-0.45663157894736855</v>
      </c>
      <c r="AA45" s="372">
        <f>($K45*'FACTORES FIJOS'!$F$10)</f>
        <v>8.6445526315789465</v>
      </c>
      <c r="AB45" s="372">
        <f>($K45*'FACTORES FIJOS'!$H$10)</f>
        <v>4.3222763157894732</v>
      </c>
      <c r="AC45" s="372">
        <f>($K45*'FACTORES FIJOS'!$J$10)</f>
        <v>4.3222763157894732</v>
      </c>
      <c r="AD45" s="372">
        <f t="shared" si="8"/>
        <v>382.15539473684208</v>
      </c>
    </row>
    <row r="46" spans="1:30">
      <c r="A46" s="343">
        <f t="shared" si="9"/>
        <v>43</v>
      </c>
      <c r="B46" s="344" t="s">
        <v>626</v>
      </c>
      <c r="C46" s="333" t="s">
        <v>558</v>
      </c>
      <c r="D46" s="333" t="s">
        <v>210</v>
      </c>
      <c r="E46" s="333" t="s">
        <v>508</v>
      </c>
      <c r="F46" s="343" t="s">
        <v>621</v>
      </c>
      <c r="G46" s="357">
        <v>15.2</v>
      </c>
      <c r="H46" s="341">
        <v>2400</v>
      </c>
      <c r="I46" s="341">
        <f t="shared" si="0"/>
        <v>5319.62</v>
      </c>
      <c r="J46" s="342">
        <v>4119.62</v>
      </c>
      <c r="K46" s="372">
        <f t="shared" si="1"/>
        <v>349.97500000000002</v>
      </c>
      <c r="L46" s="372">
        <f>($I46/$G46)*'FACTORES FIJOS'!$B$3</f>
        <v>10639.24</v>
      </c>
      <c r="M46" s="373">
        <f>IF($G46='FACTORES FIJOS'!$D$5,VLOOKUP($L46,'TABLA QUINCENAL'!$B$6:$F$16,4,TRUE),IF($G46='FACTORES FIJOS'!$D$3,VLOOKUP($L46,'TABLA QUINCENAL'!$B$6:$F$16,4,TRUE),"FALSO"))</f>
        <v>0.23519999999999999</v>
      </c>
      <c r="N46" s="374">
        <f>VLOOKUP($L46,'TABLA QUINCENAL'!$B$6:$F$16,1,TRUE)</f>
        <v>10248.459999999999</v>
      </c>
      <c r="O46" s="374">
        <f>VLOOKUP($L46,'TABLA QUINCENAL'!$B$6:$F$16,2,TRUE)</f>
        <v>16153.05</v>
      </c>
      <c r="P46" s="372">
        <f t="shared" si="2"/>
        <v>390.78000000000065</v>
      </c>
      <c r="Q46" s="372">
        <f t="shared" si="3"/>
        <v>91.911456000000157</v>
      </c>
      <c r="R46" s="374">
        <f>VLOOKUP($L46,'TABLA QUINCENAL'!$B$6:$F$16,3,TRUE)</f>
        <v>1641.75</v>
      </c>
      <c r="S46" s="372">
        <f t="shared" si="4"/>
        <v>1733.6614560000003</v>
      </c>
      <c r="T46" s="372">
        <f>$S46/'FACTORES FIJOS'!$B$3*CELAYA!$G46</f>
        <v>866.83072800000014</v>
      </c>
      <c r="U46" s="372">
        <f>IFERROR((VLOOKUP($L46,'TABLA QUINCENAL'!$G$6:$I$16,3,TRUE)/'FACTORES FIJOS'!$B$3)*$G46,"ERROR")</f>
        <v>0</v>
      </c>
      <c r="V46" s="372">
        <f t="shared" si="5"/>
        <v>866.83072800000014</v>
      </c>
      <c r="W46" s="372">
        <f t="shared" si="6"/>
        <v>866.83072800000014</v>
      </c>
      <c r="X46" s="372">
        <f t="shared" si="7"/>
        <v>0</v>
      </c>
      <c r="Y46" s="372">
        <f>($K46*'FACTORES FIJOS'!$B$10)</f>
        <v>6.9995000000000003</v>
      </c>
      <c r="Z46" s="372">
        <f>($K$4-(3*'FACTORES FIJOS'!$F$3))*'FACTORES FIJOS'!$D$10</f>
        <v>-0.45663157894736855</v>
      </c>
      <c r="AA46" s="372">
        <f>($K46*'FACTORES FIJOS'!$F$10)</f>
        <v>6.9995000000000003</v>
      </c>
      <c r="AB46" s="372">
        <f>($K46*'FACTORES FIJOS'!$H$10)</f>
        <v>3.4997500000000001</v>
      </c>
      <c r="AC46" s="372">
        <f>($K46*'FACTORES FIJOS'!$J$10)</f>
        <v>3.4997500000000001</v>
      </c>
      <c r="AD46" s="372">
        <f t="shared" si="8"/>
        <v>308.12802631578944</v>
      </c>
    </row>
    <row r="47" spans="1:30">
      <c r="A47" s="343">
        <f t="shared" si="9"/>
        <v>44</v>
      </c>
      <c r="B47" s="344" t="s">
        <v>626</v>
      </c>
      <c r="C47" s="333" t="s">
        <v>607</v>
      </c>
      <c r="D47" s="333" t="s">
        <v>210</v>
      </c>
      <c r="E47" s="333" t="s">
        <v>508</v>
      </c>
      <c r="F47" s="343" t="s">
        <v>621</v>
      </c>
      <c r="G47" s="357">
        <v>15.2</v>
      </c>
      <c r="H47" s="341">
        <v>2400</v>
      </c>
      <c r="I47" s="341">
        <f t="shared" si="0"/>
        <v>4105.3</v>
      </c>
      <c r="J47" s="342">
        <v>2905.3</v>
      </c>
      <c r="K47" s="372">
        <f t="shared" si="1"/>
        <v>270.08552631578948</v>
      </c>
      <c r="L47" s="372">
        <f>($I47/$G47)*'FACTORES FIJOS'!$B$3</f>
        <v>8210.6</v>
      </c>
      <c r="M47" s="373">
        <f>IF($G47='FACTORES FIJOS'!$D$5,VLOOKUP($L47,'TABLA QUINCENAL'!$B$6:$F$16,4,TRUE),IF($G47='FACTORES FIJOS'!$D$3,VLOOKUP($L47,'TABLA QUINCENAL'!$B$6:$F$16,4,TRUE),"FALSO"))</f>
        <v>0.21360000000000001</v>
      </c>
      <c r="N47" s="374">
        <f>VLOOKUP($L47,'TABLA QUINCENAL'!$B$6:$F$16,1,TRUE)</f>
        <v>5081.41</v>
      </c>
      <c r="O47" s="374">
        <f>VLOOKUP($L47,'TABLA QUINCENAL'!$B$6:$F$16,2,TRUE)</f>
        <v>10248.450000000001</v>
      </c>
      <c r="P47" s="372">
        <f t="shared" si="2"/>
        <v>3129.1900000000005</v>
      </c>
      <c r="Q47" s="372">
        <f t="shared" si="3"/>
        <v>668.39498400000014</v>
      </c>
      <c r="R47" s="374">
        <f>VLOOKUP($L47,'TABLA QUINCENAL'!$B$6:$F$16,3,TRUE)</f>
        <v>538.20000000000005</v>
      </c>
      <c r="S47" s="372">
        <f t="shared" si="4"/>
        <v>1206.5949840000003</v>
      </c>
      <c r="T47" s="372">
        <f>$S47/'FACTORES FIJOS'!$B$3*CELAYA!$G47</f>
        <v>603.29749200000015</v>
      </c>
      <c r="U47" s="372">
        <f>IFERROR((VLOOKUP($L47,'TABLA QUINCENAL'!$G$6:$I$16,3,TRUE)/'FACTORES FIJOS'!$B$3)*$G47,"ERROR")</f>
        <v>0</v>
      </c>
      <c r="V47" s="372">
        <f t="shared" si="5"/>
        <v>603.29749200000015</v>
      </c>
      <c r="W47" s="372">
        <f t="shared" si="6"/>
        <v>603.29749200000015</v>
      </c>
      <c r="X47" s="372">
        <f t="shared" si="7"/>
        <v>0</v>
      </c>
      <c r="Y47" s="372">
        <f>($K47*'FACTORES FIJOS'!$B$10)</f>
        <v>5.4017105263157896</v>
      </c>
      <c r="Z47" s="372">
        <f>($K$4-(3*'FACTORES FIJOS'!$F$3))*'FACTORES FIJOS'!$D$10</f>
        <v>-0.45663157894736855</v>
      </c>
      <c r="AA47" s="372">
        <f>($K47*'FACTORES FIJOS'!$F$10)</f>
        <v>5.4017105263157896</v>
      </c>
      <c r="AB47" s="372">
        <f>($K47*'FACTORES FIJOS'!$H$10)</f>
        <v>2.7008552631578948</v>
      </c>
      <c r="AC47" s="372">
        <f>($K47*'FACTORES FIJOS'!$J$10)</f>
        <v>2.7008552631578948</v>
      </c>
      <c r="AD47" s="372">
        <f t="shared" si="8"/>
        <v>236.22749999999999</v>
      </c>
    </row>
    <row r="48" spans="1:30">
      <c r="A48" s="343">
        <f t="shared" si="9"/>
        <v>45</v>
      </c>
      <c r="B48" s="344" t="s">
        <v>626</v>
      </c>
      <c r="C48" s="333" t="s">
        <v>569</v>
      </c>
      <c r="D48" s="333" t="s">
        <v>570</v>
      </c>
      <c r="E48" s="333" t="s">
        <v>571</v>
      </c>
      <c r="F48" s="343" t="s">
        <v>620</v>
      </c>
      <c r="G48" s="357">
        <v>15.2</v>
      </c>
      <c r="H48" s="341">
        <v>6000</v>
      </c>
      <c r="I48" s="341">
        <f t="shared" si="0"/>
        <v>3000</v>
      </c>
      <c r="J48" s="342">
        <v>0</v>
      </c>
      <c r="K48" s="372">
        <f t="shared" si="1"/>
        <v>197.36842105263159</v>
      </c>
      <c r="L48" s="372">
        <f>($I48/$G48)*'FACTORES FIJOS'!$B$3</f>
        <v>6000</v>
      </c>
      <c r="M48" s="373">
        <f>IF($G48='FACTORES FIJOS'!$D$5,VLOOKUP($L48,'TABLA QUINCENAL'!$B$6:$F$16,4,TRUE),IF($G48='FACTORES FIJOS'!$D$3,VLOOKUP($L48,'TABLA QUINCENAL'!$B$6:$F$16,4,TRUE),"FALSO"))</f>
        <v>0.21360000000000001</v>
      </c>
      <c r="N48" s="374">
        <f>VLOOKUP($L48,'TABLA QUINCENAL'!$B$6:$F$16,1,TRUE)</f>
        <v>5081.41</v>
      </c>
      <c r="O48" s="374">
        <f>VLOOKUP($L48,'TABLA QUINCENAL'!$B$6:$F$16,2,TRUE)</f>
        <v>10248.450000000001</v>
      </c>
      <c r="P48" s="372">
        <f t="shared" si="2"/>
        <v>918.59000000000015</v>
      </c>
      <c r="Q48" s="372">
        <f t="shared" si="3"/>
        <v>196.21082400000003</v>
      </c>
      <c r="R48" s="374">
        <f>VLOOKUP($L48,'TABLA QUINCENAL'!$B$6:$F$16,3,TRUE)</f>
        <v>538.20000000000005</v>
      </c>
      <c r="S48" s="372">
        <f t="shared" si="4"/>
        <v>734.41082400000005</v>
      </c>
      <c r="T48" s="372">
        <f>$S48/'FACTORES FIJOS'!$B$3*CELAYA!$G48</f>
        <v>367.20541200000002</v>
      </c>
      <c r="U48" s="372">
        <f>IFERROR((VLOOKUP($L48,'TABLA QUINCENAL'!$G$6:$I$16,3,TRUE)/'FACTORES FIJOS'!$B$3)*$G48,"ERROR")</f>
        <v>0</v>
      </c>
      <c r="V48" s="372">
        <f t="shared" si="5"/>
        <v>367.20541200000002</v>
      </c>
      <c r="W48" s="372">
        <f t="shared" si="6"/>
        <v>367.20541200000002</v>
      </c>
      <c r="X48" s="372">
        <f t="shared" si="7"/>
        <v>0</v>
      </c>
      <c r="Y48" s="372">
        <f>($K48*'FACTORES FIJOS'!$B$10)</f>
        <v>3.9473684210526319</v>
      </c>
      <c r="Z48" s="372">
        <f>($K$4-(3*'FACTORES FIJOS'!$F$3))*'FACTORES FIJOS'!$D$10</f>
        <v>-0.45663157894736855</v>
      </c>
      <c r="AA48" s="372">
        <f>($K48*'FACTORES FIJOS'!$F$10)</f>
        <v>3.9473684210526319</v>
      </c>
      <c r="AB48" s="372">
        <f>($K48*'FACTORES FIJOS'!$H$10)</f>
        <v>1.9736842105263159</v>
      </c>
      <c r="AC48" s="372">
        <f>($K48*'FACTORES FIJOS'!$J$10)</f>
        <v>1.9736842105263159</v>
      </c>
      <c r="AD48" s="372">
        <f t="shared" si="8"/>
        <v>170.78210526315792</v>
      </c>
    </row>
    <row r="49" spans="1:30">
      <c r="A49" s="343">
        <f t="shared" si="9"/>
        <v>46</v>
      </c>
      <c r="B49" s="344" t="s">
        <v>626</v>
      </c>
      <c r="C49" s="333" t="s">
        <v>585</v>
      </c>
      <c r="D49" s="333" t="s">
        <v>218</v>
      </c>
      <c r="E49" s="333" t="s">
        <v>617</v>
      </c>
      <c r="F49" s="343" t="s">
        <v>620</v>
      </c>
      <c r="G49" s="357">
        <v>15.2</v>
      </c>
      <c r="H49" s="341">
        <v>30000</v>
      </c>
      <c r="I49" s="341">
        <f t="shared" si="0"/>
        <v>15000</v>
      </c>
      <c r="J49" s="342">
        <v>0</v>
      </c>
      <c r="K49" s="372">
        <f t="shared" si="1"/>
        <v>986.84210526315792</v>
      </c>
      <c r="L49" s="372">
        <f>($I49/$G49)*'FACTORES FIJOS'!$B$3</f>
        <v>30000</v>
      </c>
      <c r="M49" s="373">
        <f>IF($G49='FACTORES FIJOS'!$D$5,VLOOKUP($L49,'TABLA QUINCENAL'!$B$6:$F$16,4,TRUE),IF($G49='FACTORES FIJOS'!$D$3,VLOOKUP($L49,'TABLA QUINCENAL'!$B$6:$F$16,4,TRUE),"FALSO"))</f>
        <v>0.3</v>
      </c>
      <c r="N49" s="374">
        <f>VLOOKUP($L49,'TABLA QUINCENAL'!$B$6:$F$16,1,TRUE)</f>
        <v>16153.06</v>
      </c>
      <c r="O49" s="374">
        <f>VLOOKUP($L49,'TABLA QUINCENAL'!$B$6:$F$16,2,TRUE)</f>
        <v>30838.799999999999</v>
      </c>
      <c r="P49" s="372">
        <f t="shared" si="2"/>
        <v>13846.94</v>
      </c>
      <c r="Q49" s="372">
        <f t="shared" si="3"/>
        <v>4154.0820000000003</v>
      </c>
      <c r="R49" s="374">
        <f>VLOOKUP($L49,'TABLA QUINCENAL'!$B$6:$F$16,3,TRUE)</f>
        <v>3030.6</v>
      </c>
      <c r="S49" s="372">
        <f t="shared" si="4"/>
        <v>7184.6820000000007</v>
      </c>
      <c r="T49" s="372">
        <f>$S49/'FACTORES FIJOS'!$B$3*CELAYA!$G49</f>
        <v>3592.3410000000003</v>
      </c>
      <c r="U49" s="372">
        <f>IFERROR((VLOOKUP($L49,'TABLA QUINCENAL'!$G$6:$I$16,3,TRUE)/'FACTORES FIJOS'!$B$3)*$G49,"ERROR")</f>
        <v>0</v>
      </c>
      <c r="V49" s="372">
        <f t="shared" si="5"/>
        <v>3592.3410000000003</v>
      </c>
      <c r="W49" s="372">
        <f t="shared" si="6"/>
        <v>3592.3410000000003</v>
      </c>
      <c r="X49" s="372">
        <f t="shared" si="7"/>
        <v>0</v>
      </c>
      <c r="Y49" s="372">
        <f>($K49*'FACTORES FIJOS'!$B$10)</f>
        <v>19.736842105263158</v>
      </c>
      <c r="Z49" s="372">
        <f>($K$4-(3*'FACTORES FIJOS'!$F$3))*'FACTORES FIJOS'!$D$10</f>
        <v>-0.45663157894736855</v>
      </c>
      <c r="AA49" s="372">
        <f>($K49*'FACTORES FIJOS'!$F$10)</f>
        <v>19.736842105263158</v>
      </c>
      <c r="AB49" s="372">
        <f>($K49*'FACTORES FIJOS'!$H$10)</f>
        <v>9.8684210526315788</v>
      </c>
      <c r="AC49" s="372">
        <f>($K49*'FACTORES FIJOS'!$J$10)</f>
        <v>9.8684210526315788</v>
      </c>
      <c r="AD49" s="372">
        <f t="shared" si="8"/>
        <v>881.3084210526315</v>
      </c>
    </row>
    <row r="50" spans="1:30">
      <c r="A50" s="343">
        <f t="shared" si="9"/>
        <v>47</v>
      </c>
      <c r="B50" s="344" t="s">
        <v>626</v>
      </c>
      <c r="C50" s="333" t="s">
        <v>557</v>
      </c>
      <c r="D50" s="333" t="s">
        <v>218</v>
      </c>
      <c r="E50" s="333" t="s">
        <v>277</v>
      </c>
      <c r="F50" s="343" t="s">
        <v>620</v>
      </c>
      <c r="G50" s="357">
        <v>15.2</v>
      </c>
      <c r="H50" s="341">
        <v>40000</v>
      </c>
      <c r="I50" s="341">
        <f t="shared" si="0"/>
        <v>20000</v>
      </c>
      <c r="J50" s="342">
        <v>0</v>
      </c>
      <c r="K50" s="372">
        <f t="shared" si="1"/>
        <v>1315.7894736842106</v>
      </c>
      <c r="L50" s="372">
        <f>($I50/$G50)*'FACTORES FIJOS'!$B$3</f>
        <v>40000</v>
      </c>
      <c r="M50" s="373">
        <f>IF($G50='FACTORES FIJOS'!$D$5,VLOOKUP($L50,'TABLA QUINCENAL'!$B$6:$F$16,4,TRUE),IF($G50='FACTORES FIJOS'!$D$3,VLOOKUP($L50,'TABLA QUINCENAL'!$B$6:$F$16,4,TRUE),"FALSO"))</f>
        <v>0.32</v>
      </c>
      <c r="N50" s="374">
        <f>VLOOKUP($L50,'TABLA QUINCENAL'!$B$6:$F$16,1,TRUE)</f>
        <v>30838.81</v>
      </c>
      <c r="O50" s="374">
        <f>VLOOKUP($L50,'TABLA QUINCENAL'!$B$6:$F$16,2,TRUE)</f>
        <v>41118.449999999997</v>
      </c>
      <c r="P50" s="372">
        <f t="shared" si="2"/>
        <v>9161.1899999999987</v>
      </c>
      <c r="Q50" s="372">
        <f t="shared" si="3"/>
        <v>2931.5807999999997</v>
      </c>
      <c r="R50" s="374">
        <f>VLOOKUP($L50,'TABLA QUINCENAL'!$B$6:$F$16,3,TRUE)</f>
        <v>7436.25</v>
      </c>
      <c r="S50" s="372">
        <f t="shared" si="4"/>
        <v>10367.8308</v>
      </c>
      <c r="T50" s="372">
        <f>$S50/'FACTORES FIJOS'!$B$3*CELAYA!$G50</f>
        <v>5183.9153999999999</v>
      </c>
      <c r="U50" s="372">
        <f>IFERROR((VLOOKUP($L50,'TABLA QUINCENAL'!$G$6:$I$16,3,TRUE)/'FACTORES FIJOS'!$B$3)*$G50,"ERROR")</f>
        <v>0</v>
      </c>
      <c r="V50" s="372">
        <f t="shared" si="5"/>
        <v>5183.9153999999999</v>
      </c>
      <c r="W50" s="372">
        <f t="shared" si="6"/>
        <v>5183.9153999999999</v>
      </c>
      <c r="X50" s="372">
        <f t="shared" si="7"/>
        <v>0</v>
      </c>
      <c r="Y50" s="372">
        <f>($K50*'FACTORES FIJOS'!$B$10)</f>
        <v>26.315789473684212</v>
      </c>
      <c r="Z50" s="372">
        <f>($K$4-(3*'FACTORES FIJOS'!$F$3))*'FACTORES FIJOS'!$D$10</f>
        <v>-0.45663157894736855</v>
      </c>
      <c r="AA50" s="372">
        <f>($K50*'FACTORES FIJOS'!$F$10)</f>
        <v>26.315789473684212</v>
      </c>
      <c r="AB50" s="372">
        <f>($K50*'FACTORES FIJOS'!$H$10)</f>
        <v>13.157894736842106</v>
      </c>
      <c r="AC50" s="372">
        <f>($K50*'FACTORES FIJOS'!$J$10)</f>
        <v>13.157894736842106</v>
      </c>
      <c r="AD50" s="372">
        <f t="shared" si="8"/>
        <v>1177.3610526315792</v>
      </c>
    </row>
    <row r="51" spans="1:30">
      <c r="A51" s="343">
        <f t="shared" si="9"/>
        <v>48</v>
      </c>
      <c r="B51" s="344" t="s">
        <v>626</v>
      </c>
      <c r="C51" s="333" t="s">
        <v>586</v>
      </c>
      <c r="D51" s="333" t="s">
        <v>218</v>
      </c>
      <c r="E51" s="333" t="s">
        <v>587</v>
      </c>
      <c r="F51" s="343" t="s">
        <v>620</v>
      </c>
      <c r="G51" s="357">
        <v>15.2</v>
      </c>
      <c r="H51" s="341">
        <v>20000</v>
      </c>
      <c r="I51" s="341">
        <f t="shared" si="0"/>
        <v>10000</v>
      </c>
      <c r="J51" s="342">
        <v>0</v>
      </c>
      <c r="K51" s="372">
        <f t="shared" si="1"/>
        <v>657.89473684210532</v>
      </c>
      <c r="L51" s="372">
        <f>($I51/$G51)*'FACTORES FIJOS'!$B$3</f>
        <v>20000</v>
      </c>
      <c r="M51" s="373">
        <f>IF($G51='FACTORES FIJOS'!$D$5,VLOOKUP($L51,'TABLA QUINCENAL'!$B$6:$F$16,4,TRUE),IF($G51='FACTORES FIJOS'!$D$3,VLOOKUP($L51,'TABLA QUINCENAL'!$B$6:$F$16,4,TRUE),"FALSO"))</f>
        <v>0.3</v>
      </c>
      <c r="N51" s="374">
        <f>VLOOKUP($L51,'TABLA QUINCENAL'!$B$6:$F$16,1,TRUE)</f>
        <v>16153.06</v>
      </c>
      <c r="O51" s="374">
        <f>VLOOKUP($L51,'TABLA QUINCENAL'!$B$6:$F$16,2,TRUE)</f>
        <v>30838.799999999999</v>
      </c>
      <c r="P51" s="372">
        <f t="shared" si="2"/>
        <v>3846.9400000000005</v>
      </c>
      <c r="Q51" s="372">
        <f t="shared" si="3"/>
        <v>1154.0820000000001</v>
      </c>
      <c r="R51" s="374">
        <f>VLOOKUP($L51,'TABLA QUINCENAL'!$B$6:$F$16,3,TRUE)</f>
        <v>3030.6</v>
      </c>
      <c r="S51" s="372">
        <f t="shared" si="4"/>
        <v>4184.6819999999998</v>
      </c>
      <c r="T51" s="372">
        <f>$S51/'FACTORES FIJOS'!$B$3*CELAYA!$G51</f>
        <v>2092.3409999999999</v>
      </c>
      <c r="U51" s="372">
        <f>IFERROR((VLOOKUP($L51,'TABLA QUINCENAL'!$G$6:$I$16,3,TRUE)/'FACTORES FIJOS'!$B$3)*$G51,"ERROR")</f>
        <v>0</v>
      </c>
      <c r="V51" s="372">
        <f t="shared" si="5"/>
        <v>2092.3409999999999</v>
      </c>
      <c r="W51" s="372">
        <f t="shared" si="6"/>
        <v>2092.3409999999999</v>
      </c>
      <c r="X51" s="372">
        <f t="shared" si="7"/>
        <v>0</v>
      </c>
      <c r="Y51" s="372">
        <f>($K51*'FACTORES FIJOS'!$B$10)</f>
        <v>13.157894736842106</v>
      </c>
      <c r="Z51" s="372">
        <f>($K$4-(3*'FACTORES FIJOS'!$F$3))*'FACTORES FIJOS'!$D$10</f>
        <v>-0.45663157894736855</v>
      </c>
      <c r="AA51" s="372">
        <f>($K51*'FACTORES FIJOS'!$F$10)</f>
        <v>13.157894736842106</v>
      </c>
      <c r="AB51" s="372">
        <f>($K51*'FACTORES FIJOS'!$H$10)</f>
        <v>6.5789473684210531</v>
      </c>
      <c r="AC51" s="372">
        <f>($K51*'FACTORES FIJOS'!$J$10)</f>
        <v>6.5789473684210531</v>
      </c>
      <c r="AD51" s="372">
        <f t="shared" si="8"/>
        <v>585.25578947368433</v>
      </c>
    </row>
    <row r="52" spans="1:30">
      <c r="A52" s="343">
        <f t="shared" si="9"/>
        <v>49</v>
      </c>
      <c r="B52" s="344" t="s">
        <v>626</v>
      </c>
      <c r="C52" s="333" t="s">
        <v>565</v>
      </c>
      <c r="D52" s="333" t="s">
        <v>218</v>
      </c>
      <c r="E52" s="333" t="s">
        <v>566</v>
      </c>
      <c r="F52" s="343" t="s">
        <v>620</v>
      </c>
      <c r="G52" s="357">
        <v>15.2</v>
      </c>
      <c r="H52" s="341">
        <v>5000</v>
      </c>
      <c r="I52" s="341">
        <f t="shared" si="0"/>
        <v>2500</v>
      </c>
      <c r="J52" s="342">
        <v>0</v>
      </c>
      <c r="K52" s="372">
        <f t="shared" si="1"/>
        <v>164.47368421052633</v>
      </c>
      <c r="L52" s="372">
        <f>($I52/$G52)*'FACTORES FIJOS'!$B$3</f>
        <v>5000</v>
      </c>
      <c r="M52" s="373">
        <f>IF($G52='FACTORES FIJOS'!$D$5,VLOOKUP($L52,'TABLA QUINCENAL'!$B$6:$F$16,4,TRUE),IF($G52='FACTORES FIJOS'!$D$3,VLOOKUP($L52,'TABLA QUINCENAL'!$B$6:$F$16,4,TRUE),"FALSO"))</f>
        <v>0.1792</v>
      </c>
      <c r="N52" s="374">
        <f>VLOOKUP($L52,'TABLA QUINCENAL'!$B$6:$F$16,1,TRUE)</f>
        <v>4244.1099999999997</v>
      </c>
      <c r="O52" s="374">
        <f>VLOOKUP($L52,'TABLA QUINCENAL'!$B$6:$F$16,2,TRUE)</f>
        <v>5081.3999999999996</v>
      </c>
      <c r="P52" s="372">
        <f t="shared" si="2"/>
        <v>755.89000000000033</v>
      </c>
      <c r="Q52" s="372">
        <f t="shared" si="3"/>
        <v>135.45548800000006</v>
      </c>
      <c r="R52" s="374">
        <f>VLOOKUP($L52,'TABLA QUINCENAL'!$B$6:$F$16,3,TRUE)</f>
        <v>388.05</v>
      </c>
      <c r="S52" s="372">
        <f t="shared" si="4"/>
        <v>523.50548800000001</v>
      </c>
      <c r="T52" s="372">
        <f>$S52/'FACTORES FIJOS'!$B$3*CELAYA!$G52</f>
        <v>261.75274400000001</v>
      </c>
      <c r="U52" s="372">
        <f>IFERROR((VLOOKUP($L52,'TABLA QUINCENAL'!$G$6:$I$16,3,TRUE)/'FACTORES FIJOS'!$B$3)*$G52,"ERROR")</f>
        <v>0</v>
      </c>
      <c r="V52" s="372">
        <f t="shared" si="5"/>
        <v>261.75274400000001</v>
      </c>
      <c r="W52" s="372">
        <f t="shared" si="6"/>
        <v>261.75274400000001</v>
      </c>
      <c r="X52" s="372">
        <f t="shared" si="7"/>
        <v>0</v>
      </c>
      <c r="Y52" s="372">
        <f>($K52*'FACTORES FIJOS'!$B$10)</f>
        <v>3.2894736842105265</v>
      </c>
      <c r="Z52" s="372">
        <f>($K$4-(3*'FACTORES FIJOS'!$F$3))*'FACTORES FIJOS'!$D$10</f>
        <v>-0.45663157894736855</v>
      </c>
      <c r="AA52" s="372">
        <f>($K52*'FACTORES FIJOS'!$F$10)</f>
        <v>3.2894736842105265</v>
      </c>
      <c r="AB52" s="372">
        <f>($K52*'FACTORES FIJOS'!$H$10)</f>
        <v>1.6447368421052633</v>
      </c>
      <c r="AC52" s="372">
        <f>($K52*'FACTORES FIJOS'!$J$10)</f>
        <v>1.6447368421052633</v>
      </c>
      <c r="AD52" s="372">
        <f t="shared" si="8"/>
        <v>141.17684210526318</v>
      </c>
    </row>
    <row r="53" spans="1:30">
      <c r="A53" s="343">
        <f t="shared" si="9"/>
        <v>50</v>
      </c>
      <c r="B53" s="344" t="s">
        <v>626</v>
      </c>
      <c r="C53" s="333" t="s">
        <v>577</v>
      </c>
      <c r="D53" s="333" t="s">
        <v>218</v>
      </c>
      <c r="E53" s="333" t="s">
        <v>411</v>
      </c>
      <c r="F53" s="343" t="s">
        <v>620</v>
      </c>
      <c r="G53" s="357">
        <v>15.2</v>
      </c>
      <c r="H53" s="341">
        <v>5000</v>
      </c>
      <c r="I53" s="341">
        <f t="shared" si="0"/>
        <v>2500</v>
      </c>
      <c r="J53" s="342">
        <v>0</v>
      </c>
      <c r="K53" s="372">
        <f t="shared" si="1"/>
        <v>164.47368421052633</v>
      </c>
      <c r="L53" s="372">
        <f>($I53/$G53)*'FACTORES FIJOS'!$B$3</f>
        <v>5000</v>
      </c>
      <c r="M53" s="373">
        <f>IF($G53='FACTORES FIJOS'!$D$5,VLOOKUP($L53,'TABLA QUINCENAL'!$B$6:$F$16,4,TRUE),IF($G53='FACTORES FIJOS'!$D$3,VLOOKUP($L53,'TABLA QUINCENAL'!$B$6:$F$16,4,TRUE),"FALSO"))</f>
        <v>0.1792</v>
      </c>
      <c r="N53" s="374">
        <f>VLOOKUP($L53,'TABLA QUINCENAL'!$B$6:$F$16,1,TRUE)</f>
        <v>4244.1099999999997</v>
      </c>
      <c r="O53" s="374">
        <f>VLOOKUP($L53,'TABLA QUINCENAL'!$B$6:$F$16,2,TRUE)</f>
        <v>5081.3999999999996</v>
      </c>
      <c r="P53" s="372">
        <f t="shared" si="2"/>
        <v>755.89000000000033</v>
      </c>
      <c r="Q53" s="372">
        <f t="shared" si="3"/>
        <v>135.45548800000006</v>
      </c>
      <c r="R53" s="374">
        <f>VLOOKUP($L53,'TABLA QUINCENAL'!$B$6:$F$16,3,TRUE)</f>
        <v>388.05</v>
      </c>
      <c r="S53" s="372">
        <f t="shared" si="4"/>
        <v>523.50548800000001</v>
      </c>
      <c r="T53" s="372">
        <f>$S53/'FACTORES FIJOS'!$B$3*CELAYA!$G53</f>
        <v>261.75274400000001</v>
      </c>
      <c r="U53" s="372">
        <f>IFERROR((VLOOKUP($L53,'TABLA QUINCENAL'!$G$6:$I$16,3,TRUE)/'FACTORES FIJOS'!$B$3)*$G53,"ERROR")</f>
        <v>0</v>
      </c>
      <c r="V53" s="372">
        <f t="shared" si="5"/>
        <v>261.75274400000001</v>
      </c>
      <c r="W53" s="372">
        <f t="shared" si="6"/>
        <v>261.75274400000001</v>
      </c>
      <c r="X53" s="372">
        <f t="shared" si="7"/>
        <v>0</v>
      </c>
      <c r="Y53" s="372">
        <f>($K53*'FACTORES FIJOS'!$B$10)</f>
        <v>3.2894736842105265</v>
      </c>
      <c r="Z53" s="372">
        <f>($K$4-(3*'FACTORES FIJOS'!$F$3))*'FACTORES FIJOS'!$D$10</f>
        <v>-0.45663157894736855</v>
      </c>
      <c r="AA53" s="372">
        <f>($K53*'FACTORES FIJOS'!$F$10)</f>
        <v>3.2894736842105265</v>
      </c>
      <c r="AB53" s="372">
        <f>($K53*'FACTORES FIJOS'!$H$10)</f>
        <v>1.6447368421052633</v>
      </c>
      <c r="AC53" s="372">
        <f>($K53*'FACTORES FIJOS'!$J$10)</f>
        <v>1.6447368421052633</v>
      </c>
      <c r="AD53" s="372">
        <f t="shared" si="8"/>
        <v>141.17684210526318</v>
      </c>
    </row>
    <row r="54" spans="1:30">
      <c r="A54" s="343">
        <f t="shared" si="9"/>
        <v>51</v>
      </c>
      <c r="B54" s="344" t="s">
        <v>626</v>
      </c>
      <c r="C54" s="333" t="s">
        <v>555</v>
      </c>
      <c r="D54" s="333" t="s">
        <v>218</v>
      </c>
      <c r="E54" s="333" t="s">
        <v>556</v>
      </c>
      <c r="F54" s="343" t="s">
        <v>620</v>
      </c>
      <c r="G54" s="357">
        <v>15.2</v>
      </c>
      <c r="H54" s="341">
        <v>5000</v>
      </c>
      <c r="I54" s="341">
        <f t="shared" si="0"/>
        <v>2500</v>
      </c>
      <c r="J54" s="342">
        <v>0</v>
      </c>
      <c r="K54" s="372">
        <f t="shared" si="1"/>
        <v>164.47368421052633</v>
      </c>
      <c r="L54" s="372">
        <f>($I54/$G54)*'FACTORES FIJOS'!$B$3</f>
        <v>5000</v>
      </c>
      <c r="M54" s="373">
        <f>IF($G54='FACTORES FIJOS'!$D$5,VLOOKUP($L54,'TABLA QUINCENAL'!$B$6:$F$16,4,TRUE),IF($G54='FACTORES FIJOS'!$D$3,VLOOKUP($L54,'TABLA QUINCENAL'!$B$6:$F$16,4,TRUE),"FALSO"))</f>
        <v>0.1792</v>
      </c>
      <c r="N54" s="374">
        <f>VLOOKUP($L54,'TABLA QUINCENAL'!$B$6:$F$16,1,TRUE)</f>
        <v>4244.1099999999997</v>
      </c>
      <c r="O54" s="374">
        <f>VLOOKUP($L54,'TABLA QUINCENAL'!$B$6:$F$16,2,TRUE)</f>
        <v>5081.3999999999996</v>
      </c>
      <c r="P54" s="372">
        <f t="shared" si="2"/>
        <v>755.89000000000033</v>
      </c>
      <c r="Q54" s="372">
        <f t="shared" si="3"/>
        <v>135.45548800000006</v>
      </c>
      <c r="R54" s="374">
        <f>VLOOKUP($L54,'TABLA QUINCENAL'!$B$6:$F$16,3,TRUE)</f>
        <v>388.05</v>
      </c>
      <c r="S54" s="372">
        <f t="shared" si="4"/>
        <v>523.50548800000001</v>
      </c>
      <c r="T54" s="372">
        <f>$S54/'FACTORES FIJOS'!$B$3*CELAYA!$G54</f>
        <v>261.75274400000001</v>
      </c>
      <c r="U54" s="372">
        <f>IFERROR((VLOOKUP($L54,'TABLA QUINCENAL'!$G$6:$I$16,3,TRUE)/'FACTORES FIJOS'!$B$3)*$G54,"ERROR")</f>
        <v>0</v>
      </c>
      <c r="V54" s="372">
        <f t="shared" si="5"/>
        <v>261.75274400000001</v>
      </c>
      <c r="W54" s="372">
        <f t="shared" si="6"/>
        <v>261.75274400000001</v>
      </c>
      <c r="X54" s="372">
        <f t="shared" si="7"/>
        <v>0</v>
      </c>
      <c r="Y54" s="372">
        <f>($K54*'FACTORES FIJOS'!$B$10)</f>
        <v>3.2894736842105265</v>
      </c>
      <c r="Z54" s="372">
        <f>($K$4-(3*'FACTORES FIJOS'!$F$3))*'FACTORES FIJOS'!$D$10</f>
        <v>-0.45663157894736855</v>
      </c>
      <c r="AA54" s="372">
        <f>($K54*'FACTORES FIJOS'!$F$10)</f>
        <v>3.2894736842105265</v>
      </c>
      <c r="AB54" s="372">
        <f>($K54*'FACTORES FIJOS'!$H$10)</f>
        <v>1.6447368421052633</v>
      </c>
      <c r="AC54" s="372">
        <f>($K54*'FACTORES FIJOS'!$J$10)</f>
        <v>1.6447368421052633</v>
      </c>
      <c r="AD54" s="372">
        <f t="shared" si="8"/>
        <v>141.17684210526318</v>
      </c>
    </row>
    <row r="55" spans="1:30">
      <c r="A55" s="343">
        <f t="shared" si="9"/>
        <v>52</v>
      </c>
      <c r="B55" s="344" t="s">
        <v>626</v>
      </c>
      <c r="C55" s="333" t="s">
        <v>559</v>
      </c>
      <c r="D55" s="333" t="s">
        <v>218</v>
      </c>
      <c r="E55" s="333" t="s">
        <v>560</v>
      </c>
      <c r="F55" s="343" t="s">
        <v>620</v>
      </c>
      <c r="G55" s="357">
        <v>15.2</v>
      </c>
      <c r="H55" s="341">
        <v>5000</v>
      </c>
      <c r="I55" s="341">
        <f t="shared" si="0"/>
        <v>2500</v>
      </c>
      <c r="J55" s="342">
        <v>0</v>
      </c>
      <c r="K55" s="372">
        <f t="shared" si="1"/>
        <v>164.47368421052633</v>
      </c>
      <c r="L55" s="372">
        <f>($I55/$G55)*'FACTORES FIJOS'!$B$3</f>
        <v>5000</v>
      </c>
      <c r="M55" s="373">
        <f>IF($G55='FACTORES FIJOS'!$D$5,VLOOKUP($L55,'TABLA QUINCENAL'!$B$6:$F$16,4,TRUE),IF($G55='FACTORES FIJOS'!$D$3,VLOOKUP($L55,'TABLA QUINCENAL'!$B$6:$F$16,4,TRUE),"FALSO"))</f>
        <v>0.1792</v>
      </c>
      <c r="N55" s="374">
        <f>VLOOKUP($L55,'TABLA QUINCENAL'!$B$6:$F$16,1,TRUE)</f>
        <v>4244.1099999999997</v>
      </c>
      <c r="O55" s="374">
        <f>VLOOKUP($L55,'TABLA QUINCENAL'!$B$6:$F$16,2,TRUE)</f>
        <v>5081.3999999999996</v>
      </c>
      <c r="P55" s="372">
        <f t="shared" si="2"/>
        <v>755.89000000000033</v>
      </c>
      <c r="Q55" s="372">
        <f t="shared" si="3"/>
        <v>135.45548800000006</v>
      </c>
      <c r="R55" s="374">
        <f>VLOOKUP($L55,'TABLA QUINCENAL'!$B$6:$F$16,3,TRUE)</f>
        <v>388.05</v>
      </c>
      <c r="S55" s="372">
        <f t="shared" si="4"/>
        <v>523.50548800000001</v>
      </c>
      <c r="T55" s="372">
        <f>$S55/'FACTORES FIJOS'!$B$3*CELAYA!$G55</f>
        <v>261.75274400000001</v>
      </c>
      <c r="U55" s="372">
        <f>IFERROR((VLOOKUP($L55,'TABLA QUINCENAL'!$G$6:$I$16,3,TRUE)/'FACTORES FIJOS'!$B$3)*$G55,"ERROR")</f>
        <v>0</v>
      </c>
      <c r="V55" s="372">
        <f t="shared" si="5"/>
        <v>261.75274400000001</v>
      </c>
      <c r="W55" s="372">
        <f t="shared" si="6"/>
        <v>261.75274400000001</v>
      </c>
      <c r="X55" s="372">
        <f t="shared" si="7"/>
        <v>0</v>
      </c>
      <c r="Y55" s="372">
        <f>($K55*'FACTORES FIJOS'!$B$10)</f>
        <v>3.2894736842105265</v>
      </c>
      <c r="Z55" s="372">
        <f>($K$4-(3*'FACTORES FIJOS'!$F$3))*'FACTORES FIJOS'!$D$10</f>
        <v>-0.45663157894736855</v>
      </c>
      <c r="AA55" s="372">
        <f>($K55*'FACTORES FIJOS'!$F$10)</f>
        <v>3.2894736842105265</v>
      </c>
      <c r="AB55" s="372">
        <f>($K55*'FACTORES FIJOS'!$H$10)</f>
        <v>1.6447368421052633</v>
      </c>
      <c r="AC55" s="372">
        <f>($K55*'FACTORES FIJOS'!$J$10)</f>
        <v>1.6447368421052633</v>
      </c>
      <c r="AD55" s="372">
        <f t="shared" si="8"/>
        <v>141.17684210526318</v>
      </c>
    </row>
    <row r="56" spans="1:30">
      <c r="A56" s="343">
        <f t="shared" si="9"/>
        <v>53</v>
      </c>
      <c r="B56" s="344" t="s">
        <v>626</v>
      </c>
      <c r="C56" s="333" t="s">
        <v>518</v>
      </c>
      <c r="D56" s="334" t="s">
        <v>207</v>
      </c>
      <c r="E56" s="334" t="s">
        <v>131</v>
      </c>
      <c r="F56" s="343" t="s">
        <v>620</v>
      </c>
      <c r="G56" s="343">
        <v>7</v>
      </c>
      <c r="H56" s="342">
        <v>4999.971428571429</v>
      </c>
      <c r="I56" s="341">
        <f t="shared" si="0"/>
        <v>2499.9857142857145</v>
      </c>
      <c r="J56" s="345"/>
      <c r="K56" s="372">
        <f t="shared" si="1"/>
        <v>357.14081632653063</v>
      </c>
      <c r="L56" s="372">
        <f>($I56/$G56)*'FACTORES FIJOS'!$B$3</f>
        <v>10857.08081632653</v>
      </c>
      <c r="M56" s="373">
        <f>IF($G56='FACTORES FIJOS'!$D$5,VLOOKUP($L56,'TABLA QUINCENAL'!$B$6:$F$16,4,TRUE),IF($G56='FACTORES FIJOS'!$D$3,VLOOKUP($L56,'TABLA QUINCENAL'!$B$6:$F$16,4,TRUE),"FALSO"))</f>
        <v>0.23519999999999999</v>
      </c>
      <c r="N56" s="374">
        <f>VLOOKUP($L56,'TABLA QUINCENAL'!$B$6:$F$16,1,TRUE)</f>
        <v>10248.459999999999</v>
      </c>
      <c r="O56" s="374">
        <f>VLOOKUP($L56,'TABLA QUINCENAL'!$B$6:$F$16,2,TRUE)</f>
        <v>16153.05</v>
      </c>
      <c r="P56" s="372">
        <f t="shared" si="2"/>
        <v>608.62081632653098</v>
      </c>
      <c r="Q56" s="372">
        <f t="shared" si="3"/>
        <v>143.14761600000008</v>
      </c>
      <c r="R56" s="374">
        <f>VLOOKUP($L56,'TABLA QUINCENAL'!$B$6:$F$16,3,TRUE)</f>
        <v>1641.75</v>
      </c>
      <c r="S56" s="372">
        <f t="shared" si="4"/>
        <v>1784.8976160000002</v>
      </c>
      <c r="T56" s="372">
        <f>$S56/'FACTORES FIJOS'!$B$3*CELAYA!$G56</f>
        <v>410.99616157894746</v>
      </c>
      <c r="U56" s="372">
        <f>IFERROR((VLOOKUP($L56,'TABLA QUINCENAL'!$G$6:$I$16,3,TRUE)/'FACTORES FIJOS'!$B$3)*$G56,"ERROR")</f>
        <v>0</v>
      </c>
      <c r="V56" s="372">
        <f t="shared" si="5"/>
        <v>410.99616157894746</v>
      </c>
      <c r="W56" s="372">
        <f t="shared" si="6"/>
        <v>410.99616157894746</v>
      </c>
      <c r="X56" s="372">
        <f t="shared" si="7"/>
        <v>0</v>
      </c>
      <c r="Y56" s="372">
        <f>($K56*'FACTORES FIJOS'!$B$10)</f>
        <v>7.142816326530613</v>
      </c>
      <c r="Z56" s="372">
        <f>($K$4-(3*'FACTORES FIJOS'!$F$3))*'FACTORES FIJOS'!$D$10</f>
        <v>-0.45663157894736855</v>
      </c>
      <c r="AA56" s="372">
        <f>($K56*'FACTORES FIJOS'!$F$10)</f>
        <v>7.142816326530613</v>
      </c>
      <c r="AB56" s="372">
        <f>($K56*'FACTORES FIJOS'!$H$10)</f>
        <v>3.5714081632653065</v>
      </c>
      <c r="AC56" s="372">
        <f>($K56*'FACTORES FIJOS'!$J$10)</f>
        <v>3.5714081632653065</v>
      </c>
      <c r="AD56" s="372">
        <f t="shared" si="8"/>
        <v>146.80272180451129</v>
      </c>
    </row>
    <row r="57" spans="1:30">
      <c r="A57" s="343">
        <f t="shared" si="9"/>
        <v>54</v>
      </c>
      <c r="B57" s="344" t="s">
        <v>626</v>
      </c>
      <c r="C57" s="333" t="s">
        <v>523</v>
      </c>
      <c r="D57" s="334" t="s">
        <v>207</v>
      </c>
      <c r="E57" s="334" t="s">
        <v>131</v>
      </c>
      <c r="F57" s="343" t="s">
        <v>620</v>
      </c>
      <c r="G57" s="343">
        <v>7</v>
      </c>
      <c r="H57" s="342">
        <v>4999.971428571429</v>
      </c>
      <c r="I57" s="341">
        <f t="shared" si="0"/>
        <v>2499.9857142857145</v>
      </c>
      <c r="J57" s="345"/>
      <c r="K57" s="372">
        <f t="shared" si="1"/>
        <v>357.14081632653063</v>
      </c>
      <c r="L57" s="372">
        <f>($I57/$G57)*'FACTORES FIJOS'!$B$3</f>
        <v>10857.08081632653</v>
      </c>
      <c r="M57" s="373">
        <f>IF($G57='FACTORES FIJOS'!$D$5,VLOOKUP($L57,'TABLA QUINCENAL'!$B$6:$F$16,4,TRUE),IF($G57='FACTORES FIJOS'!$D$3,VLOOKUP($L57,'TABLA QUINCENAL'!$B$6:$F$16,4,TRUE),"FALSO"))</f>
        <v>0.23519999999999999</v>
      </c>
      <c r="N57" s="374">
        <f>VLOOKUP($L57,'TABLA QUINCENAL'!$B$6:$F$16,1,TRUE)</f>
        <v>10248.459999999999</v>
      </c>
      <c r="O57" s="374">
        <f>VLOOKUP($L57,'TABLA QUINCENAL'!$B$6:$F$16,2,TRUE)</f>
        <v>16153.05</v>
      </c>
      <c r="P57" s="372">
        <f t="shared" si="2"/>
        <v>608.62081632653098</v>
      </c>
      <c r="Q57" s="372">
        <f t="shared" si="3"/>
        <v>143.14761600000008</v>
      </c>
      <c r="R57" s="374">
        <f>VLOOKUP($L57,'TABLA QUINCENAL'!$B$6:$F$16,3,TRUE)</f>
        <v>1641.75</v>
      </c>
      <c r="S57" s="372">
        <f t="shared" si="4"/>
        <v>1784.8976160000002</v>
      </c>
      <c r="T57" s="372">
        <f>$S57/'FACTORES FIJOS'!$B$3*CELAYA!$G57</f>
        <v>410.99616157894746</v>
      </c>
      <c r="U57" s="372">
        <f>IFERROR((VLOOKUP($L57,'TABLA QUINCENAL'!$G$6:$I$16,3,TRUE)/'FACTORES FIJOS'!$B$3)*$G57,"ERROR")</f>
        <v>0</v>
      </c>
      <c r="V57" s="372">
        <f t="shared" si="5"/>
        <v>410.99616157894746</v>
      </c>
      <c r="W57" s="372">
        <f t="shared" si="6"/>
        <v>410.99616157894746</v>
      </c>
      <c r="X57" s="372">
        <f t="shared" si="7"/>
        <v>0</v>
      </c>
      <c r="Y57" s="372">
        <f>($K57*'FACTORES FIJOS'!$B$10)</f>
        <v>7.142816326530613</v>
      </c>
      <c r="Z57" s="372">
        <f>($K$4-(3*'FACTORES FIJOS'!$F$3))*'FACTORES FIJOS'!$D$10</f>
        <v>-0.45663157894736855</v>
      </c>
      <c r="AA57" s="372">
        <f>($K57*'FACTORES FIJOS'!$F$10)</f>
        <v>7.142816326530613</v>
      </c>
      <c r="AB57" s="372">
        <f>($K57*'FACTORES FIJOS'!$H$10)</f>
        <v>3.5714081632653065</v>
      </c>
      <c r="AC57" s="372">
        <f>($K57*'FACTORES FIJOS'!$J$10)</f>
        <v>3.5714081632653065</v>
      </c>
      <c r="AD57" s="372">
        <f t="shared" si="8"/>
        <v>146.80272180451129</v>
      </c>
    </row>
    <row r="58" spans="1:30">
      <c r="A58" s="343">
        <f t="shared" si="9"/>
        <v>55</v>
      </c>
      <c r="B58" s="344" t="s">
        <v>626</v>
      </c>
      <c r="C58" s="333" t="s">
        <v>527</v>
      </c>
      <c r="D58" s="334" t="s">
        <v>207</v>
      </c>
      <c r="E58" s="334" t="s">
        <v>131</v>
      </c>
      <c r="F58" s="343" t="s">
        <v>620</v>
      </c>
      <c r="G58" s="343">
        <v>7</v>
      </c>
      <c r="H58" s="342">
        <v>4999.971428571429</v>
      </c>
      <c r="I58" s="341">
        <f t="shared" si="0"/>
        <v>2499.9857142857145</v>
      </c>
      <c r="J58" s="345"/>
      <c r="K58" s="372">
        <f t="shared" si="1"/>
        <v>357.14081632653063</v>
      </c>
      <c r="L58" s="372">
        <f>($I58/$G58)*'FACTORES FIJOS'!$B$3</f>
        <v>10857.08081632653</v>
      </c>
      <c r="M58" s="373">
        <f>IF($G58='FACTORES FIJOS'!$D$5,VLOOKUP($L58,'TABLA QUINCENAL'!$B$6:$F$16,4,TRUE),IF($G58='FACTORES FIJOS'!$D$3,VLOOKUP($L58,'TABLA QUINCENAL'!$B$6:$F$16,4,TRUE),"FALSO"))</f>
        <v>0.23519999999999999</v>
      </c>
      <c r="N58" s="374">
        <f>VLOOKUP($L58,'TABLA QUINCENAL'!$B$6:$F$16,1,TRUE)</f>
        <v>10248.459999999999</v>
      </c>
      <c r="O58" s="374">
        <f>VLOOKUP($L58,'TABLA QUINCENAL'!$B$6:$F$16,2,TRUE)</f>
        <v>16153.05</v>
      </c>
      <c r="P58" s="372">
        <f t="shared" si="2"/>
        <v>608.62081632653098</v>
      </c>
      <c r="Q58" s="372">
        <f t="shared" si="3"/>
        <v>143.14761600000008</v>
      </c>
      <c r="R58" s="374">
        <f>VLOOKUP($L58,'TABLA QUINCENAL'!$B$6:$F$16,3,TRUE)</f>
        <v>1641.75</v>
      </c>
      <c r="S58" s="372">
        <f t="shared" si="4"/>
        <v>1784.8976160000002</v>
      </c>
      <c r="T58" s="372">
        <f>$S58/'FACTORES FIJOS'!$B$3*CELAYA!$G58</f>
        <v>410.99616157894746</v>
      </c>
      <c r="U58" s="372">
        <f>IFERROR((VLOOKUP($L58,'TABLA QUINCENAL'!$G$6:$I$16,3,TRUE)/'FACTORES FIJOS'!$B$3)*$G58,"ERROR")</f>
        <v>0</v>
      </c>
      <c r="V58" s="372">
        <f t="shared" si="5"/>
        <v>410.99616157894746</v>
      </c>
      <c r="W58" s="372">
        <f t="shared" si="6"/>
        <v>410.99616157894746</v>
      </c>
      <c r="X58" s="372">
        <f t="shared" si="7"/>
        <v>0</v>
      </c>
      <c r="Y58" s="372">
        <f>($K58*'FACTORES FIJOS'!$B$10)</f>
        <v>7.142816326530613</v>
      </c>
      <c r="Z58" s="372">
        <f>($K$4-(3*'FACTORES FIJOS'!$F$3))*'FACTORES FIJOS'!$D$10</f>
        <v>-0.45663157894736855</v>
      </c>
      <c r="AA58" s="372">
        <f>($K58*'FACTORES FIJOS'!$F$10)</f>
        <v>7.142816326530613</v>
      </c>
      <c r="AB58" s="372">
        <f>($K58*'FACTORES FIJOS'!$H$10)</f>
        <v>3.5714081632653065</v>
      </c>
      <c r="AC58" s="372">
        <f>($K58*'FACTORES FIJOS'!$J$10)</f>
        <v>3.5714081632653065</v>
      </c>
      <c r="AD58" s="372">
        <f t="shared" si="8"/>
        <v>146.80272180451129</v>
      </c>
    </row>
    <row r="59" spans="1:30">
      <c r="A59" s="343">
        <f t="shared" si="9"/>
        <v>56</v>
      </c>
      <c r="B59" s="344" t="s">
        <v>626</v>
      </c>
      <c r="C59" s="333" t="s">
        <v>512</v>
      </c>
      <c r="D59" s="334" t="s">
        <v>409</v>
      </c>
      <c r="E59" s="334" t="s">
        <v>539</v>
      </c>
      <c r="F59" s="343" t="s">
        <v>620</v>
      </c>
      <c r="G59" s="343">
        <v>7</v>
      </c>
      <c r="H59" s="342">
        <v>7500</v>
      </c>
      <c r="I59" s="341">
        <f t="shared" si="0"/>
        <v>3749.9999999999995</v>
      </c>
      <c r="J59" s="345"/>
      <c r="K59" s="372">
        <f t="shared" si="1"/>
        <v>535.71428571428567</v>
      </c>
      <c r="L59" s="372">
        <f>($I59/$G59)*'FACTORES FIJOS'!$B$3</f>
        <v>16285.714285714283</v>
      </c>
      <c r="M59" s="373">
        <f>IF($G59='FACTORES FIJOS'!$D$5,VLOOKUP($L59,'TABLA QUINCENAL'!$B$6:$F$16,4,TRUE),IF($G59='FACTORES FIJOS'!$D$3,VLOOKUP($L59,'TABLA QUINCENAL'!$B$6:$F$16,4,TRUE),"FALSO"))</f>
        <v>0.3</v>
      </c>
      <c r="N59" s="374">
        <f>VLOOKUP($L59,'TABLA QUINCENAL'!$B$6:$F$16,1,TRUE)</f>
        <v>16153.06</v>
      </c>
      <c r="O59" s="374">
        <f>VLOOKUP($L59,'TABLA QUINCENAL'!$B$6:$F$16,2,TRUE)</f>
        <v>30838.799999999999</v>
      </c>
      <c r="P59" s="372">
        <f t="shared" si="2"/>
        <v>132.65428571428311</v>
      </c>
      <c r="Q59" s="372">
        <f t="shared" si="3"/>
        <v>39.796285714284927</v>
      </c>
      <c r="R59" s="374">
        <f>VLOOKUP($L59,'TABLA QUINCENAL'!$B$6:$F$16,3,TRUE)</f>
        <v>3030.6</v>
      </c>
      <c r="S59" s="372">
        <f t="shared" si="4"/>
        <v>3070.3962857142847</v>
      </c>
      <c r="T59" s="372">
        <f>$S59/'FACTORES FIJOS'!$B$3*CELAYA!$G59</f>
        <v>706.99914473684191</v>
      </c>
      <c r="U59" s="372">
        <f>IFERROR((VLOOKUP($L59,'TABLA QUINCENAL'!$G$6:$I$16,3,TRUE)/'FACTORES FIJOS'!$B$3)*$G59,"ERROR")</f>
        <v>0</v>
      </c>
      <c r="V59" s="372">
        <f t="shared" si="5"/>
        <v>706.99914473684191</v>
      </c>
      <c r="W59" s="372">
        <f t="shared" si="6"/>
        <v>706.99914473684191</v>
      </c>
      <c r="X59" s="372">
        <f t="shared" si="7"/>
        <v>0</v>
      </c>
      <c r="Y59" s="372">
        <f>($K59*'FACTORES FIJOS'!$B$10)</f>
        <v>10.714285714285714</v>
      </c>
      <c r="Z59" s="372">
        <f>($K$4-(3*'FACTORES FIJOS'!$F$3))*'FACTORES FIJOS'!$D$10</f>
        <v>-0.45663157894736855</v>
      </c>
      <c r="AA59" s="372">
        <f>($K59*'FACTORES FIJOS'!$F$10)</f>
        <v>10.714285714285714</v>
      </c>
      <c r="AB59" s="372">
        <f>($K59*'FACTORES FIJOS'!$H$10)</f>
        <v>5.3571428571428568</v>
      </c>
      <c r="AC59" s="372">
        <f>($K59*'FACTORES FIJOS'!$J$10)</f>
        <v>5.3571428571428568</v>
      </c>
      <c r="AD59" s="372">
        <f t="shared" si="8"/>
        <v>221.80357894736841</v>
      </c>
    </row>
    <row r="60" spans="1:30">
      <c r="A60" s="343">
        <f t="shared" si="9"/>
        <v>57</v>
      </c>
      <c r="B60" s="344" t="s">
        <v>626</v>
      </c>
      <c r="C60" s="333" t="s">
        <v>513</v>
      </c>
      <c r="D60" s="334" t="s">
        <v>381</v>
      </c>
      <c r="E60" s="334" t="s">
        <v>506</v>
      </c>
      <c r="F60" s="343" t="s">
        <v>620</v>
      </c>
      <c r="G60" s="343">
        <v>7</v>
      </c>
      <c r="H60" s="342">
        <v>4000</v>
      </c>
      <c r="I60" s="341">
        <f t="shared" si="0"/>
        <v>2000</v>
      </c>
      <c r="J60" s="345"/>
      <c r="K60" s="372">
        <f t="shared" si="1"/>
        <v>285.71428571428572</v>
      </c>
      <c r="L60" s="372">
        <f>($I60/$G60)*'FACTORES FIJOS'!$B$3</f>
        <v>8685.7142857142862</v>
      </c>
      <c r="M60" s="373">
        <f>IF($G60='FACTORES FIJOS'!$D$5,VLOOKUP($L60,'TABLA QUINCENAL'!$B$6:$F$16,4,TRUE),IF($G60='FACTORES FIJOS'!$D$3,VLOOKUP($L60,'TABLA QUINCENAL'!$B$6:$F$16,4,TRUE),"FALSO"))</f>
        <v>0.21360000000000001</v>
      </c>
      <c r="N60" s="374">
        <f>VLOOKUP($L60,'TABLA QUINCENAL'!$B$6:$F$16,1,TRUE)</f>
        <v>5081.41</v>
      </c>
      <c r="O60" s="374">
        <f>VLOOKUP($L60,'TABLA QUINCENAL'!$B$6:$F$16,2,TRUE)</f>
        <v>10248.450000000001</v>
      </c>
      <c r="P60" s="372">
        <f t="shared" si="2"/>
        <v>3604.3042857142864</v>
      </c>
      <c r="Q60" s="372">
        <f t="shared" si="3"/>
        <v>769.87939542857157</v>
      </c>
      <c r="R60" s="374">
        <f>VLOOKUP($L60,'TABLA QUINCENAL'!$B$6:$F$16,3,TRUE)</f>
        <v>538.20000000000005</v>
      </c>
      <c r="S60" s="372">
        <f t="shared" si="4"/>
        <v>1308.0793954285716</v>
      </c>
      <c r="T60" s="372">
        <f>$S60/'FACTORES FIJOS'!$B$3*CELAYA!$G60</f>
        <v>301.20249236842108</v>
      </c>
      <c r="U60" s="372">
        <f>IFERROR((VLOOKUP($L60,'TABLA QUINCENAL'!$G$6:$I$16,3,TRUE)/'FACTORES FIJOS'!$B$3)*$G60,"ERROR")</f>
        <v>0</v>
      </c>
      <c r="V60" s="372">
        <f t="shared" si="5"/>
        <v>301.20249236842108</v>
      </c>
      <c r="W60" s="372">
        <f t="shared" si="6"/>
        <v>301.20249236842108</v>
      </c>
      <c r="X60" s="372">
        <f t="shared" si="7"/>
        <v>0</v>
      </c>
      <c r="Y60" s="372">
        <f>($K60*'FACTORES FIJOS'!$B$10)</f>
        <v>5.7142857142857144</v>
      </c>
      <c r="Z60" s="372">
        <f>($K$4-(3*'FACTORES FIJOS'!$F$3))*'FACTORES FIJOS'!$D$10</f>
        <v>-0.45663157894736855</v>
      </c>
      <c r="AA60" s="372">
        <f>($K60*'FACTORES FIJOS'!$F$10)</f>
        <v>5.7142857142857144</v>
      </c>
      <c r="AB60" s="372">
        <f>($K60*'FACTORES FIJOS'!$H$10)</f>
        <v>2.8571428571428572</v>
      </c>
      <c r="AC60" s="372">
        <f>($K60*'FACTORES FIJOS'!$J$10)</f>
        <v>2.8571428571428572</v>
      </c>
      <c r="AD60" s="372">
        <f t="shared" si="8"/>
        <v>116.80357894736844</v>
      </c>
    </row>
    <row r="61" spans="1:30">
      <c r="A61" s="343">
        <f t="shared" si="9"/>
        <v>58</v>
      </c>
      <c r="B61" s="344" t="s">
        <v>626</v>
      </c>
      <c r="C61" s="333" t="s">
        <v>514</v>
      </c>
      <c r="D61" s="334" t="s">
        <v>381</v>
      </c>
      <c r="E61" s="334" t="s">
        <v>506</v>
      </c>
      <c r="F61" s="343" t="s">
        <v>620</v>
      </c>
      <c r="G61" s="343">
        <v>7</v>
      </c>
      <c r="H61" s="342">
        <v>4000</v>
      </c>
      <c r="I61" s="341">
        <f t="shared" si="0"/>
        <v>2000</v>
      </c>
      <c r="J61" s="345"/>
      <c r="K61" s="372">
        <f t="shared" si="1"/>
        <v>285.71428571428572</v>
      </c>
      <c r="L61" s="372">
        <f>($I61/$G61)*'FACTORES FIJOS'!$B$3</f>
        <v>8685.7142857142862</v>
      </c>
      <c r="M61" s="373">
        <f>IF($G61='FACTORES FIJOS'!$D$5,VLOOKUP($L61,'TABLA QUINCENAL'!$B$6:$F$16,4,TRUE),IF($G61='FACTORES FIJOS'!$D$3,VLOOKUP($L61,'TABLA QUINCENAL'!$B$6:$F$16,4,TRUE),"FALSO"))</f>
        <v>0.21360000000000001</v>
      </c>
      <c r="N61" s="374">
        <f>VLOOKUP($L61,'TABLA QUINCENAL'!$B$6:$F$16,1,TRUE)</f>
        <v>5081.41</v>
      </c>
      <c r="O61" s="374">
        <f>VLOOKUP($L61,'TABLA QUINCENAL'!$B$6:$F$16,2,TRUE)</f>
        <v>10248.450000000001</v>
      </c>
      <c r="P61" s="372">
        <f t="shared" si="2"/>
        <v>3604.3042857142864</v>
      </c>
      <c r="Q61" s="372">
        <f t="shared" si="3"/>
        <v>769.87939542857157</v>
      </c>
      <c r="R61" s="374">
        <f>VLOOKUP($L61,'TABLA QUINCENAL'!$B$6:$F$16,3,TRUE)</f>
        <v>538.20000000000005</v>
      </c>
      <c r="S61" s="372">
        <f t="shared" si="4"/>
        <v>1308.0793954285716</v>
      </c>
      <c r="T61" s="372">
        <f>$S61/'FACTORES FIJOS'!$B$3*CELAYA!$G61</f>
        <v>301.20249236842108</v>
      </c>
      <c r="U61" s="372">
        <f>IFERROR((VLOOKUP($L61,'TABLA QUINCENAL'!$G$6:$I$16,3,TRUE)/'FACTORES FIJOS'!$B$3)*$G61,"ERROR")</f>
        <v>0</v>
      </c>
      <c r="V61" s="372">
        <f t="shared" si="5"/>
        <v>301.20249236842108</v>
      </c>
      <c r="W61" s="372">
        <f t="shared" si="6"/>
        <v>301.20249236842108</v>
      </c>
      <c r="X61" s="372">
        <f t="shared" si="7"/>
        <v>0</v>
      </c>
      <c r="Y61" s="372">
        <f>($K61*'FACTORES FIJOS'!$B$10)</f>
        <v>5.7142857142857144</v>
      </c>
      <c r="Z61" s="372">
        <f>($K$4-(3*'FACTORES FIJOS'!$F$3))*'FACTORES FIJOS'!$D$10</f>
        <v>-0.45663157894736855</v>
      </c>
      <c r="AA61" s="372">
        <f>($K61*'FACTORES FIJOS'!$F$10)</f>
        <v>5.7142857142857144</v>
      </c>
      <c r="AB61" s="372">
        <f>($K61*'FACTORES FIJOS'!$H$10)</f>
        <v>2.8571428571428572</v>
      </c>
      <c r="AC61" s="372">
        <f>($K61*'FACTORES FIJOS'!$J$10)</f>
        <v>2.8571428571428572</v>
      </c>
      <c r="AD61" s="372">
        <f t="shared" si="8"/>
        <v>116.80357894736844</v>
      </c>
    </row>
    <row r="62" spans="1:30">
      <c r="A62" s="343">
        <f t="shared" si="9"/>
        <v>59</v>
      </c>
      <c r="B62" s="344" t="s">
        <v>626</v>
      </c>
      <c r="C62" s="333" t="s">
        <v>515</v>
      </c>
      <c r="D62" s="334" t="s">
        <v>381</v>
      </c>
      <c r="E62" s="333" t="s">
        <v>506</v>
      </c>
      <c r="F62" s="343" t="s">
        <v>620</v>
      </c>
      <c r="G62" s="343">
        <v>7</v>
      </c>
      <c r="H62" s="342">
        <v>4000</v>
      </c>
      <c r="I62" s="341">
        <f t="shared" si="0"/>
        <v>2000</v>
      </c>
      <c r="J62" s="345"/>
      <c r="K62" s="372">
        <f t="shared" si="1"/>
        <v>285.71428571428572</v>
      </c>
      <c r="L62" s="372">
        <f>($I62/$G62)*'FACTORES FIJOS'!$B$3</f>
        <v>8685.7142857142862</v>
      </c>
      <c r="M62" s="373">
        <f>IF($G62='FACTORES FIJOS'!$D$5,VLOOKUP($L62,'TABLA QUINCENAL'!$B$6:$F$16,4,TRUE),IF($G62='FACTORES FIJOS'!$D$3,VLOOKUP($L62,'TABLA QUINCENAL'!$B$6:$F$16,4,TRUE),"FALSO"))</f>
        <v>0.21360000000000001</v>
      </c>
      <c r="N62" s="374">
        <f>VLOOKUP($L62,'TABLA QUINCENAL'!$B$6:$F$16,1,TRUE)</f>
        <v>5081.41</v>
      </c>
      <c r="O62" s="374">
        <f>VLOOKUP($L62,'TABLA QUINCENAL'!$B$6:$F$16,2,TRUE)</f>
        <v>10248.450000000001</v>
      </c>
      <c r="P62" s="372">
        <f t="shared" si="2"/>
        <v>3604.3042857142864</v>
      </c>
      <c r="Q62" s="372">
        <f t="shared" si="3"/>
        <v>769.87939542857157</v>
      </c>
      <c r="R62" s="374">
        <f>VLOOKUP($L62,'TABLA QUINCENAL'!$B$6:$F$16,3,TRUE)</f>
        <v>538.20000000000005</v>
      </c>
      <c r="S62" s="372">
        <f t="shared" si="4"/>
        <v>1308.0793954285716</v>
      </c>
      <c r="T62" s="372">
        <f>$S62/'FACTORES FIJOS'!$B$3*CELAYA!$G62</f>
        <v>301.20249236842108</v>
      </c>
      <c r="U62" s="372">
        <f>IFERROR((VLOOKUP($L62,'TABLA QUINCENAL'!$G$6:$I$16,3,TRUE)/'FACTORES FIJOS'!$B$3)*$G62,"ERROR")</f>
        <v>0</v>
      </c>
      <c r="V62" s="372">
        <f t="shared" si="5"/>
        <v>301.20249236842108</v>
      </c>
      <c r="W62" s="372">
        <f t="shared" si="6"/>
        <v>301.20249236842108</v>
      </c>
      <c r="X62" s="372">
        <f t="shared" si="7"/>
        <v>0</v>
      </c>
      <c r="Y62" s="372">
        <f>($K62*'FACTORES FIJOS'!$B$10)</f>
        <v>5.7142857142857144</v>
      </c>
      <c r="Z62" s="372">
        <f>($K$4-(3*'FACTORES FIJOS'!$F$3))*'FACTORES FIJOS'!$D$10</f>
        <v>-0.45663157894736855</v>
      </c>
      <c r="AA62" s="372">
        <f>($K62*'FACTORES FIJOS'!$F$10)</f>
        <v>5.7142857142857144</v>
      </c>
      <c r="AB62" s="372">
        <f>($K62*'FACTORES FIJOS'!$H$10)</f>
        <v>2.8571428571428572</v>
      </c>
      <c r="AC62" s="372">
        <f>($K62*'FACTORES FIJOS'!$J$10)</f>
        <v>2.8571428571428572</v>
      </c>
      <c r="AD62" s="372">
        <f t="shared" si="8"/>
        <v>116.80357894736844</v>
      </c>
    </row>
    <row r="63" spans="1:30">
      <c r="A63" s="343">
        <f t="shared" si="9"/>
        <v>60</v>
      </c>
      <c r="B63" s="344" t="s">
        <v>626</v>
      </c>
      <c r="C63" s="333" t="s">
        <v>533</v>
      </c>
      <c r="D63" s="334" t="s">
        <v>381</v>
      </c>
      <c r="E63" s="334" t="s">
        <v>506</v>
      </c>
      <c r="F63" s="343" t="s">
        <v>620</v>
      </c>
      <c r="G63" s="343">
        <v>7</v>
      </c>
      <c r="H63" s="342">
        <v>4000</v>
      </c>
      <c r="I63" s="341">
        <f t="shared" si="0"/>
        <v>2000</v>
      </c>
      <c r="J63" s="345"/>
      <c r="K63" s="372">
        <f t="shared" si="1"/>
        <v>285.71428571428572</v>
      </c>
      <c r="L63" s="372">
        <f>($I63/$G63)*'FACTORES FIJOS'!$B$3</f>
        <v>8685.7142857142862</v>
      </c>
      <c r="M63" s="373">
        <f>IF($G63='FACTORES FIJOS'!$D$5,VLOOKUP($L63,'TABLA QUINCENAL'!$B$6:$F$16,4,TRUE),IF($G63='FACTORES FIJOS'!$D$3,VLOOKUP($L63,'TABLA QUINCENAL'!$B$6:$F$16,4,TRUE),"FALSO"))</f>
        <v>0.21360000000000001</v>
      </c>
      <c r="N63" s="374">
        <f>VLOOKUP($L63,'TABLA QUINCENAL'!$B$6:$F$16,1,TRUE)</f>
        <v>5081.41</v>
      </c>
      <c r="O63" s="374">
        <f>VLOOKUP($L63,'TABLA QUINCENAL'!$B$6:$F$16,2,TRUE)</f>
        <v>10248.450000000001</v>
      </c>
      <c r="P63" s="372">
        <f t="shared" si="2"/>
        <v>3604.3042857142864</v>
      </c>
      <c r="Q63" s="372">
        <f t="shared" si="3"/>
        <v>769.87939542857157</v>
      </c>
      <c r="R63" s="374">
        <f>VLOOKUP($L63,'TABLA QUINCENAL'!$B$6:$F$16,3,TRUE)</f>
        <v>538.20000000000005</v>
      </c>
      <c r="S63" s="372">
        <f t="shared" si="4"/>
        <v>1308.0793954285716</v>
      </c>
      <c r="T63" s="372">
        <f>$S63/'FACTORES FIJOS'!$B$3*CELAYA!$G63</f>
        <v>301.20249236842108</v>
      </c>
      <c r="U63" s="372">
        <f>IFERROR((VLOOKUP($L63,'TABLA QUINCENAL'!$G$6:$I$16,3,TRUE)/'FACTORES FIJOS'!$B$3)*$G63,"ERROR")</f>
        <v>0</v>
      </c>
      <c r="V63" s="372">
        <f t="shared" si="5"/>
        <v>301.20249236842108</v>
      </c>
      <c r="W63" s="372">
        <f t="shared" si="6"/>
        <v>301.20249236842108</v>
      </c>
      <c r="X63" s="372">
        <f t="shared" si="7"/>
        <v>0</v>
      </c>
      <c r="Y63" s="372">
        <f>($K63*'FACTORES FIJOS'!$B$10)</f>
        <v>5.7142857142857144</v>
      </c>
      <c r="Z63" s="372">
        <f>($K$4-(3*'FACTORES FIJOS'!$F$3))*'FACTORES FIJOS'!$D$10</f>
        <v>-0.45663157894736855</v>
      </c>
      <c r="AA63" s="372">
        <f>($K63*'FACTORES FIJOS'!$F$10)</f>
        <v>5.7142857142857144</v>
      </c>
      <c r="AB63" s="372">
        <f>($K63*'FACTORES FIJOS'!$H$10)</f>
        <v>2.8571428571428572</v>
      </c>
      <c r="AC63" s="372">
        <f>($K63*'FACTORES FIJOS'!$J$10)</f>
        <v>2.8571428571428572</v>
      </c>
      <c r="AD63" s="372">
        <f t="shared" si="8"/>
        <v>116.80357894736844</v>
      </c>
    </row>
    <row r="64" spans="1:30">
      <c r="A64" s="343">
        <f t="shared" si="9"/>
        <v>61</v>
      </c>
      <c r="B64" s="344" t="s">
        <v>626</v>
      </c>
      <c r="C64" s="333" t="s">
        <v>534</v>
      </c>
      <c r="D64" s="334" t="s">
        <v>381</v>
      </c>
      <c r="E64" s="334" t="s">
        <v>506</v>
      </c>
      <c r="F64" s="343" t="s">
        <v>620</v>
      </c>
      <c r="G64" s="343">
        <v>7</v>
      </c>
      <c r="H64" s="342">
        <v>4000</v>
      </c>
      <c r="I64" s="341">
        <f t="shared" si="0"/>
        <v>2000</v>
      </c>
      <c r="J64" s="345"/>
      <c r="K64" s="372">
        <f t="shared" si="1"/>
        <v>285.71428571428572</v>
      </c>
      <c r="L64" s="372">
        <f>($I64/$G64)*'FACTORES FIJOS'!$B$3</f>
        <v>8685.7142857142862</v>
      </c>
      <c r="M64" s="373">
        <f>IF($G64='FACTORES FIJOS'!$D$5,VLOOKUP($L64,'TABLA QUINCENAL'!$B$6:$F$16,4,TRUE),IF($G64='FACTORES FIJOS'!$D$3,VLOOKUP($L64,'TABLA QUINCENAL'!$B$6:$F$16,4,TRUE),"FALSO"))</f>
        <v>0.21360000000000001</v>
      </c>
      <c r="N64" s="374">
        <f>VLOOKUP($L64,'TABLA QUINCENAL'!$B$6:$F$16,1,TRUE)</f>
        <v>5081.41</v>
      </c>
      <c r="O64" s="374">
        <f>VLOOKUP($L64,'TABLA QUINCENAL'!$B$6:$F$16,2,TRUE)</f>
        <v>10248.450000000001</v>
      </c>
      <c r="P64" s="372">
        <f t="shared" si="2"/>
        <v>3604.3042857142864</v>
      </c>
      <c r="Q64" s="372">
        <f t="shared" si="3"/>
        <v>769.87939542857157</v>
      </c>
      <c r="R64" s="374">
        <f>VLOOKUP($L64,'TABLA QUINCENAL'!$B$6:$F$16,3,TRUE)</f>
        <v>538.20000000000005</v>
      </c>
      <c r="S64" s="372">
        <f t="shared" si="4"/>
        <v>1308.0793954285716</v>
      </c>
      <c r="T64" s="372">
        <f>$S64/'FACTORES FIJOS'!$B$3*CELAYA!$G64</f>
        <v>301.20249236842108</v>
      </c>
      <c r="U64" s="372">
        <f>IFERROR((VLOOKUP($L64,'TABLA QUINCENAL'!$G$6:$I$16,3,TRUE)/'FACTORES FIJOS'!$B$3)*$G64,"ERROR")</f>
        <v>0</v>
      </c>
      <c r="V64" s="372">
        <f t="shared" si="5"/>
        <v>301.20249236842108</v>
      </c>
      <c r="W64" s="372">
        <f t="shared" si="6"/>
        <v>301.20249236842108</v>
      </c>
      <c r="X64" s="372">
        <f t="shared" si="7"/>
        <v>0</v>
      </c>
      <c r="Y64" s="372">
        <f>($K64*'FACTORES FIJOS'!$B$10)</f>
        <v>5.7142857142857144</v>
      </c>
      <c r="Z64" s="372">
        <f>($K$4-(3*'FACTORES FIJOS'!$F$3))*'FACTORES FIJOS'!$D$10</f>
        <v>-0.45663157894736855</v>
      </c>
      <c r="AA64" s="372">
        <f>($K64*'FACTORES FIJOS'!$F$10)</f>
        <v>5.7142857142857144</v>
      </c>
      <c r="AB64" s="372">
        <f>($K64*'FACTORES FIJOS'!$H$10)</f>
        <v>2.8571428571428572</v>
      </c>
      <c r="AC64" s="372">
        <f>($K64*'FACTORES FIJOS'!$J$10)</f>
        <v>2.8571428571428572</v>
      </c>
      <c r="AD64" s="372">
        <f t="shared" si="8"/>
        <v>116.80357894736844</v>
      </c>
    </row>
    <row r="65" spans="1:30">
      <c r="A65" s="343">
        <f t="shared" si="9"/>
        <v>62</v>
      </c>
      <c r="B65" s="344" t="s">
        <v>626</v>
      </c>
      <c r="C65" s="333" t="s">
        <v>530</v>
      </c>
      <c r="D65" s="333" t="s">
        <v>381</v>
      </c>
      <c r="E65" s="334" t="s">
        <v>504</v>
      </c>
      <c r="F65" s="343" t="s">
        <v>620</v>
      </c>
      <c r="G65" s="343">
        <v>7</v>
      </c>
      <c r="H65" s="342">
        <v>20000</v>
      </c>
      <c r="I65" s="341">
        <f t="shared" si="0"/>
        <v>10000</v>
      </c>
      <c r="J65" s="345"/>
      <c r="K65" s="372">
        <f t="shared" si="1"/>
        <v>1428.5714285714287</v>
      </c>
      <c r="L65" s="372">
        <f>($I65/$G65)*'FACTORES FIJOS'!$B$3</f>
        <v>43428.571428571428</v>
      </c>
      <c r="M65" s="373">
        <f>IF($G65='FACTORES FIJOS'!$D$5,VLOOKUP($L65,'TABLA QUINCENAL'!$B$6:$F$16,4,TRUE),IF($G65='FACTORES FIJOS'!$D$3,VLOOKUP($L65,'TABLA QUINCENAL'!$B$6:$F$16,4,TRUE),"FALSO"))</f>
        <v>0.34</v>
      </c>
      <c r="N65" s="374">
        <f>VLOOKUP($L65,'TABLA QUINCENAL'!$B$6:$F$16,1,TRUE)</f>
        <v>41118.46</v>
      </c>
      <c r="O65" s="374">
        <f>VLOOKUP($L65,'TABLA QUINCENAL'!$B$6:$F$16,2,TRUE)</f>
        <v>123355.2</v>
      </c>
      <c r="P65" s="372">
        <f t="shared" si="2"/>
        <v>2310.1114285714284</v>
      </c>
      <c r="Q65" s="372">
        <f t="shared" si="3"/>
        <v>785.4378857142857</v>
      </c>
      <c r="R65" s="374">
        <f>VLOOKUP($L65,'TABLA QUINCENAL'!$B$6:$F$16,3,TRUE)</f>
        <v>10725.75</v>
      </c>
      <c r="S65" s="372">
        <f t="shared" si="4"/>
        <v>11511.187885714286</v>
      </c>
      <c r="T65" s="372">
        <f>$S65/'FACTORES FIJOS'!$B$3*CELAYA!$G65</f>
        <v>2650.6024736842105</v>
      </c>
      <c r="U65" s="372">
        <f>IFERROR((VLOOKUP($L65,'TABLA QUINCENAL'!$G$6:$I$16,3,TRUE)/'FACTORES FIJOS'!$B$3)*$G65,"ERROR")</f>
        <v>0</v>
      </c>
      <c r="V65" s="372">
        <f t="shared" si="5"/>
        <v>2650.6024736842105</v>
      </c>
      <c r="W65" s="372">
        <f t="shared" si="6"/>
        <v>2650.6024736842105</v>
      </c>
      <c r="X65" s="372">
        <f t="shared" si="7"/>
        <v>0</v>
      </c>
      <c r="Y65" s="372">
        <f>($K65*'FACTORES FIJOS'!$B$10)</f>
        <v>28.571428571428573</v>
      </c>
      <c r="Z65" s="372">
        <f>($K$4-(3*'FACTORES FIJOS'!$F$3))*'FACTORES FIJOS'!$D$10</f>
        <v>-0.45663157894736855</v>
      </c>
      <c r="AA65" s="372">
        <f>($K65*'FACTORES FIJOS'!$F$10)</f>
        <v>28.571428571428573</v>
      </c>
      <c r="AB65" s="372">
        <f>($K65*'FACTORES FIJOS'!$H$10)</f>
        <v>14.285714285714286</v>
      </c>
      <c r="AC65" s="372">
        <f>($K65*'FACTORES FIJOS'!$J$10)</f>
        <v>14.285714285714286</v>
      </c>
      <c r="AD65" s="372">
        <f t="shared" si="8"/>
        <v>596.80357894736846</v>
      </c>
    </row>
    <row r="66" spans="1:30">
      <c r="A66" s="343">
        <f t="shared" si="9"/>
        <v>63</v>
      </c>
      <c r="B66" s="344" t="s">
        <v>626</v>
      </c>
      <c r="C66" s="333" t="s">
        <v>509</v>
      </c>
      <c r="D66" s="334" t="s">
        <v>218</v>
      </c>
      <c r="E66" s="334" t="s">
        <v>506</v>
      </c>
      <c r="F66" s="343" t="s">
        <v>620</v>
      </c>
      <c r="G66" s="343">
        <v>7</v>
      </c>
      <c r="H66" s="342">
        <v>4000</v>
      </c>
      <c r="I66" s="341">
        <f t="shared" si="0"/>
        <v>2000</v>
      </c>
      <c r="J66" s="345"/>
      <c r="K66" s="372">
        <f t="shared" si="1"/>
        <v>285.71428571428572</v>
      </c>
      <c r="L66" s="372">
        <f>($I66/$G66)*'FACTORES FIJOS'!$B$3</f>
        <v>8685.7142857142862</v>
      </c>
      <c r="M66" s="373">
        <f>IF($G66='FACTORES FIJOS'!$D$5,VLOOKUP($L66,'TABLA QUINCENAL'!$B$6:$F$16,4,TRUE),IF($G66='FACTORES FIJOS'!$D$3,VLOOKUP($L66,'TABLA QUINCENAL'!$B$6:$F$16,4,TRUE),"FALSO"))</f>
        <v>0.21360000000000001</v>
      </c>
      <c r="N66" s="374">
        <f>VLOOKUP($L66,'TABLA QUINCENAL'!$B$6:$F$16,1,TRUE)</f>
        <v>5081.41</v>
      </c>
      <c r="O66" s="374">
        <f>VLOOKUP($L66,'TABLA QUINCENAL'!$B$6:$F$16,2,TRUE)</f>
        <v>10248.450000000001</v>
      </c>
      <c r="P66" s="372">
        <f t="shared" si="2"/>
        <v>3604.3042857142864</v>
      </c>
      <c r="Q66" s="372">
        <f t="shared" si="3"/>
        <v>769.87939542857157</v>
      </c>
      <c r="R66" s="374">
        <f>VLOOKUP($L66,'TABLA QUINCENAL'!$B$6:$F$16,3,TRUE)</f>
        <v>538.20000000000005</v>
      </c>
      <c r="S66" s="372">
        <f t="shared" si="4"/>
        <v>1308.0793954285716</v>
      </c>
      <c r="T66" s="372">
        <f>$S66/'FACTORES FIJOS'!$B$3*CELAYA!$G66</f>
        <v>301.20249236842108</v>
      </c>
      <c r="U66" s="372">
        <f>IFERROR((VLOOKUP($L66,'TABLA QUINCENAL'!$G$6:$I$16,3,TRUE)/'FACTORES FIJOS'!$B$3)*$G66,"ERROR")</f>
        <v>0</v>
      </c>
      <c r="V66" s="372">
        <f t="shared" si="5"/>
        <v>301.20249236842108</v>
      </c>
      <c r="W66" s="372">
        <f t="shared" si="6"/>
        <v>301.20249236842108</v>
      </c>
      <c r="X66" s="372">
        <f t="shared" si="7"/>
        <v>0</v>
      </c>
      <c r="Y66" s="372">
        <f>($K66*'FACTORES FIJOS'!$B$10)</f>
        <v>5.7142857142857144</v>
      </c>
      <c r="Z66" s="372">
        <f>($K$4-(3*'FACTORES FIJOS'!$F$3))*'FACTORES FIJOS'!$D$10</f>
        <v>-0.45663157894736855</v>
      </c>
      <c r="AA66" s="372">
        <f>($K66*'FACTORES FIJOS'!$F$10)</f>
        <v>5.7142857142857144</v>
      </c>
      <c r="AB66" s="372">
        <f>($K66*'FACTORES FIJOS'!$H$10)</f>
        <v>2.8571428571428572</v>
      </c>
      <c r="AC66" s="372">
        <f>($K66*'FACTORES FIJOS'!$J$10)</f>
        <v>2.8571428571428572</v>
      </c>
      <c r="AD66" s="372">
        <f t="shared" si="8"/>
        <v>116.80357894736844</v>
      </c>
    </row>
    <row r="67" spans="1:30">
      <c r="A67" s="343">
        <f t="shared" si="9"/>
        <v>64</v>
      </c>
      <c r="B67" s="344" t="s">
        <v>626</v>
      </c>
      <c r="C67" s="333" t="s">
        <v>510</v>
      </c>
      <c r="D67" s="334" t="s">
        <v>218</v>
      </c>
      <c r="E67" s="334" t="s">
        <v>506</v>
      </c>
      <c r="F67" s="343" t="s">
        <v>620</v>
      </c>
      <c r="G67" s="343">
        <v>7</v>
      </c>
      <c r="H67" s="342">
        <v>4000</v>
      </c>
      <c r="I67" s="341">
        <f t="shared" si="0"/>
        <v>2000</v>
      </c>
      <c r="J67" s="345"/>
      <c r="K67" s="372">
        <f t="shared" si="1"/>
        <v>285.71428571428572</v>
      </c>
      <c r="L67" s="372">
        <f>($I67/$G67)*'FACTORES FIJOS'!$B$3</f>
        <v>8685.7142857142862</v>
      </c>
      <c r="M67" s="373">
        <f>IF($G67='FACTORES FIJOS'!$D$5,VLOOKUP($L67,'TABLA QUINCENAL'!$B$6:$F$16,4,TRUE),IF($G67='FACTORES FIJOS'!$D$3,VLOOKUP($L67,'TABLA QUINCENAL'!$B$6:$F$16,4,TRUE),"FALSO"))</f>
        <v>0.21360000000000001</v>
      </c>
      <c r="N67" s="374">
        <f>VLOOKUP($L67,'TABLA QUINCENAL'!$B$6:$F$16,1,TRUE)</f>
        <v>5081.41</v>
      </c>
      <c r="O67" s="374">
        <f>VLOOKUP($L67,'TABLA QUINCENAL'!$B$6:$F$16,2,TRUE)</f>
        <v>10248.450000000001</v>
      </c>
      <c r="P67" s="372">
        <f t="shared" si="2"/>
        <v>3604.3042857142864</v>
      </c>
      <c r="Q67" s="372">
        <f t="shared" si="3"/>
        <v>769.87939542857157</v>
      </c>
      <c r="R67" s="374">
        <f>VLOOKUP($L67,'TABLA QUINCENAL'!$B$6:$F$16,3,TRUE)</f>
        <v>538.20000000000005</v>
      </c>
      <c r="S67" s="372">
        <f t="shared" si="4"/>
        <v>1308.0793954285716</v>
      </c>
      <c r="T67" s="372">
        <f>$S67/'FACTORES FIJOS'!$B$3*CELAYA!$G67</f>
        <v>301.20249236842108</v>
      </c>
      <c r="U67" s="372">
        <f>IFERROR((VLOOKUP($L67,'TABLA QUINCENAL'!$G$6:$I$16,3,TRUE)/'FACTORES FIJOS'!$B$3)*$G67,"ERROR")</f>
        <v>0</v>
      </c>
      <c r="V67" s="372">
        <f t="shared" si="5"/>
        <v>301.20249236842108</v>
      </c>
      <c r="W67" s="372">
        <f t="shared" si="6"/>
        <v>301.20249236842108</v>
      </c>
      <c r="X67" s="372">
        <f t="shared" si="7"/>
        <v>0</v>
      </c>
      <c r="Y67" s="372">
        <f>($K67*'FACTORES FIJOS'!$B$10)</f>
        <v>5.7142857142857144</v>
      </c>
      <c r="Z67" s="372">
        <f>($K$4-(3*'FACTORES FIJOS'!$F$3))*'FACTORES FIJOS'!$D$10</f>
        <v>-0.45663157894736855</v>
      </c>
      <c r="AA67" s="372">
        <f>($K67*'FACTORES FIJOS'!$F$10)</f>
        <v>5.7142857142857144</v>
      </c>
      <c r="AB67" s="372">
        <f>($K67*'FACTORES FIJOS'!$H$10)</f>
        <v>2.8571428571428572</v>
      </c>
      <c r="AC67" s="372">
        <f>($K67*'FACTORES FIJOS'!$J$10)</f>
        <v>2.8571428571428572</v>
      </c>
      <c r="AD67" s="372">
        <f t="shared" si="8"/>
        <v>116.80357894736844</v>
      </c>
    </row>
    <row r="68" spans="1:30">
      <c r="A68" s="343">
        <f t="shared" si="9"/>
        <v>65</v>
      </c>
      <c r="B68" s="344" t="s">
        <v>626</v>
      </c>
      <c r="C68" s="333" t="s">
        <v>511</v>
      </c>
      <c r="D68" s="334" t="s">
        <v>218</v>
      </c>
      <c r="E68" s="334" t="s">
        <v>506</v>
      </c>
      <c r="F68" s="343" t="s">
        <v>620</v>
      </c>
      <c r="G68" s="343">
        <v>7</v>
      </c>
      <c r="H68" s="342">
        <v>4000</v>
      </c>
      <c r="I68" s="341">
        <f t="shared" si="0"/>
        <v>2000</v>
      </c>
      <c r="J68" s="345"/>
      <c r="K68" s="372">
        <f t="shared" si="1"/>
        <v>285.71428571428572</v>
      </c>
      <c r="L68" s="372">
        <f>($I68/$G68)*'FACTORES FIJOS'!$B$3</f>
        <v>8685.7142857142862</v>
      </c>
      <c r="M68" s="373">
        <f>IF($G68='FACTORES FIJOS'!$D$5,VLOOKUP($L68,'TABLA QUINCENAL'!$B$6:$F$16,4,TRUE),IF($G68='FACTORES FIJOS'!$D$3,VLOOKUP($L68,'TABLA QUINCENAL'!$B$6:$F$16,4,TRUE),"FALSO"))</f>
        <v>0.21360000000000001</v>
      </c>
      <c r="N68" s="374">
        <f>VLOOKUP($L68,'TABLA QUINCENAL'!$B$6:$F$16,1,TRUE)</f>
        <v>5081.41</v>
      </c>
      <c r="O68" s="374">
        <f>VLOOKUP($L68,'TABLA QUINCENAL'!$B$6:$F$16,2,TRUE)</f>
        <v>10248.450000000001</v>
      </c>
      <c r="P68" s="372">
        <f t="shared" si="2"/>
        <v>3604.3042857142864</v>
      </c>
      <c r="Q68" s="372">
        <f t="shared" si="3"/>
        <v>769.87939542857157</v>
      </c>
      <c r="R68" s="374">
        <f>VLOOKUP($L68,'TABLA QUINCENAL'!$B$6:$F$16,3,TRUE)</f>
        <v>538.20000000000005</v>
      </c>
      <c r="S68" s="372">
        <f t="shared" si="4"/>
        <v>1308.0793954285716</v>
      </c>
      <c r="T68" s="372">
        <f>$S68/'FACTORES FIJOS'!$B$3*CELAYA!$G68</f>
        <v>301.20249236842108</v>
      </c>
      <c r="U68" s="372">
        <f>IFERROR((VLOOKUP($L68,'TABLA QUINCENAL'!$G$6:$I$16,3,TRUE)/'FACTORES FIJOS'!$B$3)*$G68,"ERROR")</f>
        <v>0</v>
      </c>
      <c r="V68" s="372">
        <f t="shared" si="5"/>
        <v>301.20249236842108</v>
      </c>
      <c r="W68" s="372">
        <f t="shared" si="6"/>
        <v>301.20249236842108</v>
      </c>
      <c r="X68" s="372">
        <f t="shared" si="7"/>
        <v>0</v>
      </c>
      <c r="Y68" s="372">
        <f>($K68*'FACTORES FIJOS'!$B$10)</f>
        <v>5.7142857142857144</v>
      </c>
      <c r="Z68" s="372">
        <f>($K$4-(3*'FACTORES FIJOS'!$F$3))*'FACTORES FIJOS'!$D$10</f>
        <v>-0.45663157894736855</v>
      </c>
      <c r="AA68" s="372">
        <f>($K68*'FACTORES FIJOS'!$F$10)</f>
        <v>5.7142857142857144</v>
      </c>
      <c r="AB68" s="372">
        <f>($K68*'FACTORES FIJOS'!$H$10)</f>
        <v>2.8571428571428572</v>
      </c>
      <c r="AC68" s="372">
        <f>($K68*'FACTORES FIJOS'!$J$10)</f>
        <v>2.8571428571428572</v>
      </c>
      <c r="AD68" s="372">
        <f t="shared" si="8"/>
        <v>116.80357894736844</v>
      </c>
    </row>
    <row r="69" spans="1:30">
      <c r="A69" s="343">
        <f t="shared" si="9"/>
        <v>66</v>
      </c>
      <c r="B69" s="344" t="s">
        <v>626</v>
      </c>
      <c r="C69" s="333" t="s">
        <v>517</v>
      </c>
      <c r="D69" s="334" t="s">
        <v>218</v>
      </c>
      <c r="E69" s="334" t="s">
        <v>506</v>
      </c>
      <c r="F69" s="343" t="s">
        <v>620</v>
      </c>
      <c r="G69" s="343">
        <v>7</v>
      </c>
      <c r="H69" s="342">
        <v>4000</v>
      </c>
      <c r="I69" s="341">
        <f t="shared" ref="I69:I86" si="10">$K69*$G69</f>
        <v>2000</v>
      </c>
      <c r="J69" s="345"/>
      <c r="K69" s="372">
        <f t="shared" ref="K69:K86" si="11">IFERROR(IF($F69="BASE",($H69/2)/$G69,((H69/2)+J69)/G69),"ERROR")</f>
        <v>285.71428571428572</v>
      </c>
      <c r="L69" s="372">
        <f>($I69/$G69)*'FACTORES FIJOS'!$B$3</f>
        <v>8685.7142857142862</v>
      </c>
      <c r="M69" s="373">
        <f>IF($G69='FACTORES FIJOS'!$D$5,VLOOKUP($L69,'TABLA QUINCENAL'!$B$6:$F$16,4,TRUE),IF($G69='FACTORES FIJOS'!$D$3,VLOOKUP($L69,'TABLA QUINCENAL'!$B$6:$F$16,4,TRUE),"FALSO"))</f>
        <v>0.21360000000000001</v>
      </c>
      <c r="N69" s="374">
        <f>VLOOKUP($L69,'TABLA QUINCENAL'!$B$6:$F$16,1,TRUE)</f>
        <v>5081.41</v>
      </c>
      <c r="O69" s="374">
        <f>VLOOKUP($L69,'TABLA QUINCENAL'!$B$6:$F$16,2,TRUE)</f>
        <v>10248.450000000001</v>
      </c>
      <c r="P69" s="372">
        <f t="shared" ref="P69:P86" si="12">$L69-$N69</f>
        <v>3604.3042857142864</v>
      </c>
      <c r="Q69" s="372">
        <f t="shared" ref="Q69:Q86" si="13">$P69*$M69</f>
        <v>769.87939542857157</v>
      </c>
      <c r="R69" s="374">
        <f>VLOOKUP($L69,'TABLA QUINCENAL'!$B$6:$F$16,3,TRUE)</f>
        <v>538.20000000000005</v>
      </c>
      <c r="S69" s="372">
        <f t="shared" ref="S69:S86" si="14">$Q69+$R69</f>
        <v>1308.0793954285716</v>
      </c>
      <c r="T69" s="372">
        <f>$S69/'FACTORES FIJOS'!$B$3*CELAYA!$G69</f>
        <v>301.20249236842108</v>
      </c>
      <c r="U69" s="372">
        <f>IFERROR((VLOOKUP($L69,'TABLA QUINCENAL'!$G$6:$I$16,3,TRUE)/'FACTORES FIJOS'!$B$3)*$G69,"ERROR")</f>
        <v>0</v>
      </c>
      <c r="V69" s="372">
        <f t="shared" ref="V69:V86" si="15">$T69-$U69</f>
        <v>301.20249236842108</v>
      </c>
      <c r="W69" s="372">
        <f t="shared" ref="W69:W86" si="16">IF($V69&gt;=0,$V69,0)</f>
        <v>301.20249236842108</v>
      </c>
      <c r="X69" s="372">
        <f t="shared" ref="X69:X86" si="17">IF($V69&lt;0,$V69*(-1),0)</f>
        <v>0</v>
      </c>
      <c r="Y69" s="372">
        <f>($K69*'FACTORES FIJOS'!$B$10)</f>
        <v>5.7142857142857144</v>
      </c>
      <c r="Z69" s="372">
        <f>($K$4-(3*'FACTORES FIJOS'!$F$3))*'FACTORES FIJOS'!$D$10</f>
        <v>-0.45663157894736855</v>
      </c>
      <c r="AA69" s="372">
        <f>($K69*'FACTORES FIJOS'!$F$10)</f>
        <v>5.7142857142857144</v>
      </c>
      <c r="AB69" s="372">
        <f>($K69*'FACTORES FIJOS'!$H$10)</f>
        <v>2.8571428571428572</v>
      </c>
      <c r="AC69" s="372">
        <f>($K69*'FACTORES FIJOS'!$J$10)</f>
        <v>2.8571428571428572</v>
      </c>
      <c r="AD69" s="372">
        <f t="shared" ref="AD69:AD86" si="18">SUM($Y69:$AC69)*(ROUNDDOWN($G69,0))</f>
        <v>116.80357894736844</v>
      </c>
    </row>
    <row r="70" spans="1:30">
      <c r="A70" s="343">
        <f t="shared" ref="A70:A85" si="19">A69+1</f>
        <v>67</v>
      </c>
      <c r="B70" s="344" t="s">
        <v>626</v>
      </c>
      <c r="C70" s="333" t="s">
        <v>520</v>
      </c>
      <c r="D70" s="334" t="s">
        <v>218</v>
      </c>
      <c r="E70" s="334" t="s">
        <v>506</v>
      </c>
      <c r="F70" s="343" t="s">
        <v>620</v>
      </c>
      <c r="G70" s="343">
        <v>7</v>
      </c>
      <c r="H70" s="342">
        <v>4000</v>
      </c>
      <c r="I70" s="341">
        <f t="shared" si="10"/>
        <v>2000</v>
      </c>
      <c r="J70" s="345"/>
      <c r="K70" s="372">
        <f t="shared" si="11"/>
        <v>285.71428571428572</v>
      </c>
      <c r="L70" s="372">
        <f>($I70/$G70)*'FACTORES FIJOS'!$B$3</f>
        <v>8685.7142857142862</v>
      </c>
      <c r="M70" s="373">
        <f>IF($G70='FACTORES FIJOS'!$D$5,VLOOKUP($L70,'TABLA QUINCENAL'!$B$6:$F$16,4,TRUE),IF($G70='FACTORES FIJOS'!$D$3,VLOOKUP($L70,'TABLA QUINCENAL'!$B$6:$F$16,4,TRUE),"FALSO"))</f>
        <v>0.21360000000000001</v>
      </c>
      <c r="N70" s="374">
        <f>VLOOKUP($L70,'TABLA QUINCENAL'!$B$6:$F$16,1,TRUE)</f>
        <v>5081.41</v>
      </c>
      <c r="O70" s="374">
        <f>VLOOKUP($L70,'TABLA QUINCENAL'!$B$6:$F$16,2,TRUE)</f>
        <v>10248.450000000001</v>
      </c>
      <c r="P70" s="372">
        <f t="shared" si="12"/>
        <v>3604.3042857142864</v>
      </c>
      <c r="Q70" s="372">
        <f t="shared" si="13"/>
        <v>769.87939542857157</v>
      </c>
      <c r="R70" s="374">
        <f>VLOOKUP($L70,'TABLA QUINCENAL'!$B$6:$F$16,3,TRUE)</f>
        <v>538.20000000000005</v>
      </c>
      <c r="S70" s="372">
        <f t="shared" si="14"/>
        <v>1308.0793954285716</v>
      </c>
      <c r="T70" s="372">
        <f>$S70/'FACTORES FIJOS'!$B$3*CELAYA!$G70</f>
        <v>301.20249236842108</v>
      </c>
      <c r="U70" s="372">
        <f>IFERROR((VLOOKUP($L70,'TABLA QUINCENAL'!$G$6:$I$16,3,TRUE)/'FACTORES FIJOS'!$B$3)*$G70,"ERROR")</f>
        <v>0</v>
      </c>
      <c r="V70" s="372">
        <f t="shared" si="15"/>
        <v>301.20249236842108</v>
      </c>
      <c r="W70" s="372">
        <f t="shared" si="16"/>
        <v>301.20249236842108</v>
      </c>
      <c r="X70" s="372">
        <f t="shared" si="17"/>
        <v>0</v>
      </c>
      <c r="Y70" s="372">
        <f>($K70*'FACTORES FIJOS'!$B$10)</f>
        <v>5.7142857142857144</v>
      </c>
      <c r="Z70" s="372">
        <f>($K$4-(3*'FACTORES FIJOS'!$F$3))*'FACTORES FIJOS'!$D$10</f>
        <v>-0.45663157894736855</v>
      </c>
      <c r="AA70" s="372">
        <f>($K70*'FACTORES FIJOS'!$F$10)</f>
        <v>5.7142857142857144</v>
      </c>
      <c r="AB70" s="372">
        <f>($K70*'FACTORES FIJOS'!$H$10)</f>
        <v>2.8571428571428572</v>
      </c>
      <c r="AC70" s="372">
        <f>($K70*'FACTORES FIJOS'!$J$10)</f>
        <v>2.8571428571428572</v>
      </c>
      <c r="AD70" s="372">
        <f t="shared" si="18"/>
        <v>116.80357894736844</v>
      </c>
    </row>
    <row r="71" spans="1:30">
      <c r="A71" s="343">
        <f t="shared" si="19"/>
        <v>68</v>
      </c>
      <c r="B71" s="344" t="s">
        <v>626</v>
      </c>
      <c r="C71" s="333" t="s">
        <v>521</v>
      </c>
      <c r="D71" s="334" t="s">
        <v>218</v>
      </c>
      <c r="E71" s="334" t="s">
        <v>506</v>
      </c>
      <c r="F71" s="343" t="s">
        <v>620</v>
      </c>
      <c r="G71" s="343">
        <v>7</v>
      </c>
      <c r="H71" s="342">
        <v>4000</v>
      </c>
      <c r="I71" s="341">
        <f t="shared" si="10"/>
        <v>2000</v>
      </c>
      <c r="J71" s="345"/>
      <c r="K71" s="372">
        <f t="shared" si="11"/>
        <v>285.71428571428572</v>
      </c>
      <c r="L71" s="372">
        <f>($I71/$G71)*'FACTORES FIJOS'!$B$3</f>
        <v>8685.7142857142862</v>
      </c>
      <c r="M71" s="373">
        <f>IF($G71='FACTORES FIJOS'!$D$5,VLOOKUP($L71,'TABLA QUINCENAL'!$B$6:$F$16,4,TRUE),IF($G71='FACTORES FIJOS'!$D$3,VLOOKUP($L71,'TABLA QUINCENAL'!$B$6:$F$16,4,TRUE),"FALSO"))</f>
        <v>0.21360000000000001</v>
      </c>
      <c r="N71" s="374">
        <f>VLOOKUP($L71,'TABLA QUINCENAL'!$B$6:$F$16,1,TRUE)</f>
        <v>5081.41</v>
      </c>
      <c r="O71" s="374">
        <f>VLOOKUP($L71,'TABLA QUINCENAL'!$B$6:$F$16,2,TRUE)</f>
        <v>10248.450000000001</v>
      </c>
      <c r="P71" s="372">
        <f t="shared" si="12"/>
        <v>3604.3042857142864</v>
      </c>
      <c r="Q71" s="372">
        <f t="shared" si="13"/>
        <v>769.87939542857157</v>
      </c>
      <c r="R71" s="374">
        <f>VLOOKUP($L71,'TABLA QUINCENAL'!$B$6:$F$16,3,TRUE)</f>
        <v>538.20000000000005</v>
      </c>
      <c r="S71" s="372">
        <f t="shared" si="14"/>
        <v>1308.0793954285716</v>
      </c>
      <c r="T71" s="372">
        <f>$S71/'FACTORES FIJOS'!$B$3*CELAYA!$G71</f>
        <v>301.20249236842108</v>
      </c>
      <c r="U71" s="372">
        <f>IFERROR((VLOOKUP($L71,'TABLA QUINCENAL'!$G$6:$I$16,3,TRUE)/'FACTORES FIJOS'!$B$3)*$G71,"ERROR")</f>
        <v>0</v>
      </c>
      <c r="V71" s="372">
        <f t="shared" si="15"/>
        <v>301.20249236842108</v>
      </c>
      <c r="W71" s="372">
        <f t="shared" si="16"/>
        <v>301.20249236842108</v>
      </c>
      <c r="X71" s="372">
        <f t="shared" si="17"/>
        <v>0</v>
      </c>
      <c r="Y71" s="372">
        <f>($K71*'FACTORES FIJOS'!$B$10)</f>
        <v>5.7142857142857144</v>
      </c>
      <c r="Z71" s="372">
        <f>($K$4-(3*'FACTORES FIJOS'!$F$3))*'FACTORES FIJOS'!$D$10</f>
        <v>-0.45663157894736855</v>
      </c>
      <c r="AA71" s="372">
        <f>($K71*'FACTORES FIJOS'!$F$10)</f>
        <v>5.7142857142857144</v>
      </c>
      <c r="AB71" s="372">
        <f>($K71*'FACTORES FIJOS'!$H$10)</f>
        <v>2.8571428571428572</v>
      </c>
      <c r="AC71" s="372">
        <f>($K71*'FACTORES FIJOS'!$J$10)</f>
        <v>2.8571428571428572</v>
      </c>
      <c r="AD71" s="372">
        <f t="shared" si="18"/>
        <v>116.80357894736844</v>
      </c>
    </row>
    <row r="72" spans="1:30">
      <c r="A72" s="343">
        <f t="shared" si="19"/>
        <v>69</v>
      </c>
      <c r="B72" s="344" t="s">
        <v>626</v>
      </c>
      <c r="C72" s="333" t="s">
        <v>522</v>
      </c>
      <c r="D72" s="333" t="s">
        <v>218</v>
      </c>
      <c r="E72" s="333" t="s">
        <v>506</v>
      </c>
      <c r="F72" s="343" t="s">
        <v>620</v>
      </c>
      <c r="G72" s="343">
        <v>7</v>
      </c>
      <c r="H72" s="342">
        <v>4000</v>
      </c>
      <c r="I72" s="341">
        <f t="shared" si="10"/>
        <v>2000</v>
      </c>
      <c r="J72" s="345"/>
      <c r="K72" s="372">
        <f t="shared" si="11"/>
        <v>285.71428571428572</v>
      </c>
      <c r="L72" s="372">
        <f>($I72/$G72)*'FACTORES FIJOS'!$B$3</f>
        <v>8685.7142857142862</v>
      </c>
      <c r="M72" s="373">
        <f>IF($G72='FACTORES FIJOS'!$D$5,VLOOKUP($L72,'TABLA QUINCENAL'!$B$6:$F$16,4,TRUE),IF($G72='FACTORES FIJOS'!$D$3,VLOOKUP($L72,'TABLA QUINCENAL'!$B$6:$F$16,4,TRUE),"FALSO"))</f>
        <v>0.21360000000000001</v>
      </c>
      <c r="N72" s="374">
        <f>VLOOKUP($L72,'TABLA QUINCENAL'!$B$6:$F$16,1,TRUE)</f>
        <v>5081.41</v>
      </c>
      <c r="O72" s="374">
        <f>VLOOKUP($L72,'TABLA QUINCENAL'!$B$6:$F$16,2,TRUE)</f>
        <v>10248.450000000001</v>
      </c>
      <c r="P72" s="372">
        <f t="shared" si="12"/>
        <v>3604.3042857142864</v>
      </c>
      <c r="Q72" s="372">
        <f t="shared" si="13"/>
        <v>769.87939542857157</v>
      </c>
      <c r="R72" s="374">
        <f>VLOOKUP($L72,'TABLA QUINCENAL'!$B$6:$F$16,3,TRUE)</f>
        <v>538.20000000000005</v>
      </c>
      <c r="S72" s="372">
        <f t="shared" si="14"/>
        <v>1308.0793954285716</v>
      </c>
      <c r="T72" s="372">
        <f>$S72/'FACTORES FIJOS'!$B$3*CELAYA!$G72</f>
        <v>301.20249236842108</v>
      </c>
      <c r="U72" s="372">
        <f>IFERROR((VLOOKUP($L72,'TABLA QUINCENAL'!$G$6:$I$16,3,TRUE)/'FACTORES FIJOS'!$B$3)*$G72,"ERROR")</f>
        <v>0</v>
      </c>
      <c r="V72" s="372">
        <f t="shared" si="15"/>
        <v>301.20249236842108</v>
      </c>
      <c r="W72" s="372">
        <f t="shared" si="16"/>
        <v>301.20249236842108</v>
      </c>
      <c r="X72" s="372">
        <f t="shared" si="17"/>
        <v>0</v>
      </c>
      <c r="Y72" s="372">
        <f>($K72*'FACTORES FIJOS'!$B$10)</f>
        <v>5.7142857142857144</v>
      </c>
      <c r="Z72" s="372">
        <f>($K$4-(3*'FACTORES FIJOS'!$F$3))*'FACTORES FIJOS'!$D$10</f>
        <v>-0.45663157894736855</v>
      </c>
      <c r="AA72" s="372">
        <f>($K72*'FACTORES FIJOS'!$F$10)</f>
        <v>5.7142857142857144</v>
      </c>
      <c r="AB72" s="372">
        <f>($K72*'FACTORES FIJOS'!$H$10)</f>
        <v>2.8571428571428572</v>
      </c>
      <c r="AC72" s="372">
        <f>($K72*'FACTORES FIJOS'!$J$10)</f>
        <v>2.8571428571428572</v>
      </c>
      <c r="AD72" s="372">
        <f t="shared" si="18"/>
        <v>116.80357894736844</v>
      </c>
    </row>
    <row r="73" spans="1:30">
      <c r="A73" s="343">
        <f t="shared" si="19"/>
        <v>70</v>
      </c>
      <c r="B73" s="344" t="s">
        <v>626</v>
      </c>
      <c r="C73" s="333" t="s">
        <v>524</v>
      </c>
      <c r="D73" s="333" t="s">
        <v>218</v>
      </c>
      <c r="E73" s="333" t="s">
        <v>506</v>
      </c>
      <c r="F73" s="343" t="s">
        <v>620</v>
      </c>
      <c r="G73" s="343">
        <v>7</v>
      </c>
      <c r="H73" s="342">
        <v>4000</v>
      </c>
      <c r="I73" s="341">
        <f t="shared" si="10"/>
        <v>2000</v>
      </c>
      <c r="J73" s="345"/>
      <c r="K73" s="372">
        <f t="shared" si="11"/>
        <v>285.71428571428572</v>
      </c>
      <c r="L73" s="372">
        <f>($I73/$G73)*'FACTORES FIJOS'!$B$3</f>
        <v>8685.7142857142862</v>
      </c>
      <c r="M73" s="373">
        <f>IF($G73='FACTORES FIJOS'!$D$5,VLOOKUP($L73,'TABLA QUINCENAL'!$B$6:$F$16,4,TRUE),IF($G73='FACTORES FIJOS'!$D$3,VLOOKUP($L73,'TABLA QUINCENAL'!$B$6:$F$16,4,TRUE),"FALSO"))</f>
        <v>0.21360000000000001</v>
      </c>
      <c r="N73" s="374">
        <f>VLOOKUP($L73,'TABLA QUINCENAL'!$B$6:$F$16,1,TRUE)</f>
        <v>5081.41</v>
      </c>
      <c r="O73" s="374">
        <f>VLOOKUP($L73,'TABLA QUINCENAL'!$B$6:$F$16,2,TRUE)</f>
        <v>10248.450000000001</v>
      </c>
      <c r="P73" s="372">
        <f t="shared" si="12"/>
        <v>3604.3042857142864</v>
      </c>
      <c r="Q73" s="372">
        <f t="shared" si="13"/>
        <v>769.87939542857157</v>
      </c>
      <c r="R73" s="374">
        <f>VLOOKUP($L73,'TABLA QUINCENAL'!$B$6:$F$16,3,TRUE)</f>
        <v>538.20000000000005</v>
      </c>
      <c r="S73" s="372">
        <f t="shared" si="14"/>
        <v>1308.0793954285716</v>
      </c>
      <c r="T73" s="372">
        <f>$S73/'FACTORES FIJOS'!$B$3*CELAYA!$G73</f>
        <v>301.20249236842108</v>
      </c>
      <c r="U73" s="372">
        <f>IFERROR((VLOOKUP($L73,'TABLA QUINCENAL'!$G$6:$I$16,3,TRUE)/'FACTORES FIJOS'!$B$3)*$G73,"ERROR")</f>
        <v>0</v>
      </c>
      <c r="V73" s="372">
        <f t="shared" si="15"/>
        <v>301.20249236842108</v>
      </c>
      <c r="W73" s="372">
        <f t="shared" si="16"/>
        <v>301.20249236842108</v>
      </c>
      <c r="X73" s="372">
        <f t="shared" si="17"/>
        <v>0</v>
      </c>
      <c r="Y73" s="372">
        <f>($K73*'FACTORES FIJOS'!$B$10)</f>
        <v>5.7142857142857144</v>
      </c>
      <c r="Z73" s="372">
        <f>($K$4-(3*'FACTORES FIJOS'!$F$3))*'FACTORES FIJOS'!$D$10</f>
        <v>-0.45663157894736855</v>
      </c>
      <c r="AA73" s="372">
        <f>($K73*'FACTORES FIJOS'!$F$10)</f>
        <v>5.7142857142857144</v>
      </c>
      <c r="AB73" s="372">
        <f>($K73*'FACTORES FIJOS'!$H$10)</f>
        <v>2.8571428571428572</v>
      </c>
      <c r="AC73" s="372">
        <f>($K73*'FACTORES FIJOS'!$J$10)</f>
        <v>2.8571428571428572</v>
      </c>
      <c r="AD73" s="372">
        <f t="shared" si="18"/>
        <v>116.80357894736844</v>
      </c>
    </row>
    <row r="74" spans="1:30">
      <c r="A74" s="343">
        <f t="shared" si="19"/>
        <v>71</v>
      </c>
      <c r="B74" s="344" t="s">
        <v>626</v>
      </c>
      <c r="C74" s="333" t="s">
        <v>525</v>
      </c>
      <c r="D74" s="333" t="s">
        <v>218</v>
      </c>
      <c r="E74" s="333" t="s">
        <v>506</v>
      </c>
      <c r="F74" s="343" t="s">
        <v>620</v>
      </c>
      <c r="G74" s="343">
        <v>7</v>
      </c>
      <c r="H74" s="342">
        <v>4000</v>
      </c>
      <c r="I74" s="341">
        <f t="shared" si="10"/>
        <v>2000</v>
      </c>
      <c r="J74" s="345"/>
      <c r="K74" s="372">
        <f t="shared" si="11"/>
        <v>285.71428571428572</v>
      </c>
      <c r="L74" s="372">
        <f>($I74/$G74)*'FACTORES FIJOS'!$B$3</f>
        <v>8685.7142857142862</v>
      </c>
      <c r="M74" s="373">
        <f>IF($G74='FACTORES FIJOS'!$D$5,VLOOKUP($L74,'TABLA QUINCENAL'!$B$6:$F$16,4,TRUE),IF($G74='FACTORES FIJOS'!$D$3,VLOOKUP($L74,'TABLA QUINCENAL'!$B$6:$F$16,4,TRUE),"FALSO"))</f>
        <v>0.21360000000000001</v>
      </c>
      <c r="N74" s="374">
        <f>VLOOKUP($L74,'TABLA QUINCENAL'!$B$6:$F$16,1,TRUE)</f>
        <v>5081.41</v>
      </c>
      <c r="O74" s="374">
        <f>VLOOKUP($L74,'TABLA QUINCENAL'!$B$6:$F$16,2,TRUE)</f>
        <v>10248.450000000001</v>
      </c>
      <c r="P74" s="372">
        <f t="shared" si="12"/>
        <v>3604.3042857142864</v>
      </c>
      <c r="Q74" s="372">
        <f t="shared" si="13"/>
        <v>769.87939542857157</v>
      </c>
      <c r="R74" s="374">
        <f>VLOOKUP($L74,'TABLA QUINCENAL'!$B$6:$F$16,3,TRUE)</f>
        <v>538.20000000000005</v>
      </c>
      <c r="S74" s="372">
        <f t="shared" si="14"/>
        <v>1308.0793954285716</v>
      </c>
      <c r="T74" s="372">
        <f>$S74/'FACTORES FIJOS'!$B$3*CELAYA!$G74</f>
        <v>301.20249236842108</v>
      </c>
      <c r="U74" s="372">
        <f>IFERROR((VLOOKUP($L74,'TABLA QUINCENAL'!$G$6:$I$16,3,TRUE)/'FACTORES FIJOS'!$B$3)*$G74,"ERROR")</f>
        <v>0</v>
      </c>
      <c r="V74" s="372">
        <f t="shared" si="15"/>
        <v>301.20249236842108</v>
      </c>
      <c r="W74" s="372">
        <f t="shared" si="16"/>
        <v>301.20249236842108</v>
      </c>
      <c r="X74" s="372">
        <f t="shared" si="17"/>
        <v>0</v>
      </c>
      <c r="Y74" s="372">
        <f>($K74*'FACTORES FIJOS'!$B$10)</f>
        <v>5.7142857142857144</v>
      </c>
      <c r="Z74" s="372">
        <f>($K$4-(3*'FACTORES FIJOS'!$F$3))*'FACTORES FIJOS'!$D$10</f>
        <v>-0.45663157894736855</v>
      </c>
      <c r="AA74" s="372">
        <f>($K74*'FACTORES FIJOS'!$F$10)</f>
        <v>5.7142857142857144</v>
      </c>
      <c r="AB74" s="372">
        <f>($K74*'FACTORES FIJOS'!$H$10)</f>
        <v>2.8571428571428572</v>
      </c>
      <c r="AC74" s="372">
        <f>($K74*'FACTORES FIJOS'!$J$10)</f>
        <v>2.8571428571428572</v>
      </c>
      <c r="AD74" s="372">
        <f t="shared" si="18"/>
        <v>116.80357894736844</v>
      </c>
    </row>
    <row r="75" spans="1:30">
      <c r="A75" s="343">
        <f t="shared" si="19"/>
        <v>72</v>
      </c>
      <c r="B75" s="344" t="s">
        <v>626</v>
      </c>
      <c r="C75" s="333" t="s">
        <v>526</v>
      </c>
      <c r="D75" s="333" t="s">
        <v>218</v>
      </c>
      <c r="E75" s="333" t="s">
        <v>506</v>
      </c>
      <c r="F75" s="343" t="s">
        <v>620</v>
      </c>
      <c r="G75" s="343">
        <v>7</v>
      </c>
      <c r="H75" s="342">
        <v>4000</v>
      </c>
      <c r="I75" s="341">
        <f t="shared" si="10"/>
        <v>2000</v>
      </c>
      <c r="J75" s="345"/>
      <c r="K75" s="372">
        <f t="shared" si="11"/>
        <v>285.71428571428572</v>
      </c>
      <c r="L75" s="372">
        <f>($I75/$G75)*'FACTORES FIJOS'!$B$3</f>
        <v>8685.7142857142862</v>
      </c>
      <c r="M75" s="373">
        <f>IF($G75='FACTORES FIJOS'!$D$5,VLOOKUP($L75,'TABLA QUINCENAL'!$B$6:$F$16,4,TRUE),IF($G75='FACTORES FIJOS'!$D$3,VLOOKUP($L75,'TABLA QUINCENAL'!$B$6:$F$16,4,TRUE),"FALSO"))</f>
        <v>0.21360000000000001</v>
      </c>
      <c r="N75" s="374">
        <f>VLOOKUP($L75,'TABLA QUINCENAL'!$B$6:$F$16,1,TRUE)</f>
        <v>5081.41</v>
      </c>
      <c r="O75" s="374">
        <f>VLOOKUP($L75,'TABLA QUINCENAL'!$B$6:$F$16,2,TRUE)</f>
        <v>10248.450000000001</v>
      </c>
      <c r="P75" s="372">
        <f t="shared" si="12"/>
        <v>3604.3042857142864</v>
      </c>
      <c r="Q75" s="372">
        <f t="shared" si="13"/>
        <v>769.87939542857157</v>
      </c>
      <c r="R75" s="374">
        <f>VLOOKUP($L75,'TABLA QUINCENAL'!$B$6:$F$16,3,TRUE)</f>
        <v>538.20000000000005</v>
      </c>
      <c r="S75" s="372">
        <f t="shared" si="14"/>
        <v>1308.0793954285716</v>
      </c>
      <c r="T75" s="372">
        <f>$S75/'FACTORES FIJOS'!$B$3*CELAYA!$G75</f>
        <v>301.20249236842108</v>
      </c>
      <c r="U75" s="372">
        <f>IFERROR((VLOOKUP($L75,'TABLA QUINCENAL'!$G$6:$I$16,3,TRUE)/'FACTORES FIJOS'!$B$3)*$G75,"ERROR")</f>
        <v>0</v>
      </c>
      <c r="V75" s="372">
        <f t="shared" si="15"/>
        <v>301.20249236842108</v>
      </c>
      <c r="W75" s="372">
        <f t="shared" si="16"/>
        <v>301.20249236842108</v>
      </c>
      <c r="X75" s="372">
        <f t="shared" si="17"/>
        <v>0</v>
      </c>
      <c r="Y75" s="372">
        <f>($K75*'FACTORES FIJOS'!$B$10)</f>
        <v>5.7142857142857144</v>
      </c>
      <c r="Z75" s="372">
        <f>($K$4-(3*'FACTORES FIJOS'!$F$3))*'FACTORES FIJOS'!$D$10</f>
        <v>-0.45663157894736855</v>
      </c>
      <c r="AA75" s="372">
        <f>($K75*'FACTORES FIJOS'!$F$10)</f>
        <v>5.7142857142857144</v>
      </c>
      <c r="AB75" s="372">
        <f>($K75*'FACTORES FIJOS'!$H$10)</f>
        <v>2.8571428571428572</v>
      </c>
      <c r="AC75" s="372">
        <f>($K75*'FACTORES FIJOS'!$J$10)</f>
        <v>2.8571428571428572</v>
      </c>
      <c r="AD75" s="372">
        <f t="shared" si="18"/>
        <v>116.80357894736844</v>
      </c>
    </row>
    <row r="76" spans="1:30">
      <c r="A76" s="343">
        <f t="shared" si="19"/>
        <v>73</v>
      </c>
      <c r="B76" s="344" t="s">
        <v>626</v>
      </c>
      <c r="C76" s="333" t="s">
        <v>528</v>
      </c>
      <c r="D76" s="333" t="s">
        <v>218</v>
      </c>
      <c r="E76" s="333" t="s">
        <v>506</v>
      </c>
      <c r="F76" s="343" t="s">
        <v>620</v>
      </c>
      <c r="G76" s="343">
        <v>7</v>
      </c>
      <c r="H76" s="342">
        <v>4000</v>
      </c>
      <c r="I76" s="341">
        <f t="shared" si="10"/>
        <v>2000</v>
      </c>
      <c r="J76" s="345"/>
      <c r="K76" s="372">
        <f t="shared" si="11"/>
        <v>285.71428571428572</v>
      </c>
      <c r="L76" s="372">
        <f>($I76/$G76)*'FACTORES FIJOS'!$B$3</f>
        <v>8685.7142857142862</v>
      </c>
      <c r="M76" s="373">
        <f>IF($G76='FACTORES FIJOS'!$D$5,VLOOKUP($L76,'TABLA QUINCENAL'!$B$6:$F$16,4,TRUE),IF($G76='FACTORES FIJOS'!$D$3,VLOOKUP($L76,'TABLA QUINCENAL'!$B$6:$F$16,4,TRUE),"FALSO"))</f>
        <v>0.21360000000000001</v>
      </c>
      <c r="N76" s="374">
        <f>VLOOKUP($L76,'TABLA QUINCENAL'!$B$6:$F$16,1,TRUE)</f>
        <v>5081.41</v>
      </c>
      <c r="O76" s="374">
        <f>VLOOKUP($L76,'TABLA QUINCENAL'!$B$6:$F$16,2,TRUE)</f>
        <v>10248.450000000001</v>
      </c>
      <c r="P76" s="372">
        <f t="shared" si="12"/>
        <v>3604.3042857142864</v>
      </c>
      <c r="Q76" s="372">
        <f t="shared" si="13"/>
        <v>769.87939542857157</v>
      </c>
      <c r="R76" s="374">
        <f>VLOOKUP($L76,'TABLA QUINCENAL'!$B$6:$F$16,3,TRUE)</f>
        <v>538.20000000000005</v>
      </c>
      <c r="S76" s="372">
        <f t="shared" si="14"/>
        <v>1308.0793954285716</v>
      </c>
      <c r="T76" s="372">
        <f>$S76/'FACTORES FIJOS'!$B$3*CELAYA!$G76</f>
        <v>301.20249236842108</v>
      </c>
      <c r="U76" s="372">
        <f>IFERROR((VLOOKUP($L76,'TABLA QUINCENAL'!$G$6:$I$16,3,TRUE)/'FACTORES FIJOS'!$B$3)*$G76,"ERROR")</f>
        <v>0</v>
      </c>
      <c r="V76" s="372">
        <f t="shared" si="15"/>
        <v>301.20249236842108</v>
      </c>
      <c r="W76" s="372">
        <f t="shared" si="16"/>
        <v>301.20249236842108</v>
      </c>
      <c r="X76" s="372">
        <f t="shared" si="17"/>
        <v>0</v>
      </c>
      <c r="Y76" s="372">
        <f>($K76*'FACTORES FIJOS'!$B$10)</f>
        <v>5.7142857142857144</v>
      </c>
      <c r="Z76" s="372">
        <f>($K$4-(3*'FACTORES FIJOS'!$F$3))*'FACTORES FIJOS'!$D$10</f>
        <v>-0.45663157894736855</v>
      </c>
      <c r="AA76" s="372">
        <f>($K76*'FACTORES FIJOS'!$F$10)</f>
        <v>5.7142857142857144</v>
      </c>
      <c r="AB76" s="372">
        <f>($K76*'FACTORES FIJOS'!$H$10)</f>
        <v>2.8571428571428572</v>
      </c>
      <c r="AC76" s="372">
        <f>($K76*'FACTORES FIJOS'!$J$10)</f>
        <v>2.8571428571428572</v>
      </c>
      <c r="AD76" s="372">
        <f t="shared" si="18"/>
        <v>116.80357894736844</v>
      </c>
    </row>
    <row r="77" spans="1:30">
      <c r="A77" s="343">
        <f t="shared" si="19"/>
        <v>74</v>
      </c>
      <c r="B77" s="344" t="s">
        <v>626</v>
      </c>
      <c r="C77" s="333" t="s">
        <v>529</v>
      </c>
      <c r="D77" s="333" t="s">
        <v>218</v>
      </c>
      <c r="E77" s="333" t="s">
        <v>506</v>
      </c>
      <c r="F77" s="343" t="s">
        <v>620</v>
      </c>
      <c r="G77" s="343">
        <v>7</v>
      </c>
      <c r="H77" s="342">
        <v>4000</v>
      </c>
      <c r="I77" s="341">
        <f t="shared" si="10"/>
        <v>2000</v>
      </c>
      <c r="J77" s="345"/>
      <c r="K77" s="372">
        <f t="shared" si="11"/>
        <v>285.71428571428572</v>
      </c>
      <c r="L77" s="372">
        <f>($I77/$G77)*'FACTORES FIJOS'!$B$3</f>
        <v>8685.7142857142862</v>
      </c>
      <c r="M77" s="373">
        <f>IF($G77='FACTORES FIJOS'!$D$5,VLOOKUP($L77,'TABLA QUINCENAL'!$B$6:$F$16,4,TRUE),IF($G77='FACTORES FIJOS'!$D$3,VLOOKUP($L77,'TABLA QUINCENAL'!$B$6:$F$16,4,TRUE),"FALSO"))</f>
        <v>0.21360000000000001</v>
      </c>
      <c r="N77" s="374">
        <f>VLOOKUP($L77,'TABLA QUINCENAL'!$B$6:$F$16,1,TRUE)</f>
        <v>5081.41</v>
      </c>
      <c r="O77" s="374">
        <f>VLOOKUP($L77,'TABLA QUINCENAL'!$B$6:$F$16,2,TRUE)</f>
        <v>10248.450000000001</v>
      </c>
      <c r="P77" s="372">
        <f t="shared" si="12"/>
        <v>3604.3042857142864</v>
      </c>
      <c r="Q77" s="372">
        <f t="shared" si="13"/>
        <v>769.87939542857157</v>
      </c>
      <c r="R77" s="374">
        <f>VLOOKUP($L77,'TABLA QUINCENAL'!$B$6:$F$16,3,TRUE)</f>
        <v>538.20000000000005</v>
      </c>
      <c r="S77" s="372">
        <f t="shared" si="14"/>
        <v>1308.0793954285716</v>
      </c>
      <c r="T77" s="372">
        <f>$S77/'FACTORES FIJOS'!$B$3*CELAYA!$G77</f>
        <v>301.20249236842108</v>
      </c>
      <c r="U77" s="372">
        <f>IFERROR((VLOOKUP($L77,'TABLA QUINCENAL'!$G$6:$I$16,3,TRUE)/'FACTORES FIJOS'!$B$3)*$G77,"ERROR")</f>
        <v>0</v>
      </c>
      <c r="V77" s="372">
        <f t="shared" si="15"/>
        <v>301.20249236842108</v>
      </c>
      <c r="W77" s="372">
        <f t="shared" si="16"/>
        <v>301.20249236842108</v>
      </c>
      <c r="X77" s="372">
        <f t="shared" si="17"/>
        <v>0</v>
      </c>
      <c r="Y77" s="372">
        <f>($K77*'FACTORES FIJOS'!$B$10)</f>
        <v>5.7142857142857144</v>
      </c>
      <c r="Z77" s="372">
        <f>($K$4-(3*'FACTORES FIJOS'!$F$3))*'FACTORES FIJOS'!$D$10</f>
        <v>-0.45663157894736855</v>
      </c>
      <c r="AA77" s="372">
        <f>($K77*'FACTORES FIJOS'!$F$10)</f>
        <v>5.7142857142857144</v>
      </c>
      <c r="AB77" s="372">
        <f>($K77*'FACTORES FIJOS'!$H$10)</f>
        <v>2.8571428571428572</v>
      </c>
      <c r="AC77" s="372">
        <f>($K77*'FACTORES FIJOS'!$J$10)</f>
        <v>2.8571428571428572</v>
      </c>
      <c r="AD77" s="372">
        <f t="shared" si="18"/>
        <v>116.80357894736844</v>
      </c>
    </row>
    <row r="78" spans="1:30">
      <c r="A78" s="343">
        <f t="shared" si="19"/>
        <v>75</v>
      </c>
      <c r="B78" s="344" t="s">
        <v>626</v>
      </c>
      <c r="C78" s="333" t="s">
        <v>531</v>
      </c>
      <c r="D78" s="333" t="s">
        <v>218</v>
      </c>
      <c r="E78" s="333" t="s">
        <v>506</v>
      </c>
      <c r="F78" s="343" t="s">
        <v>620</v>
      </c>
      <c r="G78" s="343">
        <v>7</v>
      </c>
      <c r="H78" s="342">
        <v>4000</v>
      </c>
      <c r="I78" s="341">
        <f t="shared" si="10"/>
        <v>2000</v>
      </c>
      <c r="J78" s="345"/>
      <c r="K78" s="372">
        <f t="shared" si="11"/>
        <v>285.71428571428572</v>
      </c>
      <c r="L78" s="372">
        <f>($I78/$G78)*'FACTORES FIJOS'!$B$3</f>
        <v>8685.7142857142862</v>
      </c>
      <c r="M78" s="373">
        <f>IF($G78='FACTORES FIJOS'!$D$5,VLOOKUP($L78,'TABLA QUINCENAL'!$B$6:$F$16,4,TRUE),IF($G78='FACTORES FIJOS'!$D$3,VLOOKUP($L78,'TABLA QUINCENAL'!$B$6:$F$16,4,TRUE),"FALSO"))</f>
        <v>0.21360000000000001</v>
      </c>
      <c r="N78" s="374">
        <f>VLOOKUP($L78,'TABLA QUINCENAL'!$B$6:$F$16,1,TRUE)</f>
        <v>5081.41</v>
      </c>
      <c r="O78" s="374">
        <f>VLOOKUP($L78,'TABLA QUINCENAL'!$B$6:$F$16,2,TRUE)</f>
        <v>10248.450000000001</v>
      </c>
      <c r="P78" s="372">
        <f t="shared" si="12"/>
        <v>3604.3042857142864</v>
      </c>
      <c r="Q78" s="372">
        <f t="shared" si="13"/>
        <v>769.87939542857157</v>
      </c>
      <c r="R78" s="374">
        <f>VLOOKUP($L78,'TABLA QUINCENAL'!$B$6:$F$16,3,TRUE)</f>
        <v>538.20000000000005</v>
      </c>
      <c r="S78" s="372">
        <f t="shared" si="14"/>
        <v>1308.0793954285716</v>
      </c>
      <c r="T78" s="372">
        <f>$S78/'FACTORES FIJOS'!$B$3*CELAYA!$G78</f>
        <v>301.20249236842108</v>
      </c>
      <c r="U78" s="372">
        <f>IFERROR((VLOOKUP($L78,'TABLA QUINCENAL'!$G$6:$I$16,3,TRUE)/'FACTORES FIJOS'!$B$3)*$G78,"ERROR")</f>
        <v>0</v>
      </c>
      <c r="V78" s="372">
        <f t="shared" si="15"/>
        <v>301.20249236842108</v>
      </c>
      <c r="W78" s="372">
        <f t="shared" si="16"/>
        <v>301.20249236842108</v>
      </c>
      <c r="X78" s="372">
        <f t="shared" si="17"/>
        <v>0</v>
      </c>
      <c r="Y78" s="372">
        <f>($K78*'FACTORES FIJOS'!$B$10)</f>
        <v>5.7142857142857144</v>
      </c>
      <c r="Z78" s="372">
        <f>($K$4-(3*'FACTORES FIJOS'!$F$3))*'FACTORES FIJOS'!$D$10</f>
        <v>-0.45663157894736855</v>
      </c>
      <c r="AA78" s="372">
        <f>($K78*'FACTORES FIJOS'!$F$10)</f>
        <v>5.7142857142857144</v>
      </c>
      <c r="AB78" s="372">
        <f>($K78*'FACTORES FIJOS'!$H$10)</f>
        <v>2.8571428571428572</v>
      </c>
      <c r="AC78" s="372">
        <f>($K78*'FACTORES FIJOS'!$J$10)</f>
        <v>2.8571428571428572</v>
      </c>
      <c r="AD78" s="372">
        <f t="shared" si="18"/>
        <v>116.80357894736844</v>
      </c>
    </row>
    <row r="79" spans="1:30">
      <c r="A79" s="343">
        <f t="shared" si="19"/>
        <v>76</v>
      </c>
      <c r="B79" s="344" t="s">
        <v>626</v>
      </c>
      <c r="C79" s="333" t="s">
        <v>532</v>
      </c>
      <c r="D79" s="334" t="s">
        <v>218</v>
      </c>
      <c r="E79" s="334" t="s">
        <v>506</v>
      </c>
      <c r="F79" s="343" t="s">
        <v>620</v>
      </c>
      <c r="G79" s="343">
        <v>7</v>
      </c>
      <c r="H79" s="342">
        <v>4000</v>
      </c>
      <c r="I79" s="341">
        <f t="shared" si="10"/>
        <v>2000</v>
      </c>
      <c r="J79" s="345"/>
      <c r="K79" s="372">
        <f t="shared" si="11"/>
        <v>285.71428571428572</v>
      </c>
      <c r="L79" s="372">
        <f>($I79/$G79)*'FACTORES FIJOS'!$B$3</f>
        <v>8685.7142857142862</v>
      </c>
      <c r="M79" s="373">
        <f>IF($G79='FACTORES FIJOS'!$D$5,VLOOKUP($L79,'TABLA QUINCENAL'!$B$6:$F$16,4,TRUE),IF($G79='FACTORES FIJOS'!$D$3,VLOOKUP($L79,'TABLA QUINCENAL'!$B$6:$F$16,4,TRUE),"FALSO"))</f>
        <v>0.21360000000000001</v>
      </c>
      <c r="N79" s="374">
        <f>VLOOKUP($L79,'TABLA QUINCENAL'!$B$6:$F$16,1,TRUE)</f>
        <v>5081.41</v>
      </c>
      <c r="O79" s="374">
        <f>VLOOKUP($L79,'TABLA QUINCENAL'!$B$6:$F$16,2,TRUE)</f>
        <v>10248.450000000001</v>
      </c>
      <c r="P79" s="372">
        <f t="shared" si="12"/>
        <v>3604.3042857142864</v>
      </c>
      <c r="Q79" s="372">
        <f t="shared" si="13"/>
        <v>769.87939542857157</v>
      </c>
      <c r="R79" s="374">
        <f>VLOOKUP($L79,'TABLA QUINCENAL'!$B$6:$F$16,3,TRUE)</f>
        <v>538.20000000000005</v>
      </c>
      <c r="S79" s="372">
        <f t="shared" si="14"/>
        <v>1308.0793954285716</v>
      </c>
      <c r="T79" s="372">
        <f>$S79/'FACTORES FIJOS'!$B$3*CELAYA!$G79</f>
        <v>301.20249236842108</v>
      </c>
      <c r="U79" s="372">
        <f>IFERROR((VLOOKUP($L79,'TABLA QUINCENAL'!$G$6:$I$16,3,TRUE)/'FACTORES FIJOS'!$B$3)*$G79,"ERROR")</f>
        <v>0</v>
      </c>
      <c r="V79" s="372">
        <f t="shared" si="15"/>
        <v>301.20249236842108</v>
      </c>
      <c r="W79" s="372">
        <f t="shared" si="16"/>
        <v>301.20249236842108</v>
      </c>
      <c r="X79" s="372">
        <f t="shared" si="17"/>
        <v>0</v>
      </c>
      <c r="Y79" s="372">
        <f>($K79*'FACTORES FIJOS'!$B$10)</f>
        <v>5.7142857142857144</v>
      </c>
      <c r="Z79" s="372">
        <f>($K$4-(3*'FACTORES FIJOS'!$F$3))*'FACTORES FIJOS'!$D$10</f>
        <v>-0.45663157894736855</v>
      </c>
      <c r="AA79" s="372">
        <f>($K79*'FACTORES FIJOS'!$F$10)</f>
        <v>5.7142857142857144</v>
      </c>
      <c r="AB79" s="372">
        <f>($K79*'FACTORES FIJOS'!$H$10)</f>
        <v>2.8571428571428572</v>
      </c>
      <c r="AC79" s="372">
        <f>($K79*'FACTORES FIJOS'!$J$10)</f>
        <v>2.8571428571428572</v>
      </c>
      <c r="AD79" s="372">
        <f t="shared" si="18"/>
        <v>116.80357894736844</v>
      </c>
    </row>
    <row r="80" spans="1:30">
      <c r="A80" s="343">
        <f t="shared" si="19"/>
        <v>77</v>
      </c>
      <c r="B80" s="344" t="s">
        <v>626</v>
      </c>
      <c r="C80" s="333" t="s">
        <v>535</v>
      </c>
      <c r="D80" s="333" t="s">
        <v>218</v>
      </c>
      <c r="E80" s="333" t="s">
        <v>506</v>
      </c>
      <c r="F80" s="343" t="s">
        <v>620</v>
      </c>
      <c r="G80" s="343">
        <v>7</v>
      </c>
      <c r="H80" s="342">
        <v>4000</v>
      </c>
      <c r="I80" s="341">
        <f t="shared" si="10"/>
        <v>2000</v>
      </c>
      <c r="J80" s="345"/>
      <c r="K80" s="372">
        <f t="shared" si="11"/>
        <v>285.71428571428572</v>
      </c>
      <c r="L80" s="372">
        <f>($I80/$G80)*'FACTORES FIJOS'!$B$3</f>
        <v>8685.7142857142862</v>
      </c>
      <c r="M80" s="373">
        <f>IF($G80='FACTORES FIJOS'!$D$5,VLOOKUP($L80,'TABLA QUINCENAL'!$B$6:$F$16,4,TRUE),IF($G80='FACTORES FIJOS'!$D$3,VLOOKUP($L80,'TABLA QUINCENAL'!$B$6:$F$16,4,TRUE),"FALSO"))</f>
        <v>0.21360000000000001</v>
      </c>
      <c r="N80" s="374">
        <f>VLOOKUP($L80,'TABLA QUINCENAL'!$B$6:$F$16,1,TRUE)</f>
        <v>5081.41</v>
      </c>
      <c r="O80" s="374">
        <f>VLOOKUP($L80,'TABLA QUINCENAL'!$B$6:$F$16,2,TRUE)</f>
        <v>10248.450000000001</v>
      </c>
      <c r="P80" s="372">
        <f t="shared" si="12"/>
        <v>3604.3042857142864</v>
      </c>
      <c r="Q80" s="372">
        <f t="shared" si="13"/>
        <v>769.87939542857157</v>
      </c>
      <c r="R80" s="374">
        <f>VLOOKUP($L80,'TABLA QUINCENAL'!$B$6:$F$16,3,TRUE)</f>
        <v>538.20000000000005</v>
      </c>
      <c r="S80" s="372">
        <f t="shared" si="14"/>
        <v>1308.0793954285716</v>
      </c>
      <c r="T80" s="372">
        <f>$S80/'FACTORES FIJOS'!$B$3*CELAYA!$G80</f>
        <v>301.20249236842108</v>
      </c>
      <c r="U80" s="372">
        <f>IFERROR((VLOOKUP($L80,'TABLA QUINCENAL'!$G$6:$I$16,3,TRUE)/'FACTORES FIJOS'!$B$3)*$G80,"ERROR")</f>
        <v>0</v>
      </c>
      <c r="V80" s="372">
        <f t="shared" si="15"/>
        <v>301.20249236842108</v>
      </c>
      <c r="W80" s="372">
        <f t="shared" si="16"/>
        <v>301.20249236842108</v>
      </c>
      <c r="X80" s="372">
        <f t="shared" si="17"/>
        <v>0</v>
      </c>
      <c r="Y80" s="372">
        <f>($K80*'FACTORES FIJOS'!$B$10)</f>
        <v>5.7142857142857144</v>
      </c>
      <c r="Z80" s="372">
        <f>($K$4-(3*'FACTORES FIJOS'!$F$3))*'FACTORES FIJOS'!$D$10</f>
        <v>-0.45663157894736855</v>
      </c>
      <c r="AA80" s="372">
        <f>($K80*'FACTORES FIJOS'!$F$10)</f>
        <v>5.7142857142857144</v>
      </c>
      <c r="AB80" s="372">
        <f>($K80*'FACTORES FIJOS'!$H$10)</f>
        <v>2.8571428571428572</v>
      </c>
      <c r="AC80" s="372">
        <f>($K80*'FACTORES FIJOS'!$J$10)</f>
        <v>2.8571428571428572</v>
      </c>
      <c r="AD80" s="372">
        <f t="shared" si="18"/>
        <v>116.80357894736844</v>
      </c>
    </row>
    <row r="81" spans="1:30">
      <c r="A81" s="343">
        <f t="shared" si="19"/>
        <v>78</v>
      </c>
      <c r="B81" s="344" t="s">
        <v>626</v>
      </c>
      <c r="C81" s="333" t="s">
        <v>536</v>
      </c>
      <c r="D81" s="333" t="s">
        <v>218</v>
      </c>
      <c r="E81" s="333" t="s">
        <v>506</v>
      </c>
      <c r="F81" s="343" t="s">
        <v>620</v>
      </c>
      <c r="G81" s="343">
        <v>7</v>
      </c>
      <c r="H81" s="342">
        <v>4000</v>
      </c>
      <c r="I81" s="341">
        <f t="shared" si="10"/>
        <v>2000</v>
      </c>
      <c r="J81" s="345"/>
      <c r="K81" s="372">
        <f t="shared" si="11"/>
        <v>285.71428571428572</v>
      </c>
      <c r="L81" s="372">
        <f>($I81/$G81)*'FACTORES FIJOS'!$B$3</f>
        <v>8685.7142857142862</v>
      </c>
      <c r="M81" s="373">
        <f>IF($G81='FACTORES FIJOS'!$D$5,VLOOKUP($L81,'TABLA QUINCENAL'!$B$6:$F$16,4,TRUE),IF($G81='FACTORES FIJOS'!$D$3,VLOOKUP($L81,'TABLA QUINCENAL'!$B$6:$F$16,4,TRUE),"FALSO"))</f>
        <v>0.21360000000000001</v>
      </c>
      <c r="N81" s="374">
        <f>VLOOKUP($L81,'TABLA QUINCENAL'!$B$6:$F$16,1,TRUE)</f>
        <v>5081.41</v>
      </c>
      <c r="O81" s="374">
        <f>VLOOKUP($L81,'TABLA QUINCENAL'!$B$6:$F$16,2,TRUE)</f>
        <v>10248.450000000001</v>
      </c>
      <c r="P81" s="372">
        <f t="shared" si="12"/>
        <v>3604.3042857142864</v>
      </c>
      <c r="Q81" s="372">
        <f t="shared" si="13"/>
        <v>769.87939542857157</v>
      </c>
      <c r="R81" s="374">
        <f>VLOOKUP($L81,'TABLA QUINCENAL'!$B$6:$F$16,3,TRUE)</f>
        <v>538.20000000000005</v>
      </c>
      <c r="S81" s="372">
        <f t="shared" si="14"/>
        <v>1308.0793954285716</v>
      </c>
      <c r="T81" s="372">
        <f>$S81/'FACTORES FIJOS'!$B$3*CELAYA!$G81</f>
        <v>301.20249236842108</v>
      </c>
      <c r="U81" s="372">
        <f>IFERROR((VLOOKUP($L81,'TABLA QUINCENAL'!$G$6:$I$16,3,TRUE)/'FACTORES FIJOS'!$B$3)*$G81,"ERROR")</f>
        <v>0</v>
      </c>
      <c r="V81" s="372">
        <f t="shared" si="15"/>
        <v>301.20249236842108</v>
      </c>
      <c r="W81" s="372">
        <f t="shared" si="16"/>
        <v>301.20249236842108</v>
      </c>
      <c r="X81" s="372">
        <f t="shared" si="17"/>
        <v>0</v>
      </c>
      <c r="Y81" s="372">
        <f>($K81*'FACTORES FIJOS'!$B$10)</f>
        <v>5.7142857142857144</v>
      </c>
      <c r="Z81" s="372">
        <f>($K$4-(3*'FACTORES FIJOS'!$F$3))*'FACTORES FIJOS'!$D$10</f>
        <v>-0.45663157894736855</v>
      </c>
      <c r="AA81" s="372">
        <f>($K81*'FACTORES FIJOS'!$F$10)</f>
        <v>5.7142857142857144</v>
      </c>
      <c r="AB81" s="372">
        <f>($K81*'FACTORES FIJOS'!$H$10)</f>
        <v>2.8571428571428572</v>
      </c>
      <c r="AC81" s="372">
        <f>($K81*'FACTORES FIJOS'!$J$10)</f>
        <v>2.8571428571428572</v>
      </c>
      <c r="AD81" s="372">
        <f t="shared" si="18"/>
        <v>116.80357894736844</v>
      </c>
    </row>
    <row r="82" spans="1:30">
      <c r="A82" s="343">
        <f t="shared" si="19"/>
        <v>79</v>
      </c>
      <c r="B82" s="344" t="s">
        <v>626</v>
      </c>
      <c r="C82" s="334" t="s">
        <v>538</v>
      </c>
      <c r="D82" s="334" t="s">
        <v>218</v>
      </c>
      <c r="E82" s="334" t="s">
        <v>506</v>
      </c>
      <c r="F82" s="343" t="s">
        <v>620</v>
      </c>
      <c r="G82" s="343">
        <v>7</v>
      </c>
      <c r="H82" s="342">
        <v>4000</v>
      </c>
      <c r="I82" s="341">
        <f t="shared" si="10"/>
        <v>2000</v>
      </c>
      <c r="J82" s="345"/>
      <c r="K82" s="372">
        <f t="shared" si="11"/>
        <v>285.71428571428572</v>
      </c>
      <c r="L82" s="372">
        <f>($I82/$G82)*'FACTORES FIJOS'!$B$3</f>
        <v>8685.7142857142862</v>
      </c>
      <c r="M82" s="373">
        <f>IF($G82='FACTORES FIJOS'!$D$5,VLOOKUP($L82,'TABLA QUINCENAL'!$B$6:$F$16,4,TRUE),IF($G82='FACTORES FIJOS'!$D$3,VLOOKUP($L82,'TABLA QUINCENAL'!$B$6:$F$16,4,TRUE),"FALSO"))</f>
        <v>0.21360000000000001</v>
      </c>
      <c r="N82" s="374">
        <f>VLOOKUP($L82,'TABLA QUINCENAL'!$B$6:$F$16,1,TRUE)</f>
        <v>5081.41</v>
      </c>
      <c r="O82" s="374">
        <f>VLOOKUP($L82,'TABLA QUINCENAL'!$B$6:$F$16,2,TRUE)</f>
        <v>10248.450000000001</v>
      </c>
      <c r="P82" s="372">
        <f t="shared" si="12"/>
        <v>3604.3042857142864</v>
      </c>
      <c r="Q82" s="372">
        <f t="shared" si="13"/>
        <v>769.87939542857157</v>
      </c>
      <c r="R82" s="374">
        <f>VLOOKUP($L82,'TABLA QUINCENAL'!$B$6:$F$16,3,TRUE)</f>
        <v>538.20000000000005</v>
      </c>
      <c r="S82" s="372">
        <f t="shared" si="14"/>
        <v>1308.0793954285716</v>
      </c>
      <c r="T82" s="372">
        <f>$S82/'FACTORES FIJOS'!$B$3*CELAYA!$G82</f>
        <v>301.20249236842108</v>
      </c>
      <c r="U82" s="372">
        <f>IFERROR((VLOOKUP($L82,'TABLA QUINCENAL'!$G$6:$I$16,3,TRUE)/'FACTORES FIJOS'!$B$3)*$G82,"ERROR")</f>
        <v>0</v>
      </c>
      <c r="V82" s="372">
        <f t="shared" si="15"/>
        <v>301.20249236842108</v>
      </c>
      <c r="W82" s="372">
        <f t="shared" si="16"/>
        <v>301.20249236842108</v>
      </c>
      <c r="X82" s="372">
        <f t="shared" si="17"/>
        <v>0</v>
      </c>
      <c r="Y82" s="372">
        <f>($K82*'FACTORES FIJOS'!$B$10)</f>
        <v>5.7142857142857144</v>
      </c>
      <c r="Z82" s="372">
        <f>($K$4-(3*'FACTORES FIJOS'!$F$3))*'FACTORES FIJOS'!$D$10</f>
        <v>-0.45663157894736855</v>
      </c>
      <c r="AA82" s="372">
        <f>($K82*'FACTORES FIJOS'!$F$10)</f>
        <v>5.7142857142857144</v>
      </c>
      <c r="AB82" s="372">
        <f>($K82*'FACTORES FIJOS'!$H$10)</f>
        <v>2.8571428571428572</v>
      </c>
      <c r="AC82" s="372">
        <f>($K82*'FACTORES FIJOS'!$J$10)</f>
        <v>2.8571428571428572</v>
      </c>
      <c r="AD82" s="372">
        <f t="shared" si="18"/>
        <v>116.80357894736844</v>
      </c>
    </row>
    <row r="83" spans="1:30">
      <c r="A83" s="343">
        <f t="shared" si="19"/>
        <v>80</v>
      </c>
      <c r="B83" s="344" t="s">
        <v>626</v>
      </c>
      <c r="C83" s="333" t="s">
        <v>516</v>
      </c>
      <c r="D83" s="334" t="s">
        <v>218</v>
      </c>
      <c r="E83" s="333" t="s">
        <v>504</v>
      </c>
      <c r="F83" s="343" t="s">
        <v>620</v>
      </c>
      <c r="G83" s="343">
        <v>7</v>
      </c>
      <c r="H83" s="342">
        <v>20000</v>
      </c>
      <c r="I83" s="341">
        <f t="shared" si="10"/>
        <v>10000</v>
      </c>
      <c r="J83" s="345"/>
      <c r="K83" s="372">
        <f t="shared" si="11"/>
        <v>1428.5714285714287</v>
      </c>
      <c r="L83" s="372">
        <f>($I83/$G83)*'FACTORES FIJOS'!$B$3</f>
        <v>43428.571428571428</v>
      </c>
      <c r="M83" s="373">
        <f>IF($G83='FACTORES FIJOS'!$D$5,VLOOKUP($L83,'TABLA QUINCENAL'!$B$6:$F$16,4,TRUE),IF($G83='FACTORES FIJOS'!$D$3,VLOOKUP($L83,'TABLA QUINCENAL'!$B$6:$F$16,4,TRUE),"FALSO"))</f>
        <v>0.34</v>
      </c>
      <c r="N83" s="374">
        <f>VLOOKUP($L83,'TABLA QUINCENAL'!$B$6:$F$16,1,TRUE)</f>
        <v>41118.46</v>
      </c>
      <c r="O83" s="374">
        <f>VLOOKUP($L83,'TABLA QUINCENAL'!$B$6:$F$16,2,TRUE)</f>
        <v>123355.2</v>
      </c>
      <c r="P83" s="372">
        <f t="shared" si="12"/>
        <v>2310.1114285714284</v>
      </c>
      <c r="Q83" s="372">
        <f t="shared" si="13"/>
        <v>785.4378857142857</v>
      </c>
      <c r="R83" s="374">
        <f>VLOOKUP($L83,'TABLA QUINCENAL'!$B$6:$F$16,3,TRUE)</f>
        <v>10725.75</v>
      </c>
      <c r="S83" s="372">
        <f t="shared" si="14"/>
        <v>11511.187885714286</v>
      </c>
      <c r="T83" s="372">
        <f>$S83/'FACTORES FIJOS'!$B$3*CELAYA!$G83</f>
        <v>2650.6024736842105</v>
      </c>
      <c r="U83" s="372">
        <f>IFERROR((VLOOKUP($L83,'TABLA QUINCENAL'!$G$6:$I$16,3,TRUE)/'FACTORES FIJOS'!$B$3)*$G83,"ERROR")</f>
        <v>0</v>
      </c>
      <c r="V83" s="372">
        <f t="shared" si="15"/>
        <v>2650.6024736842105</v>
      </c>
      <c r="W83" s="372">
        <f t="shared" si="16"/>
        <v>2650.6024736842105</v>
      </c>
      <c r="X83" s="372">
        <f t="shared" si="17"/>
        <v>0</v>
      </c>
      <c r="Y83" s="372">
        <f>($K83*'FACTORES FIJOS'!$B$10)</f>
        <v>28.571428571428573</v>
      </c>
      <c r="Z83" s="372">
        <f>($K$4-(3*'FACTORES FIJOS'!$F$3))*'FACTORES FIJOS'!$D$10</f>
        <v>-0.45663157894736855</v>
      </c>
      <c r="AA83" s="372">
        <f>($K83*'FACTORES FIJOS'!$F$10)</f>
        <v>28.571428571428573</v>
      </c>
      <c r="AB83" s="372">
        <f>($K83*'FACTORES FIJOS'!$H$10)</f>
        <v>14.285714285714286</v>
      </c>
      <c r="AC83" s="372">
        <f>($K83*'FACTORES FIJOS'!$J$10)</f>
        <v>14.285714285714286</v>
      </c>
      <c r="AD83" s="372">
        <f t="shared" si="18"/>
        <v>596.80357894736846</v>
      </c>
    </row>
    <row r="84" spans="1:30">
      <c r="A84" s="343">
        <f t="shared" si="19"/>
        <v>81</v>
      </c>
      <c r="B84" s="344" t="s">
        <v>626</v>
      </c>
      <c r="C84" s="335" t="s">
        <v>519</v>
      </c>
      <c r="D84" s="336" t="s">
        <v>218</v>
      </c>
      <c r="E84" s="334" t="s">
        <v>504</v>
      </c>
      <c r="F84" s="343" t="s">
        <v>620</v>
      </c>
      <c r="G84" s="343">
        <v>7</v>
      </c>
      <c r="H84" s="342">
        <v>20000</v>
      </c>
      <c r="I84" s="341">
        <f t="shared" si="10"/>
        <v>10000</v>
      </c>
      <c r="J84" s="345"/>
      <c r="K84" s="372">
        <f t="shared" si="11"/>
        <v>1428.5714285714287</v>
      </c>
      <c r="L84" s="372">
        <f>($I84/$G84)*'FACTORES FIJOS'!$B$3</f>
        <v>43428.571428571428</v>
      </c>
      <c r="M84" s="373">
        <f>IF($G84='FACTORES FIJOS'!$D$5,VLOOKUP($L84,'TABLA QUINCENAL'!$B$6:$F$16,4,TRUE),IF($G84='FACTORES FIJOS'!$D$3,VLOOKUP($L84,'TABLA QUINCENAL'!$B$6:$F$16,4,TRUE),"FALSO"))</f>
        <v>0.34</v>
      </c>
      <c r="N84" s="374">
        <f>VLOOKUP($L84,'TABLA QUINCENAL'!$B$6:$F$16,1,TRUE)</f>
        <v>41118.46</v>
      </c>
      <c r="O84" s="374">
        <f>VLOOKUP($L84,'TABLA QUINCENAL'!$B$6:$F$16,2,TRUE)</f>
        <v>123355.2</v>
      </c>
      <c r="P84" s="372">
        <f t="shared" si="12"/>
        <v>2310.1114285714284</v>
      </c>
      <c r="Q84" s="372">
        <f t="shared" si="13"/>
        <v>785.4378857142857</v>
      </c>
      <c r="R84" s="374">
        <f>VLOOKUP($L84,'TABLA QUINCENAL'!$B$6:$F$16,3,TRUE)</f>
        <v>10725.75</v>
      </c>
      <c r="S84" s="372">
        <f t="shared" si="14"/>
        <v>11511.187885714286</v>
      </c>
      <c r="T84" s="372">
        <f>$S84/'FACTORES FIJOS'!$B$3*CELAYA!$G84</f>
        <v>2650.6024736842105</v>
      </c>
      <c r="U84" s="372">
        <f>IFERROR((VLOOKUP($L84,'TABLA QUINCENAL'!$G$6:$I$16,3,TRUE)/'FACTORES FIJOS'!$B$3)*$G84,"ERROR")</f>
        <v>0</v>
      </c>
      <c r="V84" s="372">
        <f t="shared" si="15"/>
        <v>2650.6024736842105</v>
      </c>
      <c r="W84" s="372">
        <f t="shared" si="16"/>
        <v>2650.6024736842105</v>
      </c>
      <c r="X84" s="372">
        <f t="shared" si="17"/>
        <v>0</v>
      </c>
      <c r="Y84" s="372">
        <f>($K84*'FACTORES FIJOS'!$B$10)</f>
        <v>28.571428571428573</v>
      </c>
      <c r="Z84" s="372">
        <f>($K$4-(3*'FACTORES FIJOS'!$F$3))*'FACTORES FIJOS'!$D$10</f>
        <v>-0.45663157894736855</v>
      </c>
      <c r="AA84" s="372">
        <f>($K84*'FACTORES FIJOS'!$F$10)</f>
        <v>28.571428571428573</v>
      </c>
      <c r="AB84" s="372">
        <f>($K84*'FACTORES FIJOS'!$H$10)</f>
        <v>14.285714285714286</v>
      </c>
      <c r="AC84" s="372">
        <f>($K84*'FACTORES FIJOS'!$J$10)</f>
        <v>14.285714285714286</v>
      </c>
      <c r="AD84" s="372">
        <f t="shared" si="18"/>
        <v>596.80357894736846</v>
      </c>
    </row>
    <row r="85" spans="1:30">
      <c r="A85" s="343">
        <f t="shared" si="19"/>
        <v>82</v>
      </c>
      <c r="B85" s="344" t="s">
        <v>626</v>
      </c>
      <c r="C85" s="333" t="s">
        <v>537</v>
      </c>
      <c r="D85" s="333" t="s">
        <v>218</v>
      </c>
      <c r="E85" s="333" t="s">
        <v>139</v>
      </c>
      <c r="F85" s="343" t="s">
        <v>620</v>
      </c>
      <c r="G85" s="343">
        <v>7</v>
      </c>
      <c r="H85" s="342">
        <v>4397.1428571428578</v>
      </c>
      <c r="I85" s="341">
        <f t="shared" si="10"/>
        <v>2198.5714285714289</v>
      </c>
      <c r="J85" s="345"/>
      <c r="K85" s="372">
        <f t="shared" si="11"/>
        <v>314.08163265306126</v>
      </c>
      <c r="L85" s="372">
        <f>($I85/$G85)*'FACTORES FIJOS'!$B$3</f>
        <v>9548.0816326530621</v>
      </c>
      <c r="M85" s="373">
        <f>IF($G85='FACTORES FIJOS'!$D$5,VLOOKUP($L85,'TABLA QUINCENAL'!$B$6:$F$16,4,TRUE),IF($G85='FACTORES FIJOS'!$D$3,VLOOKUP($L85,'TABLA QUINCENAL'!$B$6:$F$16,4,TRUE),"FALSO"))</f>
        <v>0.21360000000000001</v>
      </c>
      <c r="N85" s="374">
        <f>VLOOKUP($L85,'TABLA QUINCENAL'!$B$6:$F$16,1,TRUE)</f>
        <v>5081.41</v>
      </c>
      <c r="O85" s="374">
        <f>VLOOKUP($L85,'TABLA QUINCENAL'!$B$6:$F$16,2,TRUE)</f>
        <v>10248.450000000001</v>
      </c>
      <c r="P85" s="372">
        <f t="shared" si="12"/>
        <v>4466.6716326530623</v>
      </c>
      <c r="Q85" s="372">
        <f t="shared" si="13"/>
        <v>954.08106073469412</v>
      </c>
      <c r="R85" s="374">
        <f>VLOOKUP($L85,'TABLA QUINCENAL'!$B$6:$F$16,3,TRUE)</f>
        <v>538.20000000000005</v>
      </c>
      <c r="S85" s="372">
        <f t="shared" si="14"/>
        <v>1492.2810607346942</v>
      </c>
      <c r="T85" s="372">
        <f>$S85/'FACTORES FIJOS'!$B$3*CELAYA!$G85</f>
        <v>343.61734951127829</v>
      </c>
      <c r="U85" s="372">
        <f>IFERROR((VLOOKUP($L85,'TABLA QUINCENAL'!$G$6:$I$16,3,TRUE)/'FACTORES FIJOS'!$B$3)*$G85,"ERROR")</f>
        <v>0</v>
      </c>
      <c r="V85" s="372">
        <f t="shared" si="15"/>
        <v>343.61734951127829</v>
      </c>
      <c r="W85" s="372">
        <f t="shared" si="16"/>
        <v>343.61734951127829</v>
      </c>
      <c r="X85" s="372">
        <f t="shared" si="17"/>
        <v>0</v>
      </c>
      <c r="Y85" s="372">
        <f>($K85*'FACTORES FIJOS'!$B$10)</f>
        <v>6.2816326530612256</v>
      </c>
      <c r="Z85" s="372">
        <f>($K$4-(3*'FACTORES FIJOS'!$F$3))*'FACTORES FIJOS'!$D$10</f>
        <v>-0.45663157894736855</v>
      </c>
      <c r="AA85" s="372">
        <f>($K85*'FACTORES FIJOS'!$F$10)</f>
        <v>6.2816326530612256</v>
      </c>
      <c r="AB85" s="372">
        <f>($K85*'FACTORES FIJOS'!$H$10)</f>
        <v>3.1408163265306128</v>
      </c>
      <c r="AC85" s="372">
        <f>($K85*'FACTORES FIJOS'!$J$10)</f>
        <v>3.1408163265306128</v>
      </c>
      <c r="AD85" s="372">
        <f t="shared" si="18"/>
        <v>128.71786466165418</v>
      </c>
    </row>
    <row r="86" spans="1:30">
      <c r="A86" s="343">
        <v>83</v>
      </c>
      <c r="B86" s="344" t="s">
        <v>626</v>
      </c>
      <c r="C86" s="333" t="s">
        <v>829</v>
      </c>
      <c r="D86" s="333" t="s">
        <v>192</v>
      </c>
      <c r="E86" s="333" t="s">
        <v>830</v>
      </c>
      <c r="F86" s="343" t="s">
        <v>620</v>
      </c>
      <c r="G86" s="357">
        <v>15.2</v>
      </c>
      <c r="H86" s="342">
        <v>10500</v>
      </c>
      <c r="I86" s="341">
        <f t="shared" si="10"/>
        <v>5250</v>
      </c>
      <c r="J86" s="345"/>
      <c r="K86" s="372">
        <f t="shared" si="11"/>
        <v>345.39473684210526</v>
      </c>
      <c r="L86" s="372">
        <f>($I86/$G86)*'FACTORES FIJOS'!$B$3</f>
        <v>10500</v>
      </c>
      <c r="M86" s="373">
        <f>IF($G86='FACTORES FIJOS'!$D$5,VLOOKUP($L86,'TABLA QUINCENAL'!$B$6:$F$16,4,TRUE),IF($G86='FACTORES FIJOS'!$D$3,VLOOKUP($L86,'TABLA QUINCENAL'!$B$6:$F$16,4,TRUE),"FALSO"))</f>
        <v>0.23519999999999999</v>
      </c>
      <c r="N86" s="374">
        <f>VLOOKUP($L86,'TABLA QUINCENAL'!$B$6:$F$16,1,TRUE)</f>
        <v>10248.459999999999</v>
      </c>
      <c r="O86" s="374">
        <f>VLOOKUP($L86,'TABLA QUINCENAL'!$B$6:$F$16,2,TRUE)</f>
        <v>16153.05</v>
      </c>
      <c r="P86" s="372">
        <f t="shared" si="12"/>
        <v>251.54000000000087</v>
      </c>
      <c r="Q86" s="372">
        <f t="shared" si="13"/>
        <v>59.162208000000206</v>
      </c>
      <c r="R86" s="374">
        <f>VLOOKUP($L86,'TABLA QUINCENAL'!$B$6:$F$16,3,TRUE)</f>
        <v>1641.75</v>
      </c>
      <c r="S86" s="372">
        <f t="shared" si="14"/>
        <v>1700.9122080000002</v>
      </c>
      <c r="T86" s="372">
        <f>$S86/'FACTORES FIJOS'!$B$3*CELAYA!$G86</f>
        <v>850.4561040000001</v>
      </c>
      <c r="U86" s="372">
        <f>IFERROR((VLOOKUP($L86,'TABLA QUINCENAL'!$G$6:$I$16,3,TRUE)/'FACTORES FIJOS'!$B$3)*$G86,"ERROR")</f>
        <v>0</v>
      </c>
      <c r="V86" s="372">
        <f t="shared" si="15"/>
        <v>850.4561040000001</v>
      </c>
      <c r="W86" s="372">
        <f t="shared" si="16"/>
        <v>850.4561040000001</v>
      </c>
      <c r="X86" s="372">
        <f t="shared" si="17"/>
        <v>0</v>
      </c>
      <c r="Y86" s="372">
        <f>($K86*'FACTORES FIJOS'!$B$10)</f>
        <v>6.9078947368421053</v>
      </c>
      <c r="Z86" s="372">
        <f>($K$4-(3*'FACTORES FIJOS'!$F$3))*'FACTORES FIJOS'!$D$10</f>
        <v>-0.45663157894736855</v>
      </c>
      <c r="AA86" s="372">
        <f>($K86*'FACTORES FIJOS'!$F$10)</f>
        <v>6.9078947368421053</v>
      </c>
      <c r="AB86" s="372">
        <f>($K86*'FACTORES FIJOS'!$H$10)</f>
        <v>3.4539473684210527</v>
      </c>
      <c r="AC86" s="372">
        <f>($K86*'FACTORES FIJOS'!$J$10)</f>
        <v>3.4539473684210527</v>
      </c>
      <c r="AD86" s="372">
        <f t="shared" si="18"/>
        <v>304.00578947368416</v>
      </c>
    </row>
    <row r="87" spans="1:30">
      <c r="H87" s="341">
        <f>SUM(H4:H86)</f>
        <v>567591.05714285711</v>
      </c>
      <c r="I87" s="341"/>
      <c r="J87" s="341">
        <f>SUM(J4:J85)</f>
        <v>71875.72</v>
      </c>
    </row>
    <row r="89" spans="1:30">
      <c r="G89" s="332" t="s">
        <v>628</v>
      </c>
      <c r="H89" s="346">
        <f>(H87+J87)*0.3-(A85*957)</f>
        <v>113366.03314285711</v>
      </c>
      <c r="I89" s="346"/>
    </row>
    <row r="90" spans="1:30">
      <c r="G90" s="332" t="s">
        <v>629</v>
      </c>
      <c r="H90" s="346">
        <f>((0.075*0.6)+(0.03725*0.4))*(H87+J87)</f>
        <v>38304.059950857139</v>
      </c>
      <c r="I90" s="346"/>
    </row>
    <row r="91" spans="1:30">
      <c r="H91" s="346">
        <f>H89+H90</f>
        <v>151670.09309371424</v>
      </c>
      <c r="I91" s="346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selection activeCell="C16" sqref="C16"/>
    </sheetView>
  </sheetViews>
  <sheetFormatPr baseColWidth="10" defaultRowHeight="15"/>
  <cols>
    <col min="3" max="3" width="41.7109375" customWidth="1"/>
    <col min="4" max="4" width="30.7109375" customWidth="1"/>
    <col min="5" max="5" width="40.42578125" customWidth="1"/>
    <col min="6" max="6" width="15.7109375" style="119" customWidth="1"/>
    <col min="7" max="7" width="15" style="119" customWidth="1"/>
    <col min="8" max="9" width="18.42578125" customWidth="1"/>
  </cols>
  <sheetData>
    <row r="1" spans="1:9" ht="25.5">
      <c r="A1" s="337" t="s">
        <v>627</v>
      </c>
      <c r="B1" s="337" t="s">
        <v>625</v>
      </c>
      <c r="C1" s="338" t="s">
        <v>5</v>
      </c>
      <c r="D1" s="338" t="s">
        <v>502</v>
      </c>
      <c r="E1" s="338" t="s">
        <v>503</v>
      </c>
      <c r="F1" s="338" t="s">
        <v>619</v>
      </c>
      <c r="G1" s="338" t="s">
        <v>622</v>
      </c>
      <c r="H1" s="338" t="s">
        <v>612</v>
      </c>
      <c r="I1" s="338" t="s">
        <v>614</v>
      </c>
    </row>
    <row r="2" spans="1:9">
      <c r="A2" s="357" t="s">
        <v>771</v>
      </c>
      <c r="B2" s="347" t="s">
        <v>669</v>
      </c>
      <c r="C2" s="333" t="s">
        <v>472</v>
      </c>
      <c r="D2" s="333" t="s">
        <v>192</v>
      </c>
      <c r="E2" s="333" t="s">
        <v>351</v>
      </c>
      <c r="F2" s="343" t="s">
        <v>620</v>
      </c>
      <c r="G2" s="343" t="s">
        <v>623</v>
      </c>
      <c r="H2" s="339">
        <v>4000</v>
      </c>
      <c r="I2" s="348"/>
    </row>
    <row r="3" spans="1:9">
      <c r="A3" s="358">
        <f>A2+1</f>
        <v>2</v>
      </c>
      <c r="B3" s="347" t="s">
        <v>669</v>
      </c>
      <c r="C3" s="333" t="s">
        <v>480</v>
      </c>
      <c r="D3" s="333" t="s">
        <v>192</v>
      </c>
      <c r="E3" s="333" t="s">
        <v>630</v>
      </c>
      <c r="F3" s="343" t="s">
        <v>620</v>
      </c>
      <c r="G3" s="343" t="s">
        <v>623</v>
      </c>
      <c r="H3" s="339">
        <v>4000</v>
      </c>
      <c r="I3" s="348"/>
    </row>
    <row r="4" spans="1:9">
      <c r="A4" s="358">
        <f t="shared" ref="A4:A67" si="0">A3+1</f>
        <v>3</v>
      </c>
      <c r="B4" s="347" t="s">
        <v>669</v>
      </c>
      <c r="C4" s="333" t="s">
        <v>25</v>
      </c>
      <c r="D4" s="333" t="s">
        <v>192</v>
      </c>
      <c r="E4" s="333" t="s">
        <v>124</v>
      </c>
      <c r="F4" s="343" t="s">
        <v>620</v>
      </c>
      <c r="G4" s="343" t="s">
        <v>623</v>
      </c>
      <c r="H4" s="339">
        <v>8000</v>
      </c>
      <c r="I4" s="348"/>
    </row>
    <row r="5" spans="1:9">
      <c r="A5" s="358">
        <f t="shared" si="0"/>
        <v>4</v>
      </c>
      <c r="B5" s="347" t="s">
        <v>669</v>
      </c>
      <c r="C5" s="333" t="s">
        <v>35</v>
      </c>
      <c r="D5" s="333" t="s">
        <v>192</v>
      </c>
      <c r="E5" s="333" t="s">
        <v>124</v>
      </c>
      <c r="F5" s="343" t="s">
        <v>620</v>
      </c>
      <c r="G5" s="343" t="s">
        <v>623</v>
      </c>
      <c r="H5" s="339">
        <v>11112</v>
      </c>
      <c r="I5" s="348"/>
    </row>
    <row r="6" spans="1:9">
      <c r="A6" s="358">
        <f t="shared" si="0"/>
        <v>5</v>
      </c>
      <c r="B6" s="347" t="s">
        <v>669</v>
      </c>
      <c r="C6" s="333" t="s">
        <v>52</v>
      </c>
      <c r="D6" s="333" t="s">
        <v>192</v>
      </c>
      <c r="E6" s="333" t="s">
        <v>124</v>
      </c>
      <c r="F6" s="343" t="s">
        <v>620</v>
      </c>
      <c r="G6" s="343" t="s">
        <v>623</v>
      </c>
      <c r="H6" s="339">
        <v>12000</v>
      </c>
      <c r="I6" s="348"/>
    </row>
    <row r="7" spans="1:9">
      <c r="A7" s="358">
        <f t="shared" si="0"/>
        <v>6</v>
      </c>
      <c r="B7" s="347" t="s">
        <v>669</v>
      </c>
      <c r="C7" s="333" t="s">
        <v>488</v>
      </c>
      <c r="D7" s="333" t="s">
        <v>192</v>
      </c>
      <c r="E7" s="333" t="s">
        <v>124</v>
      </c>
      <c r="F7" s="343" t="s">
        <v>620</v>
      </c>
      <c r="G7" s="343" t="s">
        <v>623</v>
      </c>
      <c r="H7" s="339">
        <v>8000</v>
      </c>
      <c r="I7" s="348"/>
    </row>
    <row r="8" spans="1:9">
      <c r="A8" s="358">
        <f t="shared" si="0"/>
        <v>7</v>
      </c>
      <c r="B8" s="347" t="s">
        <v>669</v>
      </c>
      <c r="C8" s="333" t="s">
        <v>14</v>
      </c>
      <c r="D8" s="333" t="s">
        <v>192</v>
      </c>
      <c r="E8" s="333" t="s">
        <v>631</v>
      </c>
      <c r="F8" s="343" t="s">
        <v>620</v>
      </c>
      <c r="G8" s="343" t="s">
        <v>623</v>
      </c>
      <c r="H8" s="339">
        <v>11112</v>
      </c>
      <c r="I8" s="348"/>
    </row>
    <row r="9" spans="1:9">
      <c r="A9" s="358">
        <f t="shared" si="0"/>
        <v>8</v>
      </c>
      <c r="B9" s="347" t="s">
        <v>669</v>
      </c>
      <c r="C9" s="333" t="s">
        <v>632</v>
      </c>
      <c r="D9" s="333" t="s">
        <v>192</v>
      </c>
      <c r="E9" s="333" t="s">
        <v>633</v>
      </c>
      <c r="F9" s="343" t="s">
        <v>620</v>
      </c>
      <c r="G9" s="343" t="s">
        <v>623</v>
      </c>
      <c r="H9" s="339">
        <v>12000</v>
      </c>
      <c r="I9" s="348"/>
    </row>
    <row r="10" spans="1:9">
      <c r="A10" s="358">
        <f t="shared" si="0"/>
        <v>9</v>
      </c>
      <c r="B10" s="347" t="s">
        <v>669</v>
      </c>
      <c r="C10" s="333" t="s">
        <v>39</v>
      </c>
      <c r="D10" s="333" t="s">
        <v>192</v>
      </c>
      <c r="E10" s="333" t="s">
        <v>125</v>
      </c>
      <c r="F10" s="343" t="s">
        <v>620</v>
      </c>
      <c r="G10" s="343" t="s">
        <v>623</v>
      </c>
      <c r="H10" s="339">
        <v>8000</v>
      </c>
      <c r="I10" s="348"/>
    </row>
    <row r="11" spans="1:9">
      <c r="A11" s="358">
        <f t="shared" si="0"/>
        <v>10</v>
      </c>
      <c r="B11" s="347" t="s">
        <v>669</v>
      </c>
      <c r="C11" s="333" t="s">
        <v>435</v>
      </c>
      <c r="D11" s="333" t="s">
        <v>192</v>
      </c>
      <c r="E11" s="333" t="s">
        <v>125</v>
      </c>
      <c r="F11" s="343" t="s">
        <v>620</v>
      </c>
      <c r="G11" s="343" t="s">
        <v>623</v>
      </c>
      <c r="H11" s="339">
        <v>8000</v>
      </c>
      <c r="I11" s="348"/>
    </row>
    <row r="12" spans="1:9">
      <c r="A12" s="358">
        <f t="shared" si="0"/>
        <v>11</v>
      </c>
      <c r="B12" s="347" t="s">
        <v>669</v>
      </c>
      <c r="C12" s="333" t="s">
        <v>372</v>
      </c>
      <c r="D12" s="333" t="s">
        <v>192</v>
      </c>
      <c r="E12" s="333" t="s">
        <v>634</v>
      </c>
      <c r="F12" s="343" t="s">
        <v>620</v>
      </c>
      <c r="G12" s="343" t="s">
        <v>623</v>
      </c>
      <c r="H12" s="339">
        <v>12000</v>
      </c>
      <c r="I12" s="348"/>
    </row>
    <row r="13" spans="1:9">
      <c r="A13" s="358">
        <f t="shared" si="0"/>
        <v>12</v>
      </c>
      <c r="B13" s="347" t="s">
        <v>669</v>
      </c>
      <c r="C13" s="333" t="s">
        <v>78</v>
      </c>
      <c r="D13" s="333" t="s">
        <v>192</v>
      </c>
      <c r="E13" s="333" t="s">
        <v>138</v>
      </c>
      <c r="F13" s="343" t="s">
        <v>620</v>
      </c>
      <c r="G13" s="343" t="s">
        <v>623</v>
      </c>
      <c r="H13" s="339">
        <v>9000</v>
      </c>
      <c r="I13" s="348"/>
    </row>
    <row r="14" spans="1:9">
      <c r="A14" s="358">
        <f t="shared" si="0"/>
        <v>13</v>
      </c>
      <c r="B14" s="347" t="s">
        <v>669</v>
      </c>
      <c r="C14" s="333" t="s">
        <v>443</v>
      </c>
      <c r="D14" s="333" t="s">
        <v>192</v>
      </c>
      <c r="E14" s="333" t="s">
        <v>635</v>
      </c>
      <c r="F14" s="343" t="s">
        <v>620</v>
      </c>
      <c r="G14" s="343" t="s">
        <v>623</v>
      </c>
      <c r="H14" s="339">
        <v>6000</v>
      </c>
      <c r="I14" s="348"/>
    </row>
    <row r="15" spans="1:9">
      <c r="A15" s="358">
        <f t="shared" si="0"/>
        <v>14</v>
      </c>
      <c r="B15" s="347" t="s">
        <v>669</v>
      </c>
      <c r="C15" s="333" t="s">
        <v>122</v>
      </c>
      <c r="D15" s="333" t="s">
        <v>192</v>
      </c>
      <c r="E15" s="333" t="s">
        <v>277</v>
      </c>
      <c r="F15" s="343" t="s">
        <v>620</v>
      </c>
      <c r="G15" s="343" t="s">
        <v>623</v>
      </c>
      <c r="H15" s="339">
        <v>40000</v>
      </c>
      <c r="I15" s="348"/>
    </row>
    <row r="16" spans="1:9">
      <c r="A16" s="358">
        <f t="shared" si="0"/>
        <v>15</v>
      </c>
      <c r="B16" s="347" t="s">
        <v>669</v>
      </c>
      <c r="C16" s="333" t="s">
        <v>434</v>
      </c>
      <c r="D16" s="333" t="s">
        <v>192</v>
      </c>
      <c r="E16" s="333" t="s">
        <v>132</v>
      </c>
      <c r="F16" s="343" t="s">
        <v>620</v>
      </c>
      <c r="G16" s="343" t="s">
        <v>623</v>
      </c>
      <c r="H16" s="339">
        <v>12000</v>
      </c>
      <c r="I16" s="348"/>
    </row>
    <row r="17" spans="1:9">
      <c r="A17" s="358">
        <f t="shared" si="0"/>
        <v>16</v>
      </c>
      <c r="B17" s="347" t="s">
        <v>669</v>
      </c>
      <c r="C17" s="333" t="s">
        <v>82</v>
      </c>
      <c r="D17" s="333" t="s">
        <v>636</v>
      </c>
      <c r="E17" s="333" t="s">
        <v>137</v>
      </c>
      <c r="F17" s="343" t="s">
        <v>620</v>
      </c>
      <c r="G17" s="343" t="s">
        <v>623</v>
      </c>
      <c r="H17" s="339">
        <v>5700</v>
      </c>
      <c r="I17" s="348"/>
    </row>
    <row r="18" spans="1:9">
      <c r="A18" s="358">
        <f t="shared" si="0"/>
        <v>17</v>
      </c>
      <c r="B18" s="347" t="s">
        <v>669</v>
      </c>
      <c r="C18" s="333" t="s">
        <v>45</v>
      </c>
      <c r="D18" s="333" t="s">
        <v>636</v>
      </c>
      <c r="E18" s="333" t="s">
        <v>637</v>
      </c>
      <c r="F18" s="343" t="s">
        <v>620</v>
      </c>
      <c r="G18" s="343" t="s">
        <v>623</v>
      </c>
      <c r="H18" s="339">
        <v>20000</v>
      </c>
      <c r="I18" s="348"/>
    </row>
    <row r="19" spans="1:9">
      <c r="A19" s="358">
        <f t="shared" si="0"/>
        <v>18</v>
      </c>
      <c r="B19" s="347" t="s">
        <v>669</v>
      </c>
      <c r="C19" s="333" t="s">
        <v>27</v>
      </c>
      <c r="D19" s="333" t="s">
        <v>636</v>
      </c>
      <c r="E19" s="333" t="s">
        <v>638</v>
      </c>
      <c r="F19" s="343" t="s">
        <v>620</v>
      </c>
      <c r="G19" s="343" t="s">
        <v>623</v>
      </c>
      <c r="H19" s="339">
        <v>6000</v>
      </c>
      <c r="I19" s="348"/>
    </row>
    <row r="20" spans="1:9">
      <c r="A20" s="358">
        <f t="shared" si="0"/>
        <v>19</v>
      </c>
      <c r="B20" s="347" t="s">
        <v>669</v>
      </c>
      <c r="C20" s="333" t="s">
        <v>72</v>
      </c>
      <c r="D20" s="333" t="s">
        <v>636</v>
      </c>
      <c r="E20" s="333" t="s">
        <v>639</v>
      </c>
      <c r="F20" s="343" t="s">
        <v>620</v>
      </c>
      <c r="G20" s="343" t="s">
        <v>623</v>
      </c>
      <c r="H20" s="339">
        <v>6500</v>
      </c>
      <c r="I20" s="348"/>
    </row>
    <row r="21" spans="1:9">
      <c r="A21" s="358">
        <f t="shared" si="0"/>
        <v>20</v>
      </c>
      <c r="B21" s="347" t="s">
        <v>669</v>
      </c>
      <c r="C21" s="333" t="s">
        <v>92</v>
      </c>
      <c r="D21" s="333" t="s">
        <v>636</v>
      </c>
      <c r="E21" s="333" t="s">
        <v>639</v>
      </c>
      <c r="F21" s="343" t="s">
        <v>620</v>
      </c>
      <c r="G21" s="343" t="s">
        <v>623</v>
      </c>
      <c r="H21" s="339">
        <v>7500</v>
      </c>
      <c r="I21" s="348"/>
    </row>
    <row r="22" spans="1:9">
      <c r="A22" s="358">
        <f t="shared" si="0"/>
        <v>21</v>
      </c>
      <c r="B22" s="347" t="s">
        <v>669</v>
      </c>
      <c r="C22" s="333" t="s">
        <v>118</v>
      </c>
      <c r="D22" s="333" t="s">
        <v>640</v>
      </c>
      <c r="E22" s="333" t="s">
        <v>641</v>
      </c>
      <c r="F22" s="343" t="s">
        <v>620</v>
      </c>
      <c r="G22" s="343" t="s">
        <v>623</v>
      </c>
      <c r="H22" s="339">
        <v>8000</v>
      </c>
      <c r="I22" s="348"/>
    </row>
    <row r="23" spans="1:9">
      <c r="A23" s="358">
        <f t="shared" si="0"/>
        <v>22</v>
      </c>
      <c r="B23" s="347" t="s">
        <v>669</v>
      </c>
      <c r="C23" s="333" t="s">
        <v>374</v>
      </c>
      <c r="D23" s="333" t="s">
        <v>249</v>
      </c>
      <c r="E23" s="333" t="s">
        <v>642</v>
      </c>
      <c r="F23" s="343" t="s">
        <v>620</v>
      </c>
      <c r="G23" s="343" t="s">
        <v>623</v>
      </c>
      <c r="H23" s="339">
        <v>5000</v>
      </c>
      <c r="I23" s="348"/>
    </row>
    <row r="24" spans="1:9">
      <c r="A24" s="358">
        <f t="shared" si="0"/>
        <v>23</v>
      </c>
      <c r="B24" s="347" t="s">
        <v>669</v>
      </c>
      <c r="C24" s="333" t="s">
        <v>33</v>
      </c>
      <c r="D24" s="333" t="s">
        <v>128</v>
      </c>
      <c r="E24" s="333" t="s">
        <v>128</v>
      </c>
      <c r="F24" s="343" t="s">
        <v>620</v>
      </c>
      <c r="G24" s="343" t="s">
        <v>623</v>
      </c>
      <c r="H24" s="339">
        <v>5060</v>
      </c>
      <c r="I24" s="348"/>
    </row>
    <row r="25" spans="1:9">
      <c r="A25" s="358">
        <f t="shared" si="0"/>
        <v>24</v>
      </c>
      <c r="B25" s="347" t="s">
        <v>669</v>
      </c>
      <c r="C25" s="333" t="s">
        <v>84</v>
      </c>
      <c r="D25" s="333" t="s">
        <v>128</v>
      </c>
      <c r="E25" s="333" t="s">
        <v>128</v>
      </c>
      <c r="F25" s="343" t="s">
        <v>620</v>
      </c>
      <c r="G25" s="343" t="s">
        <v>623</v>
      </c>
      <c r="H25" s="339">
        <v>5100</v>
      </c>
      <c r="I25" s="348"/>
    </row>
    <row r="26" spans="1:9">
      <c r="A26" s="358">
        <f t="shared" si="0"/>
        <v>25</v>
      </c>
      <c r="B26" s="347" t="s">
        <v>669</v>
      </c>
      <c r="C26" s="333" t="s">
        <v>64</v>
      </c>
      <c r="D26" s="333" t="s">
        <v>189</v>
      </c>
      <c r="E26" s="333" t="s">
        <v>643</v>
      </c>
      <c r="F26" s="343" t="s">
        <v>620</v>
      </c>
      <c r="G26" s="343" t="s">
        <v>623</v>
      </c>
      <c r="H26" s="339">
        <v>5500</v>
      </c>
      <c r="I26" s="348"/>
    </row>
    <row r="27" spans="1:9">
      <c r="A27" s="358">
        <f t="shared" si="0"/>
        <v>26</v>
      </c>
      <c r="B27" s="347" t="s">
        <v>669</v>
      </c>
      <c r="C27" s="333" t="s">
        <v>54</v>
      </c>
      <c r="D27" s="333" t="s">
        <v>189</v>
      </c>
      <c r="E27" s="333" t="s">
        <v>223</v>
      </c>
      <c r="F27" s="343" t="s">
        <v>620</v>
      </c>
      <c r="G27" s="343" t="s">
        <v>623</v>
      </c>
      <c r="H27" s="339">
        <v>5500</v>
      </c>
      <c r="I27" s="348"/>
    </row>
    <row r="28" spans="1:9">
      <c r="A28" s="358">
        <f t="shared" si="0"/>
        <v>27</v>
      </c>
      <c r="B28" s="347" t="s">
        <v>669</v>
      </c>
      <c r="C28" s="333" t="s">
        <v>644</v>
      </c>
      <c r="D28" s="333" t="s">
        <v>189</v>
      </c>
      <c r="E28" s="333" t="s">
        <v>223</v>
      </c>
      <c r="F28" s="343" t="s">
        <v>620</v>
      </c>
      <c r="G28" s="343" t="s">
        <v>623</v>
      </c>
      <c r="H28" s="339">
        <v>3999.9999999999995</v>
      </c>
      <c r="I28" s="348"/>
    </row>
    <row r="29" spans="1:9">
      <c r="A29" s="358">
        <f t="shared" si="0"/>
        <v>28</v>
      </c>
      <c r="B29" s="347" t="s">
        <v>669</v>
      </c>
      <c r="C29" s="333" t="s">
        <v>110</v>
      </c>
      <c r="D29" s="333" t="s">
        <v>189</v>
      </c>
      <c r="E29" s="333" t="s">
        <v>645</v>
      </c>
      <c r="F29" s="343" t="s">
        <v>620</v>
      </c>
      <c r="G29" s="343" t="s">
        <v>623</v>
      </c>
      <c r="H29" s="339">
        <v>12000</v>
      </c>
      <c r="I29" s="348"/>
    </row>
    <row r="30" spans="1:9">
      <c r="A30" s="358">
        <f t="shared" si="0"/>
        <v>29</v>
      </c>
      <c r="B30" s="347" t="s">
        <v>669</v>
      </c>
      <c r="C30" s="333" t="s">
        <v>80</v>
      </c>
      <c r="D30" s="333" t="s">
        <v>189</v>
      </c>
      <c r="E30" s="333" t="s">
        <v>646</v>
      </c>
      <c r="F30" s="343" t="s">
        <v>620</v>
      </c>
      <c r="G30" s="343" t="s">
        <v>623</v>
      </c>
      <c r="H30" s="339">
        <v>2950</v>
      </c>
      <c r="I30" s="348"/>
    </row>
    <row r="31" spans="1:9">
      <c r="A31" s="358">
        <f t="shared" si="0"/>
        <v>30</v>
      </c>
      <c r="B31" s="347" t="s">
        <v>669</v>
      </c>
      <c r="C31" s="349" t="s">
        <v>647</v>
      </c>
      <c r="D31" s="333" t="s">
        <v>381</v>
      </c>
      <c r="E31" s="333" t="s">
        <v>648</v>
      </c>
      <c r="F31" s="343" t="s">
        <v>620</v>
      </c>
      <c r="G31" s="343" t="s">
        <v>623</v>
      </c>
      <c r="H31" s="350">
        <v>4400</v>
      </c>
      <c r="I31" s="348"/>
    </row>
    <row r="32" spans="1:9">
      <c r="A32" s="358">
        <f t="shared" si="0"/>
        <v>31</v>
      </c>
      <c r="B32" s="347" t="s">
        <v>669</v>
      </c>
      <c r="C32" s="333" t="s">
        <v>649</v>
      </c>
      <c r="D32" s="333" t="s">
        <v>381</v>
      </c>
      <c r="E32" s="333" t="s">
        <v>134</v>
      </c>
      <c r="F32" s="343" t="s">
        <v>620</v>
      </c>
      <c r="G32" s="343" t="s">
        <v>623</v>
      </c>
      <c r="H32" s="339">
        <v>6500</v>
      </c>
      <c r="I32" s="348"/>
    </row>
    <row r="33" spans="1:9">
      <c r="A33" s="358">
        <f t="shared" si="0"/>
        <v>32</v>
      </c>
      <c r="B33" s="347" t="s">
        <v>669</v>
      </c>
      <c r="C33" s="333" t="s">
        <v>43</v>
      </c>
      <c r="D33" s="333" t="s">
        <v>210</v>
      </c>
      <c r="E33" s="333" t="s">
        <v>650</v>
      </c>
      <c r="F33" s="343" t="s">
        <v>620</v>
      </c>
      <c r="G33" s="343" t="s">
        <v>623</v>
      </c>
      <c r="H33" s="339">
        <v>7000</v>
      </c>
      <c r="I33" s="348"/>
    </row>
    <row r="34" spans="1:9">
      <c r="A34" s="358">
        <f t="shared" si="0"/>
        <v>33</v>
      </c>
      <c r="B34" s="347" t="s">
        <v>669</v>
      </c>
      <c r="C34" s="333" t="s">
        <v>387</v>
      </c>
      <c r="D34" s="333" t="s">
        <v>210</v>
      </c>
      <c r="E34" s="333" t="s">
        <v>651</v>
      </c>
      <c r="F34" s="343" t="s">
        <v>620</v>
      </c>
      <c r="G34" s="343" t="s">
        <v>623</v>
      </c>
      <c r="H34" s="339">
        <v>5500</v>
      </c>
      <c r="I34" s="348"/>
    </row>
    <row r="35" spans="1:9">
      <c r="A35" s="358">
        <f t="shared" si="0"/>
        <v>34</v>
      </c>
      <c r="B35" s="347" t="s">
        <v>669</v>
      </c>
      <c r="C35" s="333" t="s">
        <v>336</v>
      </c>
      <c r="D35" s="333" t="s">
        <v>210</v>
      </c>
      <c r="E35" s="333" t="s">
        <v>652</v>
      </c>
      <c r="F35" s="343" t="s">
        <v>620</v>
      </c>
      <c r="G35" s="343" t="s">
        <v>623</v>
      </c>
      <c r="H35" s="339">
        <v>5000</v>
      </c>
      <c r="I35" s="348"/>
    </row>
    <row r="36" spans="1:9">
      <c r="A36" s="358">
        <f t="shared" si="0"/>
        <v>35</v>
      </c>
      <c r="B36" s="347" t="s">
        <v>669</v>
      </c>
      <c r="C36" s="333" t="s">
        <v>58</v>
      </c>
      <c r="D36" s="333" t="s">
        <v>210</v>
      </c>
      <c r="E36" s="333" t="s">
        <v>653</v>
      </c>
      <c r="F36" s="343" t="s">
        <v>620</v>
      </c>
      <c r="G36" s="343" t="s">
        <v>623</v>
      </c>
      <c r="H36" s="339">
        <v>6000</v>
      </c>
      <c r="I36" s="348"/>
    </row>
    <row r="37" spans="1:9">
      <c r="A37" s="358">
        <f t="shared" si="0"/>
        <v>36</v>
      </c>
      <c r="B37" s="347" t="s">
        <v>669</v>
      </c>
      <c r="C37" s="333" t="s">
        <v>394</v>
      </c>
      <c r="D37" s="333" t="s">
        <v>210</v>
      </c>
      <c r="E37" s="333" t="s">
        <v>654</v>
      </c>
      <c r="F37" s="343" t="s">
        <v>620</v>
      </c>
      <c r="G37" s="343" t="s">
        <v>623</v>
      </c>
      <c r="H37" s="339">
        <v>9000</v>
      </c>
      <c r="I37" s="348"/>
    </row>
    <row r="38" spans="1:9">
      <c r="A38" s="358">
        <f t="shared" si="0"/>
        <v>37</v>
      </c>
      <c r="B38" s="347" t="s">
        <v>669</v>
      </c>
      <c r="C38" s="333" t="s">
        <v>112</v>
      </c>
      <c r="D38" s="333" t="s">
        <v>218</v>
      </c>
      <c r="E38" s="333" t="s">
        <v>655</v>
      </c>
      <c r="F38" s="343" t="s">
        <v>620</v>
      </c>
      <c r="G38" s="343" t="s">
        <v>623</v>
      </c>
      <c r="H38" s="339">
        <v>6000</v>
      </c>
      <c r="I38" s="348"/>
    </row>
    <row r="39" spans="1:9">
      <c r="A39" s="358">
        <f t="shared" si="0"/>
        <v>38</v>
      </c>
      <c r="B39" s="347" t="s">
        <v>669</v>
      </c>
      <c r="C39" s="333" t="s">
        <v>337</v>
      </c>
      <c r="D39" s="333" t="s">
        <v>218</v>
      </c>
      <c r="E39" s="333" t="s">
        <v>656</v>
      </c>
      <c r="F39" s="343" t="s">
        <v>620</v>
      </c>
      <c r="G39" s="343" t="s">
        <v>623</v>
      </c>
      <c r="H39" s="339">
        <v>6000</v>
      </c>
      <c r="I39" s="348"/>
    </row>
    <row r="40" spans="1:9">
      <c r="A40" s="358">
        <f t="shared" si="0"/>
        <v>39</v>
      </c>
      <c r="B40" s="347" t="s">
        <v>669</v>
      </c>
      <c r="C40" s="333" t="s">
        <v>657</v>
      </c>
      <c r="D40" s="333" t="s">
        <v>218</v>
      </c>
      <c r="E40" s="333" t="s">
        <v>658</v>
      </c>
      <c r="F40" s="343" t="s">
        <v>620</v>
      </c>
      <c r="G40" s="343" t="s">
        <v>623</v>
      </c>
      <c r="H40" s="339">
        <v>6000</v>
      </c>
      <c r="I40" s="348"/>
    </row>
    <row r="41" spans="1:9">
      <c r="A41" s="358">
        <f t="shared" si="0"/>
        <v>40</v>
      </c>
      <c r="B41" s="347" t="s">
        <v>669</v>
      </c>
      <c r="C41" s="333" t="s">
        <v>146</v>
      </c>
      <c r="D41" s="333" t="s">
        <v>218</v>
      </c>
      <c r="E41" s="333" t="s">
        <v>659</v>
      </c>
      <c r="F41" s="343" t="s">
        <v>620</v>
      </c>
      <c r="G41" s="343" t="s">
        <v>623</v>
      </c>
      <c r="H41" s="339">
        <v>6000</v>
      </c>
      <c r="I41" s="348"/>
    </row>
    <row r="42" spans="1:9">
      <c r="A42" s="358">
        <f t="shared" si="0"/>
        <v>41</v>
      </c>
      <c r="B42" s="347" t="s">
        <v>669</v>
      </c>
      <c r="C42" s="333" t="s">
        <v>660</v>
      </c>
      <c r="D42" s="333" t="s">
        <v>218</v>
      </c>
      <c r="E42" s="333" t="s">
        <v>659</v>
      </c>
      <c r="F42" s="343" t="s">
        <v>620</v>
      </c>
      <c r="G42" s="343" t="s">
        <v>623</v>
      </c>
      <c r="H42" s="339">
        <v>6000</v>
      </c>
      <c r="I42" s="348"/>
    </row>
    <row r="43" spans="1:9">
      <c r="A43" s="358">
        <f t="shared" si="0"/>
        <v>42</v>
      </c>
      <c r="B43" s="347" t="s">
        <v>669</v>
      </c>
      <c r="C43" s="333" t="s">
        <v>49</v>
      </c>
      <c r="D43" s="333" t="s">
        <v>218</v>
      </c>
      <c r="E43" s="333" t="s">
        <v>661</v>
      </c>
      <c r="F43" s="343" t="s">
        <v>620</v>
      </c>
      <c r="G43" s="343" t="s">
        <v>623</v>
      </c>
      <c r="H43" s="339">
        <v>7000</v>
      </c>
      <c r="I43" s="348"/>
    </row>
    <row r="44" spans="1:9">
      <c r="A44" s="358">
        <f t="shared" si="0"/>
        <v>43</v>
      </c>
      <c r="B44" s="347" t="s">
        <v>669</v>
      </c>
      <c r="C44" s="333" t="s">
        <v>114</v>
      </c>
      <c r="D44" s="333" t="s">
        <v>218</v>
      </c>
      <c r="E44" s="333" t="s">
        <v>662</v>
      </c>
      <c r="F44" s="343" t="s">
        <v>620</v>
      </c>
      <c r="G44" s="343" t="s">
        <v>623</v>
      </c>
      <c r="H44" s="339">
        <v>12000</v>
      </c>
      <c r="I44" s="348"/>
    </row>
    <row r="45" spans="1:9">
      <c r="A45" s="358">
        <f t="shared" si="0"/>
        <v>44</v>
      </c>
      <c r="B45" s="347" t="s">
        <v>669</v>
      </c>
      <c r="C45" s="333" t="s">
        <v>56</v>
      </c>
      <c r="D45" s="333" t="s">
        <v>218</v>
      </c>
      <c r="E45" s="333" t="s">
        <v>584</v>
      </c>
      <c r="F45" s="343" t="s">
        <v>620</v>
      </c>
      <c r="G45" s="343" t="s">
        <v>623</v>
      </c>
      <c r="H45" s="339">
        <v>6000</v>
      </c>
      <c r="I45" s="348"/>
    </row>
    <row r="46" spans="1:9">
      <c r="A46" s="358">
        <f t="shared" si="0"/>
        <v>45</v>
      </c>
      <c r="B46" s="347" t="s">
        <v>669</v>
      </c>
      <c r="C46" s="333" t="s">
        <v>60</v>
      </c>
      <c r="D46" s="333" t="s">
        <v>218</v>
      </c>
      <c r="E46" s="333" t="s">
        <v>584</v>
      </c>
      <c r="F46" s="343" t="s">
        <v>620</v>
      </c>
      <c r="G46" s="343" t="s">
        <v>623</v>
      </c>
      <c r="H46" s="339">
        <v>6000</v>
      </c>
      <c r="I46" s="348"/>
    </row>
    <row r="47" spans="1:9">
      <c r="A47" s="358">
        <f t="shared" si="0"/>
        <v>46</v>
      </c>
      <c r="B47" s="347" t="s">
        <v>669</v>
      </c>
      <c r="C47" s="333" t="s">
        <v>395</v>
      </c>
      <c r="D47" s="333" t="s">
        <v>218</v>
      </c>
      <c r="E47" s="333" t="s">
        <v>663</v>
      </c>
      <c r="F47" s="343" t="s">
        <v>620</v>
      </c>
      <c r="G47" s="343" t="s">
        <v>623</v>
      </c>
      <c r="H47" s="339">
        <v>9000</v>
      </c>
      <c r="I47" s="348"/>
    </row>
    <row r="48" spans="1:9">
      <c r="A48" s="358">
        <f t="shared" si="0"/>
        <v>47</v>
      </c>
      <c r="B48" s="347" t="s">
        <v>669</v>
      </c>
      <c r="C48" s="333" t="s">
        <v>664</v>
      </c>
      <c r="D48" s="333" t="s">
        <v>218</v>
      </c>
      <c r="E48" s="333" t="s">
        <v>665</v>
      </c>
      <c r="F48" s="343" t="s">
        <v>620</v>
      </c>
      <c r="G48" s="343" t="s">
        <v>623</v>
      </c>
      <c r="H48" s="339">
        <v>6000</v>
      </c>
      <c r="I48" s="348"/>
    </row>
    <row r="49" spans="1:9">
      <c r="A49" s="358">
        <f t="shared" si="0"/>
        <v>48</v>
      </c>
      <c r="B49" s="347" t="s">
        <v>669</v>
      </c>
      <c r="C49" s="333" t="s">
        <v>469</v>
      </c>
      <c r="D49" s="333" t="s">
        <v>218</v>
      </c>
      <c r="E49" s="333" t="s">
        <v>665</v>
      </c>
      <c r="F49" s="343" t="s">
        <v>620</v>
      </c>
      <c r="G49" s="343" t="s">
        <v>623</v>
      </c>
      <c r="H49" s="339">
        <v>6500</v>
      </c>
      <c r="I49" s="348"/>
    </row>
    <row r="50" spans="1:9">
      <c r="A50" s="358">
        <f t="shared" si="0"/>
        <v>49</v>
      </c>
      <c r="B50" s="347" t="s">
        <v>669</v>
      </c>
      <c r="C50" s="333" t="s">
        <v>106</v>
      </c>
      <c r="D50" s="333" t="s">
        <v>218</v>
      </c>
      <c r="E50" s="333" t="s">
        <v>665</v>
      </c>
      <c r="F50" s="343" t="s">
        <v>620</v>
      </c>
      <c r="G50" s="343" t="s">
        <v>623</v>
      </c>
      <c r="H50" s="339">
        <v>6500</v>
      </c>
      <c r="I50" s="348"/>
    </row>
    <row r="51" spans="1:9">
      <c r="A51" s="358">
        <f t="shared" si="0"/>
        <v>50</v>
      </c>
      <c r="B51" s="347" t="s">
        <v>669</v>
      </c>
      <c r="C51" s="333" t="s">
        <v>666</v>
      </c>
      <c r="D51" s="333" t="s">
        <v>218</v>
      </c>
      <c r="E51" s="333" t="s">
        <v>667</v>
      </c>
      <c r="F51" s="343" t="s">
        <v>620</v>
      </c>
      <c r="G51" s="343" t="s">
        <v>623</v>
      </c>
      <c r="H51" s="339">
        <v>3499.9999999999995</v>
      </c>
      <c r="I51" s="348"/>
    </row>
    <row r="52" spans="1:9">
      <c r="A52" s="358">
        <f t="shared" si="0"/>
        <v>51</v>
      </c>
      <c r="B52" s="347" t="s">
        <v>669</v>
      </c>
      <c r="C52" s="333" t="s">
        <v>62</v>
      </c>
      <c r="D52" s="333" t="s">
        <v>218</v>
      </c>
      <c r="E52" s="333" t="s">
        <v>668</v>
      </c>
      <c r="F52" s="343" t="s">
        <v>620</v>
      </c>
      <c r="G52" s="343" t="s">
        <v>623</v>
      </c>
      <c r="H52" s="339">
        <v>2666.666666666667</v>
      </c>
      <c r="I52" s="348"/>
    </row>
    <row r="53" spans="1:9">
      <c r="A53" s="358">
        <f t="shared" si="0"/>
        <v>52</v>
      </c>
      <c r="B53" s="347" t="s">
        <v>669</v>
      </c>
      <c r="C53" s="333" t="s">
        <v>108</v>
      </c>
      <c r="D53" s="333" t="s">
        <v>218</v>
      </c>
      <c r="E53" s="333" t="s">
        <v>668</v>
      </c>
      <c r="F53" s="343" t="s">
        <v>620</v>
      </c>
      <c r="G53" s="343" t="s">
        <v>623</v>
      </c>
      <c r="H53" s="339">
        <v>5000</v>
      </c>
      <c r="I53" s="348"/>
    </row>
    <row r="54" spans="1:9">
      <c r="A54" s="358">
        <f t="shared" si="0"/>
        <v>53</v>
      </c>
      <c r="B54" s="347" t="s">
        <v>669</v>
      </c>
      <c r="C54" s="333" t="s">
        <v>120</v>
      </c>
      <c r="D54" s="333" t="s">
        <v>218</v>
      </c>
      <c r="E54" s="333" t="s">
        <v>143</v>
      </c>
      <c r="F54" s="343" t="s">
        <v>620</v>
      </c>
      <c r="G54" s="343" t="s">
        <v>623</v>
      </c>
      <c r="H54" s="339">
        <v>6250</v>
      </c>
      <c r="I54" s="348"/>
    </row>
    <row r="55" spans="1:9">
      <c r="A55" s="358">
        <f t="shared" si="0"/>
        <v>54</v>
      </c>
      <c r="B55" s="347" t="s">
        <v>669</v>
      </c>
      <c r="C55" s="349" t="s">
        <v>458</v>
      </c>
      <c r="D55" s="349" t="s">
        <v>192</v>
      </c>
      <c r="E55" s="349" t="s">
        <v>670</v>
      </c>
      <c r="F55" s="343" t="s">
        <v>620</v>
      </c>
      <c r="G55" s="343" t="s">
        <v>624</v>
      </c>
      <c r="H55" s="351">
        <v>8499.9857142857127</v>
      </c>
      <c r="I55" s="348"/>
    </row>
    <row r="56" spans="1:9">
      <c r="A56" s="358">
        <f t="shared" si="0"/>
        <v>55</v>
      </c>
      <c r="B56" s="347" t="s">
        <v>669</v>
      </c>
      <c r="C56" s="349" t="s">
        <v>671</v>
      </c>
      <c r="D56" s="349" t="s">
        <v>249</v>
      </c>
      <c r="E56" s="349" t="s">
        <v>672</v>
      </c>
      <c r="F56" s="343" t="s">
        <v>621</v>
      </c>
      <c r="G56" s="343" t="s">
        <v>624</v>
      </c>
      <c r="H56" s="351">
        <v>3168.1285714285718</v>
      </c>
      <c r="I56" s="351">
        <v>1824.5240000000001</v>
      </c>
    </row>
    <row r="57" spans="1:9">
      <c r="A57" s="358">
        <f t="shared" si="0"/>
        <v>56</v>
      </c>
      <c r="B57" s="347" t="s">
        <v>669</v>
      </c>
      <c r="C57" s="349" t="s">
        <v>673</v>
      </c>
      <c r="D57" s="349" t="s">
        <v>249</v>
      </c>
      <c r="E57" s="349" t="s">
        <v>674</v>
      </c>
      <c r="F57" s="343" t="s">
        <v>621</v>
      </c>
      <c r="G57" s="343" t="s">
        <v>624</v>
      </c>
      <c r="H57" s="351">
        <v>3168.1285714285718</v>
      </c>
      <c r="I57" s="351">
        <v>6074.5920000000006</v>
      </c>
    </row>
    <row r="58" spans="1:9">
      <c r="A58" s="358">
        <f t="shared" si="0"/>
        <v>57</v>
      </c>
      <c r="B58" s="347" t="s">
        <v>669</v>
      </c>
      <c r="C58" s="349" t="s">
        <v>675</v>
      </c>
      <c r="D58" s="349" t="s">
        <v>249</v>
      </c>
      <c r="E58" s="349" t="s">
        <v>642</v>
      </c>
      <c r="F58" s="343" t="s">
        <v>621</v>
      </c>
      <c r="G58" s="343" t="s">
        <v>624</v>
      </c>
      <c r="H58" s="351">
        <v>3168.1285714285718</v>
      </c>
      <c r="I58" s="351">
        <v>6256.152</v>
      </c>
    </row>
    <row r="59" spans="1:9">
      <c r="A59" s="358">
        <f t="shared" si="0"/>
        <v>58</v>
      </c>
      <c r="B59" s="347" t="s">
        <v>669</v>
      </c>
      <c r="C59" s="349" t="s">
        <v>676</v>
      </c>
      <c r="D59" s="349" t="s">
        <v>249</v>
      </c>
      <c r="E59" s="349" t="s">
        <v>642</v>
      </c>
      <c r="F59" s="343" t="s">
        <v>621</v>
      </c>
      <c r="G59" s="343" t="s">
        <v>624</v>
      </c>
      <c r="H59" s="351">
        <v>3168.1285714285718</v>
      </c>
      <c r="I59" s="351">
        <v>15471.628000000002</v>
      </c>
    </row>
    <row r="60" spans="1:9">
      <c r="A60" s="358">
        <f t="shared" si="0"/>
        <v>59</v>
      </c>
      <c r="B60" s="347" t="s">
        <v>669</v>
      </c>
      <c r="C60" s="349" t="s">
        <v>677</v>
      </c>
      <c r="D60" s="349" t="s">
        <v>249</v>
      </c>
      <c r="E60" s="349" t="s">
        <v>642</v>
      </c>
      <c r="F60" s="343" t="s">
        <v>621</v>
      </c>
      <c r="G60" s="343" t="s">
        <v>624</v>
      </c>
      <c r="H60" s="351">
        <v>3168.1285714285718</v>
      </c>
      <c r="I60" s="351">
        <v>6462.4680000000008</v>
      </c>
    </row>
    <row r="61" spans="1:9">
      <c r="A61" s="358">
        <f t="shared" si="0"/>
        <v>60</v>
      </c>
      <c r="B61" s="347" t="s">
        <v>669</v>
      </c>
      <c r="C61" s="349" t="s">
        <v>678</v>
      </c>
      <c r="D61" s="349" t="s">
        <v>249</v>
      </c>
      <c r="E61" s="349" t="s">
        <v>642</v>
      </c>
      <c r="F61" s="343" t="s">
        <v>621</v>
      </c>
      <c r="G61" s="343" t="s">
        <v>624</v>
      </c>
      <c r="H61" s="351">
        <v>3168.1285714285718</v>
      </c>
      <c r="I61" s="351">
        <v>5415.6839999999993</v>
      </c>
    </row>
    <row r="62" spans="1:9">
      <c r="A62" s="358">
        <f t="shared" si="0"/>
        <v>61</v>
      </c>
      <c r="B62" s="347" t="s">
        <v>669</v>
      </c>
      <c r="C62" s="349" t="s">
        <v>679</v>
      </c>
      <c r="D62" s="349" t="s">
        <v>249</v>
      </c>
      <c r="E62" s="349" t="s">
        <v>642</v>
      </c>
      <c r="F62" s="343" t="s">
        <v>621</v>
      </c>
      <c r="G62" s="343" t="s">
        <v>624</v>
      </c>
      <c r="H62" s="351">
        <v>3168.1285714285718</v>
      </c>
      <c r="I62" s="351">
        <v>18693.244000000002</v>
      </c>
    </row>
    <row r="63" spans="1:9">
      <c r="A63" s="358">
        <f t="shared" si="0"/>
        <v>62</v>
      </c>
      <c r="B63" s="347" t="s">
        <v>669</v>
      </c>
      <c r="C63" s="349" t="s">
        <v>680</v>
      </c>
      <c r="D63" s="349" t="s">
        <v>249</v>
      </c>
      <c r="E63" s="349" t="s">
        <v>642</v>
      </c>
      <c r="F63" s="343" t="s">
        <v>621</v>
      </c>
      <c r="G63" s="343" t="s">
        <v>624</v>
      </c>
      <c r="H63" s="351">
        <v>3168.1285714285718</v>
      </c>
      <c r="I63" s="351">
        <v>12050.952000000001</v>
      </c>
    </row>
    <row r="64" spans="1:9">
      <c r="A64" s="358">
        <f t="shared" si="0"/>
        <v>63</v>
      </c>
      <c r="B64" s="347" t="s">
        <v>669</v>
      </c>
      <c r="C64" s="349" t="s">
        <v>681</v>
      </c>
      <c r="D64" s="349" t="s">
        <v>249</v>
      </c>
      <c r="E64" s="349" t="s">
        <v>642</v>
      </c>
      <c r="F64" s="343" t="s">
        <v>621</v>
      </c>
      <c r="G64" s="343" t="s">
        <v>624</v>
      </c>
      <c r="H64" s="351">
        <v>3168.1285714285718</v>
      </c>
      <c r="I64" s="351">
        <v>6249.7440000000006</v>
      </c>
    </row>
    <row r="65" spans="1:9">
      <c r="A65" s="358">
        <f t="shared" si="0"/>
        <v>64</v>
      </c>
      <c r="B65" s="347" t="s">
        <v>669</v>
      </c>
      <c r="C65" s="349" t="s">
        <v>682</v>
      </c>
      <c r="D65" s="349" t="s">
        <v>249</v>
      </c>
      <c r="E65" s="349" t="s">
        <v>642</v>
      </c>
      <c r="F65" s="343" t="s">
        <v>621</v>
      </c>
      <c r="G65" s="343" t="s">
        <v>624</v>
      </c>
      <c r="H65" s="351">
        <v>3168.1285714285718</v>
      </c>
      <c r="I65" s="351">
        <v>4023.2959999999994</v>
      </c>
    </row>
    <row r="66" spans="1:9">
      <c r="A66" s="358">
        <f t="shared" si="0"/>
        <v>65</v>
      </c>
      <c r="B66" s="347" t="s">
        <v>669</v>
      </c>
      <c r="C66" s="349" t="s">
        <v>683</v>
      </c>
      <c r="D66" s="349" t="s">
        <v>249</v>
      </c>
      <c r="E66" s="349" t="s">
        <v>642</v>
      </c>
      <c r="F66" s="343" t="s">
        <v>621</v>
      </c>
      <c r="G66" s="343" t="s">
        <v>624</v>
      </c>
      <c r="H66" s="351">
        <v>3168.1285714285718</v>
      </c>
      <c r="I66" s="351">
        <v>8501.9360000000015</v>
      </c>
    </row>
    <row r="67" spans="1:9">
      <c r="A67" s="358">
        <f t="shared" si="0"/>
        <v>66</v>
      </c>
      <c r="B67" s="347" t="s">
        <v>669</v>
      </c>
      <c r="C67" s="349" t="s">
        <v>684</v>
      </c>
      <c r="D67" s="349" t="s">
        <v>249</v>
      </c>
      <c r="E67" s="349" t="s">
        <v>642</v>
      </c>
      <c r="F67" s="343" t="s">
        <v>621</v>
      </c>
      <c r="G67" s="343" t="s">
        <v>624</v>
      </c>
      <c r="H67" s="351">
        <v>3168.1285714285718</v>
      </c>
      <c r="I67" s="351">
        <v>14581.1</v>
      </c>
    </row>
    <row r="68" spans="1:9">
      <c r="A68" s="358">
        <f t="shared" ref="A68:A131" si="1">A67+1</f>
        <v>67</v>
      </c>
      <c r="B68" s="347" t="s">
        <v>669</v>
      </c>
      <c r="C68" s="349" t="s">
        <v>685</v>
      </c>
      <c r="D68" s="349" t="s">
        <v>249</v>
      </c>
      <c r="E68" s="349" t="s">
        <v>642</v>
      </c>
      <c r="F68" s="343" t="s">
        <v>621</v>
      </c>
      <c r="G68" s="343" t="s">
        <v>624</v>
      </c>
      <c r="H68" s="351">
        <v>3168.1285714285718</v>
      </c>
      <c r="I68" s="351">
        <v>7798.3439999999991</v>
      </c>
    </row>
    <row r="69" spans="1:9">
      <c r="A69" s="358">
        <f t="shared" si="1"/>
        <v>68</v>
      </c>
      <c r="B69" s="347" t="s">
        <v>669</v>
      </c>
      <c r="C69" s="349" t="s">
        <v>686</v>
      </c>
      <c r="D69" s="349" t="s">
        <v>249</v>
      </c>
      <c r="E69" s="349" t="s">
        <v>505</v>
      </c>
      <c r="F69" s="343" t="s">
        <v>621</v>
      </c>
      <c r="G69" s="343" t="s">
        <v>624</v>
      </c>
      <c r="H69" s="351">
        <v>3168.1285714285718</v>
      </c>
      <c r="I69" s="351">
        <v>6629.9520000000002</v>
      </c>
    </row>
    <row r="70" spans="1:9">
      <c r="A70" s="358">
        <f t="shared" si="1"/>
        <v>69</v>
      </c>
      <c r="B70" s="347" t="s">
        <v>669</v>
      </c>
      <c r="C70" s="349" t="s">
        <v>687</v>
      </c>
      <c r="D70" s="349" t="s">
        <v>249</v>
      </c>
      <c r="E70" s="349" t="s">
        <v>505</v>
      </c>
      <c r="F70" s="343" t="s">
        <v>621</v>
      </c>
      <c r="G70" s="343" t="s">
        <v>624</v>
      </c>
      <c r="H70" s="351">
        <v>3168.1285714285718</v>
      </c>
      <c r="I70" s="351">
        <v>3519.2</v>
      </c>
    </row>
    <row r="71" spans="1:9">
      <c r="A71" s="358">
        <f t="shared" si="1"/>
        <v>70</v>
      </c>
      <c r="B71" s="347" t="s">
        <v>669</v>
      </c>
      <c r="C71" s="349" t="s">
        <v>688</v>
      </c>
      <c r="D71" s="349" t="s">
        <v>249</v>
      </c>
      <c r="E71" s="349" t="s">
        <v>505</v>
      </c>
      <c r="F71" s="343" t="s">
        <v>621</v>
      </c>
      <c r="G71" s="343" t="s">
        <v>624</v>
      </c>
      <c r="H71" s="351">
        <v>3168.1285714285718</v>
      </c>
      <c r="I71" s="351">
        <v>3792.6079999999997</v>
      </c>
    </row>
    <row r="72" spans="1:9" s="354" customFormat="1">
      <c r="A72" s="358">
        <f t="shared" si="1"/>
        <v>71</v>
      </c>
      <c r="B72" s="353" t="s">
        <v>669</v>
      </c>
      <c r="C72" s="349" t="s">
        <v>689</v>
      </c>
      <c r="D72" s="349" t="s">
        <v>381</v>
      </c>
      <c r="E72" s="349" t="s">
        <v>506</v>
      </c>
      <c r="F72" s="356" t="s">
        <v>620</v>
      </c>
      <c r="G72" s="356" t="s">
        <v>624</v>
      </c>
      <c r="H72" s="351">
        <v>4399.971428571429</v>
      </c>
      <c r="I72" s="351">
        <v>0</v>
      </c>
    </row>
    <row r="73" spans="1:9">
      <c r="A73" s="358">
        <f t="shared" si="1"/>
        <v>72</v>
      </c>
      <c r="B73" s="347" t="s">
        <v>669</v>
      </c>
      <c r="C73" s="349" t="s">
        <v>690</v>
      </c>
      <c r="D73" s="349" t="s">
        <v>381</v>
      </c>
      <c r="E73" s="349" t="s">
        <v>506</v>
      </c>
      <c r="F73" s="343" t="s">
        <v>620</v>
      </c>
      <c r="G73" s="343" t="s">
        <v>624</v>
      </c>
      <c r="H73" s="351">
        <v>4399.971428571429</v>
      </c>
      <c r="I73" s="351">
        <v>0</v>
      </c>
    </row>
    <row r="74" spans="1:9">
      <c r="A74" s="358">
        <f t="shared" si="1"/>
        <v>73</v>
      </c>
      <c r="B74" s="347" t="s">
        <v>669</v>
      </c>
      <c r="C74" s="349" t="s">
        <v>691</v>
      </c>
      <c r="D74" s="349" t="s">
        <v>381</v>
      </c>
      <c r="E74" s="349" t="s">
        <v>506</v>
      </c>
      <c r="F74" s="343" t="s">
        <v>620</v>
      </c>
      <c r="G74" s="343" t="s">
        <v>624</v>
      </c>
      <c r="H74" s="351">
        <v>4399.971428571429</v>
      </c>
      <c r="I74" s="351">
        <v>0</v>
      </c>
    </row>
    <row r="75" spans="1:9">
      <c r="A75" s="358">
        <f t="shared" si="1"/>
        <v>74</v>
      </c>
      <c r="B75" s="347" t="s">
        <v>669</v>
      </c>
      <c r="C75" s="349" t="s">
        <v>692</v>
      </c>
      <c r="D75" s="349" t="s">
        <v>381</v>
      </c>
      <c r="E75" s="349" t="s">
        <v>506</v>
      </c>
      <c r="F75" s="343" t="s">
        <v>620</v>
      </c>
      <c r="G75" s="343" t="s">
        <v>624</v>
      </c>
      <c r="H75" s="351">
        <v>4399.971428571429</v>
      </c>
      <c r="I75" s="351">
        <v>0</v>
      </c>
    </row>
    <row r="76" spans="1:9">
      <c r="A76" s="358">
        <f t="shared" si="1"/>
        <v>75</v>
      </c>
      <c r="B76" s="347" t="s">
        <v>669</v>
      </c>
      <c r="C76" s="349" t="s">
        <v>693</v>
      </c>
      <c r="D76" s="349" t="s">
        <v>381</v>
      </c>
      <c r="E76" s="349" t="s">
        <v>506</v>
      </c>
      <c r="F76" s="343" t="s">
        <v>620</v>
      </c>
      <c r="G76" s="343" t="s">
        <v>624</v>
      </c>
      <c r="H76" s="351">
        <v>4399.971428571429</v>
      </c>
      <c r="I76" s="351">
        <v>0</v>
      </c>
    </row>
    <row r="77" spans="1:9">
      <c r="A77" s="358">
        <f t="shared" si="1"/>
        <v>76</v>
      </c>
      <c r="B77" s="347" t="s">
        <v>669</v>
      </c>
      <c r="C77" s="349" t="s">
        <v>694</v>
      </c>
      <c r="D77" s="349" t="s">
        <v>381</v>
      </c>
      <c r="E77" s="349" t="s">
        <v>507</v>
      </c>
      <c r="F77" s="356" t="s">
        <v>621</v>
      </c>
      <c r="G77" s="343" t="s">
        <v>624</v>
      </c>
      <c r="H77" s="351">
        <v>2191.1999999999998</v>
      </c>
      <c r="I77" s="351">
        <v>6437.7120000000004</v>
      </c>
    </row>
    <row r="78" spans="1:9">
      <c r="A78" s="358">
        <f t="shared" si="1"/>
        <v>77</v>
      </c>
      <c r="B78" s="347" t="s">
        <v>669</v>
      </c>
      <c r="C78" s="349" t="s">
        <v>90</v>
      </c>
      <c r="D78" s="349" t="s">
        <v>695</v>
      </c>
      <c r="E78" s="349" t="s">
        <v>668</v>
      </c>
      <c r="F78" s="343" t="s">
        <v>620</v>
      </c>
      <c r="G78" s="343" t="s">
        <v>624</v>
      </c>
      <c r="H78" s="351">
        <v>6000</v>
      </c>
      <c r="I78" s="351">
        <v>0</v>
      </c>
    </row>
    <row r="79" spans="1:9">
      <c r="A79" s="358">
        <f t="shared" si="1"/>
        <v>78</v>
      </c>
      <c r="B79" s="347" t="s">
        <v>669</v>
      </c>
      <c r="C79" s="349" t="s">
        <v>696</v>
      </c>
      <c r="D79" s="349" t="s">
        <v>210</v>
      </c>
      <c r="E79" s="349" t="s">
        <v>131</v>
      </c>
      <c r="F79" s="343" t="s">
        <v>620</v>
      </c>
      <c r="G79" s="343" t="s">
        <v>624</v>
      </c>
      <c r="H79" s="351">
        <v>4998.2571428571428</v>
      </c>
      <c r="I79" s="351">
        <v>0</v>
      </c>
    </row>
    <row r="80" spans="1:9">
      <c r="A80" s="358">
        <f t="shared" si="1"/>
        <v>79</v>
      </c>
      <c r="B80" s="347" t="s">
        <v>669</v>
      </c>
      <c r="C80" s="349" t="s">
        <v>697</v>
      </c>
      <c r="D80" s="349" t="s">
        <v>210</v>
      </c>
      <c r="E80" s="349" t="s">
        <v>131</v>
      </c>
      <c r="F80" s="343" t="s">
        <v>620</v>
      </c>
      <c r="G80" s="343" t="s">
        <v>624</v>
      </c>
      <c r="H80" s="351">
        <v>4998.2571428571428</v>
      </c>
      <c r="I80" s="351">
        <v>0</v>
      </c>
    </row>
    <row r="81" spans="1:9">
      <c r="A81" s="358">
        <f t="shared" si="1"/>
        <v>80</v>
      </c>
      <c r="B81" s="347" t="s">
        <v>669</v>
      </c>
      <c r="C81" s="349" t="s">
        <v>698</v>
      </c>
      <c r="D81" s="349" t="s">
        <v>210</v>
      </c>
      <c r="E81" s="349" t="s">
        <v>131</v>
      </c>
      <c r="F81" s="343" t="s">
        <v>620</v>
      </c>
      <c r="G81" s="343" t="s">
        <v>624</v>
      </c>
      <c r="H81" s="351">
        <v>4998.2571428571428</v>
      </c>
      <c r="I81" s="351">
        <v>0</v>
      </c>
    </row>
    <row r="82" spans="1:9">
      <c r="A82" s="358">
        <f t="shared" si="1"/>
        <v>81</v>
      </c>
      <c r="B82" s="347" t="s">
        <v>669</v>
      </c>
      <c r="C82" s="349" t="s">
        <v>699</v>
      </c>
      <c r="D82" s="349" t="s">
        <v>210</v>
      </c>
      <c r="E82" s="349" t="s">
        <v>131</v>
      </c>
      <c r="F82" s="343" t="s">
        <v>620</v>
      </c>
      <c r="G82" s="343" t="s">
        <v>624</v>
      </c>
      <c r="H82" s="351">
        <v>4998.2571428571428</v>
      </c>
      <c r="I82" s="351">
        <v>0</v>
      </c>
    </row>
    <row r="83" spans="1:9">
      <c r="A83" s="358">
        <f t="shared" si="1"/>
        <v>82</v>
      </c>
      <c r="B83" s="347" t="s">
        <v>669</v>
      </c>
      <c r="C83" s="349" t="s">
        <v>700</v>
      </c>
      <c r="D83" s="349" t="s">
        <v>210</v>
      </c>
      <c r="E83" s="349" t="s">
        <v>131</v>
      </c>
      <c r="F83" s="343" t="s">
        <v>620</v>
      </c>
      <c r="G83" s="343" t="s">
        <v>624</v>
      </c>
      <c r="H83" s="351">
        <v>4998.2571428571428</v>
      </c>
      <c r="I83" s="351">
        <v>0</v>
      </c>
    </row>
    <row r="84" spans="1:9">
      <c r="A84" s="358">
        <f t="shared" si="1"/>
        <v>83</v>
      </c>
      <c r="B84" s="347" t="s">
        <v>669</v>
      </c>
      <c r="C84" s="349" t="s">
        <v>701</v>
      </c>
      <c r="D84" s="349" t="s">
        <v>210</v>
      </c>
      <c r="E84" s="349" t="s">
        <v>131</v>
      </c>
      <c r="F84" s="343" t="s">
        <v>620</v>
      </c>
      <c r="G84" s="343" t="s">
        <v>624</v>
      </c>
      <c r="H84" s="351">
        <v>4998.2571428571428</v>
      </c>
      <c r="I84" s="351">
        <v>0</v>
      </c>
    </row>
    <row r="85" spans="1:9">
      <c r="A85" s="358">
        <f t="shared" si="1"/>
        <v>84</v>
      </c>
      <c r="B85" s="347" t="s">
        <v>669</v>
      </c>
      <c r="C85" s="349" t="s">
        <v>702</v>
      </c>
      <c r="D85" s="349" t="s">
        <v>210</v>
      </c>
      <c r="E85" s="349" t="s">
        <v>131</v>
      </c>
      <c r="F85" s="343" t="s">
        <v>620</v>
      </c>
      <c r="G85" s="343" t="s">
        <v>624</v>
      </c>
      <c r="H85" s="351">
        <v>4998.2571428571428</v>
      </c>
      <c r="I85" s="351">
        <v>0</v>
      </c>
    </row>
    <row r="86" spans="1:9">
      <c r="A86" s="358">
        <f t="shared" si="1"/>
        <v>85</v>
      </c>
      <c r="B86" s="347" t="s">
        <v>669</v>
      </c>
      <c r="C86" s="352" t="s">
        <v>703</v>
      </c>
      <c r="D86" s="352" t="s">
        <v>210</v>
      </c>
      <c r="E86" s="352" t="s">
        <v>135</v>
      </c>
      <c r="F86" s="343" t="s">
        <v>620</v>
      </c>
      <c r="G86" s="343" t="s">
        <v>624</v>
      </c>
      <c r="H86" s="351">
        <v>7000</v>
      </c>
      <c r="I86" s="351">
        <v>0</v>
      </c>
    </row>
    <row r="87" spans="1:9">
      <c r="A87" s="358">
        <f t="shared" si="1"/>
        <v>86</v>
      </c>
      <c r="B87" s="347" t="s">
        <v>669</v>
      </c>
      <c r="C87" s="349" t="s">
        <v>704</v>
      </c>
      <c r="D87" s="349" t="s">
        <v>210</v>
      </c>
      <c r="E87" s="349" t="s">
        <v>135</v>
      </c>
      <c r="F87" s="343" t="s">
        <v>620</v>
      </c>
      <c r="G87" s="343" t="s">
        <v>624</v>
      </c>
      <c r="H87" s="351">
        <v>7000</v>
      </c>
      <c r="I87" s="351">
        <v>0</v>
      </c>
    </row>
    <row r="88" spans="1:9">
      <c r="A88" s="358">
        <f t="shared" si="1"/>
        <v>87</v>
      </c>
      <c r="B88" s="347" t="s">
        <v>669</v>
      </c>
      <c r="C88" s="349" t="s">
        <v>705</v>
      </c>
      <c r="D88" s="349" t="s">
        <v>210</v>
      </c>
      <c r="E88" s="349" t="s">
        <v>668</v>
      </c>
      <c r="F88" s="343" t="s">
        <v>620</v>
      </c>
      <c r="G88" s="343" t="s">
        <v>624</v>
      </c>
      <c r="H88" s="351">
        <v>3999.985714285714</v>
      </c>
      <c r="I88" s="351">
        <v>0</v>
      </c>
    </row>
    <row r="89" spans="1:9">
      <c r="A89" s="358">
        <f t="shared" si="1"/>
        <v>88</v>
      </c>
      <c r="B89" s="347" t="s">
        <v>669</v>
      </c>
      <c r="C89" s="349" t="s">
        <v>706</v>
      </c>
      <c r="D89" s="349" t="s">
        <v>210</v>
      </c>
      <c r="E89" s="349" t="s">
        <v>668</v>
      </c>
      <c r="F89" s="343" t="s">
        <v>620</v>
      </c>
      <c r="G89" s="343" t="s">
        <v>624</v>
      </c>
      <c r="H89" s="351">
        <v>3999.985714285714</v>
      </c>
      <c r="I89" s="351">
        <v>0</v>
      </c>
    </row>
    <row r="90" spans="1:9">
      <c r="A90" s="358">
        <f t="shared" si="1"/>
        <v>89</v>
      </c>
      <c r="B90" s="347" t="s">
        <v>669</v>
      </c>
      <c r="C90" s="349" t="s">
        <v>707</v>
      </c>
      <c r="D90" s="349" t="s">
        <v>210</v>
      </c>
      <c r="E90" s="349" t="s">
        <v>668</v>
      </c>
      <c r="F90" s="343" t="s">
        <v>620</v>
      </c>
      <c r="G90" s="343" t="s">
        <v>624</v>
      </c>
      <c r="H90" s="351">
        <v>3999.985714285714</v>
      </c>
      <c r="I90" s="351">
        <v>0</v>
      </c>
    </row>
    <row r="91" spans="1:9">
      <c r="A91" s="358">
        <f t="shared" si="1"/>
        <v>90</v>
      </c>
      <c r="B91" s="347" t="s">
        <v>669</v>
      </c>
      <c r="C91" s="349" t="s">
        <v>708</v>
      </c>
      <c r="D91" s="349" t="s">
        <v>210</v>
      </c>
      <c r="E91" s="349" t="s">
        <v>668</v>
      </c>
      <c r="F91" s="343" t="s">
        <v>620</v>
      </c>
      <c r="G91" s="343" t="s">
        <v>624</v>
      </c>
      <c r="H91" s="351">
        <v>3999.985714285714</v>
      </c>
      <c r="I91" s="351">
        <v>0</v>
      </c>
    </row>
    <row r="92" spans="1:9">
      <c r="A92" s="358">
        <f t="shared" si="1"/>
        <v>91</v>
      </c>
      <c r="B92" s="347" t="s">
        <v>669</v>
      </c>
      <c r="C92" s="349" t="s">
        <v>709</v>
      </c>
      <c r="D92" s="349" t="s">
        <v>508</v>
      </c>
      <c r="E92" s="349" t="s">
        <v>672</v>
      </c>
      <c r="F92" s="356" t="s">
        <v>621</v>
      </c>
      <c r="G92" s="343" t="s">
        <v>624</v>
      </c>
      <c r="H92" s="351">
        <v>2386.1999999999998</v>
      </c>
      <c r="I92" s="351">
        <v>3418.636</v>
      </c>
    </row>
    <row r="93" spans="1:9">
      <c r="A93" s="358">
        <f t="shared" si="1"/>
        <v>92</v>
      </c>
      <c r="B93" s="347" t="s">
        <v>669</v>
      </c>
      <c r="C93" s="349" t="s">
        <v>710</v>
      </c>
      <c r="D93" s="349" t="s">
        <v>508</v>
      </c>
      <c r="E93" s="349" t="s">
        <v>672</v>
      </c>
      <c r="F93" s="356" t="s">
        <v>621</v>
      </c>
      <c r="G93" s="343" t="s">
        <v>624</v>
      </c>
      <c r="H93" s="351">
        <v>2386.1999999999998</v>
      </c>
      <c r="I93" s="351">
        <v>1318.8</v>
      </c>
    </row>
    <row r="94" spans="1:9">
      <c r="A94" s="358">
        <f t="shared" si="1"/>
        <v>93</v>
      </c>
      <c r="B94" s="347" t="s">
        <v>669</v>
      </c>
      <c r="C94" s="349" t="s">
        <v>711</v>
      </c>
      <c r="D94" s="349" t="s">
        <v>508</v>
      </c>
      <c r="E94" s="349" t="s">
        <v>672</v>
      </c>
      <c r="F94" s="356" t="s">
        <v>621</v>
      </c>
      <c r="G94" s="343" t="s">
        <v>624</v>
      </c>
      <c r="H94" s="351">
        <v>2386.1999999999998</v>
      </c>
      <c r="I94" s="351">
        <v>2145.4760000000001</v>
      </c>
    </row>
    <row r="95" spans="1:9">
      <c r="A95" s="358">
        <f t="shared" si="1"/>
        <v>94</v>
      </c>
      <c r="B95" s="347" t="s">
        <v>669</v>
      </c>
      <c r="C95" s="349" t="s">
        <v>712</v>
      </c>
      <c r="D95" s="349" t="s">
        <v>508</v>
      </c>
      <c r="E95" s="349" t="s">
        <v>672</v>
      </c>
      <c r="F95" s="356" t="s">
        <v>621</v>
      </c>
      <c r="G95" s="343" t="s">
        <v>624</v>
      </c>
      <c r="H95" s="351">
        <v>2193.3428571428567</v>
      </c>
      <c r="I95" s="351">
        <v>3029.8159999999998</v>
      </c>
    </row>
    <row r="96" spans="1:9">
      <c r="A96" s="358">
        <f t="shared" si="1"/>
        <v>95</v>
      </c>
      <c r="B96" s="347" t="s">
        <v>669</v>
      </c>
      <c r="C96" s="349" t="s">
        <v>713</v>
      </c>
      <c r="D96" s="349" t="s">
        <v>508</v>
      </c>
      <c r="E96" s="349" t="s">
        <v>672</v>
      </c>
      <c r="F96" s="356" t="s">
        <v>621</v>
      </c>
      <c r="G96" s="343" t="s">
        <v>624</v>
      </c>
      <c r="H96" s="351">
        <v>2386.1999999999998</v>
      </c>
      <c r="I96" s="351">
        <v>919.72400000000005</v>
      </c>
    </row>
    <row r="97" spans="1:9">
      <c r="A97" s="358">
        <f t="shared" si="1"/>
        <v>96</v>
      </c>
      <c r="B97" s="347" t="s">
        <v>669</v>
      </c>
      <c r="C97" s="349" t="s">
        <v>714</v>
      </c>
      <c r="D97" s="349" t="s">
        <v>508</v>
      </c>
      <c r="E97" s="349" t="s">
        <v>715</v>
      </c>
      <c r="F97" s="356" t="s">
        <v>621</v>
      </c>
      <c r="G97" s="343" t="s">
        <v>624</v>
      </c>
      <c r="H97" s="351">
        <v>2671.5428571428574</v>
      </c>
      <c r="I97" s="351">
        <v>8272.5959999999995</v>
      </c>
    </row>
    <row r="98" spans="1:9">
      <c r="A98" s="358">
        <f t="shared" si="1"/>
        <v>97</v>
      </c>
      <c r="B98" s="347" t="s">
        <v>669</v>
      </c>
      <c r="C98" s="349" t="s">
        <v>716</v>
      </c>
      <c r="D98" s="349" t="s">
        <v>508</v>
      </c>
      <c r="E98" s="349" t="s">
        <v>715</v>
      </c>
      <c r="F98" s="356" t="s">
        <v>621</v>
      </c>
      <c r="G98" s="343" t="s">
        <v>624</v>
      </c>
      <c r="H98" s="351">
        <v>2671.5428571428574</v>
      </c>
      <c r="I98" s="351">
        <v>13180.364</v>
      </c>
    </row>
    <row r="99" spans="1:9">
      <c r="A99" s="358">
        <f t="shared" si="1"/>
        <v>98</v>
      </c>
      <c r="B99" s="347" t="s">
        <v>669</v>
      </c>
      <c r="C99" s="349" t="s">
        <v>717</v>
      </c>
      <c r="D99" s="349" t="s">
        <v>508</v>
      </c>
      <c r="E99" s="349" t="s">
        <v>718</v>
      </c>
      <c r="F99" s="356" t="s">
        <v>621</v>
      </c>
      <c r="G99" s="343" t="s">
        <v>624</v>
      </c>
      <c r="H99" s="351">
        <v>2671.5428571428574</v>
      </c>
      <c r="I99" s="351">
        <v>8400.7240000000002</v>
      </c>
    </row>
    <row r="100" spans="1:9">
      <c r="A100" s="358">
        <f t="shared" si="1"/>
        <v>99</v>
      </c>
      <c r="B100" s="347" t="s">
        <v>669</v>
      </c>
      <c r="C100" s="349" t="s">
        <v>719</v>
      </c>
      <c r="D100" s="349" t="s">
        <v>508</v>
      </c>
      <c r="E100" s="349" t="s">
        <v>718</v>
      </c>
      <c r="F100" s="356" t="s">
        <v>621</v>
      </c>
      <c r="G100" s="343" t="s">
        <v>624</v>
      </c>
      <c r="H100" s="351">
        <v>2671.5428571428574</v>
      </c>
      <c r="I100" s="351">
        <v>1437.66</v>
      </c>
    </row>
    <row r="101" spans="1:9">
      <c r="A101" s="358">
        <f t="shared" si="1"/>
        <v>100</v>
      </c>
      <c r="B101" s="347" t="s">
        <v>669</v>
      </c>
      <c r="C101" s="349" t="s">
        <v>720</v>
      </c>
      <c r="D101" s="349" t="s">
        <v>508</v>
      </c>
      <c r="E101" s="349" t="s">
        <v>718</v>
      </c>
      <c r="F101" s="356" t="s">
        <v>621</v>
      </c>
      <c r="G101" s="343" t="s">
        <v>624</v>
      </c>
      <c r="H101" s="351">
        <v>2671.5428571428574</v>
      </c>
      <c r="I101" s="351">
        <v>4011.0479999999998</v>
      </c>
    </row>
    <row r="102" spans="1:9">
      <c r="A102" s="358">
        <f t="shared" si="1"/>
        <v>101</v>
      </c>
      <c r="B102" s="347" t="s">
        <v>669</v>
      </c>
      <c r="C102" s="349" t="s">
        <v>721</v>
      </c>
      <c r="D102" s="349" t="s">
        <v>508</v>
      </c>
      <c r="E102" s="349" t="s">
        <v>718</v>
      </c>
      <c r="F102" s="356" t="s">
        <v>621</v>
      </c>
      <c r="G102" s="343" t="s">
        <v>624</v>
      </c>
      <c r="H102" s="351">
        <v>2671.5428571428574</v>
      </c>
      <c r="I102" s="351">
        <v>11677.32</v>
      </c>
    </row>
    <row r="103" spans="1:9">
      <c r="A103" s="358">
        <f t="shared" si="1"/>
        <v>102</v>
      </c>
      <c r="B103" s="347" t="s">
        <v>669</v>
      </c>
      <c r="C103" s="349" t="s">
        <v>722</v>
      </c>
      <c r="D103" s="349" t="s">
        <v>723</v>
      </c>
      <c r="E103" s="349" t="s">
        <v>718</v>
      </c>
      <c r="F103" s="356" t="s">
        <v>621</v>
      </c>
      <c r="G103" s="343" t="s">
        <v>624</v>
      </c>
      <c r="H103" s="351">
        <v>2671.5428571428574</v>
      </c>
      <c r="I103" s="351">
        <v>19263.5</v>
      </c>
    </row>
    <row r="104" spans="1:9">
      <c r="A104" s="358">
        <f t="shared" si="1"/>
        <v>103</v>
      </c>
      <c r="B104" s="347" t="s">
        <v>669</v>
      </c>
      <c r="C104" s="349" t="s">
        <v>724</v>
      </c>
      <c r="D104" s="349" t="s">
        <v>723</v>
      </c>
      <c r="E104" s="349" t="s">
        <v>718</v>
      </c>
      <c r="F104" s="356" t="s">
        <v>621</v>
      </c>
      <c r="G104" s="343" t="s">
        <v>624</v>
      </c>
      <c r="H104" s="351">
        <v>2671.5428571428574</v>
      </c>
      <c r="I104" s="351">
        <v>5278.9160000000002</v>
      </c>
    </row>
    <row r="105" spans="1:9">
      <c r="A105" s="358">
        <f t="shared" si="1"/>
        <v>104</v>
      </c>
      <c r="B105" s="347" t="s">
        <v>669</v>
      </c>
      <c r="C105" s="349" t="s">
        <v>725</v>
      </c>
      <c r="D105" s="349" t="s">
        <v>723</v>
      </c>
      <c r="E105" s="349" t="s">
        <v>718</v>
      </c>
      <c r="F105" s="356" t="s">
        <v>621</v>
      </c>
      <c r="G105" s="343" t="s">
        <v>624</v>
      </c>
      <c r="H105" s="351">
        <v>2671.5428571428574</v>
      </c>
      <c r="I105" s="351">
        <v>14579.408000000003</v>
      </c>
    </row>
    <row r="106" spans="1:9">
      <c r="A106" s="358">
        <f t="shared" si="1"/>
        <v>105</v>
      </c>
      <c r="B106" s="347" t="s">
        <v>669</v>
      </c>
      <c r="C106" s="349" t="s">
        <v>726</v>
      </c>
      <c r="D106" s="349" t="s">
        <v>723</v>
      </c>
      <c r="E106" s="349" t="s">
        <v>718</v>
      </c>
      <c r="F106" s="356" t="s">
        <v>621</v>
      </c>
      <c r="G106" s="343" t="s">
        <v>624</v>
      </c>
      <c r="H106" s="351">
        <v>2671.5428571428574</v>
      </c>
      <c r="I106" s="351">
        <v>15126.12</v>
      </c>
    </row>
    <row r="107" spans="1:9">
      <c r="A107" s="358">
        <f t="shared" si="1"/>
        <v>106</v>
      </c>
      <c r="B107" s="347" t="s">
        <v>669</v>
      </c>
      <c r="C107" s="349" t="s">
        <v>727</v>
      </c>
      <c r="D107" s="349" t="s">
        <v>723</v>
      </c>
      <c r="E107" s="349" t="s">
        <v>718</v>
      </c>
      <c r="F107" s="356" t="s">
        <v>621</v>
      </c>
      <c r="G107" s="343" t="s">
        <v>624</v>
      </c>
      <c r="H107" s="351">
        <v>2671.5428571428574</v>
      </c>
      <c r="I107" s="351">
        <v>15062.96</v>
      </c>
    </row>
    <row r="108" spans="1:9">
      <c r="A108" s="358">
        <f t="shared" si="1"/>
        <v>107</v>
      </c>
      <c r="B108" s="347" t="s">
        <v>669</v>
      </c>
      <c r="C108" s="349" t="s">
        <v>728</v>
      </c>
      <c r="D108" s="349" t="s">
        <v>723</v>
      </c>
      <c r="E108" s="349" t="s">
        <v>718</v>
      </c>
      <c r="F108" s="356" t="s">
        <v>621</v>
      </c>
      <c r="G108" s="343" t="s">
        <v>624</v>
      </c>
      <c r="H108" s="351">
        <v>2671.5428571428574</v>
      </c>
      <c r="I108" s="351">
        <v>9013.3159999999989</v>
      </c>
    </row>
    <row r="109" spans="1:9">
      <c r="A109" s="358">
        <f t="shared" si="1"/>
        <v>108</v>
      </c>
      <c r="B109" s="347" t="s">
        <v>669</v>
      </c>
      <c r="C109" s="349" t="s">
        <v>729</v>
      </c>
      <c r="D109" s="349" t="s">
        <v>723</v>
      </c>
      <c r="E109" s="349" t="s">
        <v>718</v>
      </c>
      <c r="F109" s="356" t="s">
        <v>621</v>
      </c>
      <c r="G109" s="343" t="s">
        <v>624</v>
      </c>
      <c r="H109" s="351">
        <v>2671.5428571428574</v>
      </c>
      <c r="I109" s="351">
        <v>0</v>
      </c>
    </row>
    <row r="110" spans="1:9">
      <c r="A110" s="358">
        <f t="shared" si="1"/>
        <v>109</v>
      </c>
      <c r="B110" s="347" t="s">
        <v>669</v>
      </c>
      <c r="C110" s="349" t="s">
        <v>730</v>
      </c>
      <c r="D110" s="349" t="s">
        <v>723</v>
      </c>
      <c r="E110" s="349" t="s">
        <v>672</v>
      </c>
      <c r="F110" s="356" t="s">
        <v>621</v>
      </c>
      <c r="G110" s="343" t="s">
        <v>624</v>
      </c>
      <c r="H110" s="351">
        <v>2386.1999999999998</v>
      </c>
      <c r="I110" s="351">
        <v>2300</v>
      </c>
    </row>
    <row r="111" spans="1:9">
      <c r="A111" s="358">
        <f t="shared" si="1"/>
        <v>110</v>
      </c>
      <c r="B111" s="347" t="s">
        <v>669</v>
      </c>
      <c r="C111" s="349" t="s">
        <v>731</v>
      </c>
      <c r="D111" s="349" t="s">
        <v>218</v>
      </c>
      <c r="E111" s="349" t="s">
        <v>506</v>
      </c>
      <c r="F111" s="343" t="s">
        <v>620</v>
      </c>
      <c r="G111" s="343" t="s">
        <v>624</v>
      </c>
      <c r="H111" s="351">
        <v>4399.971428571429</v>
      </c>
      <c r="I111" s="351">
        <v>0</v>
      </c>
    </row>
    <row r="112" spans="1:9">
      <c r="A112" s="358">
        <f t="shared" si="1"/>
        <v>111</v>
      </c>
      <c r="B112" s="347" t="s">
        <v>669</v>
      </c>
      <c r="C112" s="349" t="s">
        <v>732</v>
      </c>
      <c r="D112" s="349" t="s">
        <v>218</v>
      </c>
      <c r="E112" s="349" t="s">
        <v>506</v>
      </c>
      <c r="F112" s="343" t="s">
        <v>620</v>
      </c>
      <c r="G112" s="343" t="s">
        <v>624</v>
      </c>
      <c r="H112" s="351">
        <v>4399.971428571429</v>
      </c>
      <c r="I112" s="351">
        <v>0</v>
      </c>
    </row>
    <row r="113" spans="1:9">
      <c r="A113" s="358">
        <f t="shared" si="1"/>
        <v>112</v>
      </c>
      <c r="B113" s="347" t="s">
        <v>669</v>
      </c>
      <c r="C113" s="349" t="s">
        <v>733</v>
      </c>
      <c r="D113" s="349" t="s">
        <v>218</v>
      </c>
      <c r="E113" s="349" t="s">
        <v>506</v>
      </c>
      <c r="F113" s="343" t="s">
        <v>620</v>
      </c>
      <c r="G113" s="343" t="s">
        <v>624</v>
      </c>
      <c r="H113" s="351">
        <v>4399.971428571429</v>
      </c>
      <c r="I113" s="351">
        <v>0</v>
      </c>
    </row>
    <row r="114" spans="1:9">
      <c r="A114" s="358">
        <f t="shared" si="1"/>
        <v>113</v>
      </c>
      <c r="B114" s="347" t="s">
        <v>669</v>
      </c>
      <c r="C114" s="349" t="s">
        <v>734</v>
      </c>
      <c r="D114" s="349" t="s">
        <v>218</v>
      </c>
      <c r="E114" s="349" t="s">
        <v>506</v>
      </c>
      <c r="F114" s="343" t="s">
        <v>620</v>
      </c>
      <c r="G114" s="343" t="s">
        <v>624</v>
      </c>
      <c r="H114" s="351">
        <v>4399.971428571429</v>
      </c>
      <c r="I114" s="351">
        <v>0</v>
      </c>
    </row>
    <row r="115" spans="1:9">
      <c r="A115" s="358">
        <f t="shared" si="1"/>
        <v>114</v>
      </c>
      <c r="B115" s="347" t="s">
        <v>669</v>
      </c>
      <c r="C115" s="349" t="s">
        <v>735</v>
      </c>
      <c r="D115" s="349" t="s">
        <v>218</v>
      </c>
      <c r="E115" s="349" t="s">
        <v>506</v>
      </c>
      <c r="F115" s="343" t="s">
        <v>620</v>
      </c>
      <c r="G115" s="343" t="s">
        <v>624</v>
      </c>
      <c r="H115" s="351">
        <v>4399.971428571429</v>
      </c>
      <c r="I115" s="351">
        <v>0</v>
      </c>
    </row>
    <row r="116" spans="1:9">
      <c r="A116" s="358">
        <f t="shared" si="1"/>
        <v>115</v>
      </c>
      <c r="B116" s="347" t="s">
        <v>669</v>
      </c>
      <c r="C116" s="349" t="s">
        <v>736</v>
      </c>
      <c r="D116" s="349" t="s">
        <v>218</v>
      </c>
      <c r="E116" s="349" t="s">
        <v>506</v>
      </c>
      <c r="F116" s="343" t="s">
        <v>620</v>
      </c>
      <c r="G116" s="343" t="s">
        <v>624</v>
      </c>
      <c r="H116" s="351">
        <v>4399.971428571429</v>
      </c>
      <c r="I116" s="351">
        <v>0</v>
      </c>
    </row>
    <row r="117" spans="1:9">
      <c r="A117" s="358">
        <f t="shared" si="1"/>
        <v>116</v>
      </c>
      <c r="B117" s="347" t="s">
        <v>669</v>
      </c>
      <c r="C117" s="349" t="s">
        <v>737</v>
      </c>
      <c r="D117" s="349" t="s">
        <v>218</v>
      </c>
      <c r="E117" s="349" t="s">
        <v>506</v>
      </c>
      <c r="F117" s="343" t="s">
        <v>620</v>
      </c>
      <c r="G117" s="343" t="s">
        <v>624</v>
      </c>
      <c r="H117" s="351">
        <v>4399.971428571429</v>
      </c>
      <c r="I117" s="351">
        <v>0</v>
      </c>
    </row>
    <row r="118" spans="1:9">
      <c r="A118" s="358">
        <f t="shared" si="1"/>
        <v>117</v>
      </c>
      <c r="B118" s="347" t="s">
        <v>669</v>
      </c>
      <c r="C118" s="349" t="s">
        <v>738</v>
      </c>
      <c r="D118" s="349" t="s">
        <v>218</v>
      </c>
      <c r="E118" s="349" t="s">
        <v>506</v>
      </c>
      <c r="F118" s="343" t="s">
        <v>620</v>
      </c>
      <c r="G118" s="343" t="s">
        <v>624</v>
      </c>
      <c r="H118" s="351">
        <v>4399.971428571429</v>
      </c>
      <c r="I118" s="351">
        <v>0</v>
      </c>
    </row>
    <row r="119" spans="1:9">
      <c r="A119" s="358">
        <f t="shared" si="1"/>
        <v>118</v>
      </c>
      <c r="B119" s="347" t="s">
        <v>669</v>
      </c>
      <c r="C119" s="349" t="s">
        <v>739</v>
      </c>
      <c r="D119" s="349" t="s">
        <v>218</v>
      </c>
      <c r="E119" s="349" t="s">
        <v>506</v>
      </c>
      <c r="F119" s="343" t="s">
        <v>620</v>
      </c>
      <c r="G119" s="343" t="s">
        <v>624</v>
      </c>
      <c r="H119" s="351">
        <v>4399.971428571429</v>
      </c>
      <c r="I119" s="351">
        <v>0</v>
      </c>
    </row>
    <row r="120" spans="1:9">
      <c r="A120" s="358">
        <f t="shared" si="1"/>
        <v>119</v>
      </c>
      <c r="B120" s="347" t="s">
        <v>669</v>
      </c>
      <c r="C120" s="349" t="s">
        <v>740</v>
      </c>
      <c r="D120" s="349" t="s">
        <v>218</v>
      </c>
      <c r="E120" s="349" t="s">
        <v>506</v>
      </c>
      <c r="F120" s="343" t="s">
        <v>620</v>
      </c>
      <c r="G120" s="343" t="s">
        <v>624</v>
      </c>
      <c r="H120" s="351">
        <v>4399.971428571429</v>
      </c>
      <c r="I120" s="351">
        <v>0</v>
      </c>
    </row>
    <row r="121" spans="1:9">
      <c r="A121" s="358">
        <f t="shared" si="1"/>
        <v>120</v>
      </c>
      <c r="B121" s="347" t="s">
        <v>669</v>
      </c>
      <c r="C121" s="349" t="s">
        <v>741</v>
      </c>
      <c r="D121" s="349" t="s">
        <v>218</v>
      </c>
      <c r="E121" s="349" t="s">
        <v>506</v>
      </c>
      <c r="F121" s="343" t="s">
        <v>620</v>
      </c>
      <c r="G121" s="343" t="s">
        <v>624</v>
      </c>
      <c r="H121" s="351">
        <v>4399.971428571429</v>
      </c>
      <c r="I121" s="351">
        <v>0</v>
      </c>
    </row>
    <row r="122" spans="1:9">
      <c r="A122" s="358">
        <f t="shared" si="1"/>
        <v>121</v>
      </c>
      <c r="B122" s="347" t="s">
        <v>669</v>
      </c>
      <c r="C122" s="349" t="s">
        <v>742</v>
      </c>
      <c r="D122" s="349" t="s">
        <v>218</v>
      </c>
      <c r="E122" s="349" t="s">
        <v>506</v>
      </c>
      <c r="F122" s="343" t="s">
        <v>620</v>
      </c>
      <c r="G122" s="343" t="s">
        <v>624</v>
      </c>
      <c r="H122" s="351">
        <v>4399.971428571429</v>
      </c>
      <c r="I122" s="351">
        <v>0</v>
      </c>
    </row>
    <row r="123" spans="1:9">
      <c r="A123" s="358">
        <f t="shared" si="1"/>
        <v>122</v>
      </c>
      <c r="B123" s="347" t="s">
        <v>669</v>
      </c>
      <c r="C123" s="349" t="s">
        <v>743</v>
      </c>
      <c r="D123" s="349" t="s">
        <v>218</v>
      </c>
      <c r="E123" s="349" t="s">
        <v>506</v>
      </c>
      <c r="F123" s="343" t="s">
        <v>620</v>
      </c>
      <c r="G123" s="343" t="s">
        <v>624</v>
      </c>
      <c r="H123" s="351">
        <v>4399.971428571429</v>
      </c>
      <c r="I123" s="351">
        <v>0</v>
      </c>
    </row>
    <row r="124" spans="1:9">
      <c r="A124" s="358">
        <f t="shared" si="1"/>
        <v>123</v>
      </c>
      <c r="B124" s="347" t="s">
        <v>669</v>
      </c>
      <c r="C124" s="349" t="s">
        <v>744</v>
      </c>
      <c r="D124" s="349" t="s">
        <v>218</v>
      </c>
      <c r="E124" s="349" t="s">
        <v>506</v>
      </c>
      <c r="F124" s="343" t="s">
        <v>620</v>
      </c>
      <c r="G124" s="343" t="s">
        <v>624</v>
      </c>
      <c r="H124" s="351">
        <v>4399.971428571429</v>
      </c>
      <c r="I124" s="351">
        <v>0</v>
      </c>
    </row>
    <row r="125" spans="1:9">
      <c r="A125" s="358">
        <f t="shared" si="1"/>
        <v>124</v>
      </c>
      <c r="B125" s="347" t="s">
        <v>669</v>
      </c>
      <c r="C125" s="349" t="s">
        <v>745</v>
      </c>
      <c r="D125" s="349" t="s">
        <v>218</v>
      </c>
      <c r="E125" s="349" t="s">
        <v>506</v>
      </c>
      <c r="F125" s="343" t="s">
        <v>620</v>
      </c>
      <c r="G125" s="343" t="s">
        <v>624</v>
      </c>
      <c r="H125" s="351">
        <v>4399.971428571429</v>
      </c>
      <c r="I125" s="351">
        <v>0</v>
      </c>
    </row>
    <row r="126" spans="1:9">
      <c r="A126" s="358">
        <f t="shared" si="1"/>
        <v>125</v>
      </c>
      <c r="B126" s="347" t="s">
        <v>669</v>
      </c>
      <c r="C126" s="349" t="s">
        <v>746</v>
      </c>
      <c r="D126" s="349" t="s">
        <v>218</v>
      </c>
      <c r="E126" s="349" t="s">
        <v>506</v>
      </c>
      <c r="F126" s="343" t="s">
        <v>620</v>
      </c>
      <c r="G126" s="343" t="s">
        <v>624</v>
      </c>
      <c r="H126" s="351">
        <v>4399.971428571429</v>
      </c>
      <c r="I126" s="351">
        <v>0</v>
      </c>
    </row>
    <row r="127" spans="1:9">
      <c r="A127" s="358">
        <f t="shared" si="1"/>
        <v>126</v>
      </c>
      <c r="B127" s="347" t="s">
        <v>669</v>
      </c>
      <c r="C127" s="349" t="s">
        <v>747</v>
      </c>
      <c r="D127" s="349" t="s">
        <v>218</v>
      </c>
      <c r="E127" s="349" t="s">
        <v>506</v>
      </c>
      <c r="F127" s="343" t="s">
        <v>620</v>
      </c>
      <c r="G127" s="343" t="s">
        <v>624</v>
      </c>
      <c r="H127" s="351">
        <v>4399.971428571429</v>
      </c>
      <c r="I127" s="351">
        <v>0</v>
      </c>
    </row>
    <row r="128" spans="1:9" s="354" customFormat="1">
      <c r="A128" s="358">
        <f t="shared" si="1"/>
        <v>127</v>
      </c>
      <c r="B128" s="353" t="s">
        <v>669</v>
      </c>
      <c r="C128" s="349" t="s">
        <v>748</v>
      </c>
      <c r="D128" s="349" t="s">
        <v>218</v>
      </c>
      <c r="E128" s="349" t="s">
        <v>506</v>
      </c>
      <c r="F128" s="356" t="s">
        <v>620</v>
      </c>
      <c r="G128" s="356" t="s">
        <v>624</v>
      </c>
      <c r="H128" s="351">
        <v>4399.971428571429</v>
      </c>
      <c r="I128" s="351">
        <v>0</v>
      </c>
    </row>
    <row r="129" spans="1:9">
      <c r="A129" s="358">
        <f t="shared" si="1"/>
        <v>128</v>
      </c>
      <c r="B129" s="347" t="s">
        <v>669</v>
      </c>
      <c r="C129" s="349" t="s">
        <v>749</v>
      </c>
      <c r="D129" s="349" t="s">
        <v>218</v>
      </c>
      <c r="E129" s="349" t="s">
        <v>506</v>
      </c>
      <c r="F129" s="343" t="s">
        <v>620</v>
      </c>
      <c r="G129" s="343" t="s">
        <v>624</v>
      </c>
      <c r="H129" s="351">
        <v>4399.971428571429</v>
      </c>
      <c r="I129" s="351">
        <v>0</v>
      </c>
    </row>
    <row r="130" spans="1:9">
      <c r="A130" s="358">
        <f t="shared" si="1"/>
        <v>129</v>
      </c>
      <c r="B130" s="347" t="s">
        <v>669</v>
      </c>
      <c r="C130" s="349" t="s">
        <v>750</v>
      </c>
      <c r="D130" s="349" t="s">
        <v>218</v>
      </c>
      <c r="E130" s="349" t="s">
        <v>506</v>
      </c>
      <c r="F130" s="343" t="s">
        <v>620</v>
      </c>
      <c r="G130" s="343" t="s">
        <v>624</v>
      </c>
      <c r="H130" s="351">
        <v>4399.971428571429</v>
      </c>
      <c r="I130" s="351">
        <v>0</v>
      </c>
    </row>
    <row r="131" spans="1:9">
      <c r="A131" s="358">
        <f t="shared" si="1"/>
        <v>130</v>
      </c>
      <c r="B131" s="347" t="s">
        <v>669</v>
      </c>
      <c r="C131" s="355" t="s">
        <v>751</v>
      </c>
      <c r="D131" s="349" t="s">
        <v>218</v>
      </c>
      <c r="E131" s="349" t="s">
        <v>506</v>
      </c>
      <c r="F131" s="343" t="s">
        <v>620</v>
      </c>
      <c r="G131" s="343" t="s">
        <v>624</v>
      </c>
      <c r="H131" s="351">
        <v>4399.971428571429</v>
      </c>
      <c r="I131" s="351">
        <v>0</v>
      </c>
    </row>
    <row r="132" spans="1:9">
      <c r="A132" s="358">
        <f t="shared" ref="A132:A150" si="2">A131+1</f>
        <v>131</v>
      </c>
      <c r="B132" s="347" t="s">
        <v>669</v>
      </c>
      <c r="C132" s="349" t="s">
        <v>752</v>
      </c>
      <c r="D132" s="349" t="s">
        <v>218</v>
      </c>
      <c r="E132" s="349" t="s">
        <v>506</v>
      </c>
      <c r="F132" s="343" t="s">
        <v>620</v>
      </c>
      <c r="G132" s="343" t="s">
        <v>624</v>
      </c>
      <c r="H132" s="351">
        <v>4399.971428571429</v>
      </c>
      <c r="I132" s="351">
        <v>0</v>
      </c>
    </row>
    <row r="133" spans="1:9">
      <c r="A133" s="358">
        <f t="shared" si="2"/>
        <v>132</v>
      </c>
      <c r="B133" s="347" t="s">
        <v>669</v>
      </c>
      <c r="C133" s="349" t="s">
        <v>753</v>
      </c>
      <c r="D133" s="349" t="s">
        <v>218</v>
      </c>
      <c r="E133" s="349" t="s">
        <v>506</v>
      </c>
      <c r="F133" s="343" t="s">
        <v>620</v>
      </c>
      <c r="G133" s="343" t="s">
        <v>624</v>
      </c>
      <c r="H133" s="351">
        <v>4399.971428571429</v>
      </c>
      <c r="I133" s="351">
        <v>0</v>
      </c>
    </row>
    <row r="134" spans="1:9">
      <c r="A134" s="358">
        <f t="shared" si="2"/>
        <v>133</v>
      </c>
      <c r="B134" s="347" t="s">
        <v>669</v>
      </c>
      <c r="C134" s="349" t="s">
        <v>754</v>
      </c>
      <c r="D134" s="349" t="s">
        <v>218</v>
      </c>
      <c r="E134" s="349" t="s">
        <v>506</v>
      </c>
      <c r="F134" s="343" t="s">
        <v>620</v>
      </c>
      <c r="G134" s="343" t="s">
        <v>624</v>
      </c>
      <c r="H134" s="351">
        <v>4399.971428571429</v>
      </c>
      <c r="I134" s="351">
        <v>0</v>
      </c>
    </row>
    <row r="135" spans="1:9">
      <c r="A135" s="358">
        <f t="shared" si="2"/>
        <v>134</v>
      </c>
      <c r="B135" s="347" t="s">
        <v>669</v>
      </c>
      <c r="C135" s="349" t="s">
        <v>755</v>
      </c>
      <c r="D135" s="349" t="s">
        <v>218</v>
      </c>
      <c r="E135" s="349" t="s">
        <v>506</v>
      </c>
      <c r="F135" s="343" t="s">
        <v>620</v>
      </c>
      <c r="G135" s="343" t="s">
        <v>624</v>
      </c>
      <c r="H135" s="351">
        <v>4399.971428571429</v>
      </c>
      <c r="I135" s="351">
        <v>0</v>
      </c>
    </row>
    <row r="136" spans="1:9">
      <c r="A136" s="358">
        <f t="shared" si="2"/>
        <v>135</v>
      </c>
      <c r="B136" s="347" t="s">
        <v>669</v>
      </c>
      <c r="C136" s="349" t="s">
        <v>756</v>
      </c>
      <c r="D136" s="349" t="s">
        <v>218</v>
      </c>
      <c r="E136" s="349" t="s">
        <v>504</v>
      </c>
      <c r="F136" s="343" t="s">
        <v>620</v>
      </c>
      <c r="G136" s="343" t="s">
        <v>624</v>
      </c>
      <c r="H136" s="351">
        <v>20000</v>
      </c>
      <c r="I136" s="351">
        <v>0</v>
      </c>
    </row>
    <row r="137" spans="1:9">
      <c r="A137" s="358">
        <f t="shared" si="2"/>
        <v>136</v>
      </c>
      <c r="B137" s="347" t="s">
        <v>669</v>
      </c>
      <c r="C137" s="349" t="s">
        <v>757</v>
      </c>
      <c r="D137" s="349" t="s">
        <v>218</v>
      </c>
      <c r="E137" s="349" t="s">
        <v>504</v>
      </c>
      <c r="F137" s="343" t="s">
        <v>620</v>
      </c>
      <c r="G137" s="343" t="s">
        <v>624</v>
      </c>
      <c r="H137" s="351">
        <v>20000</v>
      </c>
      <c r="I137" s="351">
        <v>0</v>
      </c>
    </row>
    <row r="138" spans="1:9">
      <c r="A138" s="358">
        <f t="shared" si="2"/>
        <v>137</v>
      </c>
      <c r="B138" s="347" t="s">
        <v>669</v>
      </c>
      <c r="C138" s="349" t="s">
        <v>758</v>
      </c>
      <c r="D138" s="349" t="s">
        <v>218</v>
      </c>
      <c r="E138" s="349" t="s">
        <v>504</v>
      </c>
      <c r="F138" s="343" t="s">
        <v>620</v>
      </c>
      <c r="G138" s="343" t="s">
        <v>624</v>
      </c>
      <c r="H138" s="351">
        <v>20000</v>
      </c>
      <c r="I138" s="351">
        <v>0</v>
      </c>
    </row>
    <row r="139" spans="1:9">
      <c r="A139" s="358">
        <f t="shared" si="2"/>
        <v>138</v>
      </c>
      <c r="B139" s="347" t="s">
        <v>669</v>
      </c>
      <c r="C139" s="349" t="s">
        <v>759</v>
      </c>
      <c r="D139" s="349" t="s">
        <v>218</v>
      </c>
      <c r="E139" s="349" t="s">
        <v>760</v>
      </c>
      <c r="F139" s="343" t="s">
        <v>620</v>
      </c>
      <c r="G139" s="343" t="s">
        <v>624</v>
      </c>
      <c r="H139" s="351">
        <v>20000</v>
      </c>
      <c r="I139" s="351">
        <v>0</v>
      </c>
    </row>
    <row r="140" spans="1:9">
      <c r="A140" s="358">
        <f t="shared" si="2"/>
        <v>139</v>
      </c>
      <c r="B140" s="347" t="s">
        <v>669</v>
      </c>
      <c r="C140" s="349" t="s">
        <v>761</v>
      </c>
      <c r="D140" s="349" t="s">
        <v>762</v>
      </c>
      <c r="E140" s="349" t="s">
        <v>507</v>
      </c>
      <c r="F140" s="356" t="s">
        <v>621</v>
      </c>
      <c r="G140" s="343" t="s">
        <v>624</v>
      </c>
      <c r="H140" s="351">
        <v>2191.1999999999998</v>
      </c>
      <c r="I140" s="351">
        <v>14127.312000000002</v>
      </c>
    </row>
    <row r="141" spans="1:9">
      <c r="A141" s="358">
        <f t="shared" si="2"/>
        <v>140</v>
      </c>
      <c r="B141" s="347" t="s">
        <v>669</v>
      </c>
      <c r="C141" s="349" t="s">
        <v>763</v>
      </c>
      <c r="D141" s="349" t="s">
        <v>762</v>
      </c>
      <c r="E141" s="349" t="s">
        <v>764</v>
      </c>
      <c r="F141" s="356" t="s">
        <v>621</v>
      </c>
      <c r="G141" s="343" t="s">
        <v>624</v>
      </c>
      <c r="H141" s="351">
        <v>2191.1999999999998</v>
      </c>
      <c r="I141" s="351">
        <v>19894.511999999995</v>
      </c>
    </row>
    <row r="142" spans="1:9">
      <c r="A142" s="358">
        <f t="shared" si="2"/>
        <v>141</v>
      </c>
      <c r="B142" s="347" t="s">
        <v>669</v>
      </c>
      <c r="C142" s="349" t="s">
        <v>765</v>
      </c>
      <c r="D142" s="349" t="s">
        <v>766</v>
      </c>
      <c r="E142" s="349" t="s">
        <v>127</v>
      </c>
      <c r="F142" s="343" t="s">
        <v>620</v>
      </c>
      <c r="G142" s="343" t="s">
        <v>624</v>
      </c>
      <c r="H142" s="351">
        <v>6500.0142857142855</v>
      </c>
      <c r="I142" s="351">
        <v>0</v>
      </c>
    </row>
    <row r="143" spans="1:9">
      <c r="A143" s="358">
        <f t="shared" si="2"/>
        <v>142</v>
      </c>
      <c r="B143" s="347" t="s">
        <v>669</v>
      </c>
      <c r="C143" s="349" t="s">
        <v>767</v>
      </c>
      <c r="D143" s="349" t="s">
        <v>766</v>
      </c>
      <c r="E143" s="349" t="s">
        <v>127</v>
      </c>
      <c r="F143" s="343" t="s">
        <v>620</v>
      </c>
      <c r="G143" s="343" t="s">
        <v>624</v>
      </c>
      <c r="H143" s="351">
        <v>6500.0142857142855</v>
      </c>
      <c r="I143" s="351">
        <v>0</v>
      </c>
    </row>
    <row r="144" spans="1:9">
      <c r="A144" s="358">
        <f t="shared" si="2"/>
        <v>143</v>
      </c>
      <c r="B144" s="347" t="s">
        <v>669</v>
      </c>
      <c r="C144" s="349" t="s">
        <v>768</v>
      </c>
      <c r="D144" s="349" t="s">
        <v>766</v>
      </c>
      <c r="E144" s="349" t="s">
        <v>127</v>
      </c>
      <c r="F144" s="343" t="s">
        <v>620</v>
      </c>
      <c r="G144" s="343" t="s">
        <v>624</v>
      </c>
      <c r="H144" s="351">
        <v>6500.0142857142855</v>
      </c>
      <c r="I144" s="351">
        <v>0</v>
      </c>
    </row>
    <row r="145" spans="1:9" s="354" customFormat="1">
      <c r="A145" s="358">
        <f t="shared" si="2"/>
        <v>144</v>
      </c>
      <c r="B145" s="353" t="s">
        <v>669</v>
      </c>
      <c r="C145" s="349" t="s">
        <v>769</v>
      </c>
      <c r="D145" s="349" t="s">
        <v>766</v>
      </c>
      <c r="E145" s="349" t="s">
        <v>127</v>
      </c>
      <c r="F145" s="356" t="s">
        <v>620</v>
      </c>
      <c r="G145" s="356" t="s">
        <v>624</v>
      </c>
      <c r="H145" s="351">
        <v>6500.0142857142855</v>
      </c>
      <c r="I145" s="351">
        <v>0</v>
      </c>
    </row>
    <row r="146" spans="1:9">
      <c r="A146" s="358">
        <f t="shared" si="2"/>
        <v>145</v>
      </c>
      <c r="B146" s="347" t="s">
        <v>669</v>
      </c>
      <c r="C146" s="355" t="s">
        <v>770</v>
      </c>
      <c r="D146" s="349" t="s">
        <v>766</v>
      </c>
      <c r="E146" s="349" t="s">
        <v>127</v>
      </c>
      <c r="F146" s="343" t="s">
        <v>620</v>
      </c>
      <c r="G146" s="343" t="s">
        <v>624</v>
      </c>
      <c r="H146" s="351">
        <v>6500.0142857142855</v>
      </c>
      <c r="I146" s="351">
        <v>0</v>
      </c>
    </row>
    <row r="147" spans="1:9">
      <c r="A147" s="358">
        <f t="shared" si="2"/>
        <v>146</v>
      </c>
      <c r="B147" s="347" t="s">
        <v>669</v>
      </c>
      <c r="C147" s="349" t="s">
        <v>66</v>
      </c>
      <c r="D147" s="349" t="s">
        <v>766</v>
      </c>
      <c r="E147" s="349" t="s">
        <v>127</v>
      </c>
      <c r="F147" s="343" t="s">
        <v>620</v>
      </c>
      <c r="G147" s="343" t="s">
        <v>624</v>
      </c>
      <c r="H147" s="351">
        <v>6500.0142857142855</v>
      </c>
      <c r="I147" s="351">
        <v>0</v>
      </c>
    </row>
    <row r="148" spans="1:9">
      <c r="A148" s="358">
        <f t="shared" si="2"/>
        <v>147</v>
      </c>
      <c r="B148" s="347" t="s">
        <v>669</v>
      </c>
      <c r="C148" s="349" t="s">
        <v>29</v>
      </c>
      <c r="D148" s="349" t="s">
        <v>766</v>
      </c>
      <c r="E148" s="349" t="s">
        <v>127</v>
      </c>
      <c r="F148" s="343" t="s">
        <v>620</v>
      </c>
      <c r="G148" s="343" t="s">
        <v>624</v>
      </c>
      <c r="H148" s="351">
        <v>6500.0142857142855</v>
      </c>
      <c r="I148" s="351">
        <v>0</v>
      </c>
    </row>
    <row r="149" spans="1:9">
      <c r="A149" s="358">
        <f t="shared" si="2"/>
        <v>148</v>
      </c>
      <c r="B149" s="347" t="s">
        <v>669</v>
      </c>
      <c r="C149" s="349" t="s">
        <v>100</v>
      </c>
      <c r="D149" s="349" t="s">
        <v>766</v>
      </c>
      <c r="E149" s="349" t="s">
        <v>127</v>
      </c>
      <c r="F149" s="343" t="s">
        <v>620</v>
      </c>
      <c r="G149" s="343" t="s">
        <v>624</v>
      </c>
      <c r="H149" s="351">
        <v>6500.0142857142855</v>
      </c>
      <c r="I149" s="351">
        <v>0</v>
      </c>
    </row>
    <row r="150" spans="1:9">
      <c r="A150" s="358">
        <f t="shared" si="2"/>
        <v>149</v>
      </c>
      <c r="B150" s="347" t="s">
        <v>669</v>
      </c>
      <c r="C150" s="349" t="s">
        <v>88</v>
      </c>
      <c r="D150" s="349" t="s">
        <v>766</v>
      </c>
      <c r="E150" s="349" t="s">
        <v>127</v>
      </c>
      <c r="F150" s="343" t="s">
        <v>620</v>
      </c>
      <c r="G150" s="343" t="s">
        <v>624</v>
      </c>
      <c r="H150" s="351">
        <v>6500.0142857142855</v>
      </c>
      <c r="I150" s="351">
        <v>0</v>
      </c>
    </row>
    <row r="151" spans="1:9">
      <c r="H151" s="359">
        <f>SUM(H2:H150)</f>
        <v>869955.72380952281</v>
      </c>
      <c r="I151" s="359">
        <f>SUM(I2:I150)</f>
        <v>306241.34399999992</v>
      </c>
    </row>
    <row r="153" spans="1:9">
      <c r="G153" s="332" t="s">
        <v>628</v>
      </c>
      <c r="H153" s="346">
        <f>(I151+H151)*0.3-(A150*957)</f>
        <v>210266.1203428568</v>
      </c>
    </row>
    <row r="154" spans="1:9">
      <c r="G154" s="332" t="s">
        <v>629</v>
      </c>
      <c r="H154" s="346">
        <f>((0.075*0.6)+(0.03725*0.4))*(G151+H151)</f>
        <v>52110.347856190412</v>
      </c>
    </row>
    <row r="155" spans="1:9">
      <c r="G155" s="332"/>
      <c r="H155" s="346">
        <f>H153+H154</f>
        <v>262376.4681990472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N6" sqref="N6"/>
    </sheetView>
  </sheetViews>
  <sheetFormatPr baseColWidth="10" defaultRowHeight="15"/>
  <cols>
    <col min="1" max="1" width="11.42578125" style="302"/>
  </cols>
  <sheetData>
    <row r="1" spans="1:15" ht="15.75" thickBot="1"/>
    <row r="2" spans="1:15" ht="15.75" thickBot="1">
      <c r="B2" s="395" t="s">
        <v>774</v>
      </c>
      <c r="C2" s="396"/>
      <c r="D2" s="396"/>
      <c r="E2" s="396"/>
      <c r="F2" s="360"/>
      <c r="G2" s="395" t="s">
        <v>775</v>
      </c>
      <c r="H2" s="396"/>
      <c r="I2" s="396"/>
      <c r="J2" s="396"/>
      <c r="K2" s="360"/>
      <c r="L2" s="395" t="s">
        <v>776</v>
      </c>
      <c r="M2" s="396"/>
      <c r="N2" s="396"/>
      <c r="O2" s="360"/>
    </row>
    <row r="3" spans="1:15">
      <c r="B3" s="361" t="s">
        <v>777</v>
      </c>
      <c r="C3" s="361" t="s">
        <v>777</v>
      </c>
      <c r="D3" s="361" t="s">
        <v>778</v>
      </c>
      <c r="E3" s="361" t="s">
        <v>779</v>
      </c>
      <c r="F3" s="392"/>
      <c r="G3" s="361" t="s">
        <v>777</v>
      </c>
      <c r="H3" s="361" t="s">
        <v>777</v>
      </c>
      <c r="I3" s="361" t="s">
        <v>778</v>
      </c>
      <c r="J3" s="361" t="s">
        <v>780</v>
      </c>
      <c r="K3" s="392"/>
      <c r="L3" s="361" t="s">
        <v>781</v>
      </c>
      <c r="M3" s="361" t="s">
        <v>782</v>
      </c>
      <c r="N3" s="361" t="s">
        <v>783</v>
      </c>
      <c r="O3" s="392"/>
    </row>
    <row r="4" spans="1:15">
      <c r="B4" s="362" t="s">
        <v>784</v>
      </c>
      <c r="C4" s="362" t="s">
        <v>785</v>
      </c>
      <c r="D4" s="362" t="s">
        <v>786</v>
      </c>
      <c r="E4" s="362" t="s">
        <v>787</v>
      </c>
      <c r="F4" s="393"/>
      <c r="G4" s="362" t="s">
        <v>784</v>
      </c>
      <c r="H4" s="362" t="s">
        <v>785</v>
      </c>
      <c r="I4" s="362" t="s">
        <v>786</v>
      </c>
      <c r="J4" s="362" t="s">
        <v>788</v>
      </c>
      <c r="K4" s="393"/>
      <c r="L4" s="362" t="s">
        <v>789</v>
      </c>
      <c r="M4" s="362" t="s">
        <v>790</v>
      </c>
      <c r="N4" s="362" t="s">
        <v>791</v>
      </c>
      <c r="O4" s="393"/>
    </row>
    <row r="5" spans="1:15" ht="15.75" thickBot="1">
      <c r="B5" s="363"/>
      <c r="C5" s="363"/>
      <c r="D5" s="363"/>
      <c r="E5" s="363" t="s">
        <v>792</v>
      </c>
      <c r="F5" s="394"/>
      <c r="G5" s="363"/>
      <c r="H5" s="363"/>
      <c r="I5" s="363"/>
      <c r="J5" s="363" t="s">
        <v>793</v>
      </c>
      <c r="K5" s="394"/>
      <c r="L5" s="363"/>
      <c r="M5" s="363"/>
      <c r="N5" s="363"/>
      <c r="O5" s="394"/>
    </row>
    <row r="6" spans="1:15" ht="15.75" thickBot="1">
      <c r="A6" s="302">
        <v>1</v>
      </c>
      <c r="B6" s="364">
        <v>0.01</v>
      </c>
      <c r="C6" s="364">
        <v>114.24</v>
      </c>
      <c r="D6" s="364">
        <v>0</v>
      </c>
      <c r="E6" s="365">
        <v>1.9199999999999998E-2</v>
      </c>
      <c r="F6" s="366"/>
      <c r="G6" s="367">
        <v>0.01</v>
      </c>
      <c r="H6" s="367">
        <v>407.33</v>
      </c>
      <c r="I6" s="367">
        <v>93.73</v>
      </c>
      <c r="J6" s="367"/>
      <c r="K6" s="367"/>
      <c r="L6" s="364">
        <v>0.01</v>
      </c>
      <c r="M6" s="364">
        <v>407.33</v>
      </c>
      <c r="N6" s="364">
        <v>93.73</v>
      </c>
      <c r="O6" s="366"/>
    </row>
    <row r="7" spans="1:15" ht="15.75" thickBot="1">
      <c r="A7" s="302">
        <v>2</v>
      </c>
      <c r="B7" s="368">
        <v>114.25</v>
      </c>
      <c r="C7" s="368">
        <v>969.5</v>
      </c>
      <c r="D7" s="368">
        <v>2.17</v>
      </c>
      <c r="E7" s="369">
        <v>6.4000000000000001E-2</v>
      </c>
      <c r="F7" s="370"/>
      <c r="G7" s="367">
        <v>407.34</v>
      </c>
      <c r="H7" s="367">
        <v>610.96</v>
      </c>
      <c r="I7" s="367">
        <v>93.66</v>
      </c>
      <c r="J7" s="367"/>
      <c r="K7" s="367"/>
      <c r="L7" s="368">
        <v>407.34</v>
      </c>
      <c r="M7" s="368">
        <v>610.96</v>
      </c>
      <c r="N7" s="368">
        <v>93.66</v>
      </c>
      <c r="O7" s="370"/>
    </row>
    <row r="8" spans="1:15" ht="15.75" thickBot="1">
      <c r="A8" s="302">
        <v>3</v>
      </c>
      <c r="B8" s="364">
        <v>969.51</v>
      </c>
      <c r="C8" s="364">
        <v>1703.8</v>
      </c>
      <c r="D8" s="364">
        <v>56.91</v>
      </c>
      <c r="E8" s="365">
        <v>0.10879999999999999</v>
      </c>
      <c r="F8" s="366"/>
      <c r="G8" s="367">
        <v>610.97</v>
      </c>
      <c r="H8" s="367">
        <v>799.68</v>
      </c>
      <c r="I8" s="367">
        <v>93.66</v>
      </c>
      <c r="J8" s="367"/>
      <c r="K8" s="367"/>
      <c r="L8" s="364">
        <v>610.97</v>
      </c>
      <c r="M8" s="364">
        <v>799.68</v>
      </c>
      <c r="N8" s="364">
        <v>93.66</v>
      </c>
      <c r="O8" s="366"/>
    </row>
    <row r="9" spans="1:15" ht="15.75" thickBot="1">
      <c r="A9" s="302">
        <v>4</v>
      </c>
      <c r="B9" s="368">
        <v>1703.81</v>
      </c>
      <c r="C9" s="368">
        <v>1980.58</v>
      </c>
      <c r="D9" s="368">
        <v>136.85</v>
      </c>
      <c r="E9" s="369">
        <v>0.16</v>
      </c>
      <c r="F9" s="370"/>
      <c r="G9" s="367">
        <v>799.69</v>
      </c>
      <c r="H9" s="367">
        <v>814.66</v>
      </c>
      <c r="I9" s="367">
        <v>90.44</v>
      </c>
      <c r="J9" s="367"/>
      <c r="K9" s="367"/>
      <c r="L9" s="368">
        <v>799.69</v>
      </c>
      <c r="M9" s="368">
        <v>814.66</v>
      </c>
      <c r="N9" s="368">
        <v>90.44</v>
      </c>
      <c r="O9" s="370"/>
    </row>
    <row r="10" spans="1:15" ht="15.75" thickBot="1">
      <c r="A10" s="302">
        <v>5</v>
      </c>
      <c r="B10" s="364">
        <v>1980.59</v>
      </c>
      <c r="C10" s="364">
        <v>2371.3200000000002</v>
      </c>
      <c r="D10" s="364">
        <v>181.09</v>
      </c>
      <c r="E10" s="365">
        <v>0.1792</v>
      </c>
      <c r="F10" s="366"/>
      <c r="G10" s="367">
        <v>814.67</v>
      </c>
      <c r="H10" s="367">
        <v>1023.75</v>
      </c>
      <c r="I10" s="367">
        <v>88.06</v>
      </c>
      <c r="J10" s="367"/>
      <c r="K10" s="367"/>
      <c r="L10" s="364">
        <v>814.67</v>
      </c>
      <c r="M10" s="364">
        <v>1023.75</v>
      </c>
      <c r="N10" s="364">
        <v>88.06</v>
      </c>
      <c r="O10" s="366"/>
    </row>
    <row r="11" spans="1:15" ht="15.75" thickBot="1">
      <c r="A11" s="302">
        <v>6</v>
      </c>
      <c r="B11" s="368">
        <v>2371.33</v>
      </c>
      <c r="C11" s="368">
        <v>4782.6099999999997</v>
      </c>
      <c r="D11" s="368">
        <v>251.16</v>
      </c>
      <c r="E11" s="369">
        <v>0.21360000000000001</v>
      </c>
      <c r="F11" s="370"/>
      <c r="G11" s="367">
        <v>1023.76</v>
      </c>
      <c r="H11" s="367">
        <v>1086.19</v>
      </c>
      <c r="I11" s="367">
        <v>81.55</v>
      </c>
      <c r="J11" s="367"/>
      <c r="K11" s="367"/>
      <c r="L11" s="368">
        <v>1023.76</v>
      </c>
      <c r="M11" s="368">
        <v>1086.19</v>
      </c>
      <c r="N11" s="368">
        <v>81.55</v>
      </c>
      <c r="O11" s="370"/>
    </row>
    <row r="12" spans="1:15" ht="15.75" thickBot="1">
      <c r="A12" s="302">
        <v>7</v>
      </c>
      <c r="B12" s="364">
        <v>4782.62</v>
      </c>
      <c r="C12" s="364">
        <v>7538.09</v>
      </c>
      <c r="D12" s="364">
        <v>766.15</v>
      </c>
      <c r="E12" s="365">
        <v>0.23519999999999999</v>
      </c>
      <c r="F12" s="366"/>
      <c r="G12" s="367">
        <v>1086.2</v>
      </c>
      <c r="H12" s="367">
        <v>1228.57</v>
      </c>
      <c r="I12" s="367">
        <v>74.83</v>
      </c>
      <c r="J12" s="367"/>
      <c r="K12" s="367"/>
      <c r="L12" s="364">
        <v>1086.2</v>
      </c>
      <c r="M12" s="364">
        <v>1228.57</v>
      </c>
      <c r="N12" s="364">
        <v>74.83</v>
      </c>
      <c r="O12" s="366"/>
    </row>
    <row r="13" spans="1:15" ht="15.75" thickBot="1">
      <c r="A13" s="302">
        <v>8</v>
      </c>
      <c r="B13" s="368">
        <v>7538.1</v>
      </c>
      <c r="C13" s="368">
        <v>14391.44</v>
      </c>
      <c r="D13" s="368">
        <v>1414.28</v>
      </c>
      <c r="E13" s="369">
        <v>0.3</v>
      </c>
      <c r="F13" s="370"/>
      <c r="G13" s="367">
        <v>1228.58</v>
      </c>
      <c r="H13" s="367">
        <v>1433.32</v>
      </c>
      <c r="I13" s="367">
        <v>67.83</v>
      </c>
      <c r="J13" s="367"/>
      <c r="K13" s="367"/>
      <c r="L13" s="368">
        <v>1228.58</v>
      </c>
      <c r="M13" s="368">
        <v>1433.32</v>
      </c>
      <c r="N13" s="368">
        <v>67.83</v>
      </c>
      <c r="O13" s="370"/>
    </row>
    <row r="14" spans="1:15" ht="15.75" thickBot="1">
      <c r="A14" s="302">
        <v>9</v>
      </c>
      <c r="B14" s="364">
        <v>14391.45</v>
      </c>
      <c r="C14" s="364">
        <v>19188.61</v>
      </c>
      <c r="D14" s="364">
        <v>3470.25</v>
      </c>
      <c r="E14" s="365">
        <v>0.32</v>
      </c>
      <c r="F14" s="366"/>
      <c r="G14" s="367">
        <v>1433.33</v>
      </c>
      <c r="H14" s="367">
        <v>1638.07</v>
      </c>
      <c r="I14" s="367">
        <v>58.38</v>
      </c>
      <c r="J14" s="367"/>
      <c r="K14" s="367"/>
      <c r="L14" s="364">
        <v>1433.33</v>
      </c>
      <c r="M14" s="364">
        <v>1638.07</v>
      </c>
      <c r="N14" s="364">
        <v>58.38</v>
      </c>
      <c r="O14" s="366"/>
    </row>
    <row r="15" spans="1:15" ht="15.75" thickBot="1">
      <c r="A15" s="302">
        <v>10</v>
      </c>
      <c r="B15" s="368">
        <v>19188.62</v>
      </c>
      <c r="C15" s="368">
        <v>57565.760000000002</v>
      </c>
      <c r="D15" s="368">
        <v>5005.3500000000004</v>
      </c>
      <c r="E15" s="369">
        <v>0.34</v>
      </c>
      <c r="F15" s="370"/>
      <c r="G15" s="367">
        <v>1638.08</v>
      </c>
      <c r="H15" s="367">
        <v>1699.88</v>
      </c>
      <c r="I15" s="367">
        <v>50.12</v>
      </c>
      <c r="J15" s="367"/>
      <c r="K15" s="367"/>
      <c r="L15" s="368">
        <v>1638.08</v>
      </c>
      <c r="M15" s="368">
        <v>1699.88</v>
      </c>
      <c r="N15" s="368">
        <v>50.12</v>
      </c>
      <c r="O15" s="370"/>
    </row>
    <row r="16" spans="1:15" ht="15.75" thickBot="1">
      <c r="A16" s="302">
        <v>11</v>
      </c>
      <c r="B16" s="364">
        <v>57565.77</v>
      </c>
      <c r="C16" s="371" t="s">
        <v>794</v>
      </c>
      <c r="D16" s="364">
        <v>18053.63</v>
      </c>
      <c r="E16" s="365">
        <v>0.35</v>
      </c>
      <c r="F16" s="366"/>
      <c r="G16" s="367">
        <v>1699.89</v>
      </c>
      <c r="H16" s="367" t="s">
        <v>808</v>
      </c>
      <c r="I16" s="367">
        <v>0</v>
      </c>
      <c r="J16" s="367"/>
      <c r="K16" s="367"/>
      <c r="L16" s="364">
        <v>1699.89</v>
      </c>
      <c r="M16" s="371" t="s">
        <v>794</v>
      </c>
      <c r="N16" s="364">
        <v>0</v>
      </c>
      <c r="O16" s="302"/>
    </row>
  </sheetData>
  <mergeCells count="6">
    <mergeCell ref="O3:O5"/>
    <mergeCell ref="B2:E2"/>
    <mergeCell ref="G2:J2"/>
    <mergeCell ref="L2:N2"/>
    <mergeCell ref="F3:F5"/>
    <mergeCell ref="K3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I13" sqref="I13"/>
    </sheetView>
  </sheetViews>
  <sheetFormatPr baseColWidth="10" defaultRowHeight="15"/>
  <cols>
    <col min="1" max="1" width="11.42578125" style="302"/>
  </cols>
  <sheetData>
    <row r="1" spans="1:15" ht="15.75" thickBot="1"/>
    <row r="2" spans="1:15" ht="15.75" thickBot="1">
      <c r="B2" s="395" t="s">
        <v>774</v>
      </c>
      <c r="C2" s="396"/>
      <c r="D2" s="396"/>
      <c r="E2" s="396"/>
      <c r="F2" s="360"/>
      <c r="G2" s="395" t="s">
        <v>775</v>
      </c>
      <c r="H2" s="396"/>
      <c r="I2" s="396"/>
      <c r="J2" s="396"/>
      <c r="K2" s="360"/>
      <c r="L2" s="395" t="s">
        <v>776</v>
      </c>
      <c r="M2" s="396"/>
      <c r="N2" s="396"/>
      <c r="O2" s="360"/>
    </row>
    <row r="3" spans="1:15">
      <c r="B3" s="361" t="s">
        <v>777</v>
      </c>
      <c r="C3" s="361" t="s">
        <v>777</v>
      </c>
      <c r="D3" s="361" t="s">
        <v>778</v>
      </c>
      <c r="E3" s="361" t="s">
        <v>779</v>
      </c>
      <c r="F3" s="392"/>
      <c r="G3" s="361" t="s">
        <v>777</v>
      </c>
      <c r="H3" s="361" t="s">
        <v>777</v>
      </c>
      <c r="I3" s="361" t="s">
        <v>778</v>
      </c>
      <c r="J3" s="361" t="s">
        <v>780</v>
      </c>
      <c r="K3" s="392"/>
      <c r="L3" s="361" t="s">
        <v>781</v>
      </c>
      <c r="M3" s="361" t="s">
        <v>782</v>
      </c>
      <c r="N3" s="361" t="s">
        <v>783</v>
      </c>
      <c r="O3" s="392"/>
    </row>
    <row r="4" spans="1:15">
      <c r="B4" s="362" t="s">
        <v>784</v>
      </c>
      <c r="C4" s="362" t="s">
        <v>785</v>
      </c>
      <c r="D4" s="362" t="s">
        <v>786</v>
      </c>
      <c r="E4" s="362" t="s">
        <v>787</v>
      </c>
      <c r="F4" s="393"/>
      <c r="G4" s="362" t="s">
        <v>784</v>
      </c>
      <c r="H4" s="362" t="s">
        <v>785</v>
      </c>
      <c r="I4" s="362" t="s">
        <v>786</v>
      </c>
      <c r="J4" s="362" t="s">
        <v>788</v>
      </c>
      <c r="K4" s="393"/>
      <c r="L4" s="362" t="s">
        <v>789</v>
      </c>
      <c r="M4" s="362" t="s">
        <v>790</v>
      </c>
      <c r="N4" s="362" t="s">
        <v>791</v>
      </c>
      <c r="O4" s="393"/>
    </row>
    <row r="5" spans="1:15" ht="15.75" thickBot="1">
      <c r="B5" s="363"/>
      <c r="C5" s="363"/>
      <c r="D5" s="363"/>
      <c r="E5" s="363" t="s">
        <v>792</v>
      </c>
      <c r="F5" s="394"/>
      <c r="G5" s="363"/>
      <c r="H5" s="363"/>
      <c r="I5" s="363"/>
      <c r="J5" s="363" t="s">
        <v>793</v>
      </c>
      <c r="K5" s="394"/>
      <c r="L5" s="363"/>
      <c r="M5" s="363"/>
      <c r="N5" s="363"/>
      <c r="O5" s="394"/>
    </row>
    <row r="6" spans="1:15" ht="15.75" thickBot="1">
      <c r="A6" s="302">
        <v>1</v>
      </c>
      <c r="B6" s="364">
        <v>0.01</v>
      </c>
      <c r="C6" s="364">
        <v>244.8</v>
      </c>
      <c r="D6" s="364">
        <v>0</v>
      </c>
      <c r="E6" s="365">
        <v>1.9199999999999998E-2</v>
      </c>
      <c r="F6" s="366"/>
      <c r="G6" s="367">
        <v>0.01</v>
      </c>
      <c r="H6" s="367">
        <v>872.85</v>
      </c>
      <c r="I6" s="367">
        <v>200.85</v>
      </c>
      <c r="J6" s="367"/>
      <c r="K6" s="367"/>
      <c r="L6" s="364">
        <v>0.01</v>
      </c>
      <c r="M6" s="364">
        <v>872.85</v>
      </c>
      <c r="N6" s="364">
        <v>200.85</v>
      </c>
      <c r="O6" s="366"/>
    </row>
    <row r="7" spans="1:15" ht="15.75" thickBot="1">
      <c r="A7" s="302">
        <v>2</v>
      </c>
      <c r="B7" s="368">
        <v>244.81</v>
      </c>
      <c r="C7" s="368">
        <v>2077.5</v>
      </c>
      <c r="D7" s="368">
        <v>4.6500000000000004</v>
      </c>
      <c r="E7" s="369">
        <v>6.4000000000000001E-2</v>
      </c>
      <c r="F7" s="370"/>
      <c r="G7" s="367">
        <v>872.86</v>
      </c>
      <c r="H7" s="367">
        <v>1309.2</v>
      </c>
      <c r="I7" s="367">
        <v>200.7</v>
      </c>
      <c r="J7" s="367"/>
      <c r="K7" s="367"/>
      <c r="L7" s="368">
        <v>872.86</v>
      </c>
      <c r="M7" s="368">
        <v>1309.2</v>
      </c>
      <c r="N7" s="368">
        <v>200.7</v>
      </c>
      <c r="O7" s="370"/>
    </row>
    <row r="8" spans="1:15" ht="15.75" thickBot="1">
      <c r="A8" s="302">
        <v>3</v>
      </c>
      <c r="B8" s="364">
        <v>2077.5100000000002</v>
      </c>
      <c r="C8" s="364">
        <v>3651</v>
      </c>
      <c r="D8" s="364">
        <v>121.95</v>
      </c>
      <c r="E8" s="365">
        <v>0.10879999999999999</v>
      </c>
      <c r="F8" s="366"/>
      <c r="G8" s="367">
        <v>1309.21</v>
      </c>
      <c r="H8" s="367">
        <v>1713.6</v>
      </c>
      <c r="I8" s="367">
        <v>200.7</v>
      </c>
      <c r="J8" s="367"/>
      <c r="K8" s="367"/>
      <c r="L8" s="364">
        <v>1309.21</v>
      </c>
      <c r="M8" s="364">
        <v>1713.6</v>
      </c>
      <c r="N8" s="364">
        <v>200.7</v>
      </c>
      <c r="O8" s="366"/>
    </row>
    <row r="9" spans="1:15" ht="15.75" thickBot="1">
      <c r="A9" s="302">
        <v>4</v>
      </c>
      <c r="B9" s="368">
        <v>3651.01</v>
      </c>
      <c r="C9" s="368">
        <v>4244.1000000000004</v>
      </c>
      <c r="D9" s="368">
        <v>293.25</v>
      </c>
      <c r="E9" s="369">
        <v>0.16</v>
      </c>
      <c r="F9" s="370"/>
      <c r="G9" s="367">
        <v>1713.61</v>
      </c>
      <c r="H9" s="367">
        <v>1745.7</v>
      </c>
      <c r="I9" s="367">
        <v>193.8</v>
      </c>
      <c r="J9" s="367"/>
      <c r="K9" s="367"/>
      <c r="L9" s="368">
        <v>1713.61</v>
      </c>
      <c r="M9" s="368">
        <v>1745.7</v>
      </c>
      <c r="N9" s="368">
        <v>193.8</v>
      </c>
      <c r="O9" s="370"/>
    </row>
    <row r="10" spans="1:15" ht="15.75" thickBot="1">
      <c r="A10" s="302">
        <v>5</v>
      </c>
      <c r="B10" s="364">
        <v>4244.1099999999997</v>
      </c>
      <c r="C10" s="364">
        <v>5081.3999999999996</v>
      </c>
      <c r="D10" s="364">
        <v>388.05</v>
      </c>
      <c r="E10" s="365">
        <v>0.1792</v>
      </c>
      <c r="F10" s="366"/>
      <c r="G10" s="367">
        <v>1745.71</v>
      </c>
      <c r="H10" s="367">
        <v>2193.75</v>
      </c>
      <c r="I10" s="367">
        <v>188.7</v>
      </c>
      <c r="J10" s="367"/>
      <c r="K10" s="367"/>
      <c r="L10" s="364">
        <v>1745.71</v>
      </c>
      <c r="M10" s="364">
        <v>2193.75</v>
      </c>
      <c r="N10" s="364">
        <v>188.7</v>
      </c>
      <c r="O10" s="366"/>
    </row>
    <row r="11" spans="1:15" ht="15.75" thickBot="1">
      <c r="A11" s="302">
        <v>6</v>
      </c>
      <c r="B11" s="368">
        <v>5081.41</v>
      </c>
      <c r="C11" s="368">
        <v>10248.450000000001</v>
      </c>
      <c r="D11" s="368">
        <v>538.20000000000005</v>
      </c>
      <c r="E11" s="369">
        <v>0.21360000000000001</v>
      </c>
      <c r="F11" s="370"/>
      <c r="G11" s="367">
        <v>2193.7600000000002</v>
      </c>
      <c r="H11" s="367">
        <v>2327.5500000000002</v>
      </c>
      <c r="I11" s="367">
        <v>174.75</v>
      </c>
      <c r="J11" s="367"/>
      <c r="K11" s="367"/>
      <c r="L11" s="368">
        <v>2193.7600000000002</v>
      </c>
      <c r="M11" s="368">
        <v>2327.5500000000002</v>
      </c>
      <c r="N11" s="368">
        <v>174.75</v>
      </c>
      <c r="O11" s="370"/>
    </row>
    <row r="12" spans="1:15" ht="15.75" thickBot="1">
      <c r="A12" s="302">
        <v>7</v>
      </c>
      <c r="B12" s="364">
        <v>10248.459999999999</v>
      </c>
      <c r="C12" s="364">
        <v>16153.05</v>
      </c>
      <c r="D12" s="364">
        <v>1641.75</v>
      </c>
      <c r="E12" s="365">
        <v>0.23519999999999999</v>
      </c>
      <c r="F12" s="366"/>
      <c r="G12" s="367">
        <v>2327.56</v>
      </c>
      <c r="H12" s="367">
        <v>2632.65</v>
      </c>
      <c r="I12" s="367">
        <v>160.35</v>
      </c>
      <c r="J12" s="367"/>
      <c r="K12" s="367"/>
      <c r="L12" s="364">
        <v>2327.56</v>
      </c>
      <c r="M12" s="364">
        <v>2632.65</v>
      </c>
      <c r="N12" s="364">
        <v>160.35</v>
      </c>
      <c r="O12" s="366"/>
    </row>
    <row r="13" spans="1:15" ht="15.75" thickBot="1">
      <c r="A13" s="302">
        <v>8</v>
      </c>
      <c r="B13" s="368">
        <v>16153.06</v>
      </c>
      <c r="C13" s="368">
        <v>30838.799999999999</v>
      </c>
      <c r="D13" s="368">
        <v>3030.6</v>
      </c>
      <c r="E13" s="369">
        <v>0.3</v>
      </c>
      <c r="F13" s="370"/>
      <c r="G13" s="367">
        <v>2632.66</v>
      </c>
      <c r="H13" s="367">
        <v>3071.4</v>
      </c>
      <c r="I13" s="367">
        <v>145.35</v>
      </c>
      <c r="J13" s="367"/>
      <c r="K13" s="367"/>
      <c r="L13" s="368">
        <v>2632.66</v>
      </c>
      <c r="M13" s="368">
        <v>3071.4</v>
      </c>
      <c r="N13" s="368">
        <v>145.35</v>
      </c>
      <c r="O13" s="370"/>
    </row>
    <row r="14" spans="1:15" ht="15.75" thickBot="1">
      <c r="A14" s="302">
        <v>9</v>
      </c>
      <c r="B14" s="364">
        <v>30838.81</v>
      </c>
      <c r="C14" s="364">
        <v>41118.449999999997</v>
      </c>
      <c r="D14" s="364">
        <v>7436.25</v>
      </c>
      <c r="E14" s="365">
        <v>0.32</v>
      </c>
      <c r="F14" s="366"/>
      <c r="G14" s="367">
        <v>3071.41</v>
      </c>
      <c r="H14" s="367">
        <v>3510.15</v>
      </c>
      <c r="I14" s="367">
        <v>125.1</v>
      </c>
      <c r="J14" s="367"/>
      <c r="K14" s="367"/>
      <c r="L14" s="364">
        <v>3071.41</v>
      </c>
      <c r="M14" s="364">
        <v>3510.15</v>
      </c>
      <c r="N14" s="364">
        <v>125.1</v>
      </c>
      <c r="O14" s="366"/>
    </row>
    <row r="15" spans="1:15" ht="15.75" thickBot="1">
      <c r="A15" s="302">
        <v>10</v>
      </c>
      <c r="B15" s="368">
        <v>41118.46</v>
      </c>
      <c r="C15" s="368">
        <v>123355.2</v>
      </c>
      <c r="D15" s="368">
        <v>10725.75</v>
      </c>
      <c r="E15" s="369">
        <v>0.34</v>
      </c>
      <c r="F15" s="370"/>
      <c r="G15" s="367">
        <v>3510.16</v>
      </c>
      <c r="H15" s="367">
        <v>3642.6</v>
      </c>
      <c r="I15" s="367">
        <v>107.4</v>
      </c>
      <c r="J15" s="367"/>
      <c r="K15" s="367"/>
      <c r="L15" s="368">
        <v>3510.16</v>
      </c>
      <c r="M15" s="368">
        <v>3642.6</v>
      </c>
      <c r="N15" s="368">
        <v>107.4</v>
      </c>
      <c r="O15" s="370"/>
    </row>
    <row r="16" spans="1:15" ht="15.75" thickBot="1">
      <c r="A16" s="302">
        <v>11</v>
      </c>
      <c r="B16" s="364">
        <v>123355.21</v>
      </c>
      <c r="C16" s="371" t="s">
        <v>794</v>
      </c>
      <c r="D16" s="364">
        <v>38686.35</v>
      </c>
      <c r="E16" s="365">
        <v>0.35</v>
      </c>
      <c r="F16" s="366"/>
      <c r="G16" s="367">
        <v>3642.61</v>
      </c>
      <c r="H16" s="367" t="s">
        <v>807</v>
      </c>
      <c r="I16" s="367">
        <v>0</v>
      </c>
      <c r="J16" s="367"/>
      <c r="K16" s="367"/>
      <c r="L16" s="364">
        <v>3642.61</v>
      </c>
      <c r="M16" s="371" t="s">
        <v>794</v>
      </c>
      <c r="N16" s="364">
        <v>0</v>
      </c>
      <c r="O16" s="302"/>
    </row>
  </sheetData>
  <mergeCells count="6">
    <mergeCell ref="O3:O5"/>
    <mergeCell ref="B2:E2"/>
    <mergeCell ref="G2:J2"/>
    <mergeCell ref="L2:N2"/>
    <mergeCell ref="F3:F5"/>
    <mergeCell ref="K3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workbookViewId="0">
      <selection activeCell="H10" sqref="H10"/>
    </sheetView>
  </sheetViews>
  <sheetFormatPr baseColWidth="10" defaultRowHeight="15"/>
  <cols>
    <col min="2" max="2" width="17.140625" bestFit="1" customWidth="1"/>
    <col min="4" max="4" width="15.5703125" bestFit="1" customWidth="1"/>
  </cols>
  <sheetData>
    <row r="2" spans="2:14">
      <c r="B2" t="s">
        <v>795</v>
      </c>
      <c r="D2" t="s">
        <v>799</v>
      </c>
      <c r="F2" t="s">
        <v>812</v>
      </c>
      <c r="H2" t="s">
        <v>813</v>
      </c>
      <c r="J2" t="s">
        <v>814</v>
      </c>
      <c r="L2" t="s">
        <v>815</v>
      </c>
      <c r="N2" t="s">
        <v>816</v>
      </c>
    </row>
    <row r="3" spans="2:14">
      <c r="B3">
        <v>30.4</v>
      </c>
      <c r="D3">
        <v>7</v>
      </c>
      <c r="F3" s="375">
        <v>73.400000000000006</v>
      </c>
      <c r="H3" s="376">
        <v>1.0500000000000001E-2</v>
      </c>
      <c r="J3" s="377">
        <v>3.7499999999999999E-3</v>
      </c>
      <c r="L3" s="376">
        <v>7.4999999999999997E-3</v>
      </c>
      <c r="N3" s="378">
        <v>0.20250000000000001</v>
      </c>
    </row>
    <row r="4" spans="2:14">
      <c r="D4">
        <v>14</v>
      </c>
    </row>
    <row r="5" spans="2:14">
      <c r="D5">
        <v>15.2</v>
      </c>
    </row>
    <row r="6" spans="2:14">
      <c r="D6">
        <v>30.4</v>
      </c>
    </row>
    <row r="9" spans="2:14">
      <c r="B9" t="s">
        <v>818</v>
      </c>
      <c r="D9" t="s">
        <v>819</v>
      </c>
      <c r="F9" t="s">
        <v>826</v>
      </c>
      <c r="H9" t="s">
        <v>825</v>
      </c>
      <c r="J9" t="s">
        <v>824</v>
      </c>
    </row>
    <row r="10" spans="2:14">
      <c r="B10" s="379">
        <v>0.02</v>
      </c>
      <c r="D10" s="379">
        <v>0.02</v>
      </c>
      <c r="F10" s="379">
        <v>0.02</v>
      </c>
      <c r="H10" s="379">
        <v>0.01</v>
      </c>
      <c r="J10" s="379">
        <v>0.01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52" zoomScaleNormal="100" workbookViewId="0">
      <selection activeCell="H10" sqref="H10"/>
    </sheetView>
  </sheetViews>
  <sheetFormatPr baseColWidth="10" defaultRowHeight="15"/>
  <cols>
    <col min="1" max="1" width="11.42578125" style="8"/>
    <col min="2" max="2" width="11.42578125" style="90"/>
    <col min="3" max="3" width="9.85546875" style="8" bestFit="1" customWidth="1"/>
    <col min="4" max="4" width="26.5703125" style="8" customWidth="1"/>
    <col min="7" max="8" width="11.42578125" style="8"/>
    <col min="9" max="9" width="10.85546875" style="87" bestFit="1" customWidth="1"/>
    <col min="10" max="10" width="26.140625" style="8" bestFit="1" customWidth="1"/>
    <col min="12" max="12" width="11.42578125" style="87"/>
    <col min="14" max="14" width="26.140625" bestFit="1" customWidth="1"/>
    <col min="15" max="15" width="32.5703125" bestFit="1" customWidth="1"/>
  </cols>
  <sheetData>
    <row r="1" spans="1:15">
      <c r="A1" s="18" t="s">
        <v>0</v>
      </c>
      <c r="B1" s="112"/>
      <c r="C1" s="32"/>
      <c r="D1" s="397" t="s">
        <v>370</v>
      </c>
      <c r="E1" s="397"/>
      <c r="G1" s="112" t="s">
        <v>0</v>
      </c>
      <c r="H1" s="18"/>
      <c r="J1" s="113" t="s">
        <v>17</v>
      </c>
    </row>
    <row r="2" spans="1:15" ht="15.75">
      <c r="A2" s="19" t="s">
        <v>1</v>
      </c>
      <c r="B2" s="127" t="s">
        <v>149</v>
      </c>
      <c r="C2" s="32"/>
      <c r="G2" s="127" t="s">
        <v>368</v>
      </c>
      <c r="H2" s="19"/>
    </row>
    <row r="3" spans="1:15" ht="15.75">
      <c r="A3" s="32"/>
      <c r="B3" s="118" t="s">
        <v>2</v>
      </c>
      <c r="C3" s="32"/>
      <c r="G3" s="31" t="s">
        <v>2</v>
      </c>
      <c r="H3" s="32"/>
    </row>
    <row r="4" spans="1:15" ht="15.75">
      <c r="A4" s="32"/>
      <c r="B4" s="118" t="s">
        <v>367</v>
      </c>
      <c r="C4" s="110"/>
      <c r="G4" s="4" t="s">
        <v>367</v>
      </c>
      <c r="H4" s="32"/>
    </row>
    <row r="5" spans="1:15" ht="15.75">
      <c r="A5" s="32"/>
      <c r="B5" s="118" t="s">
        <v>150</v>
      </c>
      <c r="C5" s="32"/>
      <c r="G5" s="20"/>
      <c r="H5" s="32"/>
    </row>
    <row r="6" spans="1:15" ht="15.75">
      <c r="A6" s="32"/>
      <c r="B6" s="118" t="s">
        <v>3</v>
      </c>
      <c r="C6" s="32"/>
      <c r="G6" s="20"/>
      <c r="H6" s="32"/>
    </row>
    <row r="8" spans="1:15" ht="15.75" thickBot="1">
      <c r="A8" s="27" t="s">
        <v>4</v>
      </c>
      <c r="B8" s="27"/>
      <c r="C8" s="28" t="s">
        <v>11</v>
      </c>
      <c r="D8" s="6" t="s">
        <v>5</v>
      </c>
      <c r="G8" s="27" t="s">
        <v>4</v>
      </c>
      <c r="H8" s="27"/>
      <c r="I8" s="28" t="s">
        <v>11</v>
      </c>
      <c r="J8" s="6" t="s">
        <v>5</v>
      </c>
      <c r="L8" s="115"/>
    </row>
    <row r="9" spans="1:15" ht="15.75" thickTop="1">
      <c r="A9" s="32"/>
      <c r="B9" s="119"/>
      <c r="C9" s="32"/>
      <c r="D9" s="32"/>
      <c r="G9" s="32"/>
      <c r="H9" s="32"/>
      <c r="I9" s="32"/>
      <c r="J9" s="32"/>
      <c r="L9" s="32"/>
    </row>
    <row r="10" spans="1:15" ht="15.75">
      <c r="A10" s="88" t="s">
        <v>21</v>
      </c>
      <c r="B10" s="120">
        <f t="shared" ref="B10:B41" si="0">+O10</f>
        <v>1183378845</v>
      </c>
      <c r="C10" s="89">
        <v>1237.1999999999998</v>
      </c>
      <c r="D10" s="87" t="s">
        <v>22</v>
      </c>
      <c r="G10" s="88" t="s">
        <v>21</v>
      </c>
      <c r="H10" s="117">
        <v>1183378845</v>
      </c>
      <c r="I10" s="13">
        <v>3167.8549999999996</v>
      </c>
      <c r="J10" s="87" t="s">
        <v>155</v>
      </c>
      <c r="L10" s="13"/>
      <c r="M10" s="14" t="s">
        <v>21</v>
      </c>
      <c r="N10" s="15" t="s">
        <v>22</v>
      </c>
      <c r="O10" s="61">
        <v>1183378845</v>
      </c>
    </row>
    <row r="11" spans="1:15" ht="15.75">
      <c r="A11" s="88" t="s">
        <v>12</v>
      </c>
      <c r="B11" s="120">
        <f t="shared" si="0"/>
        <v>2886516505</v>
      </c>
      <c r="C11" s="89">
        <v>1237.1999999999998</v>
      </c>
      <c r="D11" s="87" t="s">
        <v>23</v>
      </c>
      <c r="G11" s="88" t="s">
        <v>12</v>
      </c>
      <c r="H11" s="117">
        <v>2886516505</v>
      </c>
      <c r="I11" s="13">
        <v>1613.0238971313579</v>
      </c>
      <c r="J11" s="87" t="s">
        <v>23</v>
      </c>
      <c r="L11" s="13"/>
      <c r="M11" s="14" t="s">
        <v>12</v>
      </c>
      <c r="N11" s="15" t="s">
        <v>23</v>
      </c>
      <c r="O11" s="61">
        <v>2886516505</v>
      </c>
    </row>
    <row r="12" spans="1:15" ht="15.75">
      <c r="A12" s="88" t="s">
        <v>24</v>
      </c>
      <c r="B12" s="120">
        <f t="shared" si="0"/>
        <v>2859592156</v>
      </c>
      <c r="C12" s="89">
        <v>1237.1999999999998</v>
      </c>
      <c r="D12" s="87" t="s">
        <v>25</v>
      </c>
      <c r="G12" s="88" t="s">
        <v>24</v>
      </c>
      <c r="H12" s="117">
        <v>2859592156</v>
      </c>
      <c r="I12" s="13">
        <v>3222.165</v>
      </c>
      <c r="J12" s="87" t="s">
        <v>25</v>
      </c>
      <c r="L12" s="13"/>
      <c r="M12" s="14" t="s">
        <v>24</v>
      </c>
      <c r="N12" s="15" t="s">
        <v>25</v>
      </c>
      <c r="O12" s="61">
        <v>2859592156</v>
      </c>
    </row>
    <row r="13" spans="1:15" ht="15.75">
      <c r="A13" s="88" t="s">
        <v>26</v>
      </c>
      <c r="B13" s="120">
        <f t="shared" si="0"/>
        <v>2914894898</v>
      </c>
      <c r="C13" s="89">
        <v>1237.1999999999998</v>
      </c>
      <c r="D13" s="87" t="s">
        <v>27</v>
      </c>
      <c r="G13" s="88" t="s">
        <v>26</v>
      </c>
      <c r="H13" s="117">
        <v>2914894898</v>
      </c>
      <c r="I13" s="13">
        <v>4726.0650000000005</v>
      </c>
      <c r="J13" s="87" t="s">
        <v>27</v>
      </c>
      <c r="L13" s="13"/>
      <c r="M13" s="14" t="s">
        <v>26</v>
      </c>
      <c r="N13" s="15" t="s">
        <v>27</v>
      </c>
      <c r="O13" s="61">
        <v>2914894898</v>
      </c>
    </row>
    <row r="14" spans="1:15" ht="15.75">
      <c r="A14" s="88" t="s">
        <v>28</v>
      </c>
      <c r="B14" s="120">
        <f t="shared" si="0"/>
        <v>1461266403</v>
      </c>
      <c r="C14" s="89">
        <v>1237.1999999999998</v>
      </c>
      <c r="D14" s="87" t="s">
        <v>29</v>
      </c>
      <c r="G14" s="88" t="s">
        <v>28</v>
      </c>
      <c r="H14" s="117">
        <v>1461266403</v>
      </c>
      <c r="I14" s="13">
        <v>2037.2705678096518</v>
      </c>
      <c r="J14" s="87" t="s">
        <v>29</v>
      </c>
      <c r="L14" s="13"/>
      <c r="M14" s="14" t="s">
        <v>28</v>
      </c>
      <c r="N14" s="15" t="s">
        <v>29</v>
      </c>
      <c r="O14" s="61">
        <v>1461266403</v>
      </c>
    </row>
    <row r="15" spans="1:15" ht="15.75">
      <c r="A15" s="88" t="s">
        <v>30</v>
      </c>
      <c r="B15" s="120">
        <f t="shared" si="0"/>
        <v>1467420064</v>
      </c>
      <c r="C15" s="89">
        <v>1237.1999999999998</v>
      </c>
      <c r="D15" s="87" t="s">
        <v>31</v>
      </c>
      <c r="G15" s="88" t="s">
        <v>30</v>
      </c>
      <c r="H15" s="117">
        <v>1467420064</v>
      </c>
      <c r="I15" s="13">
        <v>22517.395</v>
      </c>
      <c r="J15" s="87" t="s">
        <v>31</v>
      </c>
      <c r="L15" s="13"/>
      <c r="M15" s="14" t="s">
        <v>30</v>
      </c>
      <c r="N15" s="15" t="s">
        <v>31</v>
      </c>
      <c r="O15" s="61">
        <v>1467420064</v>
      </c>
    </row>
    <row r="16" spans="1:15" ht="15.75">
      <c r="A16" s="88" t="s">
        <v>130</v>
      </c>
      <c r="B16" s="120">
        <f t="shared" si="0"/>
        <v>2966659578</v>
      </c>
      <c r="C16" s="89">
        <v>1237.1999999999998</v>
      </c>
      <c r="D16" s="87" t="s">
        <v>146</v>
      </c>
      <c r="G16" s="88" t="s">
        <v>130</v>
      </c>
      <c r="H16" s="117">
        <v>2966659578</v>
      </c>
      <c r="I16" s="13">
        <v>1863.0238971313579</v>
      </c>
      <c r="J16" s="87" t="s">
        <v>146</v>
      </c>
      <c r="L16" s="13"/>
      <c r="M16" s="14" t="s">
        <v>130</v>
      </c>
      <c r="N16" s="15" t="s">
        <v>282</v>
      </c>
      <c r="O16" s="61">
        <v>2966659578</v>
      </c>
    </row>
    <row r="17" spans="1:15" ht="15.75">
      <c r="A17" s="88" t="s">
        <v>32</v>
      </c>
      <c r="B17" s="120">
        <f t="shared" si="0"/>
        <v>2615562821</v>
      </c>
      <c r="C17" s="89">
        <v>1237.1999999999998</v>
      </c>
      <c r="D17" s="87" t="s">
        <v>33</v>
      </c>
      <c r="G17" s="88" t="s">
        <v>32</v>
      </c>
      <c r="H17" s="117">
        <v>2615562821</v>
      </c>
      <c r="I17" s="13">
        <v>1091.2163632955849</v>
      </c>
      <c r="J17" s="87" t="s">
        <v>33</v>
      </c>
      <c r="L17" s="13"/>
      <c r="M17" s="14" t="s">
        <v>32</v>
      </c>
      <c r="N17" s="15" t="s">
        <v>33</v>
      </c>
      <c r="O17" s="61">
        <v>2615562821</v>
      </c>
    </row>
    <row r="18" spans="1:15" ht="15.75">
      <c r="A18" s="88" t="s">
        <v>34</v>
      </c>
      <c r="B18" s="120">
        <f t="shared" si="0"/>
        <v>2987650868</v>
      </c>
      <c r="C18" s="89">
        <v>1237.1999999999998</v>
      </c>
      <c r="D18" s="87" t="s">
        <v>35</v>
      </c>
      <c r="G18" s="88" t="s">
        <v>34</v>
      </c>
      <c r="H18" s="117">
        <v>2987650868</v>
      </c>
      <c r="I18" s="13">
        <v>3722.5650000000001</v>
      </c>
      <c r="J18" s="87" t="s">
        <v>35</v>
      </c>
      <c r="L18" s="13"/>
      <c r="M18" s="14" t="s">
        <v>34</v>
      </c>
      <c r="N18" s="15" t="s">
        <v>35</v>
      </c>
      <c r="O18" s="61">
        <v>2987650868</v>
      </c>
    </row>
    <row r="19" spans="1:15" ht="15.75">
      <c r="A19" s="88" t="s">
        <v>38</v>
      </c>
      <c r="B19" s="120">
        <f t="shared" si="0"/>
        <v>2893195635</v>
      </c>
      <c r="C19" s="89">
        <v>1237.1999999999998</v>
      </c>
      <c r="D19" s="87" t="s">
        <v>39</v>
      </c>
      <c r="G19" s="88" t="s">
        <v>38</v>
      </c>
      <c r="H19" s="117">
        <v>2893195635</v>
      </c>
      <c r="I19" s="13">
        <v>1810.88</v>
      </c>
      <c r="J19" s="87" t="s">
        <v>39</v>
      </c>
      <c r="L19" s="13"/>
      <c r="M19" s="14" t="s">
        <v>38</v>
      </c>
      <c r="N19" s="15" t="s">
        <v>39</v>
      </c>
      <c r="O19" s="61">
        <v>2893195635</v>
      </c>
    </row>
    <row r="20" spans="1:15" ht="15.75">
      <c r="A20" s="88" t="s">
        <v>40</v>
      </c>
      <c r="B20" s="120">
        <f t="shared" si="0"/>
        <v>2765125111</v>
      </c>
      <c r="C20" s="89">
        <v>1237.1999999999998</v>
      </c>
      <c r="D20" s="87" t="s">
        <v>41</v>
      </c>
      <c r="G20" s="88" t="s">
        <v>40</v>
      </c>
      <c r="H20" s="117">
        <v>2765125111</v>
      </c>
      <c r="I20" s="13">
        <v>4645.8300000000008</v>
      </c>
      <c r="J20" s="87" t="s">
        <v>41</v>
      </c>
      <c r="L20" s="13"/>
      <c r="M20" s="14" t="s">
        <v>40</v>
      </c>
      <c r="N20" s="15" t="s">
        <v>41</v>
      </c>
      <c r="O20" s="61">
        <v>2765125111</v>
      </c>
    </row>
    <row r="21" spans="1:15" ht="15.75">
      <c r="A21" s="88" t="s">
        <v>42</v>
      </c>
      <c r="B21" s="120">
        <f t="shared" si="0"/>
        <v>2943846814</v>
      </c>
      <c r="C21" s="89">
        <v>1237.1999999999998</v>
      </c>
      <c r="D21" s="80" t="s">
        <v>43</v>
      </c>
      <c r="G21" s="88" t="s">
        <v>42</v>
      </c>
      <c r="H21" s="117">
        <v>2943846814</v>
      </c>
      <c r="I21" s="13">
        <v>12546.920999999998</v>
      </c>
      <c r="J21" s="80" t="s">
        <v>43</v>
      </c>
      <c r="L21" s="13"/>
      <c r="M21" s="14" t="s">
        <v>42</v>
      </c>
      <c r="N21" s="15" t="s">
        <v>43</v>
      </c>
      <c r="O21" s="61">
        <v>2943846814</v>
      </c>
    </row>
    <row r="22" spans="1:15" ht="15.75">
      <c r="A22" s="88" t="s">
        <v>44</v>
      </c>
      <c r="B22" s="120">
        <f t="shared" si="0"/>
        <v>2637315589</v>
      </c>
      <c r="C22" s="89">
        <v>1237.1999999999998</v>
      </c>
      <c r="D22" s="87" t="s">
        <v>45</v>
      </c>
      <c r="G22" s="88" t="s">
        <v>44</v>
      </c>
      <c r="H22" s="117">
        <v>2637315589</v>
      </c>
      <c r="I22" s="13">
        <v>33149.156000000003</v>
      </c>
      <c r="J22" s="87" t="s">
        <v>45</v>
      </c>
      <c r="L22" s="13"/>
      <c r="M22" s="14" t="s">
        <v>44</v>
      </c>
      <c r="N22" s="15" t="s">
        <v>45</v>
      </c>
      <c r="O22" s="61">
        <v>2637315589</v>
      </c>
    </row>
    <row r="23" spans="1:15" ht="15.75">
      <c r="A23" s="88" t="s">
        <v>48</v>
      </c>
      <c r="B23" s="120">
        <f t="shared" si="0"/>
        <v>2928980233</v>
      </c>
      <c r="C23" s="89">
        <v>1237.1999999999998</v>
      </c>
      <c r="D23" s="87" t="s">
        <v>49</v>
      </c>
      <c r="G23" s="88" t="s">
        <v>48</v>
      </c>
      <c r="H23" s="117">
        <v>2928980233</v>
      </c>
      <c r="I23" s="13">
        <v>10966.344999999999</v>
      </c>
      <c r="J23" s="87" t="s">
        <v>49</v>
      </c>
      <c r="L23" s="13"/>
      <c r="M23" s="14" t="s">
        <v>48</v>
      </c>
      <c r="N23" s="15" t="s">
        <v>49</v>
      </c>
      <c r="O23" s="61">
        <v>2928980233</v>
      </c>
    </row>
    <row r="24" spans="1:15" ht="15.75">
      <c r="A24" s="88" t="s">
        <v>51</v>
      </c>
      <c r="B24" s="120">
        <f t="shared" si="0"/>
        <v>2734223152</v>
      </c>
      <c r="C24" s="89">
        <v>1237.1999999999998</v>
      </c>
      <c r="D24" s="87" t="s">
        <v>52</v>
      </c>
      <c r="G24" s="88" t="s">
        <v>51</v>
      </c>
      <c r="H24" s="117">
        <v>2734223152</v>
      </c>
      <c r="I24" s="13">
        <v>15106.974999999999</v>
      </c>
      <c r="J24" s="87" t="s">
        <v>52</v>
      </c>
      <c r="L24" s="13"/>
      <c r="M24" s="14" t="s">
        <v>51</v>
      </c>
      <c r="N24" s="15" t="s">
        <v>52</v>
      </c>
      <c r="O24" s="61">
        <v>2734223152</v>
      </c>
    </row>
    <row r="25" spans="1:15" ht="15.75">
      <c r="A25" s="88" t="s">
        <v>53</v>
      </c>
      <c r="B25" s="120">
        <f t="shared" si="0"/>
        <v>2897100388</v>
      </c>
      <c r="C25" s="89">
        <v>1237.1999999999998</v>
      </c>
      <c r="D25" s="87" t="s">
        <v>54</v>
      </c>
      <c r="G25" s="88" t="s">
        <v>53</v>
      </c>
      <c r="H25" s="117">
        <v>2897100388</v>
      </c>
      <c r="I25" s="13">
        <v>2129.69</v>
      </c>
      <c r="J25" s="87" t="s">
        <v>54</v>
      </c>
      <c r="L25" s="13"/>
      <c r="M25" s="14" t="s">
        <v>53</v>
      </c>
      <c r="N25" s="15" t="s">
        <v>54</v>
      </c>
      <c r="O25" s="61">
        <v>2897100388</v>
      </c>
    </row>
    <row r="26" spans="1:15" ht="15.75">
      <c r="A26" s="88" t="s">
        <v>55</v>
      </c>
      <c r="B26" s="120">
        <f t="shared" si="0"/>
        <v>2743852393</v>
      </c>
      <c r="C26" s="89">
        <v>1237.1999999999998</v>
      </c>
      <c r="D26" s="87" t="s">
        <v>56</v>
      </c>
      <c r="G26" s="88" t="s">
        <v>55</v>
      </c>
      <c r="H26" s="117">
        <v>2743852393</v>
      </c>
      <c r="I26" s="13">
        <v>8319.494999999999</v>
      </c>
      <c r="J26" s="87" t="s">
        <v>56</v>
      </c>
      <c r="L26" s="13"/>
      <c r="M26" s="14" t="s">
        <v>55</v>
      </c>
      <c r="N26" s="15" t="s">
        <v>56</v>
      </c>
      <c r="O26" s="61">
        <v>2743852393</v>
      </c>
    </row>
    <row r="27" spans="1:15" ht="15.75">
      <c r="A27" s="88" t="s">
        <v>57</v>
      </c>
      <c r="B27" s="120">
        <f t="shared" si="0"/>
        <v>2949799338</v>
      </c>
      <c r="C27" s="89">
        <v>1237.1999999999998</v>
      </c>
      <c r="D27" s="87" t="s">
        <v>58</v>
      </c>
      <c r="G27" s="88" t="s">
        <v>57</v>
      </c>
      <c r="H27" s="117">
        <v>2949799338</v>
      </c>
      <c r="I27" s="13">
        <v>4572.165</v>
      </c>
      <c r="J27" s="87" t="s">
        <v>58</v>
      </c>
      <c r="L27" s="13"/>
      <c r="M27" s="14" t="s">
        <v>57</v>
      </c>
      <c r="N27" s="15" t="s">
        <v>58</v>
      </c>
      <c r="O27" s="61">
        <v>2949799338</v>
      </c>
    </row>
    <row r="28" spans="1:15" ht="15.75">
      <c r="A28" s="88" t="s">
        <v>59</v>
      </c>
      <c r="B28" s="120">
        <f t="shared" si="0"/>
        <v>2945821312</v>
      </c>
      <c r="C28" s="89">
        <v>1237.1999999999998</v>
      </c>
      <c r="D28" s="87" t="s">
        <v>60</v>
      </c>
      <c r="G28" s="88" t="s">
        <v>59</v>
      </c>
      <c r="H28" s="117">
        <v>2945821312</v>
      </c>
      <c r="I28" s="13">
        <v>4726.0650000000005</v>
      </c>
      <c r="J28" s="87" t="s">
        <v>60</v>
      </c>
      <c r="L28" s="13"/>
      <c r="M28" s="14" t="s">
        <v>59</v>
      </c>
      <c r="N28" s="15" t="s">
        <v>60</v>
      </c>
      <c r="O28" s="61">
        <v>2945821312</v>
      </c>
    </row>
    <row r="29" spans="1:15" ht="15.75">
      <c r="A29" s="88" t="s">
        <v>61</v>
      </c>
      <c r="B29" s="120">
        <f t="shared" si="0"/>
        <v>2871132644</v>
      </c>
      <c r="C29" s="89">
        <v>1237.1999999999998</v>
      </c>
      <c r="D29" s="87" t="s">
        <v>62</v>
      </c>
      <c r="G29" s="88" t="s">
        <v>61</v>
      </c>
      <c r="H29" s="117">
        <v>2871132644</v>
      </c>
      <c r="I29" s="13">
        <v>1482.13</v>
      </c>
      <c r="J29" s="87" t="s">
        <v>62</v>
      </c>
      <c r="L29" s="13"/>
      <c r="M29" s="14" t="s">
        <v>61</v>
      </c>
      <c r="N29" s="15" t="s">
        <v>62</v>
      </c>
      <c r="O29" s="61">
        <v>2871132644</v>
      </c>
    </row>
    <row r="30" spans="1:15" ht="15.75">
      <c r="A30" s="88" t="s">
        <v>67</v>
      </c>
      <c r="B30" s="120">
        <f t="shared" si="0"/>
        <v>1109785957</v>
      </c>
      <c r="C30" s="89">
        <v>1237.1999999999998</v>
      </c>
      <c r="D30" s="87" t="s">
        <v>68</v>
      </c>
      <c r="G30" s="88" t="s">
        <v>67</v>
      </c>
      <c r="H30" s="117">
        <v>1109785957</v>
      </c>
      <c r="I30" s="13">
        <v>1571.0500000000002</v>
      </c>
      <c r="J30" s="87" t="s">
        <v>68</v>
      </c>
      <c r="L30" s="13"/>
      <c r="M30" s="14" t="s">
        <v>67</v>
      </c>
      <c r="N30" s="15" t="s">
        <v>68</v>
      </c>
      <c r="O30" s="61">
        <v>1109785957</v>
      </c>
    </row>
    <row r="31" spans="1:15" ht="15.75">
      <c r="A31" s="88" t="s">
        <v>63</v>
      </c>
      <c r="B31" s="120">
        <f t="shared" si="0"/>
        <v>2887709471</v>
      </c>
      <c r="C31" s="89">
        <v>1237.1999999999998</v>
      </c>
      <c r="D31" s="87" t="s">
        <v>64</v>
      </c>
      <c r="G31" s="88" t="s">
        <v>63</v>
      </c>
      <c r="H31" s="117">
        <v>2887709471</v>
      </c>
      <c r="I31" s="13">
        <v>2467.65</v>
      </c>
      <c r="J31" s="87" t="s">
        <v>64</v>
      </c>
      <c r="L31" s="13"/>
      <c r="M31" s="14" t="s">
        <v>63</v>
      </c>
      <c r="N31" s="15" t="s">
        <v>64</v>
      </c>
      <c r="O31" s="61">
        <v>2887709471</v>
      </c>
    </row>
    <row r="32" spans="1:15" ht="15.75">
      <c r="A32" s="88" t="s">
        <v>65</v>
      </c>
      <c r="B32" s="120">
        <f t="shared" si="0"/>
        <v>2886339700</v>
      </c>
      <c r="C32" s="89">
        <v>1237.1999999999998</v>
      </c>
      <c r="D32" s="87" t="s">
        <v>66</v>
      </c>
      <c r="G32" s="88" t="s">
        <v>65</v>
      </c>
      <c r="H32" s="117">
        <v>2886339700</v>
      </c>
      <c r="I32" s="13">
        <v>1863.0238971313579</v>
      </c>
      <c r="J32" s="87" t="s">
        <v>66</v>
      </c>
      <c r="L32" s="13"/>
      <c r="M32" s="14" t="s">
        <v>65</v>
      </c>
      <c r="N32" s="15" t="s">
        <v>66</v>
      </c>
      <c r="O32" s="61">
        <v>2886339700</v>
      </c>
    </row>
    <row r="33" spans="1:15" ht="15.75">
      <c r="A33" s="88" t="s">
        <v>69</v>
      </c>
      <c r="B33" s="120">
        <f t="shared" si="0"/>
        <v>2659973974</v>
      </c>
      <c r="C33" s="89">
        <v>1237</v>
      </c>
      <c r="D33" s="87" t="s">
        <v>70</v>
      </c>
      <c r="G33" s="88" t="s">
        <v>69</v>
      </c>
      <c r="H33" s="117">
        <v>2659973974</v>
      </c>
      <c r="I33" s="13">
        <v>15193.494000000001</v>
      </c>
      <c r="J33" s="87" t="s">
        <v>70</v>
      </c>
      <c r="L33" s="13"/>
      <c r="M33" s="14" t="s">
        <v>69</v>
      </c>
      <c r="N33" s="15" t="s">
        <v>70</v>
      </c>
      <c r="O33" s="61">
        <v>2659973974</v>
      </c>
    </row>
    <row r="34" spans="1:15" ht="15.75">
      <c r="A34" s="88" t="s">
        <v>71</v>
      </c>
      <c r="B34" s="120">
        <f t="shared" si="0"/>
        <v>2786636659</v>
      </c>
      <c r="C34" s="89">
        <v>1237.1999999999998</v>
      </c>
      <c r="D34" s="87" t="s">
        <v>72</v>
      </c>
      <c r="G34" s="88" t="s">
        <v>71</v>
      </c>
      <c r="H34" s="117">
        <v>2786636659</v>
      </c>
      <c r="I34" s="13">
        <v>6733.9910000000009</v>
      </c>
      <c r="J34" s="87" t="s">
        <v>72</v>
      </c>
      <c r="L34" s="13"/>
      <c r="M34" s="14" t="s">
        <v>71</v>
      </c>
      <c r="N34" s="15" t="s">
        <v>72</v>
      </c>
      <c r="O34" s="61">
        <v>2786636659</v>
      </c>
    </row>
    <row r="35" spans="1:15" ht="15.75">
      <c r="A35" s="88" t="s">
        <v>73</v>
      </c>
      <c r="B35" s="120">
        <f t="shared" si="0"/>
        <v>2892941821</v>
      </c>
      <c r="C35" s="89">
        <v>1237</v>
      </c>
      <c r="D35" s="87" t="s">
        <v>74</v>
      </c>
      <c r="G35" s="88" t="s">
        <v>73</v>
      </c>
      <c r="H35" s="117">
        <v>2892941821</v>
      </c>
      <c r="I35" s="13">
        <v>4871.0300000000007</v>
      </c>
      <c r="J35" s="87" t="s">
        <v>74</v>
      </c>
      <c r="L35" s="13"/>
      <c r="M35" s="14" t="s">
        <v>73</v>
      </c>
      <c r="N35" s="15" t="s">
        <v>74</v>
      </c>
      <c r="O35" s="61">
        <v>2892941821</v>
      </c>
    </row>
    <row r="36" spans="1:15" ht="15.75">
      <c r="A36" s="88" t="s">
        <v>75</v>
      </c>
      <c r="B36" s="120">
        <f t="shared" si="0"/>
        <v>2745564778</v>
      </c>
      <c r="C36" s="89">
        <v>1237.1999999999998</v>
      </c>
      <c r="D36" s="87" t="s">
        <v>76</v>
      </c>
      <c r="G36" s="88" t="s">
        <v>75</v>
      </c>
      <c r="H36" s="117">
        <v>2745564778</v>
      </c>
      <c r="I36" s="13">
        <v>8187.0849999999991</v>
      </c>
      <c r="J36" s="87" t="s">
        <v>76</v>
      </c>
      <c r="L36" s="13"/>
      <c r="M36" s="14" t="s">
        <v>75</v>
      </c>
      <c r="N36" s="15" t="s">
        <v>76</v>
      </c>
      <c r="O36" s="61">
        <v>2745564778</v>
      </c>
    </row>
    <row r="37" spans="1:15" ht="15.75">
      <c r="A37" s="88" t="s">
        <v>77</v>
      </c>
      <c r="B37" s="120">
        <f t="shared" si="0"/>
        <v>2760229598</v>
      </c>
      <c r="C37" s="89">
        <v>1237.1999999999998</v>
      </c>
      <c r="D37" s="87" t="s">
        <v>78</v>
      </c>
      <c r="G37" s="88" t="s">
        <v>77</v>
      </c>
      <c r="H37" s="117">
        <v>2760229598</v>
      </c>
      <c r="I37" s="13">
        <v>2330.21</v>
      </c>
      <c r="J37" s="87" t="s">
        <v>78</v>
      </c>
      <c r="L37" s="13"/>
      <c r="M37" s="14" t="s">
        <v>77</v>
      </c>
      <c r="N37" s="15" t="s">
        <v>78</v>
      </c>
      <c r="O37" s="61">
        <v>2760229598</v>
      </c>
    </row>
    <row r="38" spans="1:15" ht="15.75">
      <c r="A38" s="88" t="s">
        <v>79</v>
      </c>
      <c r="B38" s="120">
        <f t="shared" si="0"/>
        <v>1404990536</v>
      </c>
      <c r="C38" s="89">
        <v>1237.1999999999998</v>
      </c>
      <c r="D38" s="87" t="s">
        <v>80</v>
      </c>
      <c r="G38" s="88" t="s">
        <v>79</v>
      </c>
      <c r="H38" s="117">
        <v>1404990536</v>
      </c>
      <c r="I38" s="13">
        <v>2067.7705678096513</v>
      </c>
      <c r="J38" s="87" t="s">
        <v>80</v>
      </c>
      <c r="L38" s="13"/>
      <c r="M38" s="14" t="s">
        <v>79</v>
      </c>
      <c r="N38" s="15" t="s">
        <v>80</v>
      </c>
      <c r="O38" s="61">
        <v>1404990536</v>
      </c>
    </row>
    <row r="39" spans="1:15" ht="15.75">
      <c r="A39" s="88" t="s">
        <v>81</v>
      </c>
      <c r="B39" s="120">
        <f t="shared" si="0"/>
        <v>2884661508</v>
      </c>
      <c r="C39" s="89">
        <v>1237.1999999999998</v>
      </c>
      <c r="D39" s="87" t="s">
        <v>82</v>
      </c>
      <c r="G39" s="88" t="s">
        <v>81</v>
      </c>
      <c r="H39" s="117">
        <v>2884661508</v>
      </c>
      <c r="I39" s="13">
        <v>2878.9680000000003</v>
      </c>
      <c r="J39" s="87" t="s">
        <v>82</v>
      </c>
      <c r="L39" s="13"/>
      <c r="M39" s="14" t="s">
        <v>81</v>
      </c>
      <c r="N39" s="15" t="s">
        <v>82</v>
      </c>
      <c r="O39" s="61">
        <v>2884661508</v>
      </c>
    </row>
    <row r="40" spans="1:15" ht="15.75">
      <c r="A40" s="88" t="s">
        <v>83</v>
      </c>
      <c r="B40" s="120">
        <f t="shared" si="0"/>
        <v>2864339452</v>
      </c>
      <c r="C40" s="89">
        <v>1237.1999999999998</v>
      </c>
      <c r="D40" s="87" t="s">
        <v>84</v>
      </c>
      <c r="G40" s="88" t="s">
        <v>83</v>
      </c>
      <c r="H40" s="117">
        <v>2864339452</v>
      </c>
      <c r="I40" s="13">
        <v>1428.0263632955848</v>
      </c>
      <c r="J40" s="87" t="s">
        <v>84</v>
      </c>
      <c r="L40" s="13"/>
      <c r="M40" s="14" t="s">
        <v>83</v>
      </c>
      <c r="N40" s="15" t="s">
        <v>84</v>
      </c>
      <c r="O40" s="61">
        <v>2864339452</v>
      </c>
    </row>
    <row r="41" spans="1:15" ht="15.75">
      <c r="A41" s="88" t="s">
        <v>147</v>
      </c>
      <c r="B41" s="120">
        <f t="shared" si="0"/>
        <v>2782513943</v>
      </c>
      <c r="C41" s="89">
        <v>1237.1999999999998</v>
      </c>
      <c r="D41" s="87" t="s">
        <v>148</v>
      </c>
      <c r="G41" s="88" t="s">
        <v>147</v>
      </c>
      <c r="H41" s="117">
        <v>2782513943</v>
      </c>
      <c r="I41" s="13">
        <v>15969.116999999998</v>
      </c>
      <c r="J41" s="87" t="s">
        <v>148</v>
      </c>
      <c r="L41" s="13"/>
      <c r="M41" s="30" t="s">
        <v>147</v>
      </c>
      <c r="N41" s="15" t="s">
        <v>148</v>
      </c>
      <c r="O41" s="61">
        <v>2782513943</v>
      </c>
    </row>
    <row r="42" spans="1:15" ht="15.75">
      <c r="A42" s="88" t="s">
        <v>87</v>
      </c>
      <c r="B42" s="120">
        <f t="shared" ref="B42:B60" si="1">+O42</f>
        <v>2631133012</v>
      </c>
      <c r="C42" s="89">
        <v>1237.1999999999998</v>
      </c>
      <c r="D42" s="87" t="s">
        <v>88</v>
      </c>
      <c r="G42" s="88" t="s">
        <v>87</v>
      </c>
      <c r="H42" s="117">
        <v>2631133012</v>
      </c>
      <c r="I42" s="13">
        <v>2092.7705678096518</v>
      </c>
      <c r="J42" s="87" t="s">
        <v>88</v>
      </c>
      <c r="L42" s="13"/>
      <c r="M42" s="14" t="s">
        <v>87</v>
      </c>
      <c r="N42" s="15" t="s">
        <v>88</v>
      </c>
      <c r="O42" s="61">
        <v>2631133012</v>
      </c>
    </row>
    <row r="43" spans="1:15" ht="15.75">
      <c r="A43" s="88" t="s">
        <v>89</v>
      </c>
      <c r="B43" s="120">
        <f t="shared" si="1"/>
        <v>2948414130</v>
      </c>
      <c r="C43" s="89">
        <v>1237.1999999999998</v>
      </c>
      <c r="D43" s="87" t="s">
        <v>90</v>
      </c>
      <c r="G43" s="88" t="s">
        <v>89</v>
      </c>
      <c r="H43" s="117">
        <v>2948414130</v>
      </c>
      <c r="I43" s="13">
        <v>1992.7705678096518</v>
      </c>
      <c r="J43" s="87" t="s">
        <v>90</v>
      </c>
      <c r="L43" s="13"/>
      <c r="M43" s="14" t="s">
        <v>89</v>
      </c>
      <c r="N43" s="15" t="s">
        <v>90</v>
      </c>
      <c r="O43" s="61">
        <v>2948414130</v>
      </c>
    </row>
    <row r="44" spans="1:15" ht="15.75">
      <c r="A44" s="88" t="s">
        <v>93</v>
      </c>
      <c r="B44" s="120">
        <f t="shared" si="1"/>
        <v>2912923548</v>
      </c>
      <c r="C44" s="89">
        <v>1237.1999999999998</v>
      </c>
      <c r="D44" s="87" t="s">
        <v>94</v>
      </c>
      <c r="G44" s="88" t="s">
        <v>93</v>
      </c>
      <c r="H44" s="117">
        <v>2912923548</v>
      </c>
      <c r="I44" s="13">
        <v>13031.300999999999</v>
      </c>
      <c r="J44" s="87" t="s">
        <v>94</v>
      </c>
      <c r="L44" s="13"/>
      <c r="M44" s="14" t="s">
        <v>93</v>
      </c>
      <c r="N44" s="15" t="s">
        <v>94</v>
      </c>
      <c r="O44" s="61">
        <v>2912923548</v>
      </c>
    </row>
    <row r="45" spans="1:15" ht="15.75">
      <c r="A45" s="88" t="s">
        <v>91</v>
      </c>
      <c r="B45" s="120">
        <f t="shared" si="1"/>
        <v>2934137264</v>
      </c>
      <c r="C45" s="89">
        <v>1237</v>
      </c>
      <c r="D45" s="87" t="s">
        <v>92</v>
      </c>
      <c r="G45" s="88" t="s">
        <v>91</v>
      </c>
      <c r="H45" s="117">
        <v>2934137264</v>
      </c>
      <c r="I45" s="13">
        <v>7833.8509999999997</v>
      </c>
      <c r="J45" s="87" t="s">
        <v>92</v>
      </c>
      <c r="L45" s="13"/>
      <c r="M45" s="14" t="s">
        <v>91</v>
      </c>
      <c r="N45" s="15" t="s">
        <v>92</v>
      </c>
      <c r="O45" s="61">
        <v>2934137264</v>
      </c>
    </row>
    <row r="46" spans="1:15" ht="15.75">
      <c r="A46" s="88" t="s">
        <v>95</v>
      </c>
      <c r="B46" s="120">
        <f t="shared" si="1"/>
        <v>2985396239</v>
      </c>
      <c r="C46" s="89">
        <v>1237.1999999999998</v>
      </c>
      <c r="D46" s="87" t="s">
        <v>96</v>
      </c>
      <c r="G46" s="88" t="s">
        <v>95</v>
      </c>
      <c r="H46" s="117">
        <v>2985396239</v>
      </c>
      <c r="I46" s="13">
        <v>1863.0238971313579</v>
      </c>
      <c r="J46" s="87" t="s">
        <v>96</v>
      </c>
      <c r="L46" s="13"/>
      <c r="M46" s="14" t="s">
        <v>95</v>
      </c>
      <c r="N46" s="15" t="s">
        <v>96</v>
      </c>
      <c r="O46" s="61">
        <v>2985396239</v>
      </c>
    </row>
    <row r="47" spans="1:15" ht="15.75">
      <c r="A47" s="88" t="s">
        <v>97</v>
      </c>
      <c r="B47" s="120">
        <f t="shared" si="1"/>
        <v>2893013472</v>
      </c>
      <c r="C47" s="89">
        <v>1237.1999999999998</v>
      </c>
      <c r="D47" s="87" t="s">
        <v>98</v>
      </c>
      <c r="G47" s="88" t="s">
        <v>97</v>
      </c>
      <c r="H47" s="117">
        <v>2893013472</v>
      </c>
      <c r="I47" s="13">
        <v>5022.165</v>
      </c>
      <c r="J47" s="87" t="s">
        <v>98</v>
      </c>
      <c r="L47" s="13"/>
      <c r="M47" s="14" t="s">
        <v>97</v>
      </c>
      <c r="N47" s="15" t="s">
        <v>98</v>
      </c>
      <c r="O47" s="61">
        <v>2893013472</v>
      </c>
    </row>
    <row r="48" spans="1:15" ht="15.75">
      <c r="A48" s="88" t="s">
        <v>99</v>
      </c>
      <c r="B48" s="120">
        <f t="shared" si="1"/>
        <v>2836126510</v>
      </c>
      <c r="C48" s="89">
        <v>1237.1999999999998</v>
      </c>
      <c r="D48" s="87" t="s">
        <v>100</v>
      </c>
      <c r="G48" s="88" t="s">
        <v>99</v>
      </c>
      <c r="H48" s="117">
        <v>2836126510</v>
      </c>
      <c r="I48" s="13">
        <v>1863.0238971313579</v>
      </c>
      <c r="J48" s="87" t="s">
        <v>100</v>
      </c>
      <c r="L48" s="13"/>
      <c r="M48" s="14" t="s">
        <v>99</v>
      </c>
      <c r="N48" s="15" t="s">
        <v>100</v>
      </c>
      <c r="O48" s="61">
        <v>2836126510</v>
      </c>
    </row>
    <row r="49" spans="1:15" ht="15.75">
      <c r="A49" s="88" t="s">
        <v>101</v>
      </c>
      <c r="B49" s="120">
        <f t="shared" si="1"/>
        <v>2894923057</v>
      </c>
      <c r="C49" s="89">
        <v>1237.1999999999998</v>
      </c>
      <c r="D49" s="87" t="s">
        <v>102</v>
      </c>
      <c r="G49" s="88" t="s">
        <v>101</v>
      </c>
      <c r="H49" s="117">
        <v>2894923057</v>
      </c>
      <c r="I49" s="13">
        <v>6102.165</v>
      </c>
      <c r="J49" s="87" t="s">
        <v>102</v>
      </c>
      <c r="L49" s="13"/>
      <c r="M49" s="14" t="s">
        <v>101</v>
      </c>
      <c r="N49" s="15" t="s">
        <v>102</v>
      </c>
      <c r="O49" s="61">
        <v>2894923057</v>
      </c>
    </row>
    <row r="50" spans="1:15">
      <c r="A50" s="88"/>
      <c r="B50" s="120" t="str">
        <f t="shared" si="1"/>
        <v>2986479715</v>
      </c>
      <c r="C50" s="89">
        <v>1237.1999999999998</v>
      </c>
      <c r="D50" s="48" t="s">
        <v>350</v>
      </c>
      <c r="G50" s="88"/>
      <c r="H50" s="117" t="s">
        <v>369</v>
      </c>
      <c r="I50" s="13">
        <v>3107.7049999999999</v>
      </c>
      <c r="J50" s="48" t="s">
        <v>350</v>
      </c>
      <c r="L50" s="13"/>
      <c r="M50" s="14"/>
      <c r="N50" s="73" t="s">
        <v>350</v>
      </c>
      <c r="O50" s="116" t="s">
        <v>369</v>
      </c>
    </row>
    <row r="51" spans="1:15" ht="15.75">
      <c r="A51" s="88" t="s">
        <v>103</v>
      </c>
      <c r="B51" s="120">
        <f t="shared" si="1"/>
        <v>2914530241</v>
      </c>
      <c r="C51" s="89">
        <v>1237.1999999999998</v>
      </c>
      <c r="D51" s="87" t="s">
        <v>104</v>
      </c>
      <c r="G51" s="88" t="s">
        <v>103</v>
      </c>
      <c r="H51" s="117">
        <v>2914530241</v>
      </c>
      <c r="I51" s="13">
        <v>1414.5400000000002</v>
      </c>
      <c r="J51" s="87" t="s">
        <v>104</v>
      </c>
      <c r="L51" s="13"/>
      <c r="M51" s="14" t="s">
        <v>338</v>
      </c>
      <c r="N51" s="15" t="s">
        <v>104</v>
      </c>
      <c r="O51" s="61">
        <v>2914530241</v>
      </c>
    </row>
    <row r="52" spans="1:15" ht="15.75">
      <c r="A52" s="88" t="s">
        <v>105</v>
      </c>
      <c r="B52" s="120">
        <f t="shared" si="1"/>
        <v>1413691810</v>
      </c>
      <c r="C52" s="89">
        <v>1237.1999999999998</v>
      </c>
      <c r="D52" s="87" t="s">
        <v>106</v>
      </c>
      <c r="G52" s="88" t="s">
        <v>105</v>
      </c>
      <c r="H52" s="117">
        <v>1413691810</v>
      </c>
      <c r="I52" s="13">
        <v>4360.0150000000003</v>
      </c>
      <c r="J52" s="87" t="s">
        <v>106</v>
      </c>
      <c r="L52" s="13"/>
      <c r="M52" s="14" t="s">
        <v>105</v>
      </c>
      <c r="N52" s="15" t="s">
        <v>106</v>
      </c>
      <c r="O52" s="61">
        <v>1413691810</v>
      </c>
    </row>
    <row r="53" spans="1:15" ht="15.75">
      <c r="A53" s="88" t="s">
        <v>107</v>
      </c>
      <c r="B53" s="120">
        <f t="shared" si="1"/>
        <v>2965106850</v>
      </c>
      <c r="C53" s="89">
        <v>1237.1999999999998</v>
      </c>
      <c r="D53" s="87" t="s">
        <v>108</v>
      </c>
      <c r="G53" s="88" t="s">
        <v>107</v>
      </c>
      <c r="H53" s="117">
        <v>2965106850</v>
      </c>
      <c r="I53" s="13">
        <v>2637.65</v>
      </c>
      <c r="J53" s="87" t="s">
        <v>108</v>
      </c>
      <c r="L53" s="13"/>
      <c r="M53" s="14" t="s">
        <v>107</v>
      </c>
      <c r="N53" s="15" t="s">
        <v>108</v>
      </c>
      <c r="O53" s="61">
        <v>2965106850</v>
      </c>
    </row>
    <row r="54" spans="1:15" ht="15.75">
      <c r="A54" s="88" t="s">
        <v>109</v>
      </c>
      <c r="B54" s="120">
        <f t="shared" si="1"/>
        <v>2729733183</v>
      </c>
      <c r="C54" s="89">
        <v>1237.1999999999998</v>
      </c>
      <c r="D54" s="87" t="s">
        <v>110</v>
      </c>
      <c r="G54" s="88" t="s">
        <v>109</v>
      </c>
      <c r="H54" s="117">
        <v>2729733183</v>
      </c>
      <c r="I54" s="13">
        <v>9959.5549999999985</v>
      </c>
      <c r="J54" s="87" t="s">
        <v>110</v>
      </c>
      <c r="L54" s="13"/>
      <c r="M54" s="14" t="s">
        <v>109</v>
      </c>
      <c r="N54" s="15" t="s">
        <v>110</v>
      </c>
      <c r="O54" s="61">
        <v>2729733183</v>
      </c>
    </row>
    <row r="55" spans="1:15" ht="15.75">
      <c r="A55" s="88" t="s">
        <v>111</v>
      </c>
      <c r="B55" s="120">
        <f t="shared" si="1"/>
        <v>2929389652</v>
      </c>
      <c r="C55" s="89">
        <v>1237.1999999999998</v>
      </c>
      <c r="D55" s="87" t="s">
        <v>112</v>
      </c>
      <c r="G55" s="88" t="s">
        <v>111</v>
      </c>
      <c r="H55" s="117">
        <v>2929389652</v>
      </c>
      <c r="I55" s="13">
        <v>1663.0238971313579</v>
      </c>
      <c r="J55" s="87" t="s">
        <v>112</v>
      </c>
      <c r="L55" s="13"/>
      <c r="M55" s="14" t="s">
        <v>111</v>
      </c>
      <c r="N55" s="15" t="s">
        <v>112</v>
      </c>
      <c r="O55" s="61">
        <v>2929389652</v>
      </c>
    </row>
    <row r="56" spans="1:15" ht="15.75">
      <c r="A56" s="88" t="s">
        <v>115</v>
      </c>
      <c r="B56" s="120">
        <f t="shared" si="1"/>
        <v>1405570565</v>
      </c>
      <c r="C56" s="89">
        <v>1237.1999999999998</v>
      </c>
      <c r="D56" s="87" t="s">
        <v>116</v>
      </c>
      <c r="G56" s="88" t="s">
        <v>115</v>
      </c>
      <c r="H56" s="117">
        <v>1405570565</v>
      </c>
      <c r="I56" s="13">
        <v>1545.2188971313581</v>
      </c>
      <c r="J56" s="87" t="s">
        <v>116</v>
      </c>
      <c r="L56" s="13"/>
      <c r="M56" s="14" t="s">
        <v>115</v>
      </c>
      <c r="N56" s="15" t="s">
        <v>116</v>
      </c>
      <c r="O56" s="61">
        <v>1405570565</v>
      </c>
    </row>
    <row r="57" spans="1:15" ht="15.75">
      <c r="A57" s="88" t="s">
        <v>117</v>
      </c>
      <c r="B57" s="120">
        <f t="shared" si="1"/>
        <v>2937082010</v>
      </c>
      <c r="C57" s="89">
        <v>1237.1999999999998</v>
      </c>
      <c r="D57" s="87" t="s">
        <v>118</v>
      </c>
      <c r="G57" s="88" t="s">
        <v>117</v>
      </c>
      <c r="H57" s="117">
        <v>2937082010</v>
      </c>
      <c r="I57" s="13">
        <v>1407.88</v>
      </c>
      <c r="J57" s="87" t="s">
        <v>118</v>
      </c>
      <c r="L57" s="13"/>
      <c r="M57" s="14" t="s">
        <v>117</v>
      </c>
      <c r="N57" s="15" t="s">
        <v>118</v>
      </c>
      <c r="O57" s="61">
        <v>2937082010</v>
      </c>
    </row>
    <row r="58" spans="1:15" ht="15.75">
      <c r="A58" s="88" t="s">
        <v>152</v>
      </c>
      <c r="B58" s="120">
        <f t="shared" si="1"/>
        <v>2952243423</v>
      </c>
      <c r="C58" s="89">
        <v>1237.1999999999998</v>
      </c>
      <c r="D58" s="87" t="s">
        <v>14</v>
      </c>
      <c r="G58" s="88" t="s">
        <v>152</v>
      </c>
      <c r="H58" s="117">
        <v>2952243423</v>
      </c>
      <c r="I58" s="13">
        <v>3722.5650000000001</v>
      </c>
      <c r="J58" s="87" t="s">
        <v>14</v>
      </c>
      <c r="L58" s="13"/>
      <c r="M58" s="30" t="s">
        <v>152</v>
      </c>
      <c r="N58" s="15" t="s">
        <v>14</v>
      </c>
      <c r="O58" s="61">
        <v>2952243423</v>
      </c>
    </row>
    <row r="59" spans="1:15" ht="15.75">
      <c r="A59" s="88" t="s">
        <v>119</v>
      </c>
      <c r="B59" s="120">
        <f t="shared" si="1"/>
        <v>1435597188</v>
      </c>
      <c r="C59" s="89">
        <v>1237.1999999999998</v>
      </c>
      <c r="D59" s="87" t="s">
        <v>120</v>
      </c>
      <c r="G59" s="88" t="s">
        <v>119</v>
      </c>
      <c r="H59" s="117">
        <v>1435597188</v>
      </c>
      <c r="I59" s="13">
        <v>4846.2849999999999</v>
      </c>
      <c r="J59" s="87" t="s">
        <v>120</v>
      </c>
      <c r="L59" s="13"/>
      <c r="M59" s="14" t="s">
        <v>119</v>
      </c>
      <c r="N59" s="15" t="s">
        <v>120</v>
      </c>
      <c r="O59" s="61">
        <v>1435597188</v>
      </c>
    </row>
    <row r="60" spans="1:15" ht="15.75">
      <c r="A60" s="88" t="s">
        <v>121</v>
      </c>
      <c r="B60" s="120">
        <f t="shared" si="1"/>
        <v>1110345261</v>
      </c>
      <c r="C60" s="89">
        <v>1237.1999999999998</v>
      </c>
      <c r="D60" s="87" t="s">
        <v>122</v>
      </c>
      <c r="G60" s="88" t="s">
        <v>121</v>
      </c>
      <c r="H60" s="117">
        <v>1110345261</v>
      </c>
      <c r="I60" s="13">
        <v>78411.296000000002</v>
      </c>
      <c r="J60" s="87" t="s">
        <v>122</v>
      </c>
      <c r="L60" s="13"/>
      <c r="M60" s="14" t="s">
        <v>121</v>
      </c>
      <c r="N60" s="15" t="s">
        <v>122</v>
      </c>
      <c r="O60" s="61">
        <v>1110345261</v>
      </c>
    </row>
    <row r="61" spans="1:15" ht="15.75" thickBot="1">
      <c r="A61" s="26"/>
      <c r="B61" s="121"/>
      <c r="C61" s="123">
        <f>SUM(C10:C60)</f>
        <v>63096.59999999994</v>
      </c>
      <c r="D61" s="87"/>
      <c r="G61" s="26"/>
      <c r="H61" s="26"/>
      <c r="I61" s="123">
        <f>SUM(I10:I60)</f>
        <v>361854.45227774919</v>
      </c>
      <c r="J61" s="87"/>
      <c r="L61" s="89"/>
    </row>
    <row r="62" spans="1:15" s="32" customFormat="1">
      <c r="A62" s="26"/>
      <c r="B62" s="121"/>
      <c r="C62" s="8"/>
      <c r="D62" s="87"/>
      <c r="G62" s="26"/>
      <c r="H62" s="26"/>
      <c r="I62" s="89"/>
      <c r="J62" s="87"/>
      <c r="L62" s="89"/>
    </row>
    <row r="63" spans="1:15" ht="15.75">
      <c r="A63" s="88" t="s">
        <v>46</v>
      </c>
      <c r="B63" s="125" t="str">
        <f>+O63</f>
        <v>BNTE NO TJ 4915667391931104</v>
      </c>
      <c r="C63" s="89">
        <v>1237.1999999999998</v>
      </c>
      <c r="D63" s="87" t="s">
        <v>47</v>
      </c>
      <c r="G63" s="88" t="s">
        <v>46</v>
      </c>
      <c r="H63" s="117" t="s">
        <v>216</v>
      </c>
      <c r="I63" s="13">
        <v>3217.65</v>
      </c>
      <c r="J63" s="87" t="s">
        <v>47</v>
      </c>
      <c r="L63" s="13"/>
      <c r="M63" s="14" t="s">
        <v>46</v>
      </c>
      <c r="N63" s="15" t="s">
        <v>47</v>
      </c>
      <c r="O63" s="61" t="s">
        <v>216</v>
      </c>
    </row>
    <row r="64" spans="1:15" s="32" customFormat="1" ht="16.5" thickBot="1">
      <c r="A64" s="88"/>
      <c r="B64" s="125"/>
      <c r="C64" s="123">
        <f>SUM(C63)</f>
        <v>1237.1999999999998</v>
      </c>
      <c r="D64" s="87"/>
      <c r="G64" s="88"/>
      <c r="H64" s="117"/>
      <c r="I64" s="123">
        <f>SUM(I63)</f>
        <v>3217.65</v>
      </c>
      <c r="J64" s="87"/>
      <c r="L64" s="13"/>
      <c r="M64" s="14"/>
      <c r="N64" s="15"/>
      <c r="O64" s="61"/>
    </row>
    <row r="65" spans="1:15">
      <c r="A65" s="23"/>
      <c r="B65" s="126"/>
      <c r="C65" s="21"/>
      <c r="D65" s="21"/>
      <c r="G65" s="23"/>
      <c r="H65" s="23"/>
      <c r="I65" s="21"/>
      <c r="J65" s="21"/>
      <c r="L65" s="21"/>
    </row>
    <row r="66" spans="1:15" ht="15.75">
      <c r="A66" s="88" t="s">
        <v>113</v>
      </c>
      <c r="B66" s="125" t="str">
        <f>+O66</f>
        <v>BNX CTA    002680902750119152</v>
      </c>
      <c r="C66" s="89">
        <v>1237.1999999999998</v>
      </c>
      <c r="D66" s="87" t="s">
        <v>114</v>
      </c>
      <c r="G66" s="88" t="s">
        <v>113</v>
      </c>
      <c r="H66" s="117" t="s">
        <v>267</v>
      </c>
      <c r="I66" s="13">
        <v>5472.165</v>
      </c>
      <c r="J66" s="87" t="s">
        <v>114</v>
      </c>
      <c r="L66" s="13"/>
      <c r="M66" s="14" t="s">
        <v>113</v>
      </c>
      <c r="N66" s="15" t="s">
        <v>114</v>
      </c>
      <c r="O66" s="61" t="s">
        <v>267</v>
      </c>
    </row>
    <row r="67" spans="1:15" ht="15.75" thickBot="1">
      <c r="C67" s="123">
        <f>SUM(C66)</f>
        <v>1237.1999999999998</v>
      </c>
      <c r="I67" s="123">
        <f>SUM(I66)</f>
        <v>5472.165</v>
      </c>
    </row>
    <row r="68" spans="1:15" s="32" customFormat="1">
      <c r="A68" s="8"/>
      <c r="B68" s="90"/>
      <c r="C68" s="124"/>
      <c r="D68" s="8"/>
      <c r="G68" s="8"/>
      <c r="H68" s="8"/>
      <c r="I68" s="124"/>
      <c r="J68" s="8"/>
      <c r="L68" s="87"/>
    </row>
    <row r="69" spans="1:15">
      <c r="A69" s="32"/>
      <c r="B69" s="119" t="s">
        <v>334</v>
      </c>
      <c r="C69" s="89">
        <f>+C61</f>
        <v>63096.59999999994</v>
      </c>
      <c r="D69" s="32"/>
      <c r="H69" s="119" t="s">
        <v>334</v>
      </c>
      <c r="I69" s="89">
        <f>+I61</f>
        <v>361854.45227774919</v>
      </c>
    </row>
    <row r="70" spans="1:15">
      <c r="A70" s="88" t="s">
        <v>17</v>
      </c>
      <c r="B70" s="122" t="s">
        <v>335</v>
      </c>
      <c r="C70" s="25">
        <f>+C64</f>
        <v>1237.1999999999998</v>
      </c>
      <c r="D70" s="87" t="s">
        <v>17</v>
      </c>
      <c r="H70" s="122" t="s">
        <v>335</v>
      </c>
      <c r="I70" s="25">
        <f>+I64</f>
        <v>3217.65</v>
      </c>
    </row>
    <row r="71" spans="1:15">
      <c r="B71" s="90" t="s">
        <v>332</v>
      </c>
      <c r="C71" s="13">
        <f>+C67</f>
        <v>1237.1999999999998</v>
      </c>
      <c r="H71" s="90" t="s">
        <v>332</v>
      </c>
      <c r="I71" s="13">
        <f>+I67</f>
        <v>5472.165</v>
      </c>
    </row>
    <row r="72" spans="1:15" ht="15.75" thickBot="1">
      <c r="C72" s="123">
        <f>SUM(C69:C71)</f>
        <v>65570.999999999942</v>
      </c>
      <c r="H72" s="90"/>
      <c r="I72" s="123">
        <f>SUM(I69:I71)</f>
        <v>370544.2672777492</v>
      </c>
    </row>
    <row r="74" spans="1:15">
      <c r="C74" s="8" t="e">
        <f>+#REF!</f>
        <v>#REF!</v>
      </c>
      <c r="I74" s="87" t="e">
        <f>+#REF!</f>
        <v>#REF!</v>
      </c>
    </row>
    <row r="75" spans="1:15">
      <c r="C75" s="13" t="e">
        <f>+C72-C74</f>
        <v>#REF!</v>
      </c>
      <c r="I75" s="89" t="e">
        <f>+I72-I74</f>
        <v>#REF!</v>
      </c>
    </row>
  </sheetData>
  <mergeCells count="1">
    <mergeCell ref="D1:E1"/>
  </mergeCells>
  <pageMargins left="0.7" right="0.7" top="0.75" bottom="0.75" header="0.3" footer="0.3"/>
  <pageSetup scale="61" orientation="portrait" r:id="rId1"/>
  <colBreaks count="1" manualBreakCount="1">
    <brk id="5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A30" sqref="A30"/>
    </sheetView>
  </sheetViews>
  <sheetFormatPr baseColWidth="10" defaultRowHeight="11.25"/>
  <cols>
    <col min="1" max="1" width="11.42578125" style="8"/>
    <col min="2" max="2" width="26.5703125" style="8" customWidth="1"/>
    <col min="3" max="3" width="13" style="8" hidden="1" customWidth="1"/>
    <col min="4" max="5" width="16.140625" style="8" hidden="1" customWidth="1"/>
    <col min="6" max="8" width="11.42578125" style="8" hidden="1" customWidth="1"/>
    <col min="9" max="9" width="11.42578125" style="8"/>
    <col min="10" max="11" width="11.42578125" style="74" hidden="1" customWidth="1"/>
    <col min="12" max="12" width="26.5703125" style="74" hidden="1" customWidth="1"/>
    <col min="13" max="16384" width="11.42578125" style="74"/>
  </cols>
  <sheetData>
    <row r="1" spans="1:13" ht="18" customHeight="1">
      <c r="A1" s="18" t="s">
        <v>0</v>
      </c>
      <c r="B1" s="397" t="s">
        <v>17</v>
      </c>
      <c r="C1" s="398"/>
      <c r="D1" s="32"/>
      <c r="E1" s="32"/>
      <c r="F1" s="32"/>
      <c r="G1" s="32"/>
      <c r="H1" s="32"/>
      <c r="I1" s="32"/>
    </row>
    <row r="2" spans="1:13" ht="24.95" customHeight="1">
      <c r="A2" s="19" t="s">
        <v>1</v>
      </c>
      <c r="B2" s="2" t="s">
        <v>149</v>
      </c>
      <c r="C2" s="3"/>
      <c r="D2" s="32"/>
      <c r="E2" s="32"/>
      <c r="F2" s="32"/>
      <c r="G2" s="32"/>
      <c r="H2" s="32"/>
      <c r="I2" s="32"/>
    </row>
    <row r="3" spans="1:13" ht="15.75">
      <c r="A3" s="32"/>
      <c r="B3" s="399" t="s">
        <v>2</v>
      </c>
      <c r="C3" s="400"/>
      <c r="D3" s="32"/>
      <c r="E3" s="32"/>
      <c r="F3" s="32"/>
      <c r="G3" s="32"/>
      <c r="H3" s="32"/>
      <c r="I3" s="32"/>
    </row>
    <row r="4" spans="1:13" ht="15">
      <c r="A4" s="32"/>
      <c r="B4" s="4" t="e">
        <f>+#REF!</f>
        <v>#REF!</v>
      </c>
      <c r="C4" s="77"/>
      <c r="D4" s="32"/>
      <c r="E4" s="32"/>
      <c r="F4" s="32"/>
      <c r="G4" s="32"/>
      <c r="H4" s="32"/>
      <c r="I4" s="32"/>
    </row>
    <row r="5" spans="1:13" ht="15">
      <c r="A5" s="32"/>
      <c r="B5" s="20" t="s">
        <v>150</v>
      </c>
      <c r="C5" s="32"/>
      <c r="D5" s="32"/>
      <c r="E5" s="32"/>
      <c r="F5" s="32"/>
      <c r="G5" s="32"/>
      <c r="H5" s="32"/>
      <c r="I5" s="32"/>
    </row>
    <row r="6" spans="1:13" ht="15">
      <c r="A6" s="32"/>
      <c r="B6" s="20" t="s">
        <v>3</v>
      </c>
      <c r="C6" s="32"/>
      <c r="D6" s="32"/>
      <c r="E6" s="32"/>
      <c r="F6" s="32"/>
      <c r="G6" s="32"/>
      <c r="H6" s="32"/>
      <c r="I6" s="32"/>
    </row>
    <row r="8" spans="1:13" s="29" customFormat="1" ht="34.5" thickBot="1">
      <c r="A8" s="27" t="s">
        <v>4</v>
      </c>
      <c r="B8" s="6" t="s">
        <v>5</v>
      </c>
      <c r="C8" s="6" t="s">
        <v>6</v>
      </c>
      <c r="D8" s="5" t="s">
        <v>151</v>
      </c>
      <c r="E8" s="5" t="s">
        <v>7</v>
      </c>
      <c r="F8" s="6" t="s">
        <v>8</v>
      </c>
      <c r="G8" s="6" t="s">
        <v>9</v>
      </c>
      <c r="H8" s="5" t="s">
        <v>10</v>
      </c>
      <c r="I8" s="28" t="s">
        <v>11</v>
      </c>
    </row>
    <row r="9" spans="1:13" ht="15.75" thickTop="1">
      <c r="A9" s="32"/>
      <c r="B9" s="32"/>
      <c r="C9" s="32"/>
      <c r="D9" s="32"/>
      <c r="E9" s="32"/>
      <c r="F9" s="32"/>
      <c r="G9" s="32"/>
      <c r="H9" s="32"/>
      <c r="I9" s="32"/>
    </row>
    <row r="10" spans="1:13">
      <c r="A10" s="75" t="s">
        <v>152</v>
      </c>
      <c r="B10" s="74" t="s">
        <v>14</v>
      </c>
      <c r="C10" s="76">
        <v>1095.5999999999999</v>
      </c>
      <c r="D10" s="76">
        <v>0</v>
      </c>
      <c r="E10" s="76">
        <v>1095.5999999999999</v>
      </c>
      <c r="F10" s="22">
        <v>-141.59</v>
      </c>
      <c r="G10" s="22">
        <v>-0.01</v>
      </c>
      <c r="H10" s="76">
        <f t="shared" ref="H10:H41" si="0">SUM(F10:G10)</f>
        <v>-141.6</v>
      </c>
      <c r="I10" s="76">
        <f t="shared" ref="I10:I41" si="1">+E10-H10</f>
        <v>1237.1999999999998</v>
      </c>
      <c r="J10" s="74" t="str">
        <f t="shared" ref="J10:J41" si="2">IF(B10=L10,"SI","NO")</f>
        <v>SI</v>
      </c>
      <c r="K10" s="75" t="s">
        <v>152</v>
      </c>
      <c r="L10" s="74" t="s">
        <v>14</v>
      </c>
      <c r="M10" s="20">
        <v>2952243423</v>
      </c>
    </row>
    <row r="11" spans="1:13">
      <c r="A11" s="75" t="s">
        <v>67</v>
      </c>
      <c r="B11" s="74" t="s">
        <v>68</v>
      </c>
      <c r="C11" s="76">
        <v>1095.5999999999999</v>
      </c>
      <c r="D11" s="76">
        <v>0</v>
      </c>
      <c r="E11" s="76">
        <v>1095.5999999999999</v>
      </c>
      <c r="F11" s="22">
        <v>-141.59</v>
      </c>
      <c r="G11" s="22">
        <v>-0.01</v>
      </c>
      <c r="H11" s="76">
        <f t="shared" si="0"/>
        <v>-141.6</v>
      </c>
      <c r="I11" s="76">
        <f t="shared" si="1"/>
        <v>1237.1999999999998</v>
      </c>
      <c r="J11" s="74" t="str">
        <f t="shared" si="2"/>
        <v>SI</v>
      </c>
      <c r="K11" s="75" t="s">
        <v>67</v>
      </c>
      <c r="L11" s="74" t="s">
        <v>68</v>
      </c>
      <c r="M11" s="74" t="s">
        <v>283</v>
      </c>
    </row>
    <row r="12" spans="1:13">
      <c r="A12" s="75" t="s">
        <v>121</v>
      </c>
      <c r="B12" s="74" t="s">
        <v>122</v>
      </c>
      <c r="C12" s="76">
        <v>1095.5999999999999</v>
      </c>
      <c r="D12" s="76">
        <v>0</v>
      </c>
      <c r="E12" s="76">
        <v>1095.5999999999999</v>
      </c>
      <c r="F12" s="22">
        <v>-141.59</v>
      </c>
      <c r="G12" s="22">
        <v>-0.01</v>
      </c>
      <c r="H12" s="76">
        <f t="shared" si="0"/>
        <v>-141.6</v>
      </c>
      <c r="I12" s="76">
        <f t="shared" si="1"/>
        <v>1237.1999999999998</v>
      </c>
      <c r="J12" s="74" t="str">
        <f t="shared" si="2"/>
        <v>SI</v>
      </c>
      <c r="K12" s="75" t="s">
        <v>121</v>
      </c>
      <c r="L12" s="74" t="s">
        <v>122</v>
      </c>
      <c r="M12" s="74" t="s">
        <v>284</v>
      </c>
    </row>
    <row r="13" spans="1:13">
      <c r="A13" s="75" t="s">
        <v>21</v>
      </c>
      <c r="B13" s="74" t="s">
        <v>22</v>
      </c>
      <c r="C13" s="76">
        <v>1095.5999999999999</v>
      </c>
      <c r="D13" s="76">
        <v>0</v>
      </c>
      <c r="E13" s="76">
        <f>SUM(C13:D13)</f>
        <v>1095.5999999999999</v>
      </c>
      <c r="F13" s="22">
        <v>-141.59</v>
      </c>
      <c r="G13" s="22">
        <v>-0.01</v>
      </c>
      <c r="H13" s="76">
        <f t="shared" si="0"/>
        <v>-141.6</v>
      </c>
      <c r="I13" s="76">
        <f t="shared" si="1"/>
        <v>1237.1999999999998</v>
      </c>
      <c r="J13" s="74" t="str">
        <f t="shared" si="2"/>
        <v>SI</v>
      </c>
      <c r="K13" s="75" t="s">
        <v>21</v>
      </c>
      <c r="L13" s="74" t="s">
        <v>22</v>
      </c>
      <c r="M13" s="74" t="s">
        <v>285</v>
      </c>
    </row>
    <row r="14" spans="1:13">
      <c r="A14" s="75" t="s">
        <v>79</v>
      </c>
      <c r="B14" s="74" t="s">
        <v>80</v>
      </c>
      <c r="C14" s="76">
        <v>1095.5999999999999</v>
      </c>
      <c r="D14" s="76">
        <v>0</v>
      </c>
      <c r="E14" s="76">
        <v>1095.5999999999999</v>
      </c>
      <c r="F14" s="22">
        <v>-141.59</v>
      </c>
      <c r="G14" s="22">
        <v>-0.01</v>
      </c>
      <c r="H14" s="76">
        <f t="shared" si="0"/>
        <v>-141.6</v>
      </c>
      <c r="I14" s="76">
        <f t="shared" si="1"/>
        <v>1237.1999999999998</v>
      </c>
      <c r="J14" s="74" t="str">
        <f t="shared" si="2"/>
        <v>SI</v>
      </c>
      <c r="K14" s="75" t="s">
        <v>79</v>
      </c>
      <c r="L14" s="74" t="s">
        <v>80</v>
      </c>
      <c r="M14" s="74" t="s">
        <v>286</v>
      </c>
    </row>
    <row r="15" spans="1:13">
      <c r="A15" s="75" t="s">
        <v>115</v>
      </c>
      <c r="B15" s="74" t="s">
        <v>116</v>
      </c>
      <c r="C15" s="76">
        <v>1095.5999999999999</v>
      </c>
      <c r="D15" s="76">
        <v>0</v>
      </c>
      <c r="E15" s="76">
        <v>1095.5999999999999</v>
      </c>
      <c r="F15" s="22">
        <v>-141.59</v>
      </c>
      <c r="G15" s="22">
        <v>-0.01</v>
      </c>
      <c r="H15" s="76">
        <f t="shared" si="0"/>
        <v>-141.6</v>
      </c>
      <c r="I15" s="76">
        <f t="shared" si="1"/>
        <v>1237.1999999999998</v>
      </c>
      <c r="J15" s="74" t="str">
        <f t="shared" si="2"/>
        <v>SI</v>
      </c>
      <c r="K15" s="75" t="s">
        <v>115</v>
      </c>
      <c r="L15" s="74" t="s">
        <v>116</v>
      </c>
      <c r="M15" s="74" t="s">
        <v>287</v>
      </c>
    </row>
    <row r="16" spans="1:13">
      <c r="A16" s="75" t="s">
        <v>105</v>
      </c>
      <c r="B16" s="74" t="s">
        <v>106</v>
      </c>
      <c r="C16" s="76">
        <v>1095.5999999999999</v>
      </c>
      <c r="D16" s="76">
        <v>0</v>
      </c>
      <c r="E16" s="76">
        <v>1095.5999999999999</v>
      </c>
      <c r="F16" s="22">
        <v>-141.59</v>
      </c>
      <c r="G16" s="22">
        <v>-0.01</v>
      </c>
      <c r="H16" s="76">
        <f t="shared" si="0"/>
        <v>-141.6</v>
      </c>
      <c r="I16" s="76">
        <f t="shared" si="1"/>
        <v>1237.1999999999998</v>
      </c>
      <c r="J16" s="74" t="str">
        <f t="shared" si="2"/>
        <v>SI</v>
      </c>
      <c r="K16" s="75" t="s">
        <v>105</v>
      </c>
      <c r="L16" s="74" t="s">
        <v>106</v>
      </c>
      <c r="M16" s="74" t="s">
        <v>288</v>
      </c>
    </row>
    <row r="17" spans="1:16">
      <c r="A17" s="75" t="s">
        <v>119</v>
      </c>
      <c r="B17" s="74" t="s">
        <v>120</v>
      </c>
      <c r="C17" s="76">
        <v>1095.5999999999999</v>
      </c>
      <c r="D17" s="76">
        <v>0</v>
      </c>
      <c r="E17" s="76">
        <v>1095.5999999999999</v>
      </c>
      <c r="F17" s="22">
        <v>-141.59</v>
      </c>
      <c r="G17" s="22">
        <v>-0.01</v>
      </c>
      <c r="H17" s="76">
        <f t="shared" si="0"/>
        <v>-141.6</v>
      </c>
      <c r="I17" s="76">
        <f t="shared" si="1"/>
        <v>1237.1999999999998</v>
      </c>
      <c r="J17" s="74" t="str">
        <f t="shared" si="2"/>
        <v>SI</v>
      </c>
      <c r="K17" s="75" t="s">
        <v>119</v>
      </c>
      <c r="L17" s="74" t="s">
        <v>120</v>
      </c>
      <c r="M17" s="74" t="s">
        <v>289</v>
      </c>
    </row>
    <row r="18" spans="1:16">
      <c r="A18" s="75" t="s">
        <v>28</v>
      </c>
      <c r="B18" s="74" t="s">
        <v>29</v>
      </c>
      <c r="C18" s="76">
        <v>1095.5999999999999</v>
      </c>
      <c r="D18" s="76">
        <v>0</v>
      </c>
      <c r="E18" s="76">
        <v>1095.5999999999999</v>
      </c>
      <c r="F18" s="22">
        <v>-141.59</v>
      </c>
      <c r="G18" s="22">
        <v>-0.01</v>
      </c>
      <c r="H18" s="76">
        <f t="shared" si="0"/>
        <v>-141.6</v>
      </c>
      <c r="I18" s="76">
        <f t="shared" si="1"/>
        <v>1237.1999999999998</v>
      </c>
      <c r="J18" s="74" t="str">
        <f t="shared" si="2"/>
        <v>SI</v>
      </c>
      <c r="K18" s="75" t="s">
        <v>28</v>
      </c>
      <c r="L18" s="74" t="s">
        <v>29</v>
      </c>
      <c r="M18" s="74" t="s">
        <v>290</v>
      </c>
    </row>
    <row r="19" spans="1:16">
      <c r="A19" s="75" t="s">
        <v>30</v>
      </c>
      <c r="B19" s="74" t="s">
        <v>31</v>
      </c>
      <c r="C19" s="76">
        <v>1095.5999999999999</v>
      </c>
      <c r="D19" s="76">
        <v>0</v>
      </c>
      <c r="E19" s="76">
        <v>1095.5999999999999</v>
      </c>
      <c r="F19" s="22">
        <v>-141.59</v>
      </c>
      <c r="G19" s="22">
        <v>-0.01</v>
      </c>
      <c r="H19" s="76">
        <f t="shared" si="0"/>
        <v>-141.6</v>
      </c>
      <c r="I19" s="76">
        <f t="shared" si="1"/>
        <v>1237.1999999999998</v>
      </c>
      <c r="J19" s="74" t="str">
        <f t="shared" si="2"/>
        <v>SI</v>
      </c>
      <c r="K19" s="75" t="s">
        <v>30</v>
      </c>
      <c r="L19" s="74" t="s">
        <v>31</v>
      </c>
      <c r="M19" s="74" t="s">
        <v>291</v>
      </c>
    </row>
    <row r="20" spans="1:16">
      <c r="A20" s="75" t="s">
        <v>32</v>
      </c>
      <c r="B20" s="74" t="s">
        <v>33</v>
      </c>
      <c r="C20" s="76">
        <v>1095.5999999999999</v>
      </c>
      <c r="D20" s="76">
        <v>0</v>
      </c>
      <c r="E20" s="76">
        <v>1095.5999999999999</v>
      </c>
      <c r="F20" s="22">
        <v>-141.59</v>
      </c>
      <c r="G20" s="22">
        <v>-0.01</v>
      </c>
      <c r="H20" s="76">
        <f t="shared" si="0"/>
        <v>-141.6</v>
      </c>
      <c r="I20" s="76">
        <f t="shared" si="1"/>
        <v>1237.1999999999998</v>
      </c>
      <c r="J20" s="74" t="str">
        <f t="shared" si="2"/>
        <v>SI</v>
      </c>
      <c r="K20" s="75" t="s">
        <v>32</v>
      </c>
      <c r="L20" s="74" t="s">
        <v>33</v>
      </c>
      <c r="M20" s="74" t="s">
        <v>292</v>
      </c>
    </row>
    <row r="21" spans="1:16">
      <c r="A21" s="75" t="s">
        <v>87</v>
      </c>
      <c r="B21" s="74" t="s">
        <v>88</v>
      </c>
      <c r="C21" s="76">
        <v>1095.5999999999999</v>
      </c>
      <c r="D21" s="76">
        <v>0</v>
      </c>
      <c r="E21" s="76">
        <v>1095.5999999999999</v>
      </c>
      <c r="F21" s="22">
        <v>-141.59</v>
      </c>
      <c r="G21" s="22">
        <v>-0.01</v>
      </c>
      <c r="H21" s="76">
        <f t="shared" si="0"/>
        <v>-141.6</v>
      </c>
      <c r="I21" s="76">
        <f t="shared" si="1"/>
        <v>1237.1999999999998</v>
      </c>
      <c r="J21" s="74" t="str">
        <f t="shared" si="2"/>
        <v>SI</v>
      </c>
      <c r="K21" s="75" t="s">
        <v>87</v>
      </c>
      <c r="L21" s="74" t="s">
        <v>88</v>
      </c>
      <c r="M21" s="74" t="s">
        <v>293</v>
      </c>
    </row>
    <row r="22" spans="1:16">
      <c r="A22" s="75" t="s">
        <v>44</v>
      </c>
      <c r="B22" s="74" t="s">
        <v>45</v>
      </c>
      <c r="C22" s="76">
        <v>1095.5999999999999</v>
      </c>
      <c r="D22" s="76">
        <v>0</v>
      </c>
      <c r="E22" s="76">
        <v>1095.5999999999999</v>
      </c>
      <c r="F22" s="22">
        <v>-141.59</v>
      </c>
      <c r="G22" s="22">
        <v>-0.01</v>
      </c>
      <c r="H22" s="76">
        <f t="shared" si="0"/>
        <v>-141.6</v>
      </c>
      <c r="I22" s="76">
        <f t="shared" si="1"/>
        <v>1237.1999999999998</v>
      </c>
      <c r="J22" s="74" t="str">
        <f t="shared" si="2"/>
        <v>SI</v>
      </c>
      <c r="K22" s="75" t="s">
        <v>44</v>
      </c>
      <c r="L22" s="74" t="s">
        <v>45</v>
      </c>
      <c r="M22" s="74" t="s">
        <v>294</v>
      </c>
    </row>
    <row r="23" spans="1:16">
      <c r="A23" s="75" t="s">
        <v>69</v>
      </c>
      <c r="B23" s="74" t="s">
        <v>70</v>
      </c>
      <c r="C23" s="76">
        <v>1095.5999999999999</v>
      </c>
      <c r="D23" s="76">
        <v>0</v>
      </c>
      <c r="E23" s="76">
        <v>1095.5999999999999</v>
      </c>
      <c r="F23" s="22">
        <v>-141.59</v>
      </c>
      <c r="G23" s="76">
        <v>0.19</v>
      </c>
      <c r="H23" s="76">
        <f t="shared" si="0"/>
        <v>-141.4</v>
      </c>
      <c r="I23" s="76">
        <f t="shared" si="1"/>
        <v>1237</v>
      </c>
      <c r="J23" s="74" t="str">
        <f t="shared" si="2"/>
        <v>SI</v>
      </c>
      <c r="K23" s="75" t="s">
        <v>69</v>
      </c>
      <c r="L23" s="74" t="s">
        <v>70</v>
      </c>
      <c r="M23" s="74" t="s">
        <v>295</v>
      </c>
    </row>
    <row r="24" spans="1:16">
      <c r="A24" s="75" t="s">
        <v>109</v>
      </c>
      <c r="B24" s="74" t="s">
        <v>110</v>
      </c>
      <c r="C24" s="76">
        <v>1095.5999999999999</v>
      </c>
      <c r="D24" s="76">
        <v>0</v>
      </c>
      <c r="E24" s="76">
        <v>1095.5999999999999</v>
      </c>
      <c r="F24" s="22">
        <v>-141.59</v>
      </c>
      <c r="G24" s="22">
        <v>-0.01</v>
      </c>
      <c r="H24" s="76">
        <f t="shared" si="0"/>
        <v>-141.6</v>
      </c>
      <c r="I24" s="76">
        <f t="shared" si="1"/>
        <v>1237.1999999999998</v>
      </c>
      <c r="J24" s="74" t="str">
        <f t="shared" si="2"/>
        <v>SI</v>
      </c>
      <c r="K24" s="75" t="s">
        <v>109</v>
      </c>
      <c r="L24" s="74" t="s">
        <v>110</v>
      </c>
      <c r="M24" s="74" t="s">
        <v>296</v>
      </c>
    </row>
    <row r="25" spans="1:16">
      <c r="A25" s="75" t="s">
        <v>51</v>
      </c>
      <c r="B25" s="74" t="s">
        <v>52</v>
      </c>
      <c r="C25" s="76">
        <v>1095.5999999999999</v>
      </c>
      <c r="D25" s="76">
        <v>0</v>
      </c>
      <c r="E25" s="76">
        <v>1095.5999999999999</v>
      </c>
      <c r="F25" s="22">
        <v>-141.59</v>
      </c>
      <c r="G25" s="22">
        <v>-0.01</v>
      </c>
      <c r="H25" s="76">
        <f t="shared" si="0"/>
        <v>-141.6</v>
      </c>
      <c r="I25" s="76">
        <f t="shared" si="1"/>
        <v>1237.1999999999998</v>
      </c>
      <c r="J25" s="74" t="str">
        <f t="shared" si="2"/>
        <v>SI</v>
      </c>
      <c r="K25" s="75" t="s">
        <v>51</v>
      </c>
      <c r="L25" s="74" t="s">
        <v>52</v>
      </c>
      <c r="M25" s="74" t="s">
        <v>297</v>
      </c>
    </row>
    <row r="26" spans="1:16">
      <c r="A26" s="75" t="s">
        <v>55</v>
      </c>
      <c r="B26" s="74" t="s">
        <v>56</v>
      </c>
      <c r="C26" s="76">
        <v>1095.5999999999999</v>
      </c>
      <c r="D26" s="76">
        <v>0</v>
      </c>
      <c r="E26" s="76">
        <v>1095.5999999999999</v>
      </c>
      <c r="F26" s="22">
        <v>-141.59</v>
      </c>
      <c r="G26" s="22">
        <v>-0.01</v>
      </c>
      <c r="H26" s="76">
        <f t="shared" si="0"/>
        <v>-141.6</v>
      </c>
      <c r="I26" s="76">
        <f t="shared" si="1"/>
        <v>1237.1999999999998</v>
      </c>
      <c r="J26" s="74" t="str">
        <f t="shared" si="2"/>
        <v>SI</v>
      </c>
      <c r="K26" s="75" t="s">
        <v>55</v>
      </c>
      <c r="L26" s="74" t="s">
        <v>56</v>
      </c>
      <c r="M26" s="74" t="s">
        <v>298</v>
      </c>
    </row>
    <row r="27" spans="1:16">
      <c r="A27" s="75" t="s">
        <v>75</v>
      </c>
      <c r="B27" s="74" t="s">
        <v>76</v>
      </c>
      <c r="C27" s="76">
        <v>1095.5999999999999</v>
      </c>
      <c r="D27" s="76">
        <v>0</v>
      </c>
      <c r="E27" s="76">
        <v>1095.5999999999999</v>
      </c>
      <c r="F27" s="22">
        <v>-141.59</v>
      </c>
      <c r="G27" s="22">
        <v>-0.01</v>
      </c>
      <c r="H27" s="76">
        <f t="shared" si="0"/>
        <v>-141.6</v>
      </c>
      <c r="I27" s="76">
        <f t="shared" si="1"/>
        <v>1237.1999999999998</v>
      </c>
      <c r="J27" s="74" t="str">
        <f t="shared" si="2"/>
        <v>SI</v>
      </c>
      <c r="K27" s="75" t="s">
        <v>75</v>
      </c>
      <c r="L27" s="74" t="s">
        <v>76</v>
      </c>
      <c r="M27" s="74" t="s">
        <v>299</v>
      </c>
    </row>
    <row r="28" spans="1:16">
      <c r="A28" s="75" t="s">
        <v>77</v>
      </c>
      <c r="B28" s="74" t="s">
        <v>78</v>
      </c>
      <c r="C28" s="76">
        <v>1095.5999999999999</v>
      </c>
      <c r="D28" s="76">
        <v>0</v>
      </c>
      <c r="E28" s="76">
        <v>1095.5999999999999</v>
      </c>
      <c r="F28" s="22">
        <v>-141.59</v>
      </c>
      <c r="G28" s="22">
        <v>-0.01</v>
      </c>
      <c r="H28" s="76">
        <f t="shared" si="0"/>
        <v>-141.6</v>
      </c>
      <c r="I28" s="76">
        <f t="shared" si="1"/>
        <v>1237.1999999999998</v>
      </c>
      <c r="J28" s="74" t="str">
        <f t="shared" si="2"/>
        <v>SI</v>
      </c>
      <c r="K28" s="75" t="s">
        <v>77</v>
      </c>
      <c r="L28" s="74" t="s">
        <v>78</v>
      </c>
      <c r="M28" s="74" t="s">
        <v>300</v>
      </c>
      <c r="O28" s="128" t="s">
        <v>78</v>
      </c>
      <c r="P28" s="128" t="s">
        <v>300</v>
      </c>
    </row>
    <row r="29" spans="1:16">
      <c r="A29" s="75" t="s">
        <v>40</v>
      </c>
      <c r="B29" s="74" t="s">
        <v>41</v>
      </c>
      <c r="C29" s="76">
        <v>1095.5999999999999</v>
      </c>
      <c r="D29" s="76">
        <v>0</v>
      </c>
      <c r="E29" s="76">
        <v>1095.5999999999999</v>
      </c>
      <c r="F29" s="22">
        <v>-141.59</v>
      </c>
      <c r="G29" s="22">
        <v>-0.01</v>
      </c>
      <c r="H29" s="76">
        <f t="shared" si="0"/>
        <v>-141.6</v>
      </c>
      <c r="I29" s="76">
        <f t="shared" si="1"/>
        <v>1237.1999999999998</v>
      </c>
      <c r="J29" s="74" t="str">
        <f t="shared" si="2"/>
        <v>SI</v>
      </c>
      <c r="K29" s="75" t="s">
        <v>40</v>
      </c>
      <c r="L29" s="74" t="s">
        <v>41</v>
      </c>
      <c r="M29" s="74" t="s">
        <v>301</v>
      </c>
    </row>
    <row r="30" spans="1:16">
      <c r="A30" s="75" t="s">
        <v>71</v>
      </c>
      <c r="B30" s="74" t="s">
        <v>72</v>
      </c>
      <c r="C30" s="76">
        <v>1095.5999999999999</v>
      </c>
      <c r="D30" s="76">
        <v>0</v>
      </c>
      <c r="E30" s="76">
        <v>1095.5999999999999</v>
      </c>
      <c r="F30" s="22">
        <v>-141.59</v>
      </c>
      <c r="G30" s="22">
        <v>-0.01</v>
      </c>
      <c r="H30" s="76">
        <f t="shared" si="0"/>
        <v>-141.6</v>
      </c>
      <c r="I30" s="76">
        <f t="shared" si="1"/>
        <v>1237.1999999999998</v>
      </c>
      <c r="J30" s="74" t="str">
        <f t="shared" si="2"/>
        <v>SI</v>
      </c>
      <c r="K30" s="75" t="s">
        <v>71</v>
      </c>
      <c r="L30" s="74" t="s">
        <v>72</v>
      </c>
      <c r="M30" s="74" t="s">
        <v>302</v>
      </c>
    </row>
    <row r="31" spans="1:16">
      <c r="A31" s="75" t="s">
        <v>99</v>
      </c>
      <c r="B31" s="74" t="s">
        <v>100</v>
      </c>
      <c r="C31" s="76">
        <v>1095.5999999999999</v>
      </c>
      <c r="D31" s="76">
        <v>0</v>
      </c>
      <c r="E31" s="76">
        <v>1095.5999999999999</v>
      </c>
      <c r="F31" s="22">
        <v>-141.59</v>
      </c>
      <c r="G31" s="22">
        <v>-0.01</v>
      </c>
      <c r="H31" s="76">
        <f t="shared" si="0"/>
        <v>-141.6</v>
      </c>
      <c r="I31" s="76">
        <f t="shared" si="1"/>
        <v>1237.1999999999998</v>
      </c>
      <c r="J31" s="74" t="str">
        <f t="shared" si="2"/>
        <v>SI</v>
      </c>
      <c r="K31" s="75" t="s">
        <v>99</v>
      </c>
      <c r="L31" s="74" t="s">
        <v>100</v>
      </c>
      <c r="M31" s="74" t="s">
        <v>303</v>
      </c>
    </row>
    <row r="32" spans="1:16">
      <c r="A32" s="75" t="s">
        <v>24</v>
      </c>
      <c r="B32" s="74" t="s">
        <v>25</v>
      </c>
      <c r="C32" s="76">
        <v>1095.5999999999999</v>
      </c>
      <c r="D32" s="76">
        <v>0</v>
      </c>
      <c r="E32" s="76">
        <v>1095.5999999999999</v>
      </c>
      <c r="F32" s="22">
        <v>-141.59</v>
      </c>
      <c r="G32" s="22">
        <v>-0.01</v>
      </c>
      <c r="H32" s="76">
        <f t="shared" si="0"/>
        <v>-141.6</v>
      </c>
      <c r="I32" s="76">
        <f t="shared" si="1"/>
        <v>1237.1999999999998</v>
      </c>
      <c r="J32" s="74" t="str">
        <f t="shared" si="2"/>
        <v>SI</v>
      </c>
      <c r="K32" s="75" t="s">
        <v>24</v>
      </c>
      <c r="L32" s="74" t="s">
        <v>25</v>
      </c>
      <c r="M32" s="74" t="s">
        <v>304</v>
      </c>
    </row>
    <row r="33" spans="1:13">
      <c r="A33" s="75" t="s">
        <v>83</v>
      </c>
      <c r="B33" s="74" t="s">
        <v>84</v>
      </c>
      <c r="C33" s="76">
        <v>1095.5999999999999</v>
      </c>
      <c r="D33" s="76">
        <v>0</v>
      </c>
      <c r="E33" s="76">
        <v>1095.5999999999999</v>
      </c>
      <c r="F33" s="22">
        <v>-141.59</v>
      </c>
      <c r="G33" s="22">
        <v>-0.01</v>
      </c>
      <c r="H33" s="76">
        <f t="shared" si="0"/>
        <v>-141.6</v>
      </c>
      <c r="I33" s="76">
        <f t="shared" si="1"/>
        <v>1237.1999999999998</v>
      </c>
      <c r="J33" s="74" t="str">
        <f t="shared" si="2"/>
        <v>SI</v>
      </c>
      <c r="K33" s="75" t="s">
        <v>83</v>
      </c>
      <c r="L33" s="74" t="s">
        <v>84</v>
      </c>
      <c r="M33" s="74" t="s">
        <v>305</v>
      </c>
    </row>
    <row r="34" spans="1:13">
      <c r="A34" s="75" t="s">
        <v>61</v>
      </c>
      <c r="B34" s="74" t="s">
        <v>62</v>
      </c>
      <c r="C34" s="76">
        <v>1095.5999999999999</v>
      </c>
      <c r="D34" s="76">
        <v>0</v>
      </c>
      <c r="E34" s="76">
        <v>1095.5999999999999</v>
      </c>
      <c r="F34" s="22">
        <v>-141.59</v>
      </c>
      <c r="G34" s="22">
        <v>-0.01</v>
      </c>
      <c r="H34" s="76">
        <f t="shared" si="0"/>
        <v>-141.6</v>
      </c>
      <c r="I34" s="76">
        <f t="shared" si="1"/>
        <v>1237.1999999999998</v>
      </c>
      <c r="J34" s="74" t="str">
        <f t="shared" si="2"/>
        <v>SI</v>
      </c>
      <c r="K34" s="75" t="s">
        <v>61</v>
      </c>
      <c r="L34" s="74" t="s">
        <v>62</v>
      </c>
      <c r="M34" s="74" t="s">
        <v>306</v>
      </c>
    </row>
    <row r="35" spans="1:13">
      <c r="A35" s="75" t="s">
        <v>81</v>
      </c>
      <c r="B35" s="74" t="s">
        <v>82</v>
      </c>
      <c r="C35" s="76">
        <v>1095.5999999999999</v>
      </c>
      <c r="D35" s="76">
        <v>0</v>
      </c>
      <c r="E35" s="76">
        <v>1095.5999999999999</v>
      </c>
      <c r="F35" s="22">
        <v>-141.59</v>
      </c>
      <c r="G35" s="22">
        <v>-0.01</v>
      </c>
      <c r="H35" s="76">
        <f t="shared" si="0"/>
        <v>-141.6</v>
      </c>
      <c r="I35" s="76">
        <f t="shared" si="1"/>
        <v>1237.1999999999998</v>
      </c>
      <c r="J35" s="74" t="str">
        <f t="shared" si="2"/>
        <v>SI</v>
      </c>
      <c r="K35" s="75" t="s">
        <v>81</v>
      </c>
      <c r="L35" s="74" t="s">
        <v>82</v>
      </c>
      <c r="M35" s="74" t="s">
        <v>307</v>
      </c>
    </row>
    <row r="36" spans="1:13">
      <c r="A36" s="75" t="s">
        <v>65</v>
      </c>
      <c r="B36" s="74" t="s">
        <v>66</v>
      </c>
      <c r="C36" s="76">
        <v>1095.5999999999999</v>
      </c>
      <c r="D36" s="76">
        <v>0</v>
      </c>
      <c r="E36" s="76">
        <v>1095.5999999999999</v>
      </c>
      <c r="F36" s="22">
        <v>-141.59</v>
      </c>
      <c r="G36" s="22">
        <v>-0.01</v>
      </c>
      <c r="H36" s="76">
        <f t="shared" si="0"/>
        <v>-141.6</v>
      </c>
      <c r="I36" s="76">
        <f t="shared" si="1"/>
        <v>1237.1999999999998</v>
      </c>
      <c r="J36" s="74" t="str">
        <f t="shared" si="2"/>
        <v>SI</v>
      </c>
      <c r="K36" s="75" t="s">
        <v>65</v>
      </c>
      <c r="L36" s="74" t="s">
        <v>66</v>
      </c>
      <c r="M36" s="74" t="s">
        <v>308</v>
      </c>
    </row>
    <row r="37" spans="1:13">
      <c r="A37" s="75" t="s">
        <v>12</v>
      </c>
      <c r="B37" s="74" t="s">
        <v>23</v>
      </c>
      <c r="C37" s="76">
        <v>1095.5999999999999</v>
      </c>
      <c r="D37" s="76">
        <v>0</v>
      </c>
      <c r="E37" s="76">
        <v>1095.5999999999999</v>
      </c>
      <c r="F37" s="22">
        <v>-141.59</v>
      </c>
      <c r="G37" s="22">
        <v>-0.01</v>
      </c>
      <c r="H37" s="76">
        <f t="shared" si="0"/>
        <v>-141.6</v>
      </c>
      <c r="I37" s="76">
        <f t="shared" si="1"/>
        <v>1237.1999999999998</v>
      </c>
      <c r="J37" s="74" t="str">
        <f t="shared" si="2"/>
        <v>SI</v>
      </c>
      <c r="K37" s="75" t="s">
        <v>12</v>
      </c>
      <c r="L37" s="74" t="s">
        <v>23</v>
      </c>
      <c r="M37" s="74" t="s">
        <v>309</v>
      </c>
    </row>
    <row r="38" spans="1:13">
      <c r="A38" s="75" t="s">
        <v>63</v>
      </c>
      <c r="B38" s="74" t="s">
        <v>64</v>
      </c>
      <c r="C38" s="76">
        <v>1095.5999999999999</v>
      </c>
      <c r="D38" s="76">
        <v>0</v>
      </c>
      <c r="E38" s="76">
        <v>1095.5999999999999</v>
      </c>
      <c r="F38" s="22">
        <v>-141.59</v>
      </c>
      <c r="G38" s="22">
        <v>-0.01</v>
      </c>
      <c r="H38" s="76">
        <f t="shared" si="0"/>
        <v>-141.6</v>
      </c>
      <c r="I38" s="76">
        <f t="shared" si="1"/>
        <v>1237.1999999999998</v>
      </c>
      <c r="J38" s="74" t="str">
        <f t="shared" si="2"/>
        <v>SI</v>
      </c>
      <c r="K38" s="75" t="s">
        <v>63</v>
      </c>
      <c r="L38" s="74" t="s">
        <v>64</v>
      </c>
      <c r="M38" s="74" t="s">
        <v>310</v>
      </c>
    </row>
    <row r="39" spans="1:13">
      <c r="A39" s="75" t="s">
        <v>73</v>
      </c>
      <c r="B39" s="74" t="s">
        <v>74</v>
      </c>
      <c r="C39" s="76">
        <v>1095.5999999999999</v>
      </c>
      <c r="D39" s="76">
        <v>0</v>
      </c>
      <c r="E39" s="76">
        <v>1095.5999999999999</v>
      </c>
      <c r="F39" s="22">
        <v>-141.59</v>
      </c>
      <c r="G39" s="76">
        <v>0.19</v>
      </c>
      <c r="H39" s="76">
        <f t="shared" si="0"/>
        <v>-141.4</v>
      </c>
      <c r="I39" s="76">
        <f t="shared" si="1"/>
        <v>1237</v>
      </c>
      <c r="J39" s="74" t="str">
        <f t="shared" si="2"/>
        <v>SI</v>
      </c>
      <c r="K39" s="75" t="s">
        <v>73</v>
      </c>
      <c r="L39" s="74" t="s">
        <v>74</v>
      </c>
      <c r="M39" s="74" t="s">
        <v>311</v>
      </c>
    </row>
    <row r="40" spans="1:13">
      <c r="A40" s="75" t="s">
        <v>97</v>
      </c>
      <c r="B40" s="74" t="s">
        <v>98</v>
      </c>
      <c r="C40" s="76">
        <v>1095.5999999999999</v>
      </c>
      <c r="D40" s="76">
        <v>0</v>
      </c>
      <c r="E40" s="76">
        <v>1095.5999999999999</v>
      </c>
      <c r="F40" s="22">
        <v>-141.59</v>
      </c>
      <c r="G40" s="22">
        <v>-0.01</v>
      </c>
      <c r="H40" s="76">
        <f t="shared" si="0"/>
        <v>-141.6</v>
      </c>
      <c r="I40" s="76">
        <f t="shared" si="1"/>
        <v>1237.1999999999998</v>
      </c>
      <c r="J40" s="74" t="str">
        <f t="shared" si="2"/>
        <v>SI</v>
      </c>
      <c r="K40" s="75" t="s">
        <v>97</v>
      </c>
      <c r="L40" s="74" t="s">
        <v>98</v>
      </c>
      <c r="M40" s="74" t="s">
        <v>312</v>
      </c>
    </row>
    <row r="41" spans="1:13">
      <c r="A41" s="75" t="s">
        <v>38</v>
      </c>
      <c r="B41" s="74" t="s">
        <v>39</v>
      </c>
      <c r="C41" s="76">
        <v>1095.5999999999999</v>
      </c>
      <c r="D41" s="76">
        <v>0</v>
      </c>
      <c r="E41" s="76">
        <v>1095.5999999999999</v>
      </c>
      <c r="F41" s="22">
        <v>-141.59</v>
      </c>
      <c r="G41" s="22">
        <v>-0.01</v>
      </c>
      <c r="H41" s="76">
        <f t="shared" si="0"/>
        <v>-141.6</v>
      </c>
      <c r="I41" s="76">
        <f t="shared" si="1"/>
        <v>1237.1999999999998</v>
      </c>
      <c r="J41" s="74" t="str">
        <f t="shared" si="2"/>
        <v>SI</v>
      </c>
      <c r="K41" s="75" t="s">
        <v>38</v>
      </c>
      <c r="L41" s="74" t="s">
        <v>39</v>
      </c>
      <c r="M41" s="74" t="s">
        <v>313</v>
      </c>
    </row>
    <row r="42" spans="1:13">
      <c r="A42" s="75" t="s">
        <v>101</v>
      </c>
      <c r="B42" s="74" t="s">
        <v>102</v>
      </c>
      <c r="C42" s="76">
        <v>1095.5999999999999</v>
      </c>
      <c r="D42" s="76">
        <v>0</v>
      </c>
      <c r="E42" s="76">
        <v>1095.5999999999999</v>
      </c>
      <c r="F42" s="22">
        <v>-141.59</v>
      </c>
      <c r="G42" s="22">
        <v>-0.01</v>
      </c>
      <c r="H42" s="76">
        <f t="shared" ref="H42:H58" si="3">SUM(F42:G42)</f>
        <v>-141.6</v>
      </c>
      <c r="I42" s="76">
        <f t="shared" ref="I42:I58" si="4">+E42-H42</f>
        <v>1237.1999999999998</v>
      </c>
      <c r="J42" s="74" t="str">
        <f t="shared" ref="J42:J58" si="5">IF(B42=L42,"SI","NO")</f>
        <v>SI</v>
      </c>
      <c r="K42" s="75" t="s">
        <v>101</v>
      </c>
      <c r="L42" s="74" t="s">
        <v>102</v>
      </c>
      <c r="M42" s="74" t="s">
        <v>314</v>
      </c>
    </row>
    <row r="43" spans="1:13">
      <c r="A43" s="75" t="s">
        <v>53</v>
      </c>
      <c r="B43" s="74" t="s">
        <v>54</v>
      </c>
      <c r="C43" s="76">
        <v>1095.5999999999999</v>
      </c>
      <c r="D43" s="76">
        <v>0</v>
      </c>
      <c r="E43" s="76">
        <v>1095.5999999999999</v>
      </c>
      <c r="F43" s="22">
        <v>-141.59</v>
      </c>
      <c r="G43" s="22">
        <v>-0.01</v>
      </c>
      <c r="H43" s="76">
        <f t="shared" si="3"/>
        <v>-141.6</v>
      </c>
      <c r="I43" s="76">
        <f t="shared" si="4"/>
        <v>1237.1999999999998</v>
      </c>
      <c r="J43" s="74" t="str">
        <f t="shared" si="5"/>
        <v>SI</v>
      </c>
      <c r="K43" s="75" t="s">
        <v>53</v>
      </c>
      <c r="L43" s="74" t="s">
        <v>54</v>
      </c>
      <c r="M43" s="74" t="s">
        <v>315</v>
      </c>
    </row>
    <row r="44" spans="1:13">
      <c r="A44" s="75" t="s">
        <v>85</v>
      </c>
      <c r="B44" s="74" t="s">
        <v>86</v>
      </c>
      <c r="C44" s="76">
        <v>1095.5999999999999</v>
      </c>
      <c r="D44" s="76">
        <v>0</v>
      </c>
      <c r="E44" s="76">
        <v>1095.5999999999999</v>
      </c>
      <c r="F44" s="22">
        <v>-141.59</v>
      </c>
      <c r="G44" s="22">
        <v>-0.01</v>
      </c>
      <c r="H44" s="76">
        <f t="shared" si="3"/>
        <v>-141.6</v>
      </c>
      <c r="I44" s="76">
        <f t="shared" si="4"/>
        <v>1237.1999999999998</v>
      </c>
      <c r="J44" s="74" t="str">
        <f t="shared" si="5"/>
        <v>SI</v>
      </c>
      <c r="K44" s="75" t="s">
        <v>85</v>
      </c>
      <c r="L44" s="74" t="s">
        <v>86</v>
      </c>
      <c r="M44" s="74" t="s">
        <v>316</v>
      </c>
    </row>
    <row r="45" spans="1:13">
      <c r="A45" s="75" t="s">
        <v>93</v>
      </c>
      <c r="B45" s="74" t="s">
        <v>94</v>
      </c>
      <c r="C45" s="76">
        <v>1095.5999999999999</v>
      </c>
      <c r="D45" s="76">
        <v>0</v>
      </c>
      <c r="E45" s="76">
        <v>1095.5999999999999</v>
      </c>
      <c r="F45" s="22">
        <v>-141.59</v>
      </c>
      <c r="G45" s="22">
        <v>-0.01</v>
      </c>
      <c r="H45" s="76">
        <f t="shared" si="3"/>
        <v>-141.6</v>
      </c>
      <c r="I45" s="76">
        <f t="shared" si="4"/>
        <v>1237.1999999999998</v>
      </c>
      <c r="J45" s="74" t="str">
        <f t="shared" si="5"/>
        <v>SI</v>
      </c>
      <c r="K45" s="75" t="s">
        <v>93</v>
      </c>
      <c r="L45" s="74" t="s">
        <v>94</v>
      </c>
      <c r="M45" s="74" t="s">
        <v>317</v>
      </c>
    </row>
    <row r="46" spans="1:13">
      <c r="A46" s="75" t="s">
        <v>103</v>
      </c>
      <c r="B46" s="74" t="s">
        <v>104</v>
      </c>
      <c r="C46" s="76">
        <v>1095.5999999999999</v>
      </c>
      <c r="D46" s="76">
        <v>0</v>
      </c>
      <c r="E46" s="76">
        <v>1095.5999999999999</v>
      </c>
      <c r="F46" s="22">
        <v>-141.59</v>
      </c>
      <c r="G46" s="22">
        <v>-0.01</v>
      </c>
      <c r="H46" s="76">
        <f t="shared" si="3"/>
        <v>-141.6</v>
      </c>
      <c r="I46" s="76">
        <f t="shared" si="4"/>
        <v>1237.1999999999998</v>
      </c>
      <c r="J46" s="74" t="str">
        <f t="shared" si="5"/>
        <v>SI</v>
      </c>
      <c r="K46" s="75" t="s">
        <v>103</v>
      </c>
      <c r="L46" s="74" t="s">
        <v>104</v>
      </c>
      <c r="M46" s="74" t="s">
        <v>318</v>
      </c>
    </row>
    <row r="47" spans="1:13">
      <c r="A47" s="75" t="s">
        <v>26</v>
      </c>
      <c r="B47" s="74" t="s">
        <v>27</v>
      </c>
      <c r="C47" s="76">
        <v>1095.5999999999999</v>
      </c>
      <c r="D47" s="76">
        <v>0</v>
      </c>
      <c r="E47" s="76">
        <v>1095.5999999999999</v>
      </c>
      <c r="F47" s="22">
        <v>-141.59</v>
      </c>
      <c r="G47" s="22">
        <v>-0.01</v>
      </c>
      <c r="H47" s="76">
        <f t="shared" si="3"/>
        <v>-141.6</v>
      </c>
      <c r="I47" s="76">
        <f t="shared" si="4"/>
        <v>1237.1999999999998</v>
      </c>
      <c r="J47" s="74" t="str">
        <f t="shared" si="5"/>
        <v>SI</v>
      </c>
      <c r="K47" s="75" t="s">
        <v>26</v>
      </c>
      <c r="L47" s="74" t="s">
        <v>27</v>
      </c>
      <c r="M47" s="74" t="s">
        <v>319</v>
      </c>
    </row>
    <row r="48" spans="1:13">
      <c r="A48" s="75" t="s">
        <v>48</v>
      </c>
      <c r="B48" s="74" t="s">
        <v>49</v>
      </c>
      <c r="C48" s="76">
        <v>1095.5999999999999</v>
      </c>
      <c r="D48" s="76">
        <v>0</v>
      </c>
      <c r="E48" s="76">
        <v>1095.5999999999999</v>
      </c>
      <c r="F48" s="22">
        <v>-141.59</v>
      </c>
      <c r="G48" s="22">
        <v>-0.01</v>
      </c>
      <c r="H48" s="76">
        <f t="shared" si="3"/>
        <v>-141.6</v>
      </c>
      <c r="I48" s="76">
        <f t="shared" si="4"/>
        <v>1237.1999999999998</v>
      </c>
      <c r="J48" s="74" t="str">
        <f t="shared" si="5"/>
        <v>SI</v>
      </c>
      <c r="K48" s="75" t="s">
        <v>48</v>
      </c>
      <c r="L48" s="74" t="s">
        <v>49</v>
      </c>
      <c r="M48" s="74" t="s">
        <v>320</v>
      </c>
    </row>
    <row r="49" spans="1:13">
      <c r="A49" s="75" t="s">
        <v>111</v>
      </c>
      <c r="B49" s="74" t="s">
        <v>112</v>
      </c>
      <c r="C49" s="76">
        <v>1095.5999999999999</v>
      </c>
      <c r="D49" s="76">
        <v>0</v>
      </c>
      <c r="E49" s="76">
        <v>1095.5999999999999</v>
      </c>
      <c r="F49" s="22">
        <v>-141.59</v>
      </c>
      <c r="G49" s="22">
        <v>-0.01</v>
      </c>
      <c r="H49" s="76">
        <f t="shared" si="3"/>
        <v>-141.6</v>
      </c>
      <c r="I49" s="76">
        <f t="shared" si="4"/>
        <v>1237.1999999999998</v>
      </c>
      <c r="J49" s="74" t="str">
        <f t="shared" si="5"/>
        <v>SI</v>
      </c>
      <c r="K49" s="75" t="s">
        <v>111</v>
      </c>
      <c r="L49" s="74" t="s">
        <v>112</v>
      </c>
      <c r="M49" s="74" t="s">
        <v>321</v>
      </c>
    </row>
    <row r="50" spans="1:13">
      <c r="A50" s="75" t="s">
        <v>91</v>
      </c>
      <c r="B50" s="74" t="s">
        <v>92</v>
      </c>
      <c r="C50" s="76">
        <v>1095.5999999999999</v>
      </c>
      <c r="D50" s="76">
        <v>0</v>
      </c>
      <c r="E50" s="76">
        <v>1095.5999999999999</v>
      </c>
      <c r="F50" s="22">
        <v>-141.59</v>
      </c>
      <c r="G50" s="76">
        <v>0.19</v>
      </c>
      <c r="H50" s="76">
        <f t="shared" si="3"/>
        <v>-141.4</v>
      </c>
      <c r="I50" s="76">
        <f t="shared" si="4"/>
        <v>1237</v>
      </c>
      <c r="J50" s="74" t="str">
        <f t="shared" si="5"/>
        <v>SI</v>
      </c>
      <c r="K50" s="75" t="s">
        <v>91</v>
      </c>
      <c r="L50" s="74" t="s">
        <v>92</v>
      </c>
      <c r="M50" s="74" t="s">
        <v>322</v>
      </c>
    </row>
    <row r="51" spans="1:13">
      <c r="A51" s="75" t="s">
        <v>117</v>
      </c>
      <c r="B51" s="74" t="s">
        <v>118</v>
      </c>
      <c r="C51" s="76">
        <v>1095.5999999999999</v>
      </c>
      <c r="D51" s="76">
        <v>0</v>
      </c>
      <c r="E51" s="76">
        <v>1095.5999999999999</v>
      </c>
      <c r="F51" s="22">
        <v>-141.59</v>
      </c>
      <c r="G51" s="22">
        <v>-0.01</v>
      </c>
      <c r="H51" s="76">
        <f t="shared" si="3"/>
        <v>-141.6</v>
      </c>
      <c r="I51" s="76">
        <f t="shared" si="4"/>
        <v>1237.1999999999998</v>
      </c>
      <c r="J51" s="74" t="str">
        <f t="shared" si="5"/>
        <v>SI</v>
      </c>
      <c r="K51" s="75" t="s">
        <v>117</v>
      </c>
      <c r="L51" s="74" t="s">
        <v>118</v>
      </c>
      <c r="M51" s="74" t="s">
        <v>323</v>
      </c>
    </row>
    <row r="52" spans="1:13">
      <c r="A52" s="75" t="s">
        <v>42</v>
      </c>
      <c r="B52" s="74" t="s">
        <v>43</v>
      </c>
      <c r="C52" s="76">
        <v>1095.5999999999999</v>
      </c>
      <c r="D52" s="76">
        <v>0</v>
      </c>
      <c r="E52" s="76">
        <v>1095.5999999999999</v>
      </c>
      <c r="F52" s="22">
        <v>-141.59</v>
      </c>
      <c r="G52" s="22">
        <v>-0.01</v>
      </c>
      <c r="H52" s="76">
        <f t="shared" si="3"/>
        <v>-141.6</v>
      </c>
      <c r="I52" s="76">
        <f t="shared" si="4"/>
        <v>1237.1999999999998</v>
      </c>
      <c r="J52" s="74" t="str">
        <f t="shared" si="5"/>
        <v>SI</v>
      </c>
      <c r="K52" s="75" t="s">
        <v>42</v>
      </c>
      <c r="L52" s="74" t="s">
        <v>43</v>
      </c>
      <c r="M52" s="74" t="s">
        <v>324</v>
      </c>
    </row>
    <row r="53" spans="1:13">
      <c r="A53" s="75" t="s">
        <v>59</v>
      </c>
      <c r="B53" s="74" t="s">
        <v>60</v>
      </c>
      <c r="C53" s="76">
        <v>1095.5999999999999</v>
      </c>
      <c r="D53" s="76">
        <v>0</v>
      </c>
      <c r="E53" s="76">
        <v>1095.5999999999999</v>
      </c>
      <c r="F53" s="22">
        <v>-141.59</v>
      </c>
      <c r="G53" s="22">
        <v>-0.01</v>
      </c>
      <c r="H53" s="76">
        <f t="shared" si="3"/>
        <v>-141.6</v>
      </c>
      <c r="I53" s="76">
        <f t="shared" si="4"/>
        <v>1237.1999999999998</v>
      </c>
      <c r="J53" s="74" t="str">
        <f t="shared" si="5"/>
        <v>SI</v>
      </c>
      <c r="K53" s="75" t="s">
        <v>59</v>
      </c>
      <c r="L53" s="74" t="s">
        <v>60</v>
      </c>
      <c r="M53" s="74" t="s">
        <v>325</v>
      </c>
    </row>
    <row r="54" spans="1:13">
      <c r="A54" s="75" t="s">
        <v>89</v>
      </c>
      <c r="B54" s="74" t="s">
        <v>90</v>
      </c>
      <c r="C54" s="76">
        <v>1095.5999999999999</v>
      </c>
      <c r="D54" s="76">
        <v>0</v>
      </c>
      <c r="E54" s="76">
        <v>1095.5999999999999</v>
      </c>
      <c r="F54" s="22">
        <v>-141.59</v>
      </c>
      <c r="G54" s="22">
        <v>-0.01</v>
      </c>
      <c r="H54" s="76">
        <f t="shared" si="3"/>
        <v>-141.6</v>
      </c>
      <c r="I54" s="76">
        <f t="shared" si="4"/>
        <v>1237.1999999999998</v>
      </c>
      <c r="J54" s="74" t="str">
        <f t="shared" si="5"/>
        <v>SI</v>
      </c>
      <c r="K54" s="75" t="s">
        <v>89</v>
      </c>
      <c r="L54" s="74" t="s">
        <v>90</v>
      </c>
      <c r="M54" s="74" t="s">
        <v>326</v>
      </c>
    </row>
    <row r="55" spans="1:13">
      <c r="A55" s="75" t="s">
        <v>57</v>
      </c>
      <c r="B55" s="74" t="s">
        <v>58</v>
      </c>
      <c r="C55" s="76">
        <v>1095.5999999999999</v>
      </c>
      <c r="D55" s="76">
        <v>0</v>
      </c>
      <c r="E55" s="76">
        <v>1095.5999999999999</v>
      </c>
      <c r="F55" s="22">
        <v>-141.59</v>
      </c>
      <c r="G55" s="22">
        <v>-0.01</v>
      </c>
      <c r="H55" s="76">
        <f t="shared" si="3"/>
        <v>-141.6</v>
      </c>
      <c r="I55" s="76">
        <f t="shared" si="4"/>
        <v>1237.1999999999998</v>
      </c>
      <c r="J55" s="74" t="str">
        <f t="shared" si="5"/>
        <v>SI</v>
      </c>
      <c r="K55" s="75" t="s">
        <v>57</v>
      </c>
      <c r="L55" s="74" t="s">
        <v>58</v>
      </c>
      <c r="M55" s="74" t="s">
        <v>327</v>
      </c>
    </row>
    <row r="56" spans="1:13">
      <c r="A56" s="75" t="s">
        <v>107</v>
      </c>
      <c r="B56" s="74" t="s">
        <v>108</v>
      </c>
      <c r="C56" s="76">
        <v>1095.5999999999999</v>
      </c>
      <c r="D56" s="76">
        <v>0</v>
      </c>
      <c r="E56" s="76">
        <v>1095.5999999999999</v>
      </c>
      <c r="F56" s="22">
        <v>-141.59</v>
      </c>
      <c r="G56" s="22">
        <v>-0.01</v>
      </c>
      <c r="H56" s="76">
        <f t="shared" si="3"/>
        <v>-141.6</v>
      </c>
      <c r="I56" s="76">
        <f t="shared" si="4"/>
        <v>1237.1999999999998</v>
      </c>
      <c r="J56" s="74" t="str">
        <f t="shared" si="5"/>
        <v>SI</v>
      </c>
      <c r="K56" s="75" t="s">
        <v>107</v>
      </c>
      <c r="L56" s="74" t="s">
        <v>108</v>
      </c>
      <c r="M56" s="74" t="s">
        <v>328</v>
      </c>
    </row>
    <row r="57" spans="1:13">
      <c r="A57" s="75" t="s">
        <v>34</v>
      </c>
      <c r="B57" s="74" t="s">
        <v>35</v>
      </c>
      <c r="C57" s="76">
        <v>1095.5999999999999</v>
      </c>
      <c r="D57" s="76">
        <v>0</v>
      </c>
      <c r="E57" s="76">
        <v>1095.5999999999999</v>
      </c>
      <c r="F57" s="22">
        <v>-141.59</v>
      </c>
      <c r="G57" s="22">
        <v>-0.01</v>
      </c>
      <c r="H57" s="76">
        <f t="shared" si="3"/>
        <v>-141.6</v>
      </c>
      <c r="I57" s="76">
        <f t="shared" si="4"/>
        <v>1237.1999999999998</v>
      </c>
      <c r="J57" s="74" t="str">
        <f t="shared" si="5"/>
        <v>SI</v>
      </c>
      <c r="K57" s="75" t="s">
        <v>34</v>
      </c>
      <c r="L57" s="74" t="s">
        <v>35</v>
      </c>
      <c r="M57" s="74" t="s">
        <v>329</v>
      </c>
    </row>
    <row r="58" spans="1:13">
      <c r="A58" s="75" t="s">
        <v>13</v>
      </c>
      <c r="B58" s="74" t="s">
        <v>50</v>
      </c>
      <c r="C58" s="76">
        <v>1095.5999999999999</v>
      </c>
      <c r="D58" s="76">
        <v>0</v>
      </c>
      <c r="E58" s="76">
        <v>1095.5999999999999</v>
      </c>
      <c r="F58" s="22">
        <v>-141.59</v>
      </c>
      <c r="G58" s="22">
        <v>-0.01</v>
      </c>
      <c r="H58" s="76">
        <f t="shared" si="3"/>
        <v>-141.6</v>
      </c>
      <c r="I58" s="76">
        <f t="shared" si="4"/>
        <v>1237.1999999999998</v>
      </c>
      <c r="J58" s="74" t="str">
        <f t="shared" si="5"/>
        <v>SI</v>
      </c>
      <c r="K58" s="75" t="s">
        <v>13</v>
      </c>
      <c r="L58" s="74" t="s">
        <v>50</v>
      </c>
      <c r="M58" s="74" t="s">
        <v>330</v>
      </c>
    </row>
    <row r="59" spans="1:13" ht="12" thickBot="1">
      <c r="A59" s="75"/>
      <c r="B59" s="74"/>
      <c r="C59" s="76"/>
      <c r="D59" s="76"/>
      <c r="E59" s="76"/>
      <c r="F59" s="22"/>
      <c r="G59" s="22"/>
      <c r="H59" s="76"/>
      <c r="I59" s="84">
        <f>SUM(I10:I58)</f>
        <v>60622.199999999953</v>
      </c>
      <c r="K59" s="75"/>
    </row>
    <row r="60" spans="1:13" ht="12" thickTop="1">
      <c r="A60" s="75"/>
      <c r="B60" s="74"/>
      <c r="C60" s="76"/>
      <c r="D60" s="76"/>
      <c r="E60" s="76"/>
      <c r="F60" s="22"/>
      <c r="G60" s="22"/>
      <c r="H60" s="76"/>
      <c r="I60" s="76"/>
      <c r="K60" s="75"/>
    </row>
    <row r="61" spans="1:13">
      <c r="A61" s="75" t="s">
        <v>113</v>
      </c>
      <c r="B61" s="74" t="s">
        <v>114</v>
      </c>
      <c r="C61" s="76">
        <v>1095.5999999999999</v>
      </c>
      <c r="D61" s="76">
        <v>0</v>
      </c>
      <c r="E61" s="76">
        <v>1095.5999999999999</v>
      </c>
      <c r="F61" s="22">
        <v>-141.59</v>
      </c>
      <c r="G61" s="22">
        <v>-0.01</v>
      </c>
      <c r="H61" s="76">
        <f>SUM(F61:G61)</f>
        <v>-141.6</v>
      </c>
      <c r="I61" s="76">
        <f>+E61-H61</f>
        <v>1237.1999999999998</v>
      </c>
      <c r="J61" s="74" t="str">
        <f>IF(B61=L61,"SI","NO")</f>
        <v>SI</v>
      </c>
      <c r="K61" s="75" t="s">
        <v>113</v>
      </c>
      <c r="L61" s="74" t="s">
        <v>114</v>
      </c>
      <c r="M61" s="74" t="s">
        <v>332</v>
      </c>
    </row>
    <row r="62" spans="1:13" ht="12" thickBot="1">
      <c r="A62" s="75"/>
      <c r="B62" s="74"/>
      <c r="C62" s="76"/>
      <c r="D62" s="76"/>
      <c r="E62" s="76"/>
      <c r="F62" s="22"/>
      <c r="G62" s="22"/>
      <c r="H62" s="76"/>
      <c r="I62" s="84">
        <f>SUM(I61)</f>
        <v>1237.1999999999998</v>
      </c>
      <c r="K62" s="75"/>
    </row>
    <row r="63" spans="1:13" ht="12" thickTop="1">
      <c r="A63" s="75"/>
      <c r="B63" s="74"/>
      <c r="C63" s="76"/>
      <c r="D63" s="76"/>
      <c r="E63" s="76"/>
      <c r="F63" s="22"/>
      <c r="G63" s="22"/>
      <c r="H63" s="76"/>
      <c r="I63" s="76"/>
      <c r="K63" s="75"/>
    </row>
    <row r="64" spans="1:13">
      <c r="A64" s="75" t="s">
        <v>46</v>
      </c>
      <c r="B64" s="74" t="s">
        <v>47</v>
      </c>
      <c r="C64" s="76">
        <v>1095.5999999999999</v>
      </c>
      <c r="D64" s="76">
        <v>0</v>
      </c>
      <c r="E64" s="76">
        <v>1095.5999999999999</v>
      </c>
      <c r="F64" s="22">
        <v>-141.59</v>
      </c>
      <c r="G64" s="22">
        <v>-0.01</v>
      </c>
      <c r="H64" s="76">
        <f>SUM(F64:G64)</f>
        <v>-141.6</v>
      </c>
      <c r="I64" s="76">
        <f>+E64-H64</f>
        <v>1237.1999999999998</v>
      </c>
      <c r="J64" s="74" t="str">
        <f>IF(B64=L64,"SI","NO")</f>
        <v>SI</v>
      </c>
      <c r="K64" s="75" t="s">
        <v>46</v>
      </c>
      <c r="L64" s="74" t="s">
        <v>47</v>
      </c>
      <c r="M64" s="74" t="s">
        <v>331</v>
      </c>
    </row>
    <row r="65" spans="1:14" ht="12" thickBot="1">
      <c r="A65" s="75"/>
      <c r="B65" s="74"/>
      <c r="C65" s="76"/>
      <c r="D65" s="76"/>
      <c r="E65" s="76"/>
      <c r="F65" s="22"/>
      <c r="G65" s="22"/>
      <c r="H65" s="76"/>
      <c r="I65" s="84">
        <f>SUM(I64)</f>
        <v>1237.1999999999998</v>
      </c>
      <c r="K65" s="75"/>
    </row>
    <row r="66" spans="1:14" ht="12" thickTop="1">
      <c r="A66" s="75"/>
      <c r="B66" s="74"/>
      <c r="C66" s="76"/>
      <c r="D66" s="76"/>
      <c r="E66" s="76"/>
      <c r="F66" s="22"/>
      <c r="G66" s="22"/>
      <c r="H66" s="76"/>
      <c r="I66" s="76"/>
      <c r="K66" s="75"/>
    </row>
    <row r="67" spans="1:14">
      <c r="A67" s="75" t="s">
        <v>130</v>
      </c>
      <c r="B67" s="74" t="s">
        <v>146</v>
      </c>
      <c r="C67" s="76">
        <v>1095.5999999999999</v>
      </c>
      <c r="D67" s="76">
        <v>0</v>
      </c>
      <c r="E67" s="76">
        <v>1095.5999999999999</v>
      </c>
      <c r="F67" s="22">
        <v>-141.59</v>
      </c>
      <c r="G67" s="22">
        <v>-0.01</v>
      </c>
      <c r="H67" s="76">
        <f>SUM(F67:G67)</f>
        <v>-141.6</v>
      </c>
      <c r="I67" s="76">
        <f>+E67-H67</f>
        <v>1237.1999999999998</v>
      </c>
      <c r="J67" s="74" t="str">
        <f>IF(B67=L67,"SI","NO")</f>
        <v>SI</v>
      </c>
      <c r="K67" s="75" t="s">
        <v>130</v>
      </c>
      <c r="L67" s="74" t="s">
        <v>146</v>
      </c>
      <c r="M67" s="74" t="s">
        <v>333</v>
      </c>
    </row>
    <row r="68" spans="1:14">
      <c r="A68" s="75" t="s">
        <v>36</v>
      </c>
      <c r="B68" s="74" t="s">
        <v>37</v>
      </c>
      <c r="C68" s="76">
        <v>1095.5999999999999</v>
      </c>
      <c r="D68" s="76">
        <v>0</v>
      </c>
      <c r="E68" s="76">
        <v>1095.5999999999999</v>
      </c>
      <c r="F68" s="22">
        <v>-141.59</v>
      </c>
      <c r="G68" s="22">
        <v>-0.01</v>
      </c>
      <c r="H68" s="76">
        <f>SUM(F68:G68)</f>
        <v>-141.6</v>
      </c>
      <c r="I68" s="76">
        <f>+E68-H68</f>
        <v>1237.1999999999998</v>
      </c>
      <c r="J68" s="74" t="str">
        <f>IF(B68=L68,"SI","NO")</f>
        <v>SI</v>
      </c>
      <c r="K68" s="75" t="s">
        <v>36</v>
      </c>
      <c r="L68" s="74" t="s">
        <v>37</v>
      </c>
      <c r="M68" s="74" t="s">
        <v>333</v>
      </c>
    </row>
    <row r="69" spans="1:14">
      <c r="A69" s="75" t="s">
        <v>147</v>
      </c>
      <c r="B69" s="74" t="s">
        <v>336</v>
      </c>
      <c r="C69" s="76">
        <v>1095.5999999999999</v>
      </c>
      <c r="D69" s="76">
        <v>0</v>
      </c>
      <c r="E69" s="76">
        <v>1095.5999999999999</v>
      </c>
      <c r="F69" s="22">
        <v>-141.59</v>
      </c>
      <c r="G69" s="22">
        <v>-0.01</v>
      </c>
      <c r="H69" s="76">
        <f>SUM(F69:G69)</f>
        <v>-141.6</v>
      </c>
      <c r="I69" s="76">
        <f>+E69-H69</f>
        <v>1237.1999999999998</v>
      </c>
      <c r="J69" s="74" t="str">
        <f>IF(B69=L69,"SI","NO")</f>
        <v>NO</v>
      </c>
      <c r="K69" s="75" t="s">
        <v>147</v>
      </c>
      <c r="L69" s="74" t="s">
        <v>148</v>
      </c>
      <c r="M69" s="74" t="s">
        <v>333</v>
      </c>
    </row>
    <row r="70" spans="1:14">
      <c r="A70" s="75" t="s">
        <v>95</v>
      </c>
      <c r="B70" s="74" t="s">
        <v>337</v>
      </c>
      <c r="C70" s="76">
        <v>1095.5999999999999</v>
      </c>
      <c r="D70" s="76">
        <v>0</v>
      </c>
      <c r="E70" s="76">
        <v>1095.5999999999999</v>
      </c>
      <c r="F70" s="22">
        <v>-141.59</v>
      </c>
      <c r="G70" s="22">
        <v>-0.01</v>
      </c>
      <c r="H70" s="76">
        <f>SUM(F70:G70)</f>
        <v>-141.6</v>
      </c>
      <c r="I70" s="76">
        <f>+E70-H70</f>
        <v>1237.1999999999998</v>
      </c>
      <c r="J70" s="74" t="str">
        <f>IF(B70=L70,"SI","NO")</f>
        <v>NO</v>
      </c>
      <c r="K70" s="75" t="s">
        <v>95</v>
      </c>
      <c r="L70" s="74" t="s">
        <v>96</v>
      </c>
      <c r="M70" s="74" t="s">
        <v>333</v>
      </c>
    </row>
    <row r="71" spans="1:14" ht="12" thickBot="1">
      <c r="A71" s="26"/>
      <c r="B71" s="74"/>
      <c r="C71" s="25"/>
      <c r="D71" s="25"/>
      <c r="E71" s="25"/>
      <c r="I71" s="83">
        <f>SUM(I67:I70)</f>
        <v>4948.7999999999993</v>
      </c>
      <c r="K71" s="79"/>
      <c r="L71" s="80"/>
      <c r="M71" s="80"/>
      <c r="N71" s="80"/>
    </row>
    <row r="72" spans="1:14" ht="12" thickTop="1"/>
    <row r="73" spans="1:14">
      <c r="B73" s="81" t="s">
        <v>334</v>
      </c>
      <c r="I73" s="13">
        <f>+I59</f>
        <v>60622.199999999953</v>
      </c>
    </row>
    <row r="74" spans="1:14">
      <c r="B74" s="81" t="s">
        <v>332</v>
      </c>
      <c r="I74" s="8">
        <f>+I62</f>
        <v>1237.1999999999998</v>
      </c>
    </row>
    <row r="75" spans="1:14">
      <c r="B75" s="81" t="s">
        <v>335</v>
      </c>
      <c r="I75" s="13">
        <f>+I65</f>
        <v>1237.1999999999998</v>
      </c>
    </row>
    <row r="76" spans="1:14">
      <c r="B76" s="82" t="s">
        <v>333</v>
      </c>
      <c r="I76" s="13">
        <f>+I71</f>
        <v>4948.7999999999993</v>
      </c>
    </row>
    <row r="77" spans="1:14" ht="12" thickBot="1">
      <c r="I77" s="83">
        <f>SUM(I73:I76)</f>
        <v>68045.399999999951</v>
      </c>
    </row>
    <row r="78" spans="1:14" ht="12" thickTop="1"/>
  </sheetData>
  <mergeCells count="2">
    <mergeCell ref="B1:C1"/>
    <mergeCell ref="B3:C3"/>
  </mergeCells>
  <pageMargins left="0.70866141732283472" right="0.70866141732283472" top="0.28000000000000003" bottom="0.39370078740157483" header="0.2" footer="0.19685039370078741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workbookViewId="0">
      <pane xSplit="2" ySplit="9" topLeftCell="G22" activePane="bottomRight" state="frozen"/>
      <selection pane="topRight" activeCell="C1" sqref="C1"/>
      <selection pane="bottomLeft" activeCell="A10" sqref="A10"/>
      <selection pane="bottomRight" activeCell="K75" sqref="K75"/>
    </sheetView>
  </sheetViews>
  <sheetFormatPr baseColWidth="10" defaultRowHeight="11.25"/>
  <cols>
    <col min="1" max="1" width="11.42578125" style="8"/>
    <col min="2" max="2" width="26.5703125" style="8" bestFit="1" customWidth="1"/>
    <col min="3" max="3" width="11.42578125" style="8"/>
    <col min="4" max="4" width="13" style="8" customWidth="1"/>
    <col min="5" max="5" width="14.85546875" style="8" customWidth="1"/>
    <col min="6" max="6" width="11.42578125" style="8"/>
    <col min="7" max="10" width="9.28515625" style="8" customWidth="1"/>
    <col min="11" max="12" width="9.28515625" style="74" customWidth="1"/>
    <col min="13" max="13" width="8.85546875" style="74" customWidth="1"/>
    <col min="14" max="16384" width="11.42578125" style="74"/>
  </cols>
  <sheetData>
    <row r="1" spans="1:20" ht="18" customHeight="1">
      <c r="A1" s="18" t="s">
        <v>0</v>
      </c>
      <c r="B1" s="397" t="s">
        <v>17</v>
      </c>
      <c r="C1" s="398"/>
      <c r="D1" s="32"/>
      <c r="E1" s="32"/>
      <c r="F1" s="32"/>
      <c r="G1" s="32"/>
      <c r="H1" s="32"/>
      <c r="I1" s="32"/>
      <c r="J1" s="32"/>
    </row>
    <row r="2" spans="1:20" ht="24.95" customHeight="1">
      <c r="A2" s="19" t="s">
        <v>1</v>
      </c>
      <c r="B2" s="2" t="s">
        <v>149</v>
      </c>
      <c r="C2" s="3"/>
      <c r="D2" s="32"/>
      <c r="E2" s="32"/>
      <c r="F2" s="32"/>
      <c r="G2" s="32"/>
      <c r="H2" s="32"/>
      <c r="I2" s="32"/>
      <c r="J2" s="32"/>
    </row>
    <row r="3" spans="1:20" ht="15.75">
      <c r="A3" s="32"/>
      <c r="B3" s="31" t="s">
        <v>2</v>
      </c>
      <c r="C3" s="77"/>
      <c r="D3" s="32"/>
      <c r="E3" s="32"/>
      <c r="F3" s="32"/>
      <c r="G3" s="32"/>
      <c r="H3" s="32"/>
      <c r="I3" s="32"/>
      <c r="J3" s="32"/>
    </row>
    <row r="4" spans="1:20" ht="15">
      <c r="A4" s="32"/>
      <c r="B4" s="4" t="e">
        <f>+#REF!</f>
        <v>#REF!</v>
      </c>
      <c r="C4" s="77"/>
      <c r="D4" s="32"/>
      <c r="E4" s="32"/>
      <c r="F4" s="32"/>
      <c r="G4" s="32"/>
      <c r="H4" s="32"/>
      <c r="I4" s="32"/>
      <c r="J4" s="32"/>
    </row>
    <row r="5" spans="1:20" ht="15">
      <c r="A5" s="32"/>
      <c r="B5" s="20" t="s">
        <v>150</v>
      </c>
      <c r="C5" s="32"/>
      <c r="D5" s="32"/>
      <c r="E5" s="32"/>
      <c r="F5" s="32"/>
      <c r="G5" s="32"/>
      <c r="H5" s="33"/>
      <c r="I5" s="32"/>
      <c r="J5" s="32"/>
    </row>
    <row r="6" spans="1:20" ht="15">
      <c r="A6" s="32"/>
      <c r="B6" s="20" t="s">
        <v>3</v>
      </c>
      <c r="C6" s="32"/>
      <c r="D6" s="32"/>
      <c r="E6" s="32"/>
      <c r="F6" s="32"/>
      <c r="G6" s="32"/>
      <c r="H6" s="33"/>
      <c r="I6" s="32"/>
      <c r="J6" s="32"/>
    </row>
    <row r="8" spans="1:20" s="29" customFormat="1" ht="34.5" thickBot="1">
      <c r="A8" s="27" t="s">
        <v>4</v>
      </c>
      <c r="B8" s="6" t="s">
        <v>5</v>
      </c>
      <c r="C8" s="6" t="s">
        <v>153</v>
      </c>
      <c r="D8" s="5" t="s">
        <v>151</v>
      </c>
      <c r="E8" s="5" t="s">
        <v>7</v>
      </c>
      <c r="F8" s="12" t="s">
        <v>281</v>
      </c>
      <c r="G8" s="12" t="s">
        <v>280</v>
      </c>
      <c r="H8" s="12" t="s">
        <v>20</v>
      </c>
      <c r="I8" s="12" t="s">
        <v>176</v>
      </c>
      <c r="J8" s="12" t="s">
        <v>279</v>
      </c>
      <c r="K8" s="12" t="s">
        <v>278</v>
      </c>
      <c r="L8" s="12" t="s">
        <v>145</v>
      </c>
      <c r="M8" s="12" t="s">
        <v>19</v>
      </c>
      <c r="N8" s="5" t="s">
        <v>10</v>
      </c>
      <c r="O8" s="28" t="s">
        <v>11</v>
      </c>
    </row>
    <row r="9" spans="1:20" ht="15.75" thickTop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20">
      <c r="A10" s="75" t="s">
        <v>21</v>
      </c>
      <c r="B10" s="74" t="s">
        <v>155</v>
      </c>
      <c r="C10" s="76" t="e">
        <f>+#REF!+#REF!+#REF!+#REF!+#REF!+#REF!+#REF!-#REF!</f>
        <v>#REF!</v>
      </c>
      <c r="D10" s="76">
        <v>0</v>
      </c>
      <c r="E10" s="13" t="e">
        <f>SUM(C10:D10)</f>
        <v>#REF!</v>
      </c>
      <c r="F10" s="13" t="e">
        <f>+#REF!</f>
        <v>#REF!</v>
      </c>
      <c r="G10" s="13" t="e">
        <f>+#REF!</f>
        <v>#REF!</v>
      </c>
      <c r="H10" s="13" t="e">
        <f>+#REF!</f>
        <v>#REF!</v>
      </c>
      <c r="I10" s="13" t="e">
        <f>+#REF!</f>
        <v>#REF!</v>
      </c>
      <c r="J10" s="13" t="e">
        <f>+#REF!</f>
        <v>#REF!</v>
      </c>
      <c r="K10" s="13" t="e">
        <f>+#REF!</f>
        <v>#REF!</v>
      </c>
      <c r="L10" s="13" t="e">
        <f>+#REF!</f>
        <v>#REF!</v>
      </c>
      <c r="M10" s="16">
        <v>0</v>
      </c>
      <c r="N10" s="13" t="e">
        <f>SUM(F10:M10)</f>
        <v>#REF!</v>
      </c>
      <c r="O10" s="13" t="e">
        <f>+E10-N10</f>
        <v>#REF!</v>
      </c>
      <c r="P10" s="74" t="str">
        <f>IF(A10=Q10,"SI","NO")</f>
        <v>SI</v>
      </c>
      <c r="Q10" s="75" t="s">
        <v>21</v>
      </c>
      <c r="R10" s="74" t="s">
        <v>22</v>
      </c>
      <c r="S10" s="13">
        <v>4383.9120000000003</v>
      </c>
      <c r="T10" s="74" t="s">
        <v>285</v>
      </c>
    </row>
    <row r="11" spans="1:20">
      <c r="A11" s="75" t="s">
        <v>12</v>
      </c>
      <c r="B11" s="74" t="s">
        <v>23</v>
      </c>
      <c r="C11" s="76" t="e">
        <f>+#REF!+#REF!+#REF!+#REF!+#REF!+#REF!+#REF!-#REF!</f>
        <v>#REF!</v>
      </c>
      <c r="D11" s="76">
        <v>0</v>
      </c>
      <c r="E11" s="13" t="e">
        <f t="shared" ref="E11:E64" si="0">SUM(C11:D11)</f>
        <v>#REF!</v>
      </c>
      <c r="F11" s="13" t="e">
        <f>+#REF!</f>
        <v>#REF!</v>
      </c>
      <c r="G11" s="13" t="e">
        <f>+#REF!</f>
        <v>#REF!</v>
      </c>
      <c r="H11" s="13" t="e">
        <f>+#REF!</f>
        <v>#REF!</v>
      </c>
      <c r="I11" s="13" t="e">
        <f>+#REF!</f>
        <v>#REF!</v>
      </c>
      <c r="J11" s="13" t="e">
        <f>+#REF!</f>
        <v>#REF!</v>
      </c>
      <c r="K11" s="13" t="e">
        <f>+#REF!</f>
        <v>#REF!</v>
      </c>
      <c r="L11" s="13" t="e">
        <f>+#REF!</f>
        <v>#REF!</v>
      </c>
      <c r="M11" s="16">
        <v>0</v>
      </c>
      <c r="N11" s="13" t="e">
        <f t="shared" ref="N11:N64" si="1">SUM(F11:M11)</f>
        <v>#REF!</v>
      </c>
      <c r="O11" s="13" t="e">
        <f t="shared" ref="O11:O64" si="2">+E11-N11</f>
        <v>#REF!</v>
      </c>
      <c r="P11" s="74" t="str">
        <f t="shared" ref="P11:P64" si="3">IF(A11=Q11,"SI","NO")</f>
        <v>SI</v>
      </c>
      <c r="Q11" s="75" t="s">
        <v>12</v>
      </c>
      <c r="R11" s="74" t="s">
        <v>23</v>
      </c>
      <c r="S11" s="13">
        <v>1613.05</v>
      </c>
      <c r="T11" s="74" t="s">
        <v>309</v>
      </c>
    </row>
    <row r="12" spans="1:20">
      <c r="A12" s="75" t="s">
        <v>24</v>
      </c>
      <c r="B12" s="74" t="s">
        <v>25</v>
      </c>
      <c r="C12" s="76" t="e">
        <f>+#REF!+#REF!+#REF!+#REF!+#REF!+#REF!+#REF!-#REF!</f>
        <v>#REF!</v>
      </c>
      <c r="D12" s="76">
        <v>0</v>
      </c>
      <c r="E12" s="13" t="e">
        <f t="shared" si="0"/>
        <v>#REF!</v>
      </c>
      <c r="F12" s="13" t="e">
        <f>+#REF!</f>
        <v>#REF!</v>
      </c>
      <c r="G12" s="13" t="e">
        <f>+#REF!</f>
        <v>#REF!</v>
      </c>
      <c r="H12" s="13" t="e">
        <f>+#REF!</f>
        <v>#REF!</v>
      </c>
      <c r="I12" s="13" t="e">
        <f>+#REF!</f>
        <v>#REF!</v>
      </c>
      <c r="J12" s="13" t="e">
        <f>+#REF!</f>
        <v>#REF!</v>
      </c>
      <c r="K12" s="13" t="e">
        <f>+#REF!</f>
        <v>#REF!</v>
      </c>
      <c r="L12" s="13" t="e">
        <f>+#REF!</f>
        <v>#REF!</v>
      </c>
      <c r="M12" s="16">
        <v>0</v>
      </c>
      <c r="N12" s="13" t="e">
        <f t="shared" si="1"/>
        <v>#REF!</v>
      </c>
      <c r="O12" s="13" t="e">
        <f t="shared" si="2"/>
        <v>#REF!</v>
      </c>
      <c r="P12" s="74" t="str">
        <f t="shared" si="3"/>
        <v>SI</v>
      </c>
      <c r="Q12" s="75" t="s">
        <v>24</v>
      </c>
      <c r="R12" s="74" t="s">
        <v>25</v>
      </c>
      <c r="S12" s="13">
        <v>2717.67</v>
      </c>
      <c r="T12" s="74" t="s">
        <v>304</v>
      </c>
    </row>
    <row r="13" spans="1:20">
      <c r="A13" s="75" t="s">
        <v>26</v>
      </c>
      <c r="B13" s="74" t="s">
        <v>27</v>
      </c>
      <c r="C13" s="76" t="e">
        <f>+#REF!+#REF!+#REF!+#REF!+#REF!+#REF!+#REF!-#REF!</f>
        <v>#REF!</v>
      </c>
      <c r="D13" s="76">
        <v>0</v>
      </c>
      <c r="E13" s="13" t="e">
        <f t="shared" si="0"/>
        <v>#REF!</v>
      </c>
      <c r="F13" s="13" t="e">
        <f>+#REF!</f>
        <v>#REF!</v>
      </c>
      <c r="G13" s="13" t="e">
        <f>+#REF!</f>
        <v>#REF!</v>
      </c>
      <c r="H13" s="13" t="e">
        <f>+#REF!</f>
        <v>#REF!</v>
      </c>
      <c r="I13" s="13" t="e">
        <f>+#REF!</f>
        <v>#REF!</v>
      </c>
      <c r="J13" s="13" t="e">
        <f>+#REF!</f>
        <v>#REF!</v>
      </c>
      <c r="K13" s="13" t="e">
        <f>+#REF!</f>
        <v>#REF!</v>
      </c>
      <c r="L13" s="13" t="e">
        <f>+#REF!</f>
        <v>#REF!</v>
      </c>
      <c r="M13" s="16">
        <v>0</v>
      </c>
      <c r="N13" s="13" t="e">
        <f t="shared" si="1"/>
        <v>#REF!</v>
      </c>
      <c r="O13" s="13" t="e">
        <f t="shared" si="2"/>
        <v>#REF!</v>
      </c>
      <c r="P13" s="74" t="str">
        <f t="shared" si="3"/>
        <v>SI</v>
      </c>
      <c r="Q13" s="75" t="s">
        <v>26</v>
      </c>
      <c r="R13" s="74" t="s">
        <v>27</v>
      </c>
      <c r="S13" s="13">
        <v>5457.3420000000006</v>
      </c>
      <c r="T13" s="74" t="s">
        <v>319</v>
      </c>
    </row>
    <row r="14" spans="1:20">
      <c r="A14" s="75" t="s">
        <v>28</v>
      </c>
      <c r="B14" s="74" t="s">
        <v>29</v>
      </c>
      <c r="C14" s="76" t="e">
        <f>+#REF!+#REF!+#REF!+#REF!+#REF!+#REF!+#REF!-#REF!</f>
        <v>#REF!</v>
      </c>
      <c r="D14" s="76">
        <v>0</v>
      </c>
      <c r="E14" s="13" t="e">
        <f t="shared" si="0"/>
        <v>#REF!</v>
      </c>
      <c r="F14" s="13" t="e">
        <f>+#REF!</f>
        <v>#REF!</v>
      </c>
      <c r="G14" s="13" t="e">
        <f>+#REF!</f>
        <v>#REF!</v>
      </c>
      <c r="H14" s="13" t="e">
        <f>+#REF!</f>
        <v>#REF!</v>
      </c>
      <c r="I14" s="13" t="e">
        <f>+#REF!</f>
        <v>#REF!</v>
      </c>
      <c r="J14" s="13" t="e">
        <f>+#REF!</f>
        <v>#REF!</v>
      </c>
      <c r="K14" s="13" t="e">
        <f>+#REF!</f>
        <v>#REF!</v>
      </c>
      <c r="L14" s="13" t="e">
        <f>+#REF!</f>
        <v>#REF!</v>
      </c>
      <c r="M14" s="16">
        <v>0</v>
      </c>
      <c r="N14" s="13" t="e">
        <f t="shared" si="1"/>
        <v>#REF!</v>
      </c>
      <c r="O14" s="13" t="e">
        <f t="shared" si="2"/>
        <v>#REF!</v>
      </c>
      <c r="P14" s="74" t="str">
        <f t="shared" si="3"/>
        <v>SI</v>
      </c>
      <c r="Q14" s="75" t="s">
        <v>28</v>
      </c>
      <c r="R14" s="74" t="s">
        <v>29</v>
      </c>
      <c r="S14" s="13">
        <v>1670.1699999999998</v>
      </c>
      <c r="T14" s="74" t="s">
        <v>290</v>
      </c>
    </row>
    <row r="15" spans="1:20">
      <c r="A15" s="75" t="s">
        <v>30</v>
      </c>
      <c r="B15" s="74" t="s">
        <v>31</v>
      </c>
      <c r="C15" s="76" t="e">
        <f>+#REF!+#REF!+#REF!+#REF!+#REF!+#REF!+#REF!-#REF!</f>
        <v>#REF!</v>
      </c>
      <c r="D15" s="76">
        <v>0</v>
      </c>
      <c r="E15" s="13" t="e">
        <f t="shared" si="0"/>
        <v>#REF!</v>
      </c>
      <c r="F15" s="13" t="e">
        <f>+#REF!</f>
        <v>#REF!</v>
      </c>
      <c r="G15" s="13" t="e">
        <f>+#REF!</f>
        <v>#REF!</v>
      </c>
      <c r="H15" s="13" t="e">
        <f>+#REF!</f>
        <v>#REF!</v>
      </c>
      <c r="I15" s="13" t="e">
        <f>+#REF!</f>
        <v>#REF!</v>
      </c>
      <c r="J15" s="13" t="e">
        <f>+#REF!</f>
        <v>#REF!</v>
      </c>
      <c r="K15" s="13" t="e">
        <f>+#REF!</f>
        <v>#REF!</v>
      </c>
      <c r="L15" s="13" t="e">
        <f>+#REF!</f>
        <v>#REF!</v>
      </c>
      <c r="M15" s="16">
        <v>1150</v>
      </c>
      <c r="N15" s="13" t="e">
        <f t="shared" si="1"/>
        <v>#REF!</v>
      </c>
      <c r="O15" s="13" t="e">
        <f t="shared" si="2"/>
        <v>#REF!</v>
      </c>
      <c r="P15" s="74" t="str">
        <f t="shared" si="3"/>
        <v>SI</v>
      </c>
      <c r="Q15" s="75" t="s">
        <v>30</v>
      </c>
      <c r="R15" s="74" t="s">
        <v>31</v>
      </c>
      <c r="S15" s="13">
        <v>3667.8900000000003</v>
      </c>
      <c r="T15" s="74" t="s">
        <v>291</v>
      </c>
    </row>
    <row r="16" spans="1:20">
      <c r="A16" s="75" t="s">
        <v>130</v>
      </c>
      <c r="B16" s="74" t="s">
        <v>146</v>
      </c>
      <c r="C16" s="76" t="e">
        <f>+#REF!+#REF!+#REF!+#REF!+#REF!+#REF!+#REF!-#REF!</f>
        <v>#REF!</v>
      </c>
      <c r="D16" s="76">
        <v>0</v>
      </c>
      <c r="E16" s="13" t="e">
        <f t="shared" si="0"/>
        <v>#REF!</v>
      </c>
      <c r="F16" s="13" t="e">
        <f>+#REF!</f>
        <v>#REF!</v>
      </c>
      <c r="G16" s="13" t="e">
        <f>+#REF!</f>
        <v>#REF!</v>
      </c>
      <c r="H16" s="13" t="e">
        <f>+#REF!</f>
        <v>#REF!</v>
      </c>
      <c r="I16" s="13" t="e">
        <f>+#REF!</f>
        <v>#REF!</v>
      </c>
      <c r="J16" s="13" t="e">
        <f>+#REF!</f>
        <v>#REF!</v>
      </c>
      <c r="K16" s="13" t="e">
        <f>+#REF!</f>
        <v>#REF!</v>
      </c>
      <c r="L16" s="13" t="e">
        <f>+#REF!</f>
        <v>#REF!</v>
      </c>
      <c r="M16" s="16">
        <v>0</v>
      </c>
      <c r="N16" s="13" t="e">
        <f t="shared" si="1"/>
        <v>#REF!</v>
      </c>
      <c r="O16" s="13" t="e">
        <f t="shared" si="2"/>
        <v>#REF!</v>
      </c>
      <c r="P16" s="74" t="str">
        <f t="shared" si="3"/>
        <v>SI</v>
      </c>
      <c r="Q16" s="75" t="s">
        <v>130</v>
      </c>
      <c r="R16" s="74" t="s">
        <v>146</v>
      </c>
      <c r="S16" s="13">
        <v>1908.18</v>
      </c>
      <c r="T16" s="74" t="s">
        <v>333</v>
      </c>
    </row>
    <row r="17" spans="1:20">
      <c r="A17" s="75" t="s">
        <v>32</v>
      </c>
      <c r="B17" s="74" t="s">
        <v>33</v>
      </c>
      <c r="C17" s="76" t="e">
        <f>+#REF!+#REF!+#REF!+#REF!+#REF!+#REF!+#REF!-#REF!</f>
        <v>#REF!</v>
      </c>
      <c r="D17" s="76">
        <v>0</v>
      </c>
      <c r="E17" s="13" t="e">
        <f t="shared" si="0"/>
        <v>#REF!</v>
      </c>
      <c r="F17" s="13" t="e">
        <f>+#REF!</f>
        <v>#REF!</v>
      </c>
      <c r="G17" s="13" t="e">
        <f>+#REF!</f>
        <v>#REF!</v>
      </c>
      <c r="H17" s="13" t="e">
        <f>+#REF!</f>
        <v>#REF!</v>
      </c>
      <c r="I17" s="13" t="e">
        <f>+#REF!</f>
        <v>#REF!</v>
      </c>
      <c r="J17" s="13" t="e">
        <f>+#REF!</f>
        <v>#REF!</v>
      </c>
      <c r="K17" s="13" t="e">
        <f>+#REF!</f>
        <v>#REF!</v>
      </c>
      <c r="L17" s="13" t="e">
        <f>+#REF!</f>
        <v>#REF!</v>
      </c>
      <c r="M17" s="16">
        <v>0</v>
      </c>
      <c r="N17" s="13" t="e">
        <f t="shared" si="1"/>
        <v>#REF!</v>
      </c>
      <c r="O17" s="13" t="e">
        <f t="shared" si="2"/>
        <v>#REF!</v>
      </c>
      <c r="P17" s="74" t="str">
        <f t="shared" si="3"/>
        <v>SI</v>
      </c>
      <c r="Q17" s="75" t="s">
        <v>32</v>
      </c>
      <c r="R17" s="74" t="s">
        <v>33</v>
      </c>
      <c r="S17" s="13">
        <v>420.63999999999993</v>
      </c>
      <c r="T17" s="74" t="s">
        <v>292</v>
      </c>
    </row>
    <row r="18" spans="1:20">
      <c r="A18" s="75" t="s">
        <v>34</v>
      </c>
      <c r="B18" s="74" t="s">
        <v>35</v>
      </c>
      <c r="C18" s="76" t="e">
        <f>+#REF!+#REF!+#REF!+#REF!+#REF!+#REF!+#REF!-#REF!</f>
        <v>#REF!</v>
      </c>
      <c r="D18" s="76">
        <v>0</v>
      </c>
      <c r="E18" s="13" t="e">
        <f t="shared" si="0"/>
        <v>#REF!</v>
      </c>
      <c r="F18" s="13" t="e">
        <f>+#REF!</f>
        <v>#REF!</v>
      </c>
      <c r="G18" s="13" t="e">
        <f>+#REF!</f>
        <v>#REF!</v>
      </c>
      <c r="H18" s="13" t="e">
        <f>+#REF!</f>
        <v>#REF!</v>
      </c>
      <c r="I18" s="13" t="e">
        <f>+#REF!</f>
        <v>#REF!</v>
      </c>
      <c r="J18" s="13" t="e">
        <f>+#REF!</f>
        <v>#REF!</v>
      </c>
      <c r="K18" s="13" t="e">
        <f>+#REF!</f>
        <v>#REF!</v>
      </c>
      <c r="L18" s="13" t="e">
        <f>+#REF!</f>
        <v>#REF!</v>
      </c>
      <c r="M18" s="16">
        <v>555.6</v>
      </c>
      <c r="N18" s="13" t="e">
        <f t="shared" si="1"/>
        <v>#REF!</v>
      </c>
      <c r="O18" s="13" t="e">
        <f t="shared" si="2"/>
        <v>#REF!</v>
      </c>
      <c r="P18" s="74" t="str">
        <f t="shared" si="3"/>
        <v>SI</v>
      </c>
      <c r="Q18" s="75" t="s">
        <v>34</v>
      </c>
      <c r="R18" s="74" t="s">
        <v>35</v>
      </c>
      <c r="S18" s="13">
        <v>3262.8</v>
      </c>
      <c r="T18" s="74" t="s">
        <v>329</v>
      </c>
    </row>
    <row r="19" spans="1:20">
      <c r="A19" s="75" t="s">
        <v>36</v>
      </c>
      <c r="B19" s="74" t="s">
        <v>37</v>
      </c>
      <c r="C19" s="76" t="e">
        <f>+#REF!+#REF!+#REF!+#REF!+#REF!+#REF!+#REF!-#REF!</f>
        <v>#REF!</v>
      </c>
      <c r="D19" s="76">
        <v>0</v>
      </c>
      <c r="E19" s="13" t="e">
        <f t="shared" si="0"/>
        <v>#REF!</v>
      </c>
      <c r="F19" s="13" t="e">
        <f>+#REF!</f>
        <v>#REF!</v>
      </c>
      <c r="G19" s="13" t="e">
        <f>+#REF!</f>
        <v>#REF!</v>
      </c>
      <c r="H19" s="13" t="e">
        <f>+#REF!</f>
        <v>#REF!</v>
      </c>
      <c r="I19" s="13" t="e">
        <f>+#REF!</f>
        <v>#REF!</v>
      </c>
      <c r="J19" s="13" t="e">
        <f>+#REF!</f>
        <v>#REF!</v>
      </c>
      <c r="K19" s="13" t="e">
        <f>+#REF!</f>
        <v>#REF!</v>
      </c>
      <c r="L19" s="13" t="e">
        <f>+#REF!</f>
        <v>#REF!</v>
      </c>
      <c r="M19" s="16">
        <v>0</v>
      </c>
      <c r="N19" s="13" t="e">
        <f t="shared" si="1"/>
        <v>#REF!</v>
      </c>
      <c r="O19" s="13" t="e">
        <f t="shared" si="2"/>
        <v>#REF!</v>
      </c>
      <c r="P19" s="74" t="str">
        <f t="shared" si="3"/>
        <v>SI</v>
      </c>
      <c r="Q19" s="75" t="s">
        <v>36</v>
      </c>
      <c r="R19" s="74" t="s">
        <v>37</v>
      </c>
      <c r="S19" s="13">
        <v>3181.2700000000004</v>
      </c>
      <c r="T19" s="74" t="s">
        <v>333</v>
      </c>
    </row>
    <row r="20" spans="1:20">
      <c r="A20" s="75" t="s">
        <v>38</v>
      </c>
      <c r="B20" s="74" t="s">
        <v>39</v>
      </c>
      <c r="C20" s="76" t="e">
        <f>+#REF!+#REF!+#REF!+#REF!+#REF!+#REF!+#REF!-#REF!</f>
        <v>#REF!</v>
      </c>
      <c r="D20" s="76">
        <v>0</v>
      </c>
      <c r="E20" s="13" t="e">
        <f t="shared" si="0"/>
        <v>#REF!</v>
      </c>
      <c r="F20" s="13" t="e">
        <f>+#REF!</f>
        <v>#REF!</v>
      </c>
      <c r="G20" s="13" t="e">
        <f>+#REF!</f>
        <v>#REF!</v>
      </c>
      <c r="H20" s="13" t="e">
        <f>+#REF!</f>
        <v>#REF!</v>
      </c>
      <c r="I20" s="13" t="e">
        <f>+#REF!</f>
        <v>#REF!</v>
      </c>
      <c r="J20" s="13" t="e">
        <f>+#REF!</f>
        <v>#REF!</v>
      </c>
      <c r="K20" s="13" t="e">
        <f>+#REF!</f>
        <v>#REF!</v>
      </c>
      <c r="L20" s="13" t="e">
        <f>+#REF!</f>
        <v>#REF!</v>
      </c>
      <c r="M20" s="16">
        <v>0</v>
      </c>
      <c r="N20" s="13" t="e">
        <f t="shared" si="1"/>
        <v>#REF!</v>
      </c>
      <c r="O20" s="13" t="e">
        <f t="shared" si="2"/>
        <v>#REF!</v>
      </c>
      <c r="P20" s="74" t="str">
        <f t="shared" si="3"/>
        <v>SI</v>
      </c>
      <c r="Q20" s="75" t="s">
        <v>38</v>
      </c>
      <c r="R20" s="74" t="s">
        <v>39</v>
      </c>
      <c r="S20" s="13">
        <v>1810.9</v>
      </c>
      <c r="T20" s="74" t="s">
        <v>313</v>
      </c>
    </row>
    <row r="21" spans="1:20">
      <c r="A21" s="75" t="s">
        <v>40</v>
      </c>
      <c r="B21" s="74" t="s">
        <v>41</v>
      </c>
      <c r="C21" s="76" t="e">
        <f>+#REF!+#REF!+#REF!+#REF!+#REF!+#REF!+#REF!-#REF!</f>
        <v>#REF!</v>
      </c>
      <c r="D21" s="76">
        <v>0</v>
      </c>
      <c r="E21" s="13" t="e">
        <f t="shared" si="0"/>
        <v>#REF!</v>
      </c>
      <c r="F21" s="13" t="e">
        <f>+#REF!</f>
        <v>#REF!</v>
      </c>
      <c r="G21" s="13" t="e">
        <f>+#REF!</f>
        <v>#REF!</v>
      </c>
      <c r="H21" s="13" t="e">
        <f>+#REF!</f>
        <v>#REF!</v>
      </c>
      <c r="I21" s="13" t="e">
        <f>+#REF!</f>
        <v>#REF!</v>
      </c>
      <c r="J21" s="13" t="e">
        <f>+#REF!</f>
        <v>#REF!</v>
      </c>
      <c r="K21" s="13" t="e">
        <f>+#REF!</f>
        <v>#REF!</v>
      </c>
      <c r="L21" s="13" t="e">
        <f>+#REF!</f>
        <v>#REF!</v>
      </c>
      <c r="M21" s="16">
        <v>0</v>
      </c>
      <c r="N21" s="13" t="e">
        <f t="shared" si="1"/>
        <v>#REF!</v>
      </c>
      <c r="O21" s="13" t="e">
        <f t="shared" si="2"/>
        <v>#REF!</v>
      </c>
      <c r="P21" s="74" t="str">
        <f t="shared" si="3"/>
        <v>SI</v>
      </c>
      <c r="Q21" s="75" t="s">
        <v>40</v>
      </c>
      <c r="R21" s="74" t="s">
        <v>41</v>
      </c>
      <c r="S21" s="13">
        <v>5765.0250000000005</v>
      </c>
      <c r="T21" s="74" t="s">
        <v>301</v>
      </c>
    </row>
    <row r="22" spans="1:20">
      <c r="A22" s="75" t="s">
        <v>42</v>
      </c>
      <c r="B22" s="74" t="s">
        <v>43</v>
      </c>
      <c r="C22" s="76" t="e">
        <f>+#REF!+#REF!+#REF!+#REF!+#REF!+#REF!+#REF!-#REF!</f>
        <v>#REF!</v>
      </c>
      <c r="D22" s="76">
        <v>0</v>
      </c>
      <c r="E22" s="13" t="e">
        <f t="shared" si="0"/>
        <v>#REF!</v>
      </c>
      <c r="F22" s="13" t="e">
        <f>+#REF!</f>
        <v>#REF!</v>
      </c>
      <c r="G22" s="13" t="e">
        <f>+#REF!</f>
        <v>#REF!</v>
      </c>
      <c r="H22" s="13" t="e">
        <f>+#REF!</f>
        <v>#REF!</v>
      </c>
      <c r="I22" s="13" t="e">
        <f>+#REF!</f>
        <v>#REF!</v>
      </c>
      <c r="J22" s="13" t="e">
        <f>+#REF!</f>
        <v>#REF!</v>
      </c>
      <c r="K22" s="13" t="e">
        <f>+#REF!</f>
        <v>#REF!</v>
      </c>
      <c r="L22" s="13" t="e">
        <f>+#REF!</f>
        <v>#REF!</v>
      </c>
      <c r="M22" s="16">
        <v>0</v>
      </c>
      <c r="N22" s="13" t="e">
        <f t="shared" si="1"/>
        <v>#REF!</v>
      </c>
      <c r="O22" s="13" t="e">
        <f t="shared" si="2"/>
        <v>#REF!</v>
      </c>
      <c r="P22" s="74" t="str">
        <f t="shared" si="3"/>
        <v>SI</v>
      </c>
      <c r="Q22" s="75" t="s">
        <v>42</v>
      </c>
      <c r="R22" s="74" t="s">
        <v>43</v>
      </c>
      <c r="S22" s="13">
        <v>9928.0470000000005</v>
      </c>
      <c r="T22" s="74" t="s">
        <v>324</v>
      </c>
    </row>
    <row r="23" spans="1:20">
      <c r="A23" s="75" t="s">
        <v>44</v>
      </c>
      <c r="B23" s="74" t="s">
        <v>45</v>
      </c>
      <c r="C23" s="76" t="e">
        <f>+#REF!+#REF!+#REF!+#REF!+#REF!+#REF!+#REF!-#REF!</f>
        <v>#REF!</v>
      </c>
      <c r="D23" s="76">
        <v>0</v>
      </c>
      <c r="E23" s="13" t="e">
        <f t="shared" si="0"/>
        <v>#REF!</v>
      </c>
      <c r="F23" s="13" t="e">
        <f>+#REF!</f>
        <v>#REF!</v>
      </c>
      <c r="G23" s="13" t="e">
        <f>+#REF!</f>
        <v>#REF!</v>
      </c>
      <c r="H23" s="13" t="e">
        <f>+#REF!</f>
        <v>#REF!</v>
      </c>
      <c r="I23" s="13" t="e">
        <f>+#REF!</f>
        <v>#REF!</v>
      </c>
      <c r="J23" s="13" t="e">
        <f>+#REF!</f>
        <v>#REF!</v>
      </c>
      <c r="K23" s="13" t="e">
        <f>+#REF!</f>
        <v>#REF!</v>
      </c>
      <c r="L23" s="13" t="e">
        <f>+#REF!</f>
        <v>#REF!</v>
      </c>
      <c r="M23" s="16">
        <v>500</v>
      </c>
      <c r="N23" s="13" t="e">
        <f t="shared" si="1"/>
        <v>#REF!</v>
      </c>
      <c r="O23" s="13" t="e">
        <f t="shared" si="2"/>
        <v>#REF!</v>
      </c>
      <c r="P23" s="74" t="str">
        <f t="shared" si="3"/>
        <v>SI</v>
      </c>
      <c r="Q23" s="75" t="s">
        <v>44</v>
      </c>
      <c r="R23" s="74" t="s">
        <v>45</v>
      </c>
      <c r="S23" s="13">
        <v>25260.635999999999</v>
      </c>
      <c r="T23" s="74" t="s">
        <v>294</v>
      </c>
    </row>
    <row r="24" spans="1:20">
      <c r="A24" s="75" t="s">
        <v>46</v>
      </c>
      <c r="B24" s="74" t="s">
        <v>47</v>
      </c>
      <c r="C24" s="76" t="e">
        <f>+#REF!+#REF!+#REF!+#REF!+#REF!+#REF!+#REF!-#REF!</f>
        <v>#REF!</v>
      </c>
      <c r="D24" s="76">
        <v>0</v>
      </c>
      <c r="E24" s="13" t="e">
        <f t="shared" si="0"/>
        <v>#REF!</v>
      </c>
      <c r="F24" s="13" t="e">
        <f>+#REF!</f>
        <v>#REF!</v>
      </c>
      <c r="G24" s="13" t="e">
        <f>+#REF!</f>
        <v>#REF!</v>
      </c>
      <c r="H24" s="13" t="e">
        <f>+#REF!</f>
        <v>#REF!</v>
      </c>
      <c r="I24" s="13" t="e">
        <f>+#REF!</f>
        <v>#REF!</v>
      </c>
      <c r="J24" s="13" t="e">
        <f>+#REF!</f>
        <v>#REF!</v>
      </c>
      <c r="K24" s="13" t="e">
        <f>+#REF!</f>
        <v>#REF!</v>
      </c>
      <c r="L24" s="13" t="e">
        <f>+#REF!</f>
        <v>#REF!</v>
      </c>
      <c r="M24" s="16">
        <v>0</v>
      </c>
      <c r="N24" s="13" t="e">
        <f t="shared" si="1"/>
        <v>#REF!</v>
      </c>
      <c r="O24" s="13" t="e">
        <f t="shared" si="2"/>
        <v>#REF!</v>
      </c>
      <c r="P24" s="74" t="str">
        <f t="shared" si="3"/>
        <v>SI</v>
      </c>
      <c r="Q24" s="75" t="s">
        <v>46</v>
      </c>
      <c r="R24" s="74" t="s">
        <v>47</v>
      </c>
      <c r="S24" s="13">
        <v>3703.3100000000004</v>
      </c>
      <c r="T24" s="74" t="s">
        <v>331</v>
      </c>
    </row>
    <row r="25" spans="1:20">
      <c r="A25" s="75" t="s">
        <v>48</v>
      </c>
      <c r="B25" s="74" t="s">
        <v>49</v>
      </c>
      <c r="C25" s="76" t="e">
        <f>+#REF!+#REF!+#REF!+#REF!+#REF!+#REF!+#REF!-#REF!</f>
        <v>#REF!</v>
      </c>
      <c r="D25" s="76">
        <v>0</v>
      </c>
      <c r="E25" s="13" t="e">
        <f t="shared" si="0"/>
        <v>#REF!</v>
      </c>
      <c r="F25" s="13" t="e">
        <f>+#REF!</f>
        <v>#REF!</v>
      </c>
      <c r="G25" s="13" t="e">
        <f>+#REF!</f>
        <v>#REF!</v>
      </c>
      <c r="H25" s="13" t="e">
        <f>+#REF!</f>
        <v>#REF!</v>
      </c>
      <c r="I25" s="13" t="e">
        <f>+#REF!</f>
        <v>#REF!</v>
      </c>
      <c r="J25" s="13" t="e">
        <f>+#REF!</f>
        <v>#REF!</v>
      </c>
      <c r="K25" s="13" t="e">
        <f>+#REF!</f>
        <v>#REF!</v>
      </c>
      <c r="L25" s="13" t="e">
        <f>+#REF!</f>
        <v>#REF!</v>
      </c>
      <c r="M25" s="16">
        <v>0</v>
      </c>
      <c r="N25" s="13" t="e">
        <f t="shared" si="1"/>
        <v>#REF!</v>
      </c>
      <c r="O25" s="13" t="e">
        <f t="shared" si="2"/>
        <v>#REF!</v>
      </c>
      <c r="P25" s="74" t="str">
        <f t="shared" si="3"/>
        <v>SI</v>
      </c>
      <c r="Q25" s="75" t="s">
        <v>48</v>
      </c>
      <c r="R25" s="74" t="s">
        <v>49</v>
      </c>
      <c r="S25" s="13">
        <v>11875.152</v>
      </c>
      <c r="T25" s="74" t="s">
        <v>320</v>
      </c>
    </row>
    <row r="26" spans="1:20">
      <c r="A26" s="75" t="s">
        <v>13</v>
      </c>
      <c r="B26" s="74" t="s">
        <v>50</v>
      </c>
      <c r="C26" s="76" t="e">
        <f>+#REF!+#REF!+#REF!+#REF!+#REF!+#REF!+#REF!-#REF!</f>
        <v>#REF!</v>
      </c>
      <c r="D26" s="76">
        <v>0</v>
      </c>
      <c r="E26" s="13" t="e">
        <f t="shared" si="0"/>
        <v>#REF!</v>
      </c>
      <c r="F26" s="13" t="e">
        <f>+#REF!</f>
        <v>#REF!</v>
      </c>
      <c r="G26" s="13" t="e">
        <f>+#REF!</f>
        <v>#REF!</v>
      </c>
      <c r="H26" s="13" t="e">
        <f>+#REF!</f>
        <v>#REF!</v>
      </c>
      <c r="I26" s="13" t="e">
        <f>+#REF!</f>
        <v>#REF!</v>
      </c>
      <c r="J26" s="13" t="e">
        <f>+#REF!</f>
        <v>#REF!</v>
      </c>
      <c r="K26" s="13" t="e">
        <f>+#REF!</f>
        <v>#REF!</v>
      </c>
      <c r="L26" s="13" t="e">
        <f>+#REF!</f>
        <v>#REF!</v>
      </c>
      <c r="M26" s="16">
        <v>0</v>
      </c>
      <c r="N26" s="13" t="e">
        <f t="shared" si="1"/>
        <v>#REF!</v>
      </c>
      <c r="O26" s="13" t="e">
        <f t="shared" si="2"/>
        <v>#REF!</v>
      </c>
      <c r="P26" s="74" t="str">
        <f t="shared" si="3"/>
        <v>SI</v>
      </c>
      <c r="Q26" s="75" t="s">
        <v>13</v>
      </c>
      <c r="R26" s="74" t="s">
        <v>50</v>
      </c>
      <c r="S26" s="13">
        <v>480.36000000000013</v>
      </c>
      <c r="T26" s="74" t="s">
        <v>330</v>
      </c>
    </row>
    <row r="27" spans="1:20">
      <c r="A27" s="75" t="s">
        <v>51</v>
      </c>
      <c r="B27" s="74" t="s">
        <v>52</v>
      </c>
      <c r="C27" s="76" t="e">
        <f>+#REF!+#REF!+#REF!+#REF!+#REF!+#REF!+#REF!-#REF!</f>
        <v>#REF!</v>
      </c>
      <c r="D27" s="76">
        <v>0</v>
      </c>
      <c r="E27" s="13" t="e">
        <f t="shared" si="0"/>
        <v>#REF!</v>
      </c>
      <c r="F27" s="13" t="e">
        <f>+#REF!</f>
        <v>#REF!</v>
      </c>
      <c r="G27" s="13" t="e">
        <f>+#REF!</f>
        <v>#REF!</v>
      </c>
      <c r="H27" s="13" t="e">
        <f>+#REF!</f>
        <v>#REF!</v>
      </c>
      <c r="I27" s="13" t="e">
        <f>+#REF!</f>
        <v>#REF!</v>
      </c>
      <c r="J27" s="13" t="e">
        <f>+#REF!</f>
        <v>#REF!</v>
      </c>
      <c r="K27" s="13" t="e">
        <f>+#REF!</f>
        <v>#REF!</v>
      </c>
      <c r="L27" s="13" t="e">
        <f>+#REF!</f>
        <v>#REF!</v>
      </c>
      <c r="M27" s="16">
        <v>500</v>
      </c>
      <c r="N27" s="13" t="e">
        <f t="shared" si="1"/>
        <v>#REF!</v>
      </c>
      <c r="O27" s="13" t="e">
        <f t="shared" si="2"/>
        <v>#REF!</v>
      </c>
      <c r="P27" s="74" t="str">
        <f t="shared" si="3"/>
        <v>SI</v>
      </c>
      <c r="Q27" s="75" t="s">
        <v>51</v>
      </c>
      <c r="R27" s="74" t="s">
        <v>52</v>
      </c>
      <c r="S27" s="13">
        <v>3452.6100000000006</v>
      </c>
      <c r="T27" s="74" t="s">
        <v>297</v>
      </c>
    </row>
    <row r="28" spans="1:20">
      <c r="A28" s="75" t="s">
        <v>53</v>
      </c>
      <c r="B28" s="74" t="s">
        <v>54</v>
      </c>
      <c r="C28" s="76" t="e">
        <f>+#REF!+#REF!+#REF!+#REF!+#REF!+#REF!+#REF!-#REF!</f>
        <v>#REF!</v>
      </c>
      <c r="D28" s="76">
        <v>0</v>
      </c>
      <c r="E28" s="13" t="e">
        <f t="shared" si="0"/>
        <v>#REF!</v>
      </c>
      <c r="F28" s="13" t="e">
        <f>+#REF!</f>
        <v>#REF!</v>
      </c>
      <c r="G28" s="13" t="e">
        <f>+#REF!</f>
        <v>#REF!</v>
      </c>
      <c r="H28" s="13" t="e">
        <f>+#REF!</f>
        <v>#REF!</v>
      </c>
      <c r="I28" s="13" t="e">
        <f>+#REF!</f>
        <v>#REF!</v>
      </c>
      <c r="J28" s="13" t="e">
        <f>+#REF!</f>
        <v>#REF!</v>
      </c>
      <c r="K28" s="13" t="e">
        <f>+#REF!</f>
        <v>#REF!</v>
      </c>
      <c r="L28" s="13" t="e">
        <f>+#REF!</f>
        <v>#REF!</v>
      </c>
      <c r="M28" s="16">
        <v>0</v>
      </c>
      <c r="N28" s="13" t="e">
        <f t="shared" si="1"/>
        <v>#REF!</v>
      </c>
      <c r="O28" s="13" t="e">
        <f t="shared" si="2"/>
        <v>#REF!</v>
      </c>
      <c r="P28" s="74" t="str">
        <f t="shared" si="3"/>
        <v>SI</v>
      </c>
      <c r="Q28" s="75" t="s">
        <v>53</v>
      </c>
      <c r="R28" s="74" t="s">
        <v>54</v>
      </c>
      <c r="S28" s="13">
        <v>3922.8060000000005</v>
      </c>
      <c r="T28" s="74" t="s">
        <v>315</v>
      </c>
    </row>
    <row r="29" spans="1:20">
      <c r="A29" s="75" t="s">
        <v>55</v>
      </c>
      <c r="B29" s="74" t="s">
        <v>56</v>
      </c>
      <c r="C29" s="76" t="e">
        <f>+#REF!+#REF!+#REF!+#REF!+#REF!+#REF!+#REF!-#REF!</f>
        <v>#REF!</v>
      </c>
      <c r="D29" s="76">
        <v>0</v>
      </c>
      <c r="E29" s="13" t="e">
        <f t="shared" si="0"/>
        <v>#REF!</v>
      </c>
      <c r="F29" s="13" t="e">
        <f>+#REF!</f>
        <v>#REF!</v>
      </c>
      <c r="G29" s="13" t="e">
        <f>+#REF!</f>
        <v>#REF!</v>
      </c>
      <c r="H29" s="13" t="e">
        <f>+#REF!</f>
        <v>#REF!</v>
      </c>
      <c r="I29" s="13" t="e">
        <f>+#REF!</f>
        <v>#REF!</v>
      </c>
      <c r="J29" s="13" t="e">
        <f>+#REF!</f>
        <v>#REF!</v>
      </c>
      <c r="K29" s="13" t="e">
        <f>+#REF!</f>
        <v>#REF!</v>
      </c>
      <c r="L29" s="13" t="e">
        <f>+#REF!</f>
        <v>#REF!</v>
      </c>
      <c r="M29" s="16">
        <v>0</v>
      </c>
      <c r="N29" s="13" t="e">
        <f t="shared" si="1"/>
        <v>#REF!</v>
      </c>
      <c r="O29" s="13" t="e">
        <f t="shared" si="2"/>
        <v>#REF!</v>
      </c>
      <c r="P29" s="74" t="str">
        <f t="shared" si="3"/>
        <v>SI</v>
      </c>
      <c r="Q29" s="75" t="s">
        <v>55</v>
      </c>
      <c r="R29" s="74" t="s">
        <v>56</v>
      </c>
      <c r="S29" s="13">
        <v>12189.638999999999</v>
      </c>
      <c r="T29" s="74" t="s">
        <v>298</v>
      </c>
    </row>
    <row r="30" spans="1:20">
      <c r="A30" s="75" t="s">
        <v>57</v>
      </c>
      <c r="B30" s="74" t="s">
        <v>58</v>
      </c>
      <c r="C30" s="76" t="e">
        <f>+#REF!+#REF!+#REF!+#REF!+#REF!+#REF!+#REF!-#REF!</f>
        <v>#REF!</v>
      </c>
      <c r="D30" s="76">
        <v>0</v>
      </c>
      <c r="E30" s="13" t="e">
        <f t="shared" si="0"/>
        <v>#REF!</v>
      </c>
      <c r="F30" s="13" t="e">
        <f>+#REF!</f>
        <v>#REF!</v>
      </c>
      <c r="G30" s="13" t="e">
        <f>+#REF!</f>
        <v>#REF!</v>
      </c>
      <c r="H30" s="13" t="e">
        <f>+#REF!</f>
        <v>#REF!</v>
      </c>
      <c r="I30" s="13" t="e">
        <f>+#REF!</f>
        <v>#REF!</v>
      </c>
      <c r="J30" s="13" t="e">
        <f>+#REF!</f>
        <v>#REF!</v>
      </c>
      <c r="K30" s="13" t="e">
        <f>+#REF!</f>
        <v>#REF!</v>
      </c>
      <c r="L30" s="13" t="e">
        <f>+#REF!</f>
        <v>#REF!</v>
      </c>
      <c r="M30" s="16">
        <v>0</v>
      </c>
      <c r="N30" s="13" t="e">
        <f t="shared" si="1"/>
        <v>#REF!</v>
      </c>
      <c r="O30" s="13" t="e">
        <f t="shared" si="2"/>
        <v>#REF!</v>
      </c>
      <c r="P30" s="74" t="str">
        <f t="shared" si="3"/>
        <v>SI</v>
      </c>
      <c r="Q30" s="75" t="s">
        <v>57</v>
      </c>
      <c r="R30" s="74" t="s">
        <v>58</v>
      </c>
      <c r="S30" s="13">
        <v>1908.18</v>
      </c>
      <c r="T30" s="74" t="s">
        <v>327</v>
      </c>
    </row>
    <row r="31" spans="1:20">
      <c r="A31" s="75" t="s">
        <v>59</v>
      </c>
      <c r="B31" s="74" t="s">
        <v>60</v>
      </c>
      <c r="C31" s="76" t="e">
        <f>+#REF!+#REF!+#REF!+#REF!+#REF!+#REF!+#REF!-#REF!</f>
        <v>#REF!</v>
      </c>
      <c r="D31" s="76">
        <v>0</v>
      </c>
      <c r="E31" s="13" t="e">
        <f t="shared" si="0"/>
        <v>#REF!</v>
      </c>
      <c r="F31" s="13" t="e">
        <f>+#REF!</f>
        <v>#REF!</v>
      </c>
      <c r="G31" s="13" t="e">
        <f>+#REF!</f>
        <v>#REF!</v>
      </c>
      <c r="H31" s="13" t="e">
        <f>+#REF!</f>
        <v>#REF!</v>
      </c>
      <c r="I31" s="13" t="e">
        <f>+#REF!</f>
        <v>#REF!</v>
      </c>
      <c r="J31" s="13" t="e">
        <f>+#REF!</f>
        <v>#REF!</v>
      </c>
      <c r="K31" s="13" t="e">
        <f>+#REF!</f>
        <v>#REF!</v>
      </c>
      <c r="L31" s="13" t="e">
        <f>+#REF!</f>
        <v>#REF!</v>
      </c>
      <c r="M31" s="16">
        <v>0</v>
      </c>
      <c r="N31" s="13" t="e">
        <f t="shared" si="1"/>
        <v>#REF!</v>
      </c>
      <c r="O31" s="13" t="e">
        <f t="shared" si="2"/>
        <v>#REF!</v>
      </c>
      <c r="P31" s="74" t="str">
        <f t="shared" si="3"/>
        <v>SI</v>
      </c>
      <c r="Q31" s="75" t="s">
        <v>59</v>
      </c>
      <c r="R31" s="74" t="s">
        <v>60</v>
      </c>
      <c r="S31" s="13">
        <v>4980.1530000000002</v>
      </c>
      <c r="T31" s="74" t="s">
        <v>325</v>
      </c>
    </row>
    <row r="32" spans="1:20">
      <c r="A32" s="75" t="s">
        <v>61</v>
      </c>
      <c r="B32" s="74" t="s">
        <v>62</v>
      </c>
      <c r="C32" s="76" t="e">
        <f>+#REF!+#REF!+#REF!+#REF!+#REF!+#REF!+#REF!-#REF!</f>
        <v>#REF!</v>
      </c>
      <c r="D32" s="76">
        <v>0</v>
      </c>
      <c r="E32" s="13" t="e">
        <f t="shared" si="0"/>
        <v>#REF!</v>
      </c>
      <c r="F32" s="13" t="e">
        <f>+#REF!</f>
        <v>#REF!</v>
      </c>
      <c r="G32" s="13" t="e">
        <f>+#REF!</f>
        <v>#REF!</v>
      </c>
      <c r="H32" s="13" t="e">
        <f>+#REF!</f>
        <v>#REF!</v>
      </c>
      <c r="I32" s="13" t="e">
        <f>+#REF!</f>
        <v>#REF!</v>
      </c>
      <c r="J32" s="13" t="e">
        <f>+#REF!</f>
        <v>#REF!</v>
      </c>
      <c r="K32" s="13" t="e">
        <f>+#REF!</f>
        <v>#REF!</v>
      </c>
      <c r="L32" s="13" t="e">
        <f>+#REF!</f>
        <v>#REF!</v>
      </c>
      <c r="M32" s="16">
        <v>0</v>
      </c>
      <c r="N32" s="13" t="e">
        <f t="shared" si="1"/>
        <v>#REF!</v>
      </c>
      <c r="O32" s="13" t="e">
        <f t="shared" si="2"/>
        <v>#REF!</v>
      </c>
      <c r="P32" s="74" t="str">
        <f t="shared" si="3"/>
        <v>SI</v>
      </c>
      <c r="Q32" s="75" t="s">
        <v>61</v>
      </c>
      <c r="R32" s="74" t="s">
        <v>62</v>
      </c>
      <c r="S32" s="13">
        <v>2807.5800000000004</v>
      </c>
      <c r="T32" s="74" t="s">
        <v>306</v>
      </c>
    </row>
    <row r="33" spans="1:20">
      <c r="A33" s="75" t="s">
        <v>67</v>
      </c>
      <c r="B33" s="74" t="s">
        <v>68</v>
      </c>
      <c r="C33" s="76" t="e">
        <f>+#REF!+#REF!+#REF!+#REF!+#REF!+#REF!+#REF!-#REF!</f>
        <v>#REF!</v>
      </c>
      <c r="D33" s="76">
        <v>0</v>
      </c>
      <c r="E33" s="13" t="e">
        <f t="shared" si="0"/>
        <v>#REF!</v>
      </c>
      <c r="F33" s="13" t="e">
        <f>+#REF!</f>
        <v>#REF!</v>
      </c>
      <c r="G33" s="13" t="e">
        <f>+#REF!</f>
        <v>#REF!</v>
      </c>
      <c r="H33" s="13" t="e">
        <f>+#REF!</f>
        <v>#REF!</v>
      </c>
      <c r="I33" s="13" t="e">
        <f>+#REF!</f>
        <v>#REF!</v>
      </c>
      <c r="J33" s="13" t="e">
        <f>+#REF!</f>
        <v>#REF!</v>
      </c>
      <c r="K33" s="13" t="e">
        <f>+#REF!</f>
        <v>#REF!</v>
      </c>
      <c r="L33" s="13" t="e">
        <f>+#REF!</f>
        <v>#REF!</v>
      </c>
      <c r="M33" s="16">
        <v>0</v>
      </c>
      <c r="N33" s="13" t="e">
        <f t="shared" si="1"/>
        <v>#REF!</v>
      </c>
      <c r="O33" s="13" t="e">
        <f t="shared" si="2"/>
        <v>#REF!</v>
      </c>
      <c r="P33" s="74" t="str">
        <f t="shared" si="3"/>
        <v>SI</v>
      </c>
      <c r="Q33" s="75" t="s">
        <v>67</v>
      </c>
      <c r="R33" s="74" t="s">
        <v>68</v>
      </c>
      <c r="S33" s="13">
        <v>1571.6699999999998</v>
      </c>
      <c r="T33" s="74" t="s">
        <v>283</v>
      </c>
    </row>
    <row r="34" spans="1:20">
      <c r="A34" s="75" t="s">
        <v>63</v>
      </c>
      <c r="B34" s="74" t="s">
        <v>64</v>
      </c>
      <c r="C34" s="76" t="e">
        <f>+#REF!+#REF!+#REF!+#REF!+#REF!+#REF!+#REF!-#REF!</f>
        <v>#REF!</v>
      </c>
      <c r="D34" s="76">
        <v>0</v>
      </c>
      <c r="E34" s="13" t="e">
        <f t="shared" si="0"/>
        <v>#REF!</v>
      </c>
      <c r="F34" s="13" t="e">
        <f>+#REF!</f>
        <v>#REF!</v>
      </c>
      <c r="G34" s="13" t="e">
        <f>+#REF!</f>
        <v>#REF!</v>
      </c>
      <c r="H34" s="13" t="e">
        <f>+#REF!</f>
        <v>#REF!</v>
      </c>
      <c r="I34" s="13" t="e">
        <f>+#REF!</f>
        <v>#REF!</v>
      </c>
      <c r="J34" s="13" t="e">
        <f>+#REF!</f>
        <v>#REF!</v>
      </c>
      <c r="K34" s="13" t="e">
        <f>+#REF!</f>
        <v>#REF!</v>
      </c>
      <c r="L34" s="13" t="e">
        <f>+#REF!</f>
        <v>#REF!</v>
      </c>
      <c r="M34" s="16">
        <v>0</v>
      </c>
      <c r="N34" s="13" t="e">
        <f t="shared" si="1"/>
        <v>#REF!</v>
      </c>
      <c r="O34" s="13" t="e">
        <f t="shared" si="2"/>
        <v>#REF!</v>
      </c>
      <c r="P34" s="74" t="str">
        <f t="shared" si="3"/>
        <v>SI</v>
      </c>
      <c r="Q34" s="75" t="s">
        <v>63</v>
      </c>
      <c r="R34" s="74" t="s">
        <v>64</v>
      </c>
      <c r="S34" s="13">
        <v>3392.0219999999999</v>
      </c>
      <c r="T34" s="74" t="s">
        <v>310</v>
      </c>
    </row>
    <row r="35" spans="1:20">
      <c r="A35" s="75" t="s">
        <v>65</v>
      </c>
      <c r="B35" s="74" t="s">
        <v>66</v>
      </c>
      <c r="C35" s="76" t="e">
        <f>+#REF!+#REF!+#REF!+#REF!+#REF!+#REF!+#REF!-#REF!</f>
        <v>#REF!</v>
      </c>
      <c r="D35" s="76">
        <v>0</v>
      </c>
      <c r="E35" s="13" t="e">
        <f t="shared" si="0"/>
        <v>#REF!</v>
      </c>
      <c r="F35" s="13" t="e">
        <f>+#REF!</f>
        <v>#REF!</v>
      </c>
      <c r="G35" s="13" t="e">
        <f>+#REF!</f>
        <v>#REF!</v>
      </c>
      <c r="H35" s="13" t="e">
        <f>+#REF!</f>
        <v>#REF!</v>
      </c>
      <c r="I35" s="13" t="e">
        <f>+#REF!</f>
        <v>#REF!</v>
      </c>
      <c r="J35" s="13" t="e">
        <f>+#REF!</f>
        <v>#REF!</v>
      </c>
      <c r="K35" s="13" t="e">
        <f>+#REF!</f>
        <v>#REF!</v>
      </c>
      <c r="L35" s="13" t="e">
        <f>+#REF!</f>
        <v>#REF!</v>
      </c>
      <c r="M35" s="16">
        <v>0</v>
      </c>
      <c r="N35" s="13" t="e">
        <f t="shared" si="1"/>
        <v>#REF!</v>
      </c>
      <c r="O35" s="13" t="e">
        <f t="shared" si="2"/>
        <v>#REF!</v>
      </c>
      <c r="P35" s="74" t="str">
        <f t="shared" si="3"/>
        <v>SI</v>
      </c>
      <c r="Q35" s="75" t="s">
        <v>65</v>
      </c>
      <c r="R35" s="74" t="s">
        <v>66</v>
      </c>
      <c r="S35" s="13">
        <v>1758.18</v>
      </c>
      <c r="T35" s="74" t="s">
        <v>308</v>
      </c>
    </row>
    <row r="36" spans="1:20">
      <c r="A36" s="75" t="s">
        <v>69</v>
      </c>
      <c r="B36" s="74" t="s">
        <v>70</v>
      </c>
      <c r="C36" s="76" t="e">
        <f>+#REF!+#REF!+#REF!+#REF!+#REF!+#REF!+#REF!-#REF!</f>
        <v>#REF!</v>
      </c>
      <c r="D36" s="76">
        <v>0</v>
      </c>
      <c r="E36" s="13" t="e">
        <f t="shared" si="0"/>
        <v>#REF!</v>
      </c>
      <c r="F36" s="13" t="e">
        <f>+#REF!</f>
        <v>#REF!</v>
      </c>
      <c r="G36" s="13" t="e">
        <f>+#REF!</f>
        <v>#REF!</v>
      </c>
      <c r="H36" s="13" t="e">
        <f>+#REF!</f>
        <v>#REF!</v>
      </c>
      <c r="I36" s="13" t="e">
        <f>+#REF!</f>
        <v>#REF!</v>
      </c>
      <c r="J36" s="13" t="e">
        <f>+#REF!</f>
        <v>#REF!</v>
      </c>
      <c r="K36" s="13" t="e">
        <f>+#REF!</f>
        <v>#REF!</v>
      </c>
      <c r="L36" s="13" t="e">
        <f>+#REF!</f>
        <v>#REF!</v>
      </c>
      <c r="M36" s="16">
        <v>0</v>
      </c>
      <c r="N36" s="13" t="e">
        <f t="shared" si="1"/>
        <v>#REF!</v>
      </c>
      <c r="O36" s="13" t="e">
        <f t="shared" si="2"/>
        <v>#REF!</v>
      </c>
      <c r="P36" s="74" t="str">
        <f t="shared" si="3"/>
        <v>SI</v>
      </c>
      <c r="Q36" s="75" t="s">
        <v>69</v>
      </c>
      <c r="R36" s="74" t="s">
        <v>70</v>
      </c>
      <c r="S36" s="13">
        <v>12804.411</v>
      </c>
      <c r="T36" s="74" t="s">
        <v>295</v>
      </c>
    </row>
    <row r="37" spans="1:20">
      <c r="A37" s="75" t="s">
        <v>71</v>
      </c>
      <c r="B37" s="74" t="s">
        <v>72</v>
      </c>
      <c r="C37" s="76" t="e">
        <f>+#REF!+#REF!+#REF!+#REF!+#REF!+#REF!+#REF!-#REF!</f>
        <v>#REF!</v>
      </c>
      <c r="D37" s="76">
        <v>0</v>
      </c>
      <c r="E37" s="13" t="e">
        <f t="shared" si="0"/>
        <v>#REF!</v>
      </c>
      <c r="F37" s="13" t="e">
        <f>+#REF!</f>
        <v>#REF!</v>
      </c>
      <c r="G37" s="13" t="e">
        <f>+#REF!</f>
        <v>#REF!</v>
      </c>
      <c r="H37" s="13" t="e">
        <f>+#REF!</f>
        <v>#REF!</v>
      </c>
      <c r="I37" s="13" t="e">
        <f>+#REF!</f>
        <v>#REF!</v>
      </c>
      <c r="J37" s="13" t="e">
        <f>+#REF!</f>
        <v>#REF!</v>
      </c>
      <c r="K37" s="13" t="e">
        <f>+#REF!</f>
        <v>#REF!</v>
      </c>
      <c r="L37" s="13" t="e">
        <f>+#REF!</f>
        <v>#REF!</v>
      </c>
      <c r="M37" s="16">
        <v>0</v>
      </c>
      <c r="N37" s="13" t="e">
        <f t="shared" si="1"/>
        <v>#REF!</v>
      </c>
      <c r="O37" s="13" t="e">
        <f t="shared" si="2"/>
        <v>#REF!</v>
      </c>
      <c r="P37" s="74" t="str">
        <f t="shared" si="3"/>
        <v>SI</v>
      </c>
      <c r="Q37" s="75" t="s">
        <v>71</v>
      </c>
      <c r="R37" s="74" t="s">
        <v>72</v>
      </c>
      <c r="S37" s="13">
        <v>6704.6069999999991</v>
      </c>
      <c r="T37" s="74" t="s">
        <v>302</v>
      </c>
    </row>
    <row r="38" spans="1:20">
      <c r="A38" s="75" t="s">
        <v>73</v>
      </c>
      <c r="B38" s="74" t="s">
        <v>74</v>
      </c>
      <c r="C38" s="76" t="e">
        <f>+#REF!+#REF!+#REF!+#REF!+#REF!+#REF!+#REF!-#REF!</f>
        <v>#REF!</v>
      </c>
      <c r="D38" s="76">
        <v>0</v>
      </c>
      <c r="E38" s="13" t="e">
        <f t="shared" si="0"/>
        <v>#REF!</v>
      </c>
      <c r="F38" s="13" t="e">
        <f>+#REF!</f>
        <v>#REF!</v>
      </c>
      <c r="G38" s="13" t="e">
        <f>+#REF!</f>
        <v>#REF!</v>
      </c>
      <c r="H38" s="13" t="e">
        <f>+#REF!</f>
        <v>#REF!</v>
      </c>
      <c r="I38" s="13" t="e">
        <f>+#REF!</f>
        <v>#REF!</v>
      </c>
      <c r="J38" s="13" t="e">
        <f>+#REF!</f>
        <v>#REF!</v>
      </c>
      <c r="K38" s="13" t="e">
        <f>+#REF!</f>
        <v>#REF!</v>
      </c>
      <c r="L38" s="13" t="e">
        <f>+#REF!</f>
        <v>#REF!</v>
      </c>
      <c r="M38" s="16">
        <v>0</v>
      </c>
      <c r="N38" s="13" t="e">
        <f t="shared" si="1"/>
        <v>#REF!</v>
      </c>
      <c r="O38" s="13" t="e">
        <f t="shared" si="2"/>
        <v>#REF!</v>
      </c>
      <c r="P38" s="74" t="str">
        <f t="shared" si="3"/>
        <v>SI</v>
      </c>
      <c r="Q38" s="75" t="s">
        <v>73</v>
      </c>
      <c r="R38" s="74" t="s">
        <v>74</v>
      </c>
      <c r="S38" s="13">
        <v>6891.6449999999995</v>
      </c>
      <c r="T38" s="74" t="s">
        <v>311</v>
      </c>
    </row>
    <row r="39" spans="1:20">
      <c r="A39" s="75" t="s">
        <v>75</v>
      </c>
      <c r="B39" s="74" t="s">
        <v>76</v>
      </c>
      <c r="C39" s="76" t="e">
        <f>+#REF!+#REF!+#REF!+#REF!+#REF!+#REF!+#REF!-#REF!</f>
        <v>#REF!</v>
      </c>
      <c r="D39" s="76">
        <v>0</v>
      </c>
      <c r="E39" s="13" t="e">
        <f t="shared" si="0"/>
        <v>#REF!</v>
      </c>
      <c r="F39" s="13" t="e">
        <f>+#REF!</f>
        <v>#REF!</v>
      </c>
      <c r="G39" s="13" t="e">
        <f>+#REF!</f>
        <v>#REF!</v>
      </c>
      <c r="H39" s="13" t="e">
        <f>+#REF!</f>
        <v>#REF!</v>
      </c>
      <c r="I39" s="13" t="e">
        <f>+#REF!</f>
        <v>#REF!</v>
      </c>
      <c r="J39" s="13" t="e">
        <f>+#REF!</f>
        <v>#REF!</v>
      </c>
      <c r="K39" s="13" t="e">
        <f>+#REF!</f>
        <v>#REF!</v>
      </c>
      <c r="L39" s="13" t="e">
        <f>+#REF!</f>
        <v>#REF!</v>
      </c>
      <c r="M39" s="16">
        <v>994</v>
      </c>
      <c r="N39" s="13" t="e">
        <f t="shared" si="1"/>
        <v>#REF!</v>
      </c>
      <c r="O39" s="13" t="e">
        <f t="shared" si="2"/>
        <v>#REF!</v>
      </c>
      <c r="P39" s="74" t="str">
        <f t="shared" si="3"/>
        <v>SI</v>
      </c>
      <c r="Q39" s="75" t="s">
        <v>75</v>
      </c>
      <c r="R39" s="74" t="s">
        <v>76</v>
      </c>
      <c r="S39" s="13">
        <v>9471.7109999999993</v>
      </c>
      <c r="T39" s="74" t="s">
        <v>299</v>
      </c>
    </row>
    <row r="40" spans="1:20">
      <c r="A40" s="75" t="s">
        <v>77</v>
      </c>
      <c r="B40" s="74" t="s">
        <v>78</v>
      </c>
      <c r="C40" s="76" t="e">
        <f>+#REF!+#REF!+#REF!+#REF!+#REF!+#REF!+#REF!-#REF!</f>
        <v>#REF!</v>
      </c>
      <c r="D40" s="76">
        <v>0</v>
      </c>
      <c r="E40" s="13" t="e">
        <f t="shared" si="0"/>
        <v>#REF!</v>
      </c>
      <c r="F40" s="13" t="e">
        <f>+#REF!</f>
        <v>#REF!</v>
      </c>
      <c r="G40" s="13" t="e">
        <f>+#REF!</f>
        <v>#REF!</v>
      </c>
      <c r="H40" s="13" t="e">
        <f>+#REF!</f>
        <v>#REF!</v>
      </c>
      <c r="I40" s="13" t="e">
        <f>+#REF!</f>
        <v>#REF!</v>
      </c>
      <c r="J40" s="13" t="e">
        <f>+#REF!</f>
        <v>#REF!</v>
      </c>
      <c r="K40" s="13" t="e">
        <f>+#REF!</f>
        <v>#REF!</v>
      </c>
      <c r="L40" s="13" t="e">
        <f>+#REF!</f>
        <v>#REF!</v>
      </c>
      <c r="M40" s="16">
        <v>1030</v>
      </c>
      <c r="N40" s="13" t="e">
        <f t="shared" si="1"/>
        <v>#REF!</v>
      </c>
      <c r="O40" s="13" t="e">
        <f t="shared" si="2"/>
        <v>#REF!</v>
      </c>
      <c r="P40" s="74" t="str">
        <f t="shared" si="3"/>
        <v>SI</v>
      </c>
      <c r="Q40" s="75" t="s">
        <v>77</v>
      </c>
      <c r="R40" s="74" t="s">
        <v>78</v>
      </c>
      <c r="S40" s="13">
        <v>1980.23</v>
      </c>
      <c r="T40" s="74" t="s">
        <v>300</v>
      </c>
    </row>
    <row r="41" spans="1:20">
      <c r="A41" s="75" t="s">
        <v>79</v>
      </c>
      <c r="B41" s="74" t="s">
        <v>80</v>
      </c>
      <c r="C41" s="76" t="e">
        <f>+#REF!+#REF!+#REF!+#REF!+#REF!+#REF!+#REF!-#REF!</f>
        <v>#REF!</v>
      </c>
      <c r="D41" s="76">
        <v>0</v>
      </c>
      <c r="E41" s="13" t="e">
        <f t="shared" si="0"/>
        <v>#REF!</v>
      </c>
      <c r="F41" s="13" t="e">
        <f>+#REF!</f>
        <v>#REF!</v>
      </c>
      <c r="G41" s="13" t="e">
        <f>+#REF!</f>
        <v>#REF!</v>
      </c>
      <c r="H41" s="13" t="e">
        <f>+#REF!</f>
        <v>#REF!</v>
      </c>
      <c r="I41" s="13" t="e">
        <f>+#REF!</f>
        <v>#REF!</v>
      </c>
      <c r="J41" s="13" t="e">
        <f>+#REF!</f>
        <v>#REF!</v>
      </c>
      <c r="K41" s="13" t="e">
        <f>+#REF!</f>
        <v>#REF!</v>
      </c>
      <c r="L41" s="13" t="e">
        <f>+#REF!</f>
        <v>#REF!</v>
      </c>
      <c r="M41" s="16">
        <v>0</v>
      </c>
      <c r="N41" s="13" t="e">
        <f t="shared" si="1"/>
        <v>#REF!</v>
      </c>
      <c r="O41" s="13" t="e">
        <f t="shared" si="2"/>
        <v>#REF!</v>
      </c>
      <c r="P41" s="74" t="str">
        <f t="shared" si="3"/>
        <v>SI</v>
      </c>
      <c r="Q41" s="75" t="s">
        <v>79</v>
      </c>
      <c r="R41" s="74" t="s">
        <v>80</v>
      </c>
      <c r="S41" s="13">
        <v>3343.3</v>
      </c>
      <c r="T41" s="74" t="s">
        <v>286</v>
      </c>
    </row>
    <row r="42" spans="1:20">
      <c r="A42" s="75" t="s">
        <v>81</v>
      </c>
      <c r="B42" s="74" t="s">
        <v>82</v>
      </c>
      <c r="C42" s="76" t="e">
        <f>+#REF!+#REF!+#REF!+#REF!+#REF!+#REF!+#REF!-#REF!</f>
        <v>#REF!</v>
      </c>
      <c r="D42" s="76">
        <v>0</v>
      </c>
      <c r="E42" s="13" t="e">
        <f t="shared" si="0"/>
        <v>#REF!</v>
      </c>
      <c r="F42" s="13" t="e">
        <f>+#REF!</f>
        <v>#REF!</v>
      </c>
      <c r="G42" s="13" t="e">
        <f>+#REF!</f>
        <v>#REF!</v>
      </c>
      <c r="H42" s="13" t="e">
        <f>+#REF!</f>
        <v>#REF!</v>
      </c>
      <c r="I42" s="13" t="e">
        <f>+#REF!</f>
        <v>#REF!</v>
      </c>
      <c r="J42" s="13" t="e">
        <f>+#REF!</f>
        <v>#REF!</v>
      </c>
      <c r="K42" s="13" t="e">
        <f>+#REF!</f>
        <v>#REF!</v>
      </c>
      <c r="L42" s="13" t="e">
        <f>+#REF!</f>
        <v>#REF!</v>
      </c>
      <c r="M42" s="16">
        <v>0</v>
      </c>
      <c r="N42" s="13" t="e">
        <f t="shared" si="1"/>
        <v>#REF!</v>
      </c>
      <c r="O42" s="13" t="e">
        <f t="shared" si="2"/>
        <v>#REF!</v>
      </c>
      <c r="P42" s="74" t="str">
        <f t="shared" si="3"/>
        <v>SI</v>
      </c>
      <c r="Q42" s="75" t="s">
        <v>81</v>
      </c>
      <c r="R42" s="74" t="s">
        <v>82</v>
      </c>
      <c r="S42" s="13">
        <v>2823.6499999999996</v>
      </c>
      <c r="T42" s="74" t="s">
        <v>307</v>
      </c>
    </row>
    <row r="43" spans="1:20">
      <c r="A43" s="75" t="s">
        <v>83</v>
      </c>
      <c r="B43" s="74" t="s">
        <v>84</v>
      </c>
      <c r="C43" s="76" t="e">
        <f>+#REF!+#REF!+#REF!+#REF!+#REF!+#REF!+#REF!-#REF!</f>
        <v>#REF!</v>
      </c>
      <c r="D43" s="76">
        <v>0</v>
      </c>
      <c r="E43" s="13" t="e">
        <f t="shared" si="0"/>
        <v>#REF!</v>
      </c>
      <c r="F43" s="13" t="e">
        <f>+#REF!</f>
        <v>#REF!</v>
      </c>
      <c r="G43" s="13" t="e">
        <f>+#REF!</f>
        <v>#REF!</v>
      </c>
      <c r="H43" s="13" t="e">
        <f>+#REF!</f>
        <v>#REF!</v>
      </c>
      <c r="I43" s="13" t="e">
        <f>+#REF!</f>
        <v>#REF!</v>
      </c>
      <c r="J43" s="13" t="e">
        <f>+#REF!</f>
        <v>#REF!</v>
      </c>
      <c r="K43" s="13" t="e">
        <f>+#REF!</f>
        <v>#REF!</v>
      </c>
      <c r="L43" s="13" t="e">
        <f>+#REF!</f>
        <v>#REF!</v>
      </c>
      <c r="M43" s="16">
        <v>0</v>
      </c>
      <c r="N43" s="13" t="e">
        <f t="shared" si="1"/>
        <v>#REF!</v>
      </c>
      <c r="O43" s="13" t="e">
        <f t="shared" si="2"/>
        <v>#REF!</v>
      </c>
      <c r="P43" s="74" t="str">
        <f t="shared" si="3"/>
        <v>SI</v>
      </c>
      <c r="Q43" s="75" t="s">
        <v>83</v>
      </c>
      <c r="R43" s="74" t="s">
        <v>84</v>
      </c>
      <c r="S43" s="13">
        <v>1227.97</v>
      </c>
      <c r="T43" s="74" t="s">
        <v>305</v>
      </c>
    </row>
    <row r="44" spans="1:20">
      <c r="A44" s="75" t="s">
        <v>147</v>
      </c>
      <c r="B44" s="74" t="s">
        <v>148</v>
      </c>
      <c r="C44" s="76" t="e">
        <f>+#REF!+#REF!+#REF!+#REF!+#REF!+#REF!+#REF!-#REF!</f>
        <v>#REF!</v>
      </c>
      <c r="D44" s="76">
        <v>0</v>
      </c>
      <c r="E44" s="13" t="e">
        <f t="shared" si="0"/>
        <v>#REF!</v>
      </c>
      <c r="F44" s="13" t="e">
        <f>+#REF!</f>
        <v>#REF!</v>
      </c>
      <c r="G44" s="13" t="e">
        <f>+#REF!</f>
        <v>#REF!</v>
      </c>
      <c r="H44" s="13" t="e">
        <f>+#REF!</f>
        <v>#REF!</v>
      </c>
      <c r="I44" s="13" t="e">
        <f>+#REF!</f>
        <v>#REF!</v>
      </c>
      <c r="J44" s="13" t="e">
        <f>+#REF!</f>
        <v>#REF!</v>
      </c>
      <c r="K44" s="13" t="e">
        <f>+#REF!</f>
        <v>#REF!</v>
      </c>
      <c r="L44" s="13" t="e">
        <f>+#REF!</f>
        <v>#REF!</v>
      </c>
      <c r="M44" s="16">
        <v>0</v>
      </c>
      <c r="N44" s="13" t="e">
        <f t="shared" si="1"/>
        <v>#REF!</v>
      </c>
      <c r="O44" s="13" t="e">
        <f t="shared" si="2"/>
        <v>#REF!</v>
      </c>
      <c r="P44" s="74" t="str">
        <f t="shared" si="3"/>
        <v>SI</v>
      </c>
      <c r="Q44" s="75" t="s">
        <v>147</v>
      </c>
      <c r="R44" s="74" t="s">
        <v>148</v>
      </c>
      <c r="S44" s="13">
        <v>17291.090999999997</v>
      </c>
      <c r="T44" s="74" t="s">
        <v>333</v>
      </c>
    </row>
    <row r="45" spans="1:20">
      <c r="A45" s="75" t="s">
        <v>85</v>
      </c>
      <c r="B45" s="74" t="s">
        <v>86</v>
      </c>
      <c r="C45" s="76" t="e">
        <f>+#REF!+#REF!+#REF!+#REF!+#REF!+#REF!+#REF!-#REF!</f>
        <v>#REF!</v>
      </c>
      <c r="D45" s="76">
        <v>0</v>
      </c>
      <c r="E45" s="13" t="e">
        <f t="shared" si="0"/>
        <v>#REF!</v>
      </c>
      <c r="F45" s="13" t="e">
        <f>+#REF!</f>
        <v>#REF!</v>
      </c>
      <c r="G45" s="13" t="e">
        <f>+#REF!</f>
        <v>#REF!</v>
      </c>
      <c r="H45" s="13" t="e">
        <f>+#REF!</f>
        <v>#REF!</v>
      </c>
      <c r="I45" s="13" t="e">
        <f>+#REF!</f>
        <v>#REF!</v>
      </c>
      <c r="J45" s="13" t="e">
        <f>+#REF!</f>
        <v>#REF!</v>
      </c>
      <c r="K45" s="13" t="e">
        <f>+#REF!</f>
        <v>#REF!</v>
      </c>
      <c r="L45" s="13" t="e">
        <f>+#REF!</f>
        <v>#REF!</v>
      </c>
      <c r="M45" s="16">
        <v>0</v>
      </c>
      <c r="N45" s="13" t="e">
        <f t="shared" si="1"/>
        <v>#REF!</v>
      </c>
      <c r="O45" s="13" t="e">
        <f t="shared" si="2"/>
        <v>#REF!</v>
      </c>
      <c r="P45" s="74" t="str">
        <f t="shared" si="3"/>
        <v>SI</v>
      </c>
      <c r="Q45" s="75" t="s">
        <v>85</v>
      </c>
      <c r="R45" s="74" t="s">
        <v>86</v>
      </c>
      <c r="S45" s="13">
        <v>1708.18</v>
      </c>
      <c r="T45" s="74" t="s">
        <v>316</v>
      </c>
    </row>
    <row r="46" spans="1:20">
      <c r="A46" s="75" t="s">
        <v>87</v>
      </c>
      <c r="B46" s="74" t="s">
        <v>88</v>
      </c>
      <c r="C46" s="76" t="e">
        <f>+#REF!+#REF!+#REF!+#REF!+#REF!+#REF!+#REF!-#REF!</f>
        <v>#REF!</v>
      </c>
      <c r="D46" s="76">
        <v>0</v>
      </c>
      <c r="E46" s="13" t="e">
        <f t="shared" si="0"/>
        <v>#REF!</v>
      </c>
      <c r="F46" s="13" t="e">
        <f>+#REF!</f>
        <v>#REF!</v>
      </c>
      <c r="G46" s="13" t="e">
        <f>+#REF!</f>
        <v>#REF!</v>
      </c>
      <c r="H46" s="13" t="e">
        <f>+#REF!</f>
        <v>#REF!</v>
      </c>
      <c r="I46" s="13" t="e">
        <f>+#REF!</f>
        <v>#REF!</v>
      </c>
      <c r="J46" s="13" t="e">
        <f>+#REF!</f>
        <v>#REF!</v>
      </c>
      <c r="K46" s="13" t="e">
        <f>+#REF!</f>
        <v>#REF!</v>
      </c>
      <c r="L46" s="13" t="e">
        <f>+#REF!</f>
        <v>#REF!</v>
      </c>
      <c r="M46" s="16">
        <v>498.33333333333331</v>
      </c>
      <c r="N46" s="13" t="e">
        <f t="shared" si="1"/>
        <v>#REF!</v>
      </c>
      <c r="O46" s="13" t="e">
        <f t="shared" si="2"/>
        <v>#REF!</v>
      </c>
      <c r="P46" s="74" t="str">
        <f t="shared" si="3"/>
        <v>SI</v>
      </c>
      <c r="Q46" s="75" t="s">
        <v>87</v>
      </c>
      <c r="R46" s="74" t="s">
        <v>88</v>
      </c>
      <c r="S46" s="13">
        <v>1737.8999999999999</v>
      </c>
      <c r="T46" s="74" t="s">
        <v>293</v>
      </c>
    </row>
    <row r="47" spans="1:20">
      <c r="A47" s="75" t="s">
        <v>89</v>
      </c>
      <c r="B47" s="74" t="s">
        <v>90</v>
      </c>
      <c r="C47" s="76" t="e">
        <f>+#REF!+#REF!+#REF!+#REF!+#REF!+#REF!+#REF!-#REF!</f>
        <v>#REF!</v>
      </c>
      <c r="D47" s="76">
        <v>0</v>
      </c>
      <c r="E47" s="13" t="e">
        <f t="shared" si="0"/>
        <v>#REF!</v>
      </c>
      <c r="F47" s="13" t="e">
        <f>+#REF!</f>
        <v>#REF!</v>
      </c>
      <c r="G47" s="13" t="e">
        <f>+#REF!</f>
        <v>#REF!</v>
      </c>
      <c r="H47" s="13" t="e">
        <f>+#REF!</f>
        <v>#REF!</v>
      </c>
      <c r="I47" s="13" t="e">
        <f>+#REF!</f>
        <v>#REF!</v>
      </c>
      <c r="J47" s="13" t="e">
        <f>+#REF!</f>
        <v>#REF!</v>
      </c>
      <c r="K47" s="13" t="e">
        <f>+#REF!</f>
        <v>#REF!</v>
      </c>
      <c r="L47" s="13" t="e">
        <f>+#REF!</f>
        <v>#REF!</v>
      </c>
      <c r="M47" s="16">
        <v>0</v>
      </c>
      <c r="N47" s="13" t="e">
        <f t="shared" si="1"/>
        <v>#REF!</v>
      </c>
      <c r="O47" s="13" t="e">
        <f t="shared" si="2"/>
        <v>#REF!</v>
      </c>
      <c r="P47" s="74" t="str">
        <f t="shared" si="3"/>
        <v>SI</v>
      </c>
      <c r="Q47" s="75" t="s">
        <v>89</v>
      </c>
      <c r="R47" s="74" t="s">
        <v>90</v>
      </c>
      <c r="S47" s="13">
        <v>2037.8999999999999</v>
      </c>
      <c r="T47" s="74" t="s">
        <v>326</v>
      </c>
    </row>
    <row r="48" spans="1:20">
      <c r="A48" s="75" t="s">
        <v>93</v>
      </c>
      <c r="B48" s="74" t="s">
        <v>94</v>
      </c>
      <c r="C48" s="76" t="e">
        <f>+#REF!+#REF!+#REF!+#REF!+#REF!+#REF!+#REF!-#REF!</f>
        <v>#REF!</v>
      </c>
      <c r="D48" s="76">
        <v>0</v>
      </c>
      <c r="E48" s="13" t="e">
        <f t="shared" si="0"/>
        <v>#REF!</v>
      </c>
      <c r="F48" s="13" t="e">
        <f>+#REF!</f>
        <v>#REF!</v>
      </c>
      <c r="G48" s="13" t="e">
        <f>+#REF!</f>
        <v>#REF!</v>
      </c>
      <c r="H48" s="13" t="e">
        <f>+#REF!</f>
        <v>#REF!</v>
      </c>
      <c r="I48" s="13" t="e">
        <f>+#REF!</f>
        <v>#REF!</v>
      </c>
      <c r="J48" s="13" t="e">
        <f>+#REF!</f>
        <v>#REF!</v>
      </c>
      <c r="K48" s="13" t="e">
        <f>+#REF!</f>
        <v>#REF!</v>
      </c>
      <c r="L48" s="13" t="e">
        <f>+#REF!</f>
        <v>#REF!</v>
      </c>
      <c r="M48" s="16">
        <v>0</v>
      </c>
      <c r="N48" s="13" t="e">
        <f t="shared" si="1"/>
        <v>#REF!</v>
      </c>
      <c r="O48" s="13" t="e">
        <f t="shared" si="2"/>
        <v>#REF!</v>
      </c>
      <c r="P48" s="74" t="str">
        <f t="shared" si="3"/>
        <v>SI</v>
      </c>
      <c r="Q48" s="75" t="s">
        <v>93</v>
      </c>
      <c r="R48" s="74" t="s">
        <v>94</v>
      </c>
      <c r="S48" s="13">
        <v>12865.611000000001</v>
      </c>
      <c r="T48" s="74" t="s">
        <v>317</v>
      </c>
    </row>
    <row r="49" spans="1:20">
      <c r="A49" s="75" t="s">
        <v>91</v>
      </c>
      <c r="B49" s="74" t="s">
        <v>92</v>
      </c>
      <c r="C49" s="76" t="e">
        <f>+#REF!+#REF!+#REF!+#REF!+#REF!+#REF!+#REF!-#REF!</f>
        <v>#REF!</v>
      </c>
      <c r="D49" s="76">
        <v>0</v>
      </c>
      <c r="E49" s="13" t="e">
        <f t="shared" si="0"/>
        <v>#REF!</v>
      </c>
      <c r="F49" s="13" t="e">
        <f>+#REF!</f>
        <v>#REF!</v>
      </c>
      <c r="G49" s="13" t="e">
        <f>+#REF!</f>
        <v>#REF!</v>
      </c>
      <c r="H49" s="13" t="e">
        <f>+#REF!</f>
        <v>#REF!</v>
      </c>
      <c r="I49" s="13" t="e">
        <f>+#REF!</f>
        <v>#REF!</v>
      </c>
      <c r="J49" s="13" t="e">
        <f>+#REF!</f>
        <v>#REF!</v>
      </c>
      <c r="K49" s="13" t="e">
        <f>+#REF!</f>
        <v>#REF!</v>
      </c>
      <c r="L49" s="13" t="e">
        <f>+#REF!</f>
        <v>#REF!</v>
      </c>
      <c r="M49" s="16">
        <v>0</v>
      </c>
      <c r="N49" s="13" t="e">
        <f t="shared" si="1"/>
        <v>#REF!</v>
      </c>
      <c r="O49" s="13" t="e">
        <f t="shared" si="2"/>
        <v>#REF!</v>
      </c>
      <c r="P49" s="74" t="str">
        <f t="shared" si="3"/>
        <v>SI</v>
      </c>
      <c r="Q49" s="75" t="s">
        <v>91</v>
      </c>
      <c r="R49" s="74" t="s">
        <v>92</v>
      </c>
      <c r="S49" s="13">
        <v>7626.0629999999992</v>
      </c>
      <c r="T49" s="74" t="s">
        <v>322</v>
      </c>
    </row>
    <row r="50" spans="1:20">
      <c r="A50" s="75" t="s">
        <v>95</v>
      </c>
      <c r="B50" s="74" t="s">
        <v>96</v>
      </c>
      <c r="C50" s="76" t="e">
        <f>+#REF!+#REF!+#REF!+#REF!+#REF!+#REF!+#REF!-#REF!</f>
        <v>#REF!</v>
      </c>
      <c r="D50" s="76">
        <v>0</v>
      </c>
      <c r="E50" s="13" t="e">
        <f t="shared" si="0"/>
        <v>#REF!</v>
      </c>
      <c r="F50" s="13" t="e">
        <f>+#REF!</f>
        <v>#REF!</v>
      </c>
      <c r="G50" s="13" t="e">
        <f>+#REF!</f>
        <v>#REF!</v>
      </c>
      <c r="H50" s="13" t="e">
        <f>+#REF!</f>
        <v>#REF!</v>
      </c>
      <c r="I50" s="13" t="e">
        <f>+#REF!</f>
        <v>#REF!</v>
      </c>
      <c r="J50" s="13" t="e">
        <f>+#REF!</f>
        <v>#REF!</v>
      </c>
      <c r="K50" s="13" t="e">
        <f>+#REF!</f>
        <v>#REF!</v>
      </c>
      <c r="L50" s="13" t="e">
        <f>+#REF!</f>
        <v>#REF!</v>
      </c>
      <c r="M50" s="16">
        <v>0</v>
      </c>
      <c r="N50" s="13" t="e">
        <f t="shared" si="1"/>
        <v>#REF!</v>
      </c>
      <c r="O50" s="13" t="e">
        <f t="shared" si="2"/>
        <v>#REF!</v>
      </c>
      <c r="P50" s="74" t="str">
        <f t="shared" si="3"/>
        <v>SI</v>
      </c>
      <c r="Q50" s="75" t="s">
        <v>95</v>
      </c>
      <c r="R50" s="74" t="s">
        <v>96</v>
      </c>
      <c r="S50" s="13">
        <v>1908.18</v>
      </c>
      <c r="T50" s="74" t="s">
        <v>333</v>
      </c>
    </row>
    <row r="51" spans="1:20">
      <c r="A51" s="75" t="s">
        <v>97</v>
      </c>
      <c r="B51" s="74" t="s">
        <v>98</v>
      </c>
      <c r="C51" s="76" t="e">
        <f>+#REF!+#REF!+#REF!+#REF!+#REF!+#REF!+#REF!-#REF!</f>
        <v>#REF!</v>
      </c>
      <c r="D51" s="76">
        <v>0</v>
      </c>
      <c r="E51" s="13" t="e">
        <f t="shared" si="0"/>
        <v>#REF!</v>
      </c>
      <c r="F51" s="13" t="e">
        <f>+#REF!</f>
        <v>#REF!</v>
      </c>
      <c r="G51" s="13" t="e">
        <f>+#REF!</f>
        <v>#REF!</v>
      </c>
      <c r="H51" s="13" t="e">
        <f>+#REF!</f>
        <v>#REF!</v>
      </c>
      <c r="I51" s="13" t="e">
        <f>+#REF!</f>
        <v>#REF!</v>
      </c>
      <c r="J51" s="13" t="e">
        <f>+#REF!</f>
        <v>#REF!</v>
      </c>
      <c r="K51" s="13" t="e">
        <f>+#REF!</f>
        <v>#REF!</v>
      </c>
      <c r="L51" s="13" t="e">
        <f>+#REF!</f>
        <v>#REF!</v>
      </c>
      <c r="M51" s="16">
        <v>0</v>
      </c>
      <c r="N51" s="13" t="e">
        <f t="shared" si="1"/>
        <v>#REF!</v>
      </c>
      <c r="O51" s="13" t="e">
        <f t="shared" si="2"/>
        <v>#REF!</v>
      </c>
      <c r="P51" s="74" t="str">
        <f t="shared" si="3"/>
        <v>SI</v>
      </c>
      <c r="Q51" s="75" t="s">
        <v>97</v>
      </c>
      <c r="R51" s="74" t="s">
        <v>98</v>
      </c>
      <c r="S51" s="13">
        <v>5472.183</v>
      </c>
      <c r="T51" s="74" t="s">
        <v>312</v>
      </c>
    </row>
    <row r="52" spans="1:20">
      <c r="A52" s="75" t="s">
        <v>99</v>
      </c>
      <c r="B52" s="74" t="s">
        <v>100</v>
      </c>
      <c r="C52" s="76" t="e">
        <f>+#REF!+#REF!+#REF!+#REF!+#REF!+#REF!+#REF!-#REF!</f>
        <v>#REF!</v>
      </c>
      <c r="D52" s="76">
        <v>0</v>
      </c>
      <c r="E52" s="13" t="e">
        <f t="shared" si="0"/>
        <v>#REF!</v>
      </c>
      <c r="F52" s="13" t="e">
        <f>+#REF!</f>
        <v>#REF!</v>
      </c>
      <c r="G52" s="13" t="e">
        <f>+#REF!</f>
        <v>#REF!</v>
      </c>
      <c r="H52" s="13" t="e">
        <f>+#REF!</f>
        <v>#REF!</v>
      </c>
      <c r="I52" s="13" t="e">
        <f>+#REF!</f>
        <v>#REF!</v>
      </c>
      <c r="J52" s="13" t="e">
        <f>+#REF!</f>
        <v>#REF!</v>
      </c>
      <c r="K52" s="13" t="e">
        <f>+#REF!</f>
        <v>#REF!</v>
      </c>
      <c r="L52" s="13" t="e">
        <f>+#REF!</f>
        <v>#REF!</v>
      </c>
      <c r="M52" s="16">
        <v>0</v>
      </c>
      <c r="N52" s="13" t="e">
        <f t="shared" si="1"/>
        <v>#REF!</v>
      </c>
      <c r="O52" s="13" t="e">
        <f t="shared" si="2"/>
        <v>#REF!</v>
      </c>
      <c r="P52" s="74" t="str">
        <f t="shared" si="3"/>
        <v>SI</v>
      </c>
      <c r="Q52" s="75" t="s">
        <v>99</v>
      </c>
      <c r="R52" s="74" t="s">
        <v>100</v>
      </c>
      <c r="S52" s="13">
        <v>1713.05</v>
      </c>
      <c r="T52" s="74" t="s">
        <v>303</v>
      </c>
    </row>
    <row r="53" spans="1:20">
      <c r="A53" s="75" t="s">
        <v>101</v>
      </c>
      <c r="B53" s="74" t="s">
        <v>102</v>
      </c>
      <c r="C53" s="76" t="e">
        <f>+#REF!+#REF!+#REF!+#REF!+#REF!+#REF!+#REF!-#REF!</f>
        <v>#REF!</v>
      </c>
      <c r="D53" s="76">
        <v>0</v>
      </c>
      <c r="E53" s="13" t="e">
        <f t="shared" si="0"/>
        <v>#REF!</v>
      </c>
      <c r="F53" s="13" t="e">
        <f>+#REF!</f>
        <v>#REF!</v>
      </c>
      <c r="G53" s="13" t="e">
        <f>+#REF!</f>
        <v>#REF!</v>
      </c>
      <c r="H53" s="13" t="e">
        <f>+#REF!</f>
        <v>#REF!</v>
      </c>
      <c r="I53" s="13" t="e">
        <f>+#REF!</f>
        <v>#REF!</v>
      </c>
      <c r="J53" s="13" t="e">
        <f>+#REF!</f>
        <v>#REF!</v>
      </c>
      <c r="K53" s="13" t="e">
        <f>+#REF!</f>
        <v>#REF!</v>
      </c>
      <c r="L53" s="13" t="e">
        <f>+#REF!</f>
        <v>#REF!</v>
      </c>
      <c r="M53" s="16">
        <v>600</v>
      </c>
      <c r="N53" s="13" t="e">
        <f t="shared" si="1"/>
        <v>#REF!</v>
      </c>
      <c r="O53" s="13" t="e">
        <f t="shared" si="2"/>
        <v>#REF!</v>
      </c>
      <c r="P53" s="74" t="str">
        <f t="shared" si="3"/>
        <v>SI</v>
      </c>
      <c r="Q53" s="75" t="s">
        <v>101</v>
      </c>
      <c r="R53" s="74" t="s">
        <v>102</v>
      </c>
      <c r="S53" s="13">
        <v>3312.183</v>
      </c>
      <c r="T53" s="74" t="s">
        <v>314</v>
      </c>
    </row>
    <row r="54" spans="1:20">
      <c r="A54" s="75" t="s">
        <v>103</v>
      </c>
      <c r="B54" s="74" t="s">
        <v>104</v>
      </c>
      <c r="C54" s="76" t="e">
        <f>+#REF!+#REF!+#REF!+#REF!+#REF!+#REF!+#REF!-#REF!</f>
        <v>#REF!</v>
      </c>
      <c r="D54" s="76">
        <v>0</v>
      </c>
      <c r="E54" s="13" t="e">
        <f t="shared" si="0"/>
        <v>#REF!</v>
      </c>
      <c r="F54" s="13" t="e">
        <f>+#REF!</f>
        <v>#REF!</v>
      </c>
      <c r="G54" s="13" t="e">
        <f>+#REF!</f>
        <v>#REF!</v>
      </c>
      <c r="H54" s="13" t="e">
        <f>+#REF!</f>
        <v>#REF!</v>
      </c>
      <c r="I54" s="13" t="e">
        <f>+#REF!</f>
        <v>#REF!</v>
      </c>
      <c r="J54" s="13" t="e">
        <f>+#REF!</f>
        <v>#REF!</v>
      </c>
      <c r="K54" s="13" t="e">
        <f>+#REF!</f>
        <v>#REF!</v>
      </c>
      <c r="L54" s="13" t="e">
        <f>+#REF!</f>
        <v>#REF!</v>
      </c>
      <c r="M54" s="16">
        <v>0</v>
      </c>
      <c r="N54" s="13" t="e">
        <f t="shared" si="1"/>
        <v>#REF!</v>
      </c>
      <c r="O54" s="13" t="e">
        <f t="shared" si="2"/>
        <v>#REF!</v>
      </c>
      <c r="P54" s="74" t="str">
        <f t="shared" si="3"/>
        <v>SI</v>
      </c>
      <c r="Q54" s="75" t="s">
        <v>103</v>
      </c>
      <c r="R54" s="74" t="s">
        <v>104</v>
      </c>
      <c r="S54" s="13">
        <v>1459.6900000000003</v>
      </c>
      <c r="T54" s="74" t="s">
        <v>318</v>
      </c>
    </row>
    <row r="55" spans="1:20">
      <c r="A55" s="75" t="s">
        <v>105</v>
      </c>
      <c r="B55" s="74" t="s">
        <v>106</v>
      </c>
      <c r="C55" s="76" t="e">
        <f>+#REF!+#REF!+#REF!+#REF!+#REF!+#REF!+#REF!-#REF!</f>
        <v>#REF!</v>
      </c>
      <c r="D55" s="76">
        <v>0</v>
      </c>
      <c r="E55" s="13" t="e">
        <f t="shared" si="0"/>
        <v>#REF!</v>
      </c>
      <c r="F55" s="13" t="e">
        <f>+#REF!</f>
        <v>#REF!</v>
      </c>
      <c r="G55" s="13" t="e">
        <f>+#REF!</f>
        <v>#REF!</v>
      </c>
      <c r="H55" s="13" t="e">
        <f>+#REF!</f>
        <v>#REF!</v>
      </c>
      <c r="I55" s="13" t="e">
        <f>+#REF!</f>
        <v>#REF!</v>
      </c>
      <c r="J55" s="13" t="e">
        <f>+#REF!</f>
        <v>#REF!</v>
      </c>
      <c r="K55" s="13" t="e">
        <f>+#REF!</f>
        <v>#REF!</v>
      </c>
      <c r="L55" s="13" t="e">
        <f>+#REF!</f>
        <v>#REF!</v>
      </c>
      <c r="M55" s="16">
        <v>0</v>
      </c>
      <c r="N55" s="13" t="e">
        <f t="shared" si="1"/>
        <v>#REF!</v>
      </c>
      <c r="O55" s="13" t="e">
        <f t="shared" si="2"/>
        <v>#REF!</v>
      </c>
      <c r="P55" s="74" t="str">
        <f t="shared" si="3"/>
        <v>SI</v>
      </c>
      <c r="Q55" s="75" t="s">
        <v>105</v>
      </c>
      <c r="R55" s="74" t="s">
        <v>106</v>
      </c>
      <c r="S55" s="13">
        <v>4686.5280000000002</v>
      </c>
      <c r="T55" s="74" t="s">
        <v>288</v>
      </c>
    </row>
    <row r="56" spans="1:20">
      <c r="A56" s="75" t="s">
        <v>107</v>
      </c>
      <c r="B56" s="74" t="s">
        <v>108</v>
      </c>
      <c r="C56" s="76" t="e">
        <f>+#REF!+#REF!+#REF!+#REF!+#REF!+#REF!+#REF!-#REF!</f>
        <v>#REF!</v>
      </c>
      <c r="D56" s="76">
        <v>0</v>
      </c>
      <c r="E56" s="13" t="e">
        <f t="shared" si="0"/>
        <v>#REF!</v>
      </c>
      <c r="F56" s="13" t="e">
        <f>+#REF!</f>
        <v>#REF!</v>
      </c>
      <c r="G56" s="13" t="e">
        <f>+#REF!</f>
        <v>#REF!</v>
      </c>
      <c r="H56" s="13" t="e">
        <f>+#REF!</f>
        <v>#REF!</v>
      </c>
      <c r="I56" s="13" t="e">
        <f>+#REF!</f>
        <v>#REF!</v>
      </c>
      <c r="J56" s="13" t="e">
        <f>+#REF!</f>
        <v>#REF!</v>
      </c>
      <c r="K56" s="13" t="e">
        <f>+#REF!</f>
        <v>#REF!</v>
      </c>
      <c r="L56" s="13" t="e">
        <f>+#REF!</f>
        <v>#REF!</v>
      </c>
      <c r="M56" s="16">
        <v>0</v>
      </c>
      <c r="N56" s="13" t="e">
        <f t="shared" si="1"/>
        <v>#REF!</v>
      </c>
      <c r="O56" s="13" t="e">
        <f t="shared" si="2"/>
        <v>#REF!</v>
      </c>
      <c r="P56" s="74" t="str">
        <f t="shared" si="3"/>
        <v>SI</v>
      </c>
      <c r="Q56" s="75" t="s">
        <v>107</v>
      </c>
      <c r="R56" s="74" t="s">
        <v>108</v>
      </c>
      <c r="S56" s="13">
        <v>437.07000000000039</v>
      </c>
      <c r="T56" s="74" t="s">
        <v>328</v>
      </c>
    </row>
    <row r="57" spans="1:20">
      <c r="A57" s="75" t="s">
        <v>109</v>
      </c>
      <c r="B57" s="74" t="s">
        <v>110</v>
      </c>
      <c r="C57" s="76" t="e">
        <f>+#REF!+#REF!+#REF!+#REF!+#REF!+#REF!+#REF!-#REF!</f>
        <v>#REF!</v>
      </c>
      <c r="D57" s="76">
        <v>0</v>
      </c>
      <c r="E57" s="13" t="e">
        <f t="shared" si="0"/>
        <v>#REF!</v>
      </c>
      <c r="F57" s="13" t="e">
        <f>+#REF!</f>
        <v>#REF!</v>
      </c>
      <c r="G57" s="13" t="e">
        <f>+#REF!</f>
        <v>#REF!</v>
      </c>
      <c r="H57" s="13" t="e">
        <f>+#REF!</f>
        <v>#REF!</v>
      </c>
      <c r="I57" s="13" t="e">
        <f>+#REF!</f>
        <v>#REF!</v>
      </c>
      <c r="J57" s="13" t="e">
        <f>+#REF!</f>
        <v>#REF!</v>
      </c>
      <c r="K57" s="13" t="e">
        <f>+#REF!</f>
        <v>#REF!</v>
      </c>
      <c r="L57" s="13" t="e">
        <f>+#REF!</f>
        <v>#REF!</v>
      </c>
      <c r="M57" s="16">
        <v>0</v>
      </c>
      <c r="N57" s="13" t="e">
        <f t="shared" si="1"/>
        <v>#REF!</v>
      </c>
      <c r="O57" s="13" t="e">
        <f t="shared" si="2"/>
        <v>#REF!</v>
      </c>
      <c r="P57" s="74" t="str">
        <f t="shared" si="3"/>
        <v>SI</v>
      </c>
      <c r="Q57" s="75" t="s">
        <v>109</v>
      </c>
      <c r="R57" s="74" t="s">
        <v>110</v>
      </c>
      <c r="S57" s="13">
        <v>14659.040999999997</v>
      </c>
      <c r="T57" s="74" t="s">
        <v>296</v>
      </c>
    </row>
    <row r="58" spans="1:20">
      <c r="A58" s="75" t="s">
        <v>111</v>
      </c>
      <c r="B58" s="74" t="s">
        <v>112</v>
      </c>
      <c r="C58" s="76" t="e">
        <f>+#REF!+#REF!+#REF!+#REF!+#REF!+#REF!+#REF!-#REF!</f>
        <v>#REF!</v>
      </c>
      <c r="D58" s="76">
        <v>0</v>
      </c>
      <c r="E58" s="13" t="e">
        <f t="shared" si="0"/>
        <v>#REF!</v>
      </c>
      <c r="F58" s="13" t="e">
        <f>+#REF!</f>
        <v>#REF!</v>
      </c>
      <c r="G58" s="13" t="e">
        <f>+#REF!</f>
        <v>#REF!</v>
      </c>
      <c r="H58" s="13" t="e">
        <f>+#REF!</f>
        <v>#REF!</v>
      </c>
      <c r="I58" s="13" t="e">
        <f>+#REF!</f>
        <v>#REF!</v>
      </c>
      <c r="J58" s="13" t="e">
        <f>+#REF!</f>
        <v>#REF!</v>
      </c>
      <c r="K58" s="13" t="e">
        <f>+#REF!</f>
        <v>#REF!</v>
      </c>
      <c r="L58" s="13" t="e">
        <f>+#REF!</f>
        <v>#REF!</v>
      </c>
      <c r="M58" s="16">
        <v>0</v>
      </c>
      <c r="N58" s="13" t="e">
        <f t="shared" si="1"/>
        <v>#REF!</v>
      </c>
      <c r="O58" s="13" t="e">
        <f t="shared" si="2"/>
        <v>#REF!</v>
      </c>
      <c r="P58" s="74" t="str">
        <f t="shared" si="3"/>
        <v>SI</v>
      </c>
      <c r="Q58" s="75" t="s">
        <v>111</v>
      </c>
      <c r="R58" s="74" t="s">
        <v>112</v>
      </c>
      <c r="S58" s="13">
        <v>1708.18</v>
      </c>
      <c r="T58" s="74" t="s">
        <v>321</v>
      </c>
    </row>
    <row r="59" spans="1:20">
      <c r="A59" s="75" t="s">
        <v>113</v>
      </c>
      <c r="B59" s="74" t="s">
        <v>114</v>
      </c>
      <c r="C59" s="76" t="e">
        <f>+#REF!+#REF!+#REF!+#REF!+#REF!+#REF!+#REF!-#REF!</f>
        <v>#REF!</v>
      </c>
      <c r="D59" s="76">
        <v>0</v>
      </c>
      <c r="E59" s="13" t="e">
        <f t="shared" si="0"/>
        <v>#REF!</v>
      </c>
      <c r="F59" s="13" t="e">
        <f>+#REF!</f>
        <v>#REF!</v>
      </c>
      <c r="G59" s="13" t="e">
        <f>+#REF!</f>
        <v>#REF!</v>
      </c>
      <c r="H59" s="13" t="e">
        <f>+#REF!</f>
        <v>#REF!</v>
      </c>
      <c r="I59" s="13" t="e">
        <f>+#REF!</f>
        <v>#REF!</v>
      </c>
      <c r="J59" s="13" t="e">
        <f>+#REF!</f>
        <v>#REF!</v>
      </c>
      <c r="K59" s="13" t="e">
        <f>+#REF!</f>
        <v>#REF!</v>
      </c>
      <c r="L59" s="13" t="e">
        <f>+#REF!</f>
        <v>#REF!</v>
      </c>
      <c r="M59" s="16">
        <v>650</v>
      </c>
      <c r="N59" s="13" t="e">
        <f t="shared" si="1"/>
        <v>#REF!</v>
      </c>
      <c r="O59" s="13" t="e">
        <f t="shared" si="2"/>
        <v>#REF!</v>
      </c>
      <c r="P59" s="74" t="str">
        <f t="shared" si="3"/>
        <v>SI</v>
      </c>
      <c r="Q59" s="75" t="s">
        <v>113</v>
      </c>
      <c r="R59" s="74" t="s">
        <v>114</v>
      </c>
      <c r="S59" s="13">
        <v>5472.183</v>
      </c>
      <c r="T59" s="74" t="s">
        <v>332</v>
      </c>
    </row>
    <row r="60" spans="1:20">
      <c r="A60" s="75" t="s">
        <v>115</v>
      </c>
      <c r="B60" s="74" t="s">
        <v>116</v>
      </c>
      <c r="C60" s="76" t="e">
        <f>+#REF!+#REF!+#REF!+#REF!+#REF!+#REF!+#REF!-#REF!</f>
        <v>#REF!</v>
      </c>
      <c r="D60" s="76">
        <v>0</v>
      </c>
      <c r="E60" s="13" t="e">
        <f t="shared" si="0"/>
        <v>#REF!</v>
      </c>
      <c r="F60" s="13" t="e">
        <f>+#REF!</f>
        <v>#REF!</v>
      </c>
      <c r="G60" s="13" t="e">
        <f>+#REF!</f>
        <v>#REF!</v>
      </c>
      <c r="H60" s="13" t="e">
        <f>+#REF!</f>
        <v>#REF!</v>
      </c>
      <c r="I60" s="13" t="e">
        <f>+#REF!</f>
        <v>#REF!</v>
      </c>
      <c r="J60" s="13" t="e">
        <f>+#REF!</f>
        <v>#REF!</v>
      </c>
      <c r="K60" s="13" t="e">
        <f>+#REF!</f>
        <v>#REF!</v>
      </c>
      <c r="L60" s="13" t="e">
        <f>+#REF!</f>
        <v>#REF!</v>
      </c>
      <c r="M60" s="16">
        <v>0</v>
      </c>
      <c r="N60" s="13" t="e">
        <f t="shared" si="1"/>
        <v>#REF!</v>
      </c>
      <c r="O60" s="13" t="e">
        <f t="shared" si="2"/>
        <v>#REF!</v>
      </c>
      <c r="P60" s="74" t="str">
        <f t="shared" si="3"/>
        <v>SI</v>
      </c>
      <c r="Q60" s="75" t="s">
        <v>115</v>
      </c>
      <c r="R60" s="74" t="s">
        <v>116</v>
      </c>
      <c r="S60" s="13">
        <v>1908.18</v>
      </c>
      <c r="T60" s="74" t="s">
        <v>287</v>
      </c>
    </row>
    <row r="61" spans="1:20">
      <c r="A61" s="75" t="s">
        <v>117</v>
      </c>
      <c r="B61" s="74" t="s">
        <v>118</v>
      </c>
      <c r="C61" s="76" t="e">
        <f>+#REF!+#REF!+#REF!+#REF!+#REF!+#REF!+#REF!-#REF!</f>
        <v>#REF!</v>
      </c>
      <c r="D61" s="76">
        <v>0</v>
      </c>
      <c r="E61" s="13" t="e">
        <f t="shared" si="0"/>
        <v>#REF!</v>
      </c>
      <c r="F61" s="13" t="e">
        <f>+#REF!</f>
        <v>#REF!</v>
      </c>
      <c r="G61" s="13" t="e">
        <f>+#REF!</f>
        <v>#REF!</v>
      </c>
      <c r="H61" s="13" t="e">
        <f>+#REF!</f>
        <v>#REF!</v>
      </c>
      <c r="I61" s="13" t="e">
        <f>+#REF!</f>
        <v>#REF!</v>
      </c>
      <c r="J61" s="13" t="e">
        <f>+#REF!</f>
        <v>#REF!</v>
      </c>
      <c r="K61" s="13" t="e">
        <f>+#REF!</f>
        <v>#REF!</v>
      </c>
      <c r="L61" s="13" t="e">
        <f>+#REF!</f>
        <v>#REF!</v>
      </c>
      <c r="M61" s="16">
        <v>0</v>
      </c>
      <c r="N61" s="13" t="e">
        <f t="shared" si="1"/>
        <v>#REF!</v>
      </c>
      <c r="O61" s="13" t="e">
        <f t="shared" si="2"/>
        <v>#REF!</v>
      </c>
      <c r="P61" s="74" t="str">
        <f t="shared" si="3"/>
        <v>SI</v>
      </c>
      <c r="Q61" s="75" t="s">
        <v>117</v>
      </c>
      <c r="R61" s="74" t="s">
        <v>118</v>
      </c>
      <c r="S61" s="13">
        <v>1408.1</v>
      </c>
      <c r="T61" s="74" t="s">
        <v>323</v>
      </c>
    </row>
    <row r="62" spans="1:20" ht="15">
      <c r="A62" s="75" t="s">
        <v>152</v>
      </c>
      <c r="B62" s="74" t="s">
        <v>14</v>
      </c>
      <c r="C62" s="76" t="e">
        <f>+#REF!+#REF!+#REF!+#REF!+#REF!+#REF!+#REF!-#REF!</f>
        <v>#REF!</v>
      </c>
      <c r="D62" s="76">
        <v>0</v>
      </c>
      <c r="E62" s="13" t="e">
        <f t="shared" si="0"/>
        <v>#REF!</v>
      </c>
      <c r="F62" s="13" t="e">
        <f>+#REF!</f>
        <v>#REF!</v>
      </c>
      <c r="G62" s="13" t="e">
        <f>+#REF!</f>
        <v>#REF!</v>
      </c>
      <c r="H62" s="13" t="e">
        <f>+#REF!</f>
        <v>#REF!</v>
      </c>
      <c r="I62" s="13" t="e">
        <f>+#REF!</f>
        <v>#REF!</v>
      </c>
      <c r="J62" s="13" t="e">
        <f>+#REF!</f>
        <v>#REF!</v>
      </c>
      <c r="K62" s="13" t="e">
        <f>+#REF!</f>
        <v>#REF!</v>
      </c>
      <c r="L62" s="13" t="e">
        <f>+#REF!</f>
        <v>#REF!</v>
      </c>
      <c r="M62" s="16">
        <v>555.6</v>
      </c>
      <c r="N62" s="13" t="e">
        <f t="shared" si="1"/>
        <v>#REF!</v>
      </c>
      <c r="O62" s="13" t="e">
        <f t="shared" si="2"/>
        <v>#REF!</v>
      </c>
      <c r="P62" s="74" t="str">
        <f t="shared" si="3"/>
        <v>SI</v>
      </c>
      <c r="Q62" s="75" t="s">
        <v>152</v>
      </c>
      <c r="R62" s="74" t="s">
        <v>14</v>
      </c>
      <c r="S62" s="13">
        <v>3262.8</v>
      </c>
      <c r="T62" s="78">
        <v>2952243423</v>
      </c>
    </row>
    <row r="63" spans="1:20">
      <c r="A63" s="75" t="s">
        <v>119</v>
      </c>
      <c r="B63" s="74" t="s">
        <v>120</v>
      </c>
      <c r="C63" s="76" t="e">
        <f>+#REF!+#REF!+#REF!+#REF!+#REF!+#REF!+#REF!-#REF!</f>
        <v>#REF!</v>
      </c>
      <c r="D63" s="76">
        <v>0</v>
      </c>
      <c r="E63" s="13" t="e">
        <f t="shared" si="0"/>
        <v>#REF!</v>
      </c>
      <c r="F63" s="13" t="e">
        <f>+#REF!</f>
        <v>#REF!</v>
      </c>
      <c r="G63" s="13" t="e">
        <f>+#REF!</f>
        <v>#REF!</v>
      </c>
      <c r="H63" s="13" t="e">
        <f>+#REF!</f>
        <v>#REF!</v>
      </c>
      <c r="I63" s="13" t="e">
        <f>+#REF!</f>
        <v>#REF!</v>
      </c>
      <c r="J63" s="13" t="e">
        <f>+#REF!</f>
        <v>#REF!</v>
      </c>
      <c r="K63" s="13" t="e">
        <f>+#REF!</f>
        <v>#REF!</v>
      </c>
      <c r="L63" s="13" t="e">
        <f>+#REF!</f>
        <v>#REF!</v>
      </c>
      <c r="M63" s="16">
        <v>693.5</v>
      </c>
      <c r="N63" s="13" t="e">
        <f t="shared" si="1"/>
        <v>#REF!</v>
      </c>
      <c r="O63" s="13" t="e">
        <f t="shared" si="2"/>
        <v>#REF!</v>
      </c>
      <c r="P63" s="74" t="str">
        <f t="shared" si="3"/>
        <v>SI</v>
      </c>
      <c r="Q63" s="75" t="s">
        <v>119</v>
      </c>
      <c r="R63" s="74" t="s">
        <v>120</v>
      </c>
      <c r="S63" s="13">
        <v>4925.7480000000005</v>
      </c>
      <c r="T63" s="74" t="s">
        <v>289</v>
      </c>
    </row>
    <row r="64" spans="1:20">
      <c r="A64" s="75" t="s">
        <v>121</v>
      </c>
      <c r="B64" s="74" t="s">
        <v>122</v>
      </c>
      <c r="C64" s="76" t="e">
        <f>+#REF!+#REF!+#REF!+#REF!+#REF!+#REF!+#REF!-#REF!</f>
        <v>#REF!</v>
      </c>
      <c r="D64" s="76">
        <v>0</v>
      </c>
      <c r="E64" s="13" t="e">
        <f t="shared" si="0"/>
        <v>#REF!</v>
      </c>
      <c r="F64" s="13" t="e">
        <f>+#REF!</f>
        <v>#REF!</v>
      </c>
      <c r="G64" s="13" t="e">
        <f>+#REF!</f>
        <v>#REF!</v>
      </c>
      <c r="H64" s="13" t="e">
        <f>+#REF!</f>
        <v>#REF!</v>
      </c>
      <c r="I64" s="13" t="e">
        <f>+#REF!</f>
        <v>#REF!</v>
      </c>
      <c r="J64" s="13" t="e">
        <f>+#REF!</f>
        <v>#REF!</v>
      </c>
      <c r="K64" s="13" t="e">
        <f>+#REF!</f>
        <v>#REF!</v>
      </c>
      <c r="L64" s="13" t="e">
        <f>+#REF!</f>
        <v>#REF!</v>
      </c>
      <c r="M64" s="16">
        <v>2000</v>
      </c>
      <c r="N64" s="13" t="e">
        <f t="shared" si="1"/>
        <v>#REF!</v>
      </c>
      <c r="O64" s="13" t="e">
        <f t="shared" si="2"/>
        <v>#REF!</v>
      </c>
      <c r="P64" s="74" t="str">
        <f t="shared" si="3"/>
        <v>SI</v>
      </c>
      <c r="Q64" s="75" t="s">
        <v>121</v>
      </c>
      <c r="R64" s="74" t="s">
        <v>122</v>
      </c>
      <c r="S64" s="13">
        <v>131509.55499999999</v>
      </c>
      <c r="T64" s="74" t="s">
        <v>284</v>
      </c>
    </row>
    <row r="65" spans="1:15">
      <c r="A65" s="26"/>
      <c r="B65" s="74"/>
      <c r="C65" s="25"/>
      <c r="D65" s="25"/>
      <c r="E65" s="25"/>
      <c r="F65" s="25"/>
      <c r="G65" s="25"/>
      <c r="K65" s="8"/>
      <c r="L65" s="8"/>
      <c r="M65" s="8"/>
      <c r="N65" s="76"/>
      <c r="O65" s="76"/>
    </row>
    <row r="66" spans="1:15">
      <c r="K66" s="8"/>
      <c r="L66" s="8"/>
      <c r="M66" s="8"/>
      <c r="N66" s="8"/>
      <c r="O66" s="8"/>
    </row>
    <row r="67" spans="1:15">
      <c r="A67" s="23"/>
      <c r="B67" s="21"/>
      <c r="C67" s="21" t="s">
        <v>15</v>
      </c>
      <c r="D67" s="21" t="s">
        <v>15</v>
      </c>
      <c r="E67" s="21" t="s">
        <v>15</v>
      </c>
      <c r="F67" s="21" t="s">
        <v>15</v>
      </c>
      <c r="G67" s="21" t="s">
        <v>15</v>
      </c>
      <c r="H67" s="21" t="s">
        <v>15</v>
      </c>
      <c r="I67" s="21" t="s">
        <v>15</v>
      </c>
      <c r="J67" s="21" t="s">
        <v>15</v>
      </c>
      <c r="K67" s="21" t="s">
        <v>15</v>
      </c>
      <c r="L67" s="21" t="s">
        <v>15</v>
      </c>
      <c r="M67" s="21" t="s">
        <v>15</v>
      </c>
      <c r="N67" s="21" t="s">
        <v>15</v>
      </c>
      <c r="O67" s="21" t="s">
        <v>15</v>
      </c>
    </row>
    <row r="68" spans="1:15">
      <c r="A68" s="26" t="s">
        <v>16</v>
      </c>
      <c r="B68" s="74" t="s">
        <v>17</v>
      </c>
      <c r="C68" s="25" t="e">
        <f>SUM(C10:C67)</f>
        <v>#REF!</v>
      </c>
      <c r="D68" s="25">
        <f t="shared" ref="D68:O68" si="4">SUM(D10:D67)</f>
        <v>0</v>
      </c>
      <c r="E68" s="25" t="e">
        <f t="shared" si="4"/>
        <v>#REF!</v>
      </c>
      <c r="F68" s="25" t="e">
        <f t="shared" si="4"/>
        <v>#REF!</v>
      </c>
      <c r="G68" s="25" t="e">
        <f t="shared" si="4"/>
        <v>#REF!</v>
      </c>
      <c r="H68" s="25" t="e">
        <f t="shared" si="4"/>
        <v>#REF!</v>
      </c>
      <c r="I68" s="25" t="e">
        <f t="shared" si="4"/>
        <v>#REF!</v>
      </c>
      <c r="J68" s="25" t="e">
        <f t="shared" si="4"/>
        <v>#REF!</v>
      </c>
      <c r="K68" s="25" t="e">
        <f t="shared" si="4"/>
        <v>#REF!</v>
      </c>
      <c r="L68" s="25" t="e">
        <f t="shared" si="4"/>
        <v>#REF!</v>
      </c>
      <c r="M68" s="25">
        <f t="shared" si="4"/>
        <v>9727.0333333333328</v>
      </c>
      <c r="N68" s="25" t="e">
        <f t="shared" si="4"/>
        <v>#REF!</v>
      </c>
      <c r="O68" s="25" t="e">
        <f t="shared" si="4"/>
        <v>#REF!</v>
      </c>
    </row>
    <row r="69" spans="1:15" s="21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s="1" customFormat="1" ht="15">
      <c r="A70" s="32"/>
      <c r="B70" s="32"/>
      <c r="C70" s="74" t="s">
        <v>17</v>
      </c>
      <c r="D70" s="74" t="s">
        <v>17</v>
      </c>
      <c r="E70" s="74" t="s">
        <v>17</v>
      </c>
      <c r="F70" s="74"/>
      <c r="G70" s="74"/>
      <c r="H70" s="74" t="s">
        <v>17</v>
      </c>
      <c r="I70" s="74"/>
      <c r="J70" s="74"/>
      <c r="K70" s="74"/>
      <c r="L70" s="74" t="s">
        <v>17</v>
      </c>
      <c r="M70" s="74"/>
      <c r="N70" s="74" t="s">
        <v>17</v>
      </c>
      <c r="O70" s="74" t="s">
        <v>17</v>
      </c>
    </row>
    <row r="71" spans="1:15">
      <c r="A71" s="75" t="s">
        <v>17</v>
      </c>
      <c r="B71" s="74" t="s">
        <v>17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>
      <c r="K72" s="8"/>
      <c r="L72" s="8"/>
      <c r="M72" s="8"/>
      <c r="N72" s="8"/>
      <c r="O72" s="8"/>
    </row>
    <row r="73" spans="1:15">
      <c r="K73" s="8"/>
      <c r="L73" s="8"/>
      <c r="M73" s="8"/>
      <c r="N73" s="8"/>
      <c r="O73" s="8"/>
    </row>
    <row r="74" spans="1:15">
      <c r="K74" s="8"/>
      <c r="L74" s="8"/>
      <c r="M74" s="8"/>
    </row>
    <row r="75" spans="1:15">
      <c r="K75" s="8"/>
      <c r="L75" s="8"/>
    </row>
    <row r="76" spans="1:15">
      <c r="K76" s="8"/>
      <c r="L76" s="8"/>
    </row>
    <row r="78" spans="1:15">
      <c r="L78" s="21"/>
      <c r="M78" s="21"/>
      <c r="N78" s="21"/>
    </row>
    <row r="79" spans="1:15" ht="14.25">
      <c r="L79" s="1"/>
      <c r="M79" s="1"/>
      <c r="N79" s="1"/>
    </row>
  </sheetData>
  <mergeCells count="1">
    <mergeCell ref="B1:C1"/>
  </mergeCells>
  <pageMargins left="0.42" right="0.70866141732283472" top="0.42" bottom="0.46" header="0.31496062992125984" footer="0.31496062992125984"/>
  <pageSetup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INCIDENCIAS</vt:lpstr>
      <vt:lpstr>CELAYA</vt:lpstr>
      <vt:lpstr>QM</vt:lpstr>
      <vt:lpstr>TABLA SEMANAL</vt:lpstr>
      <vt:lpstr>TABLA QUINCENAL</vt:lpstr>
      <vt:lpstr>FACTORES FIJOS</vt:lpstr>
      <vt:lpstr>Hoja2</vt:lpstr>
      <vt:lpstr>C&amp;A BANCOS</vt:lpstr>
      <vt:lpstr>SINDICATO BANCOS</vt:lpstr>
      <vt:lpstr>SINDICATO BANCOS (2)</vt:lpstr>
      <vt:lpstr>Hoja1</vt:lpstr>
      <vt:lpstr>SINDICATO (2)</vt:lpstr>
      <vt:lpstr>BANCOS</vt:lpstr>
      <vt:lpstr>Hoja3</vt:lpstr>
      <vt:lpstr>BANCOS!Área_de_impresión</vt:lpstr>
      <vt:lpstr>'C&amp;A BANCOS'!Área_de_impresión</vt:lpstr>
      <vt:lpstr>Hoja2!Área_de_impresión</vt:lpstr>
      <vt:lpstr>'SINDICATO (2)'!Área_de_impresión</vt:lpstr>
      <vt:lpstr>'SINDICATO BANCOS'!Área_de_impresión</vt:lpstr>
      <vt:lpstr>'SINDICATO BANCOS (2)'!Área_de_impresión</vt:lpstr>
      <vt:lpstr>PERIODOSPAGO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2016-07-22T18:10:20Z</cp:lastPrinted>
  <dcterms:created xsi:type="dcterms:W3CDTF">2016-01-16T18:25:25Z</dcterms:created>
  <dcterms:modified xsi:type="dcterms:W3CDTF">2016-08-06T18:55:20Z</dcterms:modified>
</cp:coreProperties>
</file>