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1"/>
  </bookViews>
  <sheets>
    <sheet name="INCIDENCIAS" sheetId="8" r:id="rId1"/>
    <sheet name="FACTURACIÓN" sheetId="1" r:id="rId2"/>
    <sheet name="C&amp;A" sheetId="4" r:id="rId3"/>
    <sheet name="SINDICATO" sheetId="2" r:id="rId4"/>
    <sheet name="Hoja3" sheetId="3" r:id="rId5"/>
    <sheet name="Hoja1" sheetId="5" r:id="rId6"/>
    <sheet name="INFONAVIT" sheetId="7" r:id="rId7"/>
    <sheet name="DESGLOSE" sheetId="9" r:id="rId8"/>
  </sheets>
  <definedNames>
    <definedName name="_xlnm._FilterDatabase" localSheetId="1" hidden="1">FACTURACIÓN!$A$8:$BD$43</definedName>
  </definedNames>
  <calcPr calcId="124519"/>
</workbook>
</file>

<file path=xl/calcChain.xml><?xml version="1.0" encoding="utf-8"?>
<calcChain xmlns="http://schemas.openxmlformats.org/spreadsheetml/2006/main">
  <c r="B14" i="9"/>
  <c r="B15" l="1"/>
  <c r="B16" s="1"/>
  <c r="K35" i="1" l="1"/>
  <c r="K37"/>
  <c r="E18" i="2"/>
  <c r="E25"/>
  <c r="E35"/>
  <c r="E37"/>
  <c r="G39" i="4"/>
  <c r="H39"/>
  <c r="D25" i="1"/>
  <c r="D22"/>
  <c r="D18"/>
  <c r="D39" s="1"/>
  <c r="D37"/>
  <c r="D35"/>
  <c r="F37" i="2"/>
  <c r="F35"/>
  <c r="H35"/>
  <c r="I36" i="4"/>
  <c r="I37"/>
  <c r="E35"/>
  <c r="E36"/>
  <c r="K36" i="1" s="1"/>
  <c r="E37" i="4"/>
  <c r="D39"/>
  <c r="F39"/>
  <c r="C39"/>
  <c r="AD38" i="1"/>
  <c r="AE38"/>
  <c r="AF38"/>
  <c r="AG38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10"/>
  <c r="E10"/>
  <c r="E11"/>
  <c r="AH38"/>
  <c r="H10"/>
  <c r="G39" l="1"/>
  <c r="J37" i="4"/>
  <c r="K35" i="2"/>
  <c r="L35" s="1"/>
  <c r="J36" i="4"/>
  <c r="H11" i="1" l="1"/>
  <c r="H12"/>
  <c r="H12" i="2" s="1"/>
  <c r="H13" i="1"/>
  <c r="H13" i="2" s="1"/>
  <c r="H14" i="1"/>
  <c r="H14" i="2" s="1"/>
  <c r="H15" i="1"/>
  <c r="H15" i="2" s="1"/>
  <c r="H16" i="1"/>
  <c r="H17"/>
  <c r="H17" i="2" s="1"/>
  <c r="H18" i="1"/>
  <c r="H18" i="2" s="1"/>
  <c r="H19" i="1"/>
  <c r="H19" i="2" s="1"/>
  <c r="H20" i="1"/>
  <c r="H20" i="2" s="1"/>
  <c r="H21" i="1"/>
  <c r="H21" i="2" s="1"/>
  <c r="H22" i="1"/>
  <c r="H22" i="2" s="1"/>
  <c r="H23" i="1"/>
  <c r="H23" i="2" s="1"/>
  <c r="H24" i="1"/>
  <c r="H24" i="2" s="1"/>
  <c r="H25" i="1"/>
  <c r="H26"/>
  <c r="H26" i="2" s="1"/>
  <c r="H27" i="1"/>
  <c r="H27" i="2" s="1"/>
  <c r="H28" i="1"/>
  <c r="H28" i="2" s="1"/>
  <c r="H29" i="1"/>
  <c r="H29" i="2" s="1"/>
  <c r="H30" i="1"/>
  <c r="H30" i="2" s="1"/>
  <c r="H31" i="1"/>
  <c r="H31" i="2" s="1"/>
  <c r="H32" i="1"/>
  <c r="H32" i="2" s="1"/>
  <c r="H33" i="1"/>
  <c r="H33" i="2" s="1"/>
  <c r="H34" i="1"/>
  <c r="H34" i="2" s="1"/>
  <c r="H36" i="1"/>
  <c r="H36" i="2" s="1"/>
  <c r="H37" i="1"/>
  <c r="H37" i="2" s="1"/>
  <c r="K37" s="1"/>
  <c r="L37" s="1"/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0"/>
  <c r="E12"/>
  <c r="E13"/>
  <c r="E14"/>
  <c r="E15"/>
  <c r="E16"/>
  <c r="E17"/>
  <c r="E18"/>
  <c r="E19"/>
  <c r="E20"/>
  <c r="E21"/>
  <c r="E22"/>
  <c r="E25"/>
  <c r="E26"/>
  <c r="E27"/>
  <c r="E28"/>
  <c r="E29"/>
  <c r="E31"/>
  <c r="E32"/>
  <c r="E33"/>
  <c r="E34"/>
  <c r="E35"/>
  <c r="E36"/>
  <c r="E37"/>
  <c r="X10"/>
  <c r="C10" s="1"/>
  <c r="F39" l="1"/>
  <c r="F36" i="2" s="1"/>
  <c r="H11"/>
  <c r="H39" i="1"/>
  <c r="I10"/>
  <c r="AC10"/>
  <c r="AC40"/>
  <c r="AC39"/>
  <c r="AM37"/>
  <c r="X37"/>
  <c r="AM36"/>
  <c r="X36"/>
  <c r="AM35"/>
  <c r="X35"/>
  <c r="AM34"/>
  <c r="X34"/>
  <c r="AM33"/>
  <c r="X33"/>
  <c r="AM32"/>
  <c r="X32"/>
  <c r="AM31"/>
  <c r="X31"/>
  <c r="AM30"/>
  <c r="Y30"/>
  <c r="E30" s="1"/>
  <c r="X30"/>
  <c r="C30" s="1"/>
  <c r="AM29"/>
  <c r="X29"/>
  <c r="AM28"/>
  <c r="X28"/>
  <c r="AM27"/>
  <c r="X27"/>
  <c r="AM26"/>
  <c r="X26"/>
  <c r="AM25"/>
  <c r="X25"/>
  <c r="AM24"/>
  <c r="Y24"/>
  <c r="E24" s="1"/>
  <c r="X24"/>
  <c r="C24" s="1"/>
  <c r="AM23"/>
  <c r="Y23"/>
  <c r="E23" s="1"/>
  <c r="E39" s="1"/>
  <c r="X23"/>
  <c r="C23" s="1"/>
  <c r="AM22"/>
  <c r="X22"/>
  <c r="AM21"/>
  <c r="X21"/>
  <c r="AM20"/>
  <c r="X20"/>
  <c r="AM19"/>
  <c r="X19"/>
  <c r="AM18"/>
  <c r="X18"/>
  <c r="AM17"/>
  <c r="X17"/>
  <c r="AM16"/>
  <c r="X16"/>
  <c r="AM15"/>
  <c r="X15"/>
  <c r="AM14"/>
  <c r="X14"/>
  <c r="AM13"/>
  <c r="X13"/>
  <c r="AM12"/>
  <c r="X12"/>
  <c r="AM11"/>
  <c r="X11"/>
  <c r="C11" s="1"/>
  <c r="I11" s="1"/>
  <c r="AM10"/>
  <c r="N43" i="8"/>
  <c r="T43" s="1"/>
  <c r="W43" s="1"/>
  <c r="N42"/>
  <c r="T42" s="1"/>
  <c r="W42" s="1"/>
  <c r="S39"/>
  <c r="R39"/>
  <c r="Q39"/>
  <c r="P39"/>
  <c r="O39"/>
  <c r="M39"/>
  <c r="L39"/>
  <c r="K39"/>
  <c r="N37"/>
  <c r="N36"/>
  <c r="Y35"/>
  <c r="X10"/>
  <c r="I10"/>
  <c r="N10" s="1"/>
  <c r="X17"/>
  <c r="I17"/>
  <c r="N17" s="1"/>
  <c r="X33"/>
  <c r="I33"/>
  <c r="N33" s="1"/>
  <c r="X34"/>
  <c r="I34"/>
  <c r="N34" s="1"/>
  <c r="X32"/>
  <c r="I32"/>
  <c r="N32" s="1"/>
  <c r="X29"/>
  <c r="I29"/>
  <c r="N29" s="1"/>
  <c r="X28"/>
  <c r="I28"/>
  <c r="N28" s="1"/>
  <c r="X27"/>
  <c r="J27"/>
  <c r="I27"/>
  <c r="X24"/>
  <c r="I24"/>
  <c r="N24" s="1"/>
  <c r="X25"/>
  <c r="I25"/>
  <c r="N25" s="1"/>
  <c r="X19"/>
  <c r="I19"/>
  <c r="N19" s="1"/>
  <c r="X21"/>
  <c r="J21"/>
  <c r="I21"/>
  <c r="N21" s="1"/>
  <c r="X20"/>
  <c r="J20"/>
  <c r="I20"/>
  <c r="X15"/>
  <c r="I15"/>
  <c r="N15" s="1"/>
  <c r="X13"/>
  <c r="I13"/>
  <c r="N13" s="1"/>
  <c r="X8"/>
  <c r="I8"/>
  <c r="N8" s="1"/>
  <c r="X7"/>
  <c r="I7"/>
  <c r="N7" s="1"/>
  <c r="X9"/>
  <c r="I9"/>
  <c r="N9" s="1"/>
  <c r="X18"/>
  <c r="I18"/>
  <c r="N18" s="1"/>
  <c r="X14"/>
  <c r="I14"/>
  <c r="N14" s="1"/>
  <c r="X31"/>
  <c r="I31"/>
  <c r="N31" s="1"/>
  <c r="X30"/>
  <c r="I30"/>
  <c r="N30" s="1"/>
  <c r="X22"/>
  <c r="I22"/>
  <c r="N22" s="1"/>
  <c r="X12"/>
  <c r="I12"/>
  <c r="N12" s="1"/>
  <c r="X26"/>
  <c r="I26"/>
  <c r="N26" s="1"/>
  <c r="X16"/>
  <c r="I16"/>
  <c r="N16" s="1"/>
  <c r="X23"/>
  <c r="I23"/>
  <c r="N23" s="1"/>
  <c r="X11"/>
  <c r="I11"/>
  <c r="K36" i="2" l="1"/>
  <c r="I39" i="8"/>
  <c r="N20"/>
  <c r="W20" s="1"/>
  <c r="Y20" s="1"/>
  <c r="N27"/>
  <c r="J11" i="1"/>
  <c r="I23"/>
  <c r="I30"/>
  <c r="AL10"/>
  <c r="AN10" s="1"/>
  <c r="J10"/>
  <c r="AM38"/>
  <c r="I24"/>
  <c r="AC11"/>
  <c r="AI11" s="1"/>
  <c r="AC12"/>
  <c r="AJ12" s="1"/>
  <c r="C12"/>
  <c r="I12" s="1"/>
  <c r="AC13"/>
  <c r="AI13" s="1"/>
  <c r="C13"/>
  <c r="I13" s="1"/>
  <c r="AC14"/>
  <c r="AJ14" s="1"/>
  <c r="C14"/>
  <c r="I14" s="1"/>
  <c r="AC15"/>
  <c r="AI15" s="1"/>
  <c r="C15"/>
  <c r="I15" s="1"/>
  <c r="AC16"/>
  <c r="AJ16" s="1"/>
  <c r="C16"/>
  <c r="I16" s="1"/>
  <c r="AC17"/>
  <c r="AI17" s="1"/>
  <c r="C17"/>
  <c r="I17" s="1"/>
  <c r="AC18"/>
  <c r="AJ18" s="1"/>
  <c r="C18"/>
  <c r="I18" s="1"/>
  <c r="AC19"/>
  <c r="AI19" s="1"/>
  <c r="C19"/>
  <c r="I19" s="1"/>
  <c r="AC20"/>
  <c r="AJ20" s="1"/>
  <c r="C20"/>
  <c r="I20" s="1"/>
  <c r="AC21"/>
  <c r="AI21" s="1"/>
  <c r="C21"/>
  <c r="I21" s="1"/>
  <c r="AC22"/>
  <c r="AJ22" s="1"/>
  <c r="C22"/>
  <c r="I22" s="1"/>
  <c r="AC25"/>
  <c r="AI25" s="1"/>
  <c r="C25"/>
  <c r="I25" s="1"/>
  <c r="AC26"/>
  <c r="AJ26" s="1"/>
  <c r="C26"/>
  <c r="I26" s="1"/>
  <c r="AC27"/>
  <c r="AI27" s="1"/>
  <c r="C27"/>
  <c r="I27" s="1"/>
  <c r="AC28"/>
  <c r="AJ28" s="1"/>
  <c r="C28"/>
  <c r="I28" s="1"/>
  <c r="AC29"/>
  <c r="AI29" s="1"/>
  <c r="C29"/>
  <c r="I29" s="1"/>
  <c r="AC31"/>
  <c r="AI31" s="1"/>
  <c r="C31"/>
  <c r="I31" s="1"/>
  <c r="AC32"/>
  <c r="AL32" s="1"/>
  <c r="AN32" s="1"/>
  <c r="C32"/>
  <c r="I32" s="1"/>
  <c r="AC33"/>
  <c r="AI33" s="1"/>
  <c r="C33"/>
  <c r="I33" s="1"/>
  <c r="AC34"/>
  <c r="AL34" s="1"/>
  <c r="AN34" s="1"/>
  <c r="C34"/>
  <c r="I34" s="1"/>
  <c r="AC35"/>
  <c r="AI35" s="1"/>
  <c r="C35"/>
  <c r="I35" s="1"/>
  <c r="AC36"/>
  <c r="AL36" s="1"/>
  <c r="AN36" s="1"/>
  <c r="C36"/>
  <c r="I36" s="1"/>
  <c r="AC37"/>
  <c r="AI37" s="1"/>
  <c r="C37"/>
  <c r="I37" s="1"/>
  <c r="AC23"/>
  <c r="AI23" s="1"/>
  <c r="AC30"/>
  <c r="AI30" s="1"/>
  <c r="AC24"/>
  <c r="AL24" s="1"/>
  <c r="AN24" s="1"/>
  <c r="AI10"/>
  <c r="AJ10"/>
  <c r="X39" i="8"/>
  <c r="N11"/>
  <c r="T21"/>
  <c r="W21"/>
  <c r="Y21" s="1"/>
  <c r="U21"/>
  <c r="W28"/>
  <c r="Y28" s="1"/>
  <c r="U28"/>
  <c r="T28"/>
  <c r="W29"/>
  <c r="Y29" s="1"/>
  <c r="U29"/>
  <c r="T29"/>
  <c r="W32"/>
  <c r="Y32" s="1"/>
  <c r="U32"/>
  <c r="T32"/>
  <c r="W34"/>
  <c r="Y34" s="1"/>
  <c r="U34"/>
  <c r="T34"/>
  <c r="W33"/>
  <c r="Y33" s="1"/>
  <c r="U33"/>
  <c r="T33"/>
  <c r="W17"/>
  <c r="Y17" s="1"/>
  <c r="U17"/>
  <c r="T17"/>
  <c r="W10"/>
  <c r="Y10" s="1"/>
  <c r="U10"/>
  <c r="T10"/>
  <c r="T23"/>
  <c r="W23"/>
  <c r="Y23" s="1"/>
  <c r="U23"/>
  <c r="T16"/>
  <c r="W16"/>
  <c r="Y16" s="1"/>
  <c r="U16"/>
  <c r="T26"/>
  <c r="W26"/>
  <c r="Y26" s="1"/>
  <c r="U26"/>
  <c r="T12"/>
  <c r="W12"/>
  <c r="Y12" s="1"/>
  <c r="U12"/>
  <c r="T22"/>
  <c r="W22"/>
  <c r="Y22" s="1"/>
  <c r="U22"/>
  <c r="T30"/>
  <c r="W30"/>
  <c r="Y30" s="1"/>
  <c r="U30"/>
  <c r="T31"/>
  <c r="W31"/>
  <c r="Y31" s="1"/>
  <c r="U31"/>
  <c r="T14"/>
  <c r="W14"/>
  <c r="Y14" s="1"/>
  <c r="U14"/>
  <c r="T18"/>
  <c r="V18" s="1"/>
  <c r="W18"/>
  <c r="Y18" s="1"/>
  <c r="U18"/>
  <c r="T9"/>
  <c r="W9"/>
  <c r="Y9" s="1"/>
  <c r="U9"/>
  <c r="T7"/>
  <c r="W7"/>
  <c r="Y7" s="1"/>
  <c r="U7"/>
  <c r="T8"/>
  <c r="W8"/>
  <c r="Y8" s="1"/>
  <c r="U8"/>
  <c r="T13"/>
  <c r="W13"/>
  <c r="Y13" s="1"/>
  <c r="U13"/>
  <c r="T15"/>
  <c r="W15"/>
  <c r="Y15" s="1"/>
  <c r="U15"/>
  <c r="T19"/>
  <c r="W19"/>
  <c r="Y19" s="1"/>
  <c r="U19"/>
  <c r="T25"/>
  <c r="W25"/>
  <c r="Y25" s="1"/>
  <c r="U25"/>
  <c r="T24"/>
  <c r="W24"/>
  <c r="Y24" s="1"/>
  <c r="U24"/>
  <c r="W27"/>
  <c r="Y27" s="1"/>
  <c r="U27"/>
  <c r="T27"/>
  <c r="U37"/>
  <c r="W37"/>
  <c r="Y37" s="1"/>
  <c r="V42"/>
  <c r="Y42"/>
  <c r="V43"/>
  <c r="Y43"/>
  <c r="T37"/>
  <c r="V37" s="1"/>
  <c r="U42"/>
  <c r="U43"/>
  <c r="H10" i="2"/>
  <c r="F34"/>
  <c r="F33"/>
  <c r="F32"/>
  <c r="F31"/>
  <c r="F30"/>
  <c r="F29"/>
  <c r="F28"/>
  <c r="F27"/>
  <c r="F26"/>
  <c r="F24"/>
  <c r="F23"/>
  <c r="F22"/>
  <c r="F20"/>
  <c r="F19"/>
  <c r="F18"/>
  <c r="F17"/>
  <c r="F16"/>
  <c r="F15"/>
  <c r="F14"/>
  <c r="F13"/>
  <c r="F12"/>
  <c r="F10"/>
  <c r="AL14" i="1" l="1"/>
  <c r="AN14" s="1"/>
  <c r="AL16"/>
  <c r="AN16" s="1"/>
  <c r="AI18"/>
  <c r="AL22"/>
  <c r="AN22" s="1"/>
  <c r="AI22"/>
  <c r="AL29"/>
  <c r="AN29" s="1"/>
  <c r="AJ32"/>
  <c r="AL31"/>
  <c r="AN31" s="1"/>
  <c r="AJ36"/>
  <c r="AL35"/>
  <c r="AN35" s="1"/>
  <c r="AI34"/>
  <c r="I39"/>
  <c r="U20" i="8"/>
  <c r="AL18" i="1"/>
  <c r="AN18" s="1"/>
  <c r="AK10"/>
  <c r="J20"/>
  <c r="AL20"/>
  <c r="AN20" s="1"/>
  <c r="AL12"/>
  <c r="AN12" s="1"/>
  <c r="AI14"/>
  <c r="AK14" s="1"/>
  <c r="J36"/>
  <c r="L36" s="1"/>
  <c r="J13"/>
  <c r="C39"/>
  <c r="C36" i="2"/>
  <c r="E36" s="1"/>
  <c r="L36" s="1"/>
  <c r="O36" i="1" s="1"/>
  <c r="T20" i="8"/>
  <c r="V20" s="1"/>
  <c r="V17"/>
  <c r="V34"/>
  <c r="V29"/>
  <c r="K34" i="2"/>
  <c r="J24" i="1"/>
  <c r="J23"/>
  <c r="J37"/>
  <c r="L37" s="1"/>
  <c r="J35"/>
  <c r="L35" s="1"/>
  <c r="J34"/>
  <c r="J33"/>
  <c r="J32"/>
  <c r="J31"/>
  <c r="J29"/>
  <c r="J28"/>
  <c r="J27"/>
  <c r="J26"/>
  <c r="J25"/>
  <c r="J22"/>
  <c r="J21"/>
  <c r="J19"/>
  <c r="J18"/>
  <c r="J17"/>
  <c r="J16"/>
  <c r="J15"/>
  <c r="J14"/>
  <c r="J12"/>
  <c r="J30"/>
  <c r="AL25"/>
  <c r="AN25" s="1"/>
  <c r="AL21"/>
  <c r="AN21" s="1"/>
  <c r="AL19"/>
  <c r="AN19" s="1"/>
  <c r="AL17"/>
  <c r="AN17" s="1"/>
  <c r="AL15"/>
  <c r="AN15" s="1"/>
  <c r="AL13"/>
  <c r="AN13" s="1"/>
  <c r="AL11"/>
  <c r="AN11" s="1"/>
  <c r="AI28"/>
  <c r="AK28" s="1"/>
  <c r="AI20"/>
  <c r="AK20" s="1"/>
  <c r="AI16"/>
  <c r="AI12"/>
  <c r="AK12" s="1"/>
  <c r="AL37"/>
  <c r="AN37" s="1"/>
  <c r="AI36"/>
  <c r="AK36" s="1"/>
  <c r="AJ34"/>
  <c r="AL33"/>
  <c r="AN33" s="1"/>
  <c r="AI32"/>
  <c r="AK32" s="1"/>
  <c r="AC38"/>
  <c r="AL27"/>
  <c r="AN27" s="1"/>
  <c r="AL28"/>
  <c r="AN28" s="1"/>
  <c r="AL26"/>
  <c r="AN26" s="1"/>
  <c r="AI26"/>
  <c r="AK26" s="1"/>
  <c r="AJ24"/>
  <c r="AJ29"/>
  <c r="AK29" s="1"/>
  <c r="AJ27"/>
  <c r="AK27" s="1"/>
  <c r="AJ25"/>
  <c r="AK25" s="1"/>
  <c r="AJ21"/>
  <c r="AK21" s="1"/>
  <c r="AJ19"/>
  <c r="AK19" s="1"/>
  <c r="AJ17"/>
  <c r="AK17" s="1"/>
  <c r="AJ15"/>
  <c r="AK15" s="1"/>
  <c r="AJ13"/>
  <c r="AK13" s="1"/>
  <c r="AJ11"/>
  <c r="AK11" s="1"/>
  <c r="AJ37"/>
  <c r="AK37" s="1"/>
  <c r="AJ35"/>
  <c r="AK35" s="1"/>
  <c r="AJ33"/>
  <c r="AK33" s="1"/>
  <c r="AJ31"/>
  <c r="AK31" s="1"/>
  <c r="AL23"/>
  <c r="AN23" s="1"/>
  <c r="AJ23"/>
  <c r="AK23" s="1"/>
  <c r="AL30"/>
  <c r="AN30" s="1"/>
  <c r="AJ30"/>
  <c r="AK30" s="1"/>
  <c r="AI24"/>
  <c r="AK22"/>
  <c r="AK18"/>
  <c r="AK16"/>
  <c r="F25" i="2"/>
  <c r="F21"/>
  <c r="F11"/>
  <c r="V27" i="8"/>
  <c r="V10"/>
  <c r="V33"/>
  <c r="V32"/>
  <c r="V28"/>
  <c r="T11"/>
  <c r="N39"/>
  <c r="W11"/>
  <c r="W39" s="1"/>
  <c r="U11"/>
  <c r="U39" s="1"/>
  <c r="U41" s="1"/>
  <c r="Y44"/>
  <c r="V24"/>
  <c r="V25"/>
  <c r="V19"/>
  <c r="V15"/>
  <c r="V13"/>
  <c r="V8"/>
  <c r="V7"/>
  <c r="V9"/>
  <c r="V14"/>
  <c r="V31"/>
  <c r="V30"/>
  <c r="V22"/>
  <c r="V12"/>
  <c r="V26"/>
  <c r="V16"/>
  <c r="V23"/>
  <c r="V21"/>
  <c r="AK34" i="1" l="1"/>
  <c r="J39"/>
  <c r="Z32" i="8"/>
  <c r="M35" i="1"/>
  <c r="N35" s="1"/>
  <c r="M37"/>
  <c r="N37" s="1"/>
  <c r="Z34" i="8"/>
  <c r="M36" i="1"/>
  <c r="N36" s="1"/>
  <c r="Z33" i="8"/>
  <c r="AN38" i="1"/>
  <c r="AI38"/>
  <c r="AJ38"/>
  <c r="AL38"/>
  <c r="AK24"/>
  <c r="AK38" s="1"/>
  <c r="Y45" i="8"/>
  <c r="Y46" s="1"/>
  <c r="Y48" s="1"/>
  <c r="V11"/>
  <c r="V39" s="1"/>
  <c r="T39"/>
  <c r="Y11"/>
  <c r="Y39" l="1"/>
  <c r="I13" i="4"/>
  <c r="D39" i="2"/>
  <c r="G39"/>
  <c r="J39"/>
  <c r="I11" i="4" l="1"/>
  <c r="I1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0"/>
  <c r="E11"/>
  <c r="K11" i="1" s="1"/>
  <c r="L11" s="1"/>
  <c r="E12" i="4"/>
  <c r="K12" i="1" s="1"/>
  <c r="L12" s="1"/>
  <c r="E13" i="4"/>
  <c r="K13" i="1" s="1"/>
  <c r="L13" s="1"/>
  <c r="E14" i="4"/>
  <c r="K14" i="1" s="1"/>
  <c r="L14" s="1"/>
  <c r="E15" i="4"/>
  <c r="K15" i="1" s="1"/>
  <c r="L15" s="1"/>
  <c r="E16" i="4"/>
  <c r="K16" i="1" s="1"/>
  <c r="L16" s="1"/>
  <c r="E17" i="4"/>
  <c r="K17" i="1" s="1"/>
  <c r="L17" s="1"/>
  <c r="E18" i="4"/>
  <c r="K18" i="1" s="1"/>
  <c r="L18" s="1"/>
  <c r="E19" i="4"/>
  <c r="K19" i="1" s="1"/>
  <c r="L19" s="1"/>
  <c r="E20" i="4"/>
  <c r="K20" i="1" s="1"/>
  <c r="L20" s="1"/>
  <c r="E21" i="4"/>
  <c r="K21" i="1" s="1"/>
  <c r="L21" s="1"/>
  <c r="E22" i="4"/>
  <c r="K22" i="1" s="1"/>
  <c r="L22" s="1"/>
  <c r="E23" i="4"/>
  <c r="K23" i="1" s="1"/>
  <c r="L23" s="1"/>
  <c r="E24" i="4"/>
  <c r="K24" i="1" s="1"/>
  <c r="L24" s="1"/>
  <c r="E25" i="4"/>
  <c r="K25" i="1" s="1"/>
  <c r="L25" s="1"/>
  <c r="E26" i="4"/>
  <c r="K26" i="1" s="1"/>
  <c r="L26" s="1"/>
  <c r="E27" i="4"/>
  <c r="K27" i="1" s="1"/>
  <c r="L27" s="1"/>
  <c r="E28" i="4"/>
  <c r="K28" i="1" s="1"/>
  <c r="L28" s="1"/>
  <c r="E29" i="4"/>
  <c r="K29" i="1" s="1"/>
  <c r="L29" s="1"/>
  <c r="E30" i="4"/>
  <c r="K30" i="1" s="1"/>
  <c r="L30" s="1"/>
  <c r="E31" i="4"/>
  <c r="K31" i="1" s="1"/>
  <c r="L31" s="1"/>
  <c r="E32" i="4"/>
  <c r="K32" i="1" s="1"/>
  <c r="L32" s="1"/>
  <c r="E33" i="4"/>
  <c r="K33" i="1" s="1"/>
  <c r="L33" s="1"/>
  <c r="E34" i="4"/>
  <c r="K34" i="1" s="1"/>
  <c r="L34" s="1"/>
  <c r="E10" i="4"/>
  <c r="K10" i="1" s="1"/>
  <c r="M32" l="1"/>
  <c r="N32" s="1"/>
  <c r="Z29" i="8"/>
  <c r="M24" i="1"/>
  <c r="N24" s="1"/>
  <c r="Z21" i="8"/>
  <c r="M16" i="1"/>
  <c r="N16" s="1"/>
  <c r="Z13" i="8"/>
  <c r="M31" i="1"/>
  <c r="N31" s="1"/>
  <c r="Z28" i="8"/>
  <c r="M23" i="1"/>
  <c r="N23" s="1"/>
  <c r="Z20" i="8"/>
  <c r="M15" i="1"/>
  <c r="N15" s="1"/>
  <c r="Z12" i="8"/>
  <c r="Z30"/>
  <c r="M33" i="1"/>
  <c r="N33" s="1"/>
  <c r="M29"/>
  <c r="N29" s="1"/>
  <c r="Z26" i="8"/>
  <c r="Z22"/>
  <c r="M25" i="1"/>
  <c r="N25" s="1"/>
  <c r="M21"/>
  <c r="N21" s="1"/>
  <c r="Z18" i="8"/>
  <c r="Z14"/>
  <c r="M17" i="1"/>
  <c r="N17" s="1"/>
  <c r="M13"/>
  <c r="N13" s="1"/>
  <c r="Z10" i="8"/>
  <c r="M28" i="1"/>
  <c r="N28" s="1"/>
  <c r="Z25" i="8"/>
  <c r="M20" i="1"/>
  <c r="N20" s="1"/>
  <c r="Z17" i="8"/>
  <c r="M12" i="1"/>
  <c r="N12" s="1"/>
  <c r="Z9" i="8"/>
  <c r="K39" i="1"/>
  <c r="L10"/>
  <c r="Z24" i="8"/>
  <c r="M27" i="1"/>
  <c r="N27" s="1"/>
  <c r="Z16" i="8"/>
  <c r="M19" i="1"/>
  <c r="N19" s="1"/>
  <c r="Z8" i="8"/>
  <c r="M11" i="1"/>
  <c r="N11" s="1"/>
  <c r="M34"/>
  <c r="N34" s="1"/>
  <c r="Z31" i="8"/>
  <c r="M30" i="1"/>
  <c r="N30" s="1"/>
  <c r="Z27" i="8"/>
  <c r="M26" i="1"/>
  <c r="N26" s="1"/>
  <c r="Z23" i="8"/>
  <c r="M22" i="1"/>
  <c r="N22" s="1"/>
  <c r="Z19" i="8"/>
  <c r="M18" i="1"/>
  <c r="N18" s="1"/>
  <c r="Z15" i="8"/>
  <c r="M14" i="1"/>
  <c r="N14" s="1"/>
  <c r="Z11" i="8"/>
  <c r="I39" i="4"/>
  <c r="E39"/>
  <c r="J10"/>
  <c r="J32"/>
  <c r="J30"/>
  <c r="J28"/>
  <c r="J25"/>
  <c r="J22"/>
  <c r="J20"/>
  <c r="J18"/>
  <c r="J15"/>
  <c r="J12"/>
  <c r="J33"/>
  <c r="J31"/>
  <c r="J29"/>
  <c r="J26"/>
  <c r="J23"/>
  <c r="J21"/>
  <c r="J19"/>
  <c r="J17"/>
  <c r="J14"/>
  <c r="J11"/>
  <c r="F39" i="2"/>
  <c r="K11"/>
  <c r="J34" i="4"/>
  <c r="J35"/>
  <c r="J27"/>
  <c r="J24"/>
  <c r="J16"/>
  <c r="J13"/>
  <c r="K33" i="2"/>
  <c r="H39"/>
  <c r="K31"/>
  <c r="K29"/>
  <c r="K27"/>
  <c r="K25"/>
  <c r="L25" s="1"/>
  <c r="K23"/>
  <c r="K21"/>
  <c r="K17"/>
  <c r="K13"/>
  <c r="K32"/>
  <c r="K30"/>
  <c r="K28"/>
  <c r="K26"/>
  <c r="K24"/>
  <c r="K22"/>
  <c r="K20"/>
  <c r="K18"/>
  <c r="L18" s="1"/>
  <c r="K16"/>
  <c r="K12"/>
  <c r="K10"/>
  <c r="K15"/>
  <c r="C34" l="1"/>
  <c r="E34" s="1"/>
  <c r="L34" s="1"/>
  <c r="O34" i="1" s="1"/>
  <c r="C33" i="2"/>
  <c r="E33" s="1"/>
  <c r="L33" s="1"/>
  <c r="O33" i="1" s="1"/>
  <c r="C24" i="2"/>
  <c r="E24" s="1"/>
  <c r="L24" s="1"/>
  <c r="O24" i="1" s="1"/>
  <c r="C17" i="2"/>
  <c r="E17" s="1"/>
  <c r="L17" s="1"/>
  <c r="O17" i="1" s="1"/>
  <c r="C12" i="2"/>
  <c r="E12" s="1"/>
  <c r="L12" s="1"/>
  <c r="O12" i="1" s="1"/>
  <c r="C32" i="2"/>
  <c r="E32" s="1"/>
  <c r="L32" s="1"/>
  <c r="O32" i="1" s="1"/>
  <c r="C27" i="2"/>
  <c r="E27" s="1"/>
  <c r="L27" s="1"/>
  <c r="O27" i="1" s="1"/>
  <c r="C19" i="2"/>
  <c r="E19" s="1"/>
  <c r="C29"/>
  <c r="E29" s="1"/>
  <c r="C15"/>
  <c r="E15" s="1"/>
  <c r="L15" s="1"/>
  <c r="O15" i="1" s="1"/>
  <c r="O25"/>
  <c r="C10" i="2"/>
  <c r="E10" s="1"/>
  <c r="C16"/>
  <c r="E16" s="1"/>
  <c r="L16" s="1"/>
  <c r="O16" i="1" s="1"/>
  <c r="C14" i="2"/>
  <c r="E14" s="1"/>
  <c r="C23"/>
  <c r="E23" s="1"/>
  <c r="L23" s="1"/>
  <c r="O23" i="1" s="1"/>
  <c r="C20" i="2"/>
  <c r="E20" s="1"/>
  <c r="L20" s="1"/>
  <c r="O20" i="1" s="1"/>
  <c r="C30" i="2"/>
  <c r="E30" s="1"/>
  <c r="L30" s="1"/>
  <c r="O30" i="1" s="1"/>
  <c r="Z7" i="8"/>
  <c r="L39" i="1"/>
  <c r="M10"/>
  <c r="M39" s="1"/>
  <c r="C26" i="2"/>
  <c r="E26" s="1"/>
  <c r="L26" s="1"/>
  <c r="O26" i="1" s="1"/>
  <c r="C22" i="2"/>
  <c r="E22" s="1"/>
  <c r="L22" s="1"/>
  <c r="O22" i="1" s="1"/>
  <c r="C13" i="2"/>
  <c r="E13" s="1"/>
  <c r="L13" s="1"/>
  <c r="O13" i="1" s="1"/>
  <c r="C11" i="2"/>
  <c r="E11" s="1"/>
  <c r="L11" s="1"/>
  <c r="O11" i="1" s="1"/>
  <c r="C21" i="2"/>
  <c r="E21" s="1"/>
  <c r="L21" s="1"/>
  <c r="O21" i="1" s="1"/>
  <c r="C31" i="2"/>
  <c r="E31" s="1"/>
  <c r="L31" s="1"/>
  <c r="O31" i="1" s="1"/>
  <c r="O18"/>
  <c r="C28" i="2"/>
  <c r="E28" s="1"/>
  <c r="L28" s="1"/>
  <c r="O28" i="1" s="1"/>
  <c r="L29" i="2"/>
  <c r="O29" i="1" s="1"/>
  <c r="L10" i="2"/>
  <c r="O10" i="1" s="1"/>
  <c r="J39" i="4"/>
  <c r="K14" i="2"/>
  <c r="L14" l="1"/>
  <c r="O14" i="1" s="1"/>
  <c r="C39" i="2"/>
  <c r="N10" i="1"/>
  <c r="N39" s="1"/>
  <c r="K19" i="2"/>
  <c r="L19" s="1"/>
  <c r="O19" i="1" s="1"/>
  <c r="O39" l="1"/>
  <c r="E39" i="2"/>
  <c r="I39" l="1"/>
  <c r="O41" i="1" s="1"/>
  <c r="O42" s="1"/>
  <c r="K39" i="2"/>
  <c r="L39" l="1"/>
</calcChain>
</file>

<file path=xl/sharedStrings.xml><?xml version="1.0" encoding="utf-8"?>
<sst xmlns="http://schemas.openxmlformats.org/spreadsheetml/2006/main" count="837" uniqueCount="271">
  <si>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</si>
  <si>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</si>
  <si>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</si>
  <si>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</si>
  <si>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</si>
  <si>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</si>
  <si>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</si>
  <si>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</si>
  <si>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</si>
  <si>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</si>
  <si>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</si>
  <si>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</si>
  <si>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</si>
  <si>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</si>
  <si>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</si>
  <si>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</si>
  <si>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</si>
  <si>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</si>
  <si>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</si>
  <si>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</si>
  <si>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</si>
  <si>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</si>
  <si>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</si>
  <si>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</si>
  <si>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</si>
  <si>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</si>
  <si>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</si>
  <si>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</si>
  <si>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</si>
  <si>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</si>
  <si>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</si>
  <si>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</si>
  <si>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</si>
  <si>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</si>
  <si>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</si>
  <si>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</si>
  <si>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</si>
  <si>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</si>
  <si>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</si>
  <si>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</si>
  <si>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</si>
  <si>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</si>
  <si>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</si>
  <si>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</si>
  <si>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</si>
  <si>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</si>
  <si>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</si>
  <si>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</si>
  <si>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</si>
  <si>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</si>
  <si>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</si>
  <si>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</si>
  <si>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</si>
  <si>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</si>
  <si>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</si>
  <si>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</si>
  <si>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</si>
  <si>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</si>
  <si>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</si>
  <si>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</si>
  <si>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</si>
  <si>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</si>
  <si>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</si>
  <si>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</si>
  <si>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</si>
  <si>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</si>
  <si>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</si>
  <si>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</si>
  <si>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Periodo 6 al 6 Semanal del 03/02/2016 al 09/02/2016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</si>
  <si>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</si>
  <si>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</si>
  <si>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</si>
  <si>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</si>
  <si>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</si>
  <si>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</si>
  <si>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</si>
  <si>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</si>
  <si>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</si>
  <si>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</si>
  <si>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</si>
  <si>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</si>
  <si>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</si>
  <si>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</si>
  <si>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</si>
  <si>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</si>
  <si>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</si>
  <si>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</si>
  <si>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</si>
  <si>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</si>
  <si>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</si>
  <si>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</si>
  <si>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</si>
  <si>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</si>
  <si>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</si>
  <si>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</si>
  <si>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</si>
  <si>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</si>
  <si>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</si>
  <si>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</si>
  <si>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</si>
  <si>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</si>
  <si>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</si>
  <si>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</si>
  <si>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</si>
  <si>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</si>
  <si>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</si>
  <si>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</si>
  <si>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</si>
  <si>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</si>
  <si>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</si>
  <si>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</si>
  <si>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</si>
  <si>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</si>
  <si>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</si>
  <si>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</si>
  <si>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</si>
  <si>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</si>
  <si>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</si>
  <si>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</si>
  <si>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</si>
  <si>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</si>
  <si>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</si>
  <si>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</si>
  <si>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</si>
  <si>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</si>
  <si>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</si>
  <si>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</si>
  <si>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</si>
  <si>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</si>
  <si>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</si>
  <si>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</si>
  <si>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</si>
  <si>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</si>
  <si>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</si>
  <si>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</si>
  <si>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</si>
  <si>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</si>
  <si>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</si>
  <si>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</si>
  <si>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</si>
  <si>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</si>
  <si>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</si>
  <si>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</si>
  <si>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</si>
  <si>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</si>
  <si>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</si>
  <si>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</si>
  <si>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</si>
  <si>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</si>
  <si>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</si>
  <si>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</si>
  <si>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</si>
  <si>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</si>
  <si>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</si>
  <si>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Periodo Semana 07</t>
  </si>
  <si>
    <t>10/02/2016 AL 16/02/2016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</si>
  <si>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</si>
  <si>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</si>
  <si>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</si>
  <si>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</si>
  <si>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</si>
  <si>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</si>
  <si>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</si>
  <si>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</si>
  <si>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</si>
  <si>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</si>
  <si>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</si>
  <si>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</si>
  <si>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</si>
  <si>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</si>
  <si>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</si>
  <si>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</si>
  <si>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</si>
  <si>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</si>
  <si>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</si>
  <si>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</si>
  <si>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</si>
  <si>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</si>
  <si>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</si>
  <si>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</si>
  <si>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</si>
  <si>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</si>
  <si>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</si>
  <si>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</si>
  <si>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</si>
  <si>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</si>
  <si>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</si>
  <si>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</si>
  <si>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</si>
  <si>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</si>
  <si>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</si>
  <si>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</si>
  <si>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</si>
  <si>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</si>
  <si>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</si>
  <si>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</si>
  <si>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</si>
  <si>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</si>
  <si>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</si>
  <si>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</si>
  <si>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</si>
  <si>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GONZALEZ GARCIA LUIS ALBERTO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</si>
  <si>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</si>
  <si>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</si>
  <si>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</si>
  <si>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</si>
  <si>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</si>
  <si>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</si>
  <si>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</si>
  <si>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</si>
  <si>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 xml:space="preserve">BAEZMONROY ELIZABETH 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</si>
  <si>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</si>
  <si>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</si>
  <si>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</si>
  <si>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</si>
  <si>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</si>
  <si>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</si>
  <si>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</si>
  <si>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</si>
  <si>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</si>
  <si>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</si>
  <si>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</si>
  <si>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</si>
  <si>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</si>
  <si>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</si>
  <si>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</si>
  <si>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PENDIENTE COBRAR EN  SEM 08_09</t>
  </si>
  <si>
    <t>Periodo 7 al 7 Semanal del 10/02/2016 al 16/02/2016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</si>
  <si>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</si>
  <si>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</si>
  <si>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</si>
  <si>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</si>
  <si>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</si>
  <si>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</si>
  <si>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</si>
  <si>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</si>
  <si>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</si>
  <si>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</si>
  <si>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</si>
  <si>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</si>
  <si>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</si>
  <si>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</si>
  <si>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</si>
  <si>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</si>
  <si>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</si>
  <si>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</si>
  <si>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</si>
  <si>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</si>
  <si>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</si>
  <si>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</si>
  <si>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</si>
  <si>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</si>
  <si>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</si>
  <si>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</si>
  <si>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</si>
  <si>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</si>
  <si>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ALECSA CELAYA, SRL DE CV</t>
  </si>
  <si>
    <t xml:space="preserve">DESGLOSE DE NOMINA 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</si>
  <si>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</si>
  <si>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</si>
  <si>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</si>
  <si>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</si>
  <si>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</si>
  <si>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</si>
  <si>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</si>
  <si>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</si>
  <si>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</si>
  <si>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</si>
  <si>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CC</t>
  </si>
  <si>
    <t>TOTAL</t>
  </si>
  <si>
    <t>SEMANA 07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</si>
</sst>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</numFmts>
  <fonts count="3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164" fontId="12" fillId="0" borderId="0" xfId="0" applyNumberFormat="1" applyFont="1" applyFill="1"/>
    <xf numFmtId="49" fontId="19" fillId="0" borderId="0" xfId="0" applyNumberFormat="1" applyFont="1" applyFill="1"/>
    <xf numFmtId="49" fontId="9" fillId="0" borderId="0" xfId="0" applyNumberFormat="1" applyFont="1" applyFill="1" applyAlignment="1">
      <alignment horizontal="left"/>
    </xf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43" fontId="26" fillId="4" borderId="4" xfId="1" applyFont="1" applyFill="1" applyBorder="1" applyAlignment="1">
      <alignment horizontal="center" wrapText="1"/>
    </xf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43" fontId="25" fillId="0" borderId="0" xfId="1" applyFont="1" applyFill="1"/>
    <xf numFmtId="43" fontId="25" fillId="0" borderId="0" xfId="0" applyNumberFormat="1" applyFont="1" applyFill="1"/>
    <xf numFmtId="0" fontId="16" fillId="11" borderId="0" xfId="0" applyFont="1" applyFill="1"/>
    <xf numFmtId="0" fontId="0" fillId="0" borderId="0" xfId="0"/>
    <xf numFmtId="0" fontId="31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30" fillId="0" borderId="0" xfId="0" applyNumberFormat="1" applyFont="1"/>
    <xf numFmtId="164" fontId="16" fillId="0" borderId="0" xfId="0" applyNumberFormat="1" applyFont="1"/>
    <xf numFmtId="44" fontId="25" fillId="0" borderId="0" xfId="0" applyNumberFormat="1" applyFont="1" applyFill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12" fontId="25" fillId="0" borderId="4" xfId="1" applyNumberFormat="1" applyFont="1" applyFill="1" applyBorder="1"/>
    <xf numFmtId="164" fontId="9" fillId="0" borderId="0" xfId="0" applyNumberFormat="1" applyFont="1" applyFill="1"/>
    <xf numFmtId="164" fontId="30" fillId="0" borderId="0" xfId="0" applyNumberFormat="1" applyFont="1" applyFill="1"/>
    <xf numFmtId="0" fontId="9" fillId="0" borderId="0" xfId="0" applyFont="1" applyFill="1"/>
    <xf numFmtId="0" fontId="32" fillId="0" borderId="0" xfId="0" applyFont="1" applyAlignment="1">
      <alignment horizontal="left" vertical="center"/>
    </xf>
    <xf numFmtId="49" fontId="16" fillId="0" borderId="2" xfId="0" applyNumberFormat="1" applyFont="1" applyFill="1" applyBorder="1"/>
    <xf numFmtId="0" fontId="0" fillId="0" borderId="2" xfId="0" applyFill="1" applyBorder="1"/>
    <xf numFmtId="44" fontId="16" fillId="0" borderId="2" xfId="2" applyFont="1" applyFill="1" applyBorder="1"/>
    <xf numFmtId="43" fontId="25" fillId="0" borderId="2" xfId="1" applyFont="1" applyFill="1" applyBorder="1" applyAlignment="1">
      <alignment horizontal="center"/>
    </xf>
    <xf numFmtId="0" fontId="17" fillId="0" borderId="2" xfId="0" applyFont="1" applyFill="1" applyBorder="1"/>
    <xf numFmtId="49" fontId="2" fillId="0" borderId="2" xfId="0" applyNumberFormat="1" applyFont="1" applyBorder="1"/>
    <xf numFmtId="0" fontId="25" fillId="0" borderId="2" xfId="0" applyFont="1" applyFill="1" applyBorder="1"/>
    <xf numFmtId="49" fontId="2" fillId="0" borderId="2" xfId="0" applyNumberFormat="1" applyFont="1" applyFill="1" applyBorder="1"/>
    <xf numFmtId="0" fontId="0" fillId="0" borderId="2" xfId="0" applyFont="1" applyFill="1" applyBorder="1"/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16" fillId="12" borderId="0" xfId="1" applyFont="1" applyFill="1"/>
    <xf numFmtId="43" fontId="26" fillId="4" borderId="4" xfId="1" applyFont="1" applyFill="1" applyBorder="1" applyAlignment="1">
      <alignment horizontal="center" wrapText="1"/>
    </xf>
    <xf numFmtId="0" fontId="26" fillId="5" borderId="8" xfId="0" applyFont="1" applyFill="1" applyBorder="1" applyAlignment="1">
      <alignment horizontal="center"/>
    </xf>
    <xf numFmtId="3" fontId="26" fillId="4" borderId="4" xfId="0" applyNumberFormat="1" applyFont="1" applyFill="1" applyBorder="1"/>
    <xf numFmtId="0" fontId="26" fillId="5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34" fillId="0" borderId="9" xfId="0" applyFont="1" applyBorder="1"/>
    <xf numFmtId="0" fontId="33" fillId="0" borderId="9" xfId="0" applyFont="1" applyBorder="1"/>
    <xf numFmtId="14" fontId="34" fillId="0" borderId="9" xfId="0" applyNumberFormat="1" applyFont="1" applyBorder="1"/>
    <xf numFmtId="0" fontId="0" fillId="0" borderId="9" xfId="0" applyFont="1" applyBorder="1"/>
    <xf numFmtId="43" fontId="14" fillId="0" borderId="9" xfId="1" applyFont="1" applyBorder="1"/>
    <xf numFmtId="43" fontId="0" fillId="0" borderId="9" xfId="1" applyFont="1" applyBorder="1"/>
    <xf numFmtId="43" fontId="14" fillId="0" borderId="10" xfId="1" applyFont="1" applyBorder="1"/>
    <xf numFmtId="43" fontId="14" fillId="0" borderId="11" xfId="1" applyFont="1" applyBorder="1"/>
    <xf numFmtId="43" fontId="14" fillId="0" borderId="12" xfId="1" applyFont="1" applyBorder="1"/>
    <xf numFmtId="43" fontId="33" fillId="0" borderId="11" xfId="1" applyFont="1" applyBorder="1"/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0"/>
  <sheetViews>
    <sheetView topLeftCell="S1" workbookViewId="0">
      <selection activeCell="AA1" sqref="AA1:AB1048576"/>
    </sheetView>
  </sheetViews>
  <sheetFormatPr baseColWidth="10" defaultColWidth="18.28515625" defaultRowHeight="15.75"/>
  <cols>
    <col min="1" max="1" width="18.28515625" style="105"/>
    <col min="2" max="2" width="39" style="105" bestFit="1" customWidth="1"/>
    <col min="3" max="3" width="7.7109375" style="105" bestFit="1" customWidth="1"/>
    <col min="4" max="4" width="20.85546875" style="105" customWidth="1"/>
    <col min="5" max="6" width="18.28515625" style="105" hidden="1" customWidth="1"/>
    <col min="7" max="8" width="18.28515625" style="105"/>
    <col min="9" max="10" width="18.28515625" style="86"/>
    <col min="11" max="13" width="18.28515625" style="86" customWidth="1"/>
    <col min="14" max="14" width="18.28515625" style="87"/>
    <col min="15" max="19" width="18.28515625" style="86"/>
    <col min="20" max="20" width="18.28515625" style="87"/>
    <col min="21" max="21" width="18.28515625" style="86"/>
    <col min="22" max="22" width="18.28515625" style="87"/>
    <col min="23" max="24" width="18.28515625" style="86"/>
    <col min="25" max="25" width="18.28515625" style="87"/>
    <col min="26" max="16384" width="18.28515625" style="105"/>
  </cols>
  <sheetData>
    <row r="1" spans="1:46" s="80" customFormat="1">
      <c r="A1" s="75" t="s">
        <v>151</v>
      </c>
      <c r="B1" s="75"/>
      <c r="C1" s="75"/>
      <c r="D1" s="76"/>
      <c r="E1" s="76"/>
      <c r="F1" s="76"/>
      <c r="G1" s="76"/>
      <c r="H1" s="76"/>
      <c r="I1" s="77"/>
      <c r="J1" s="77"/>
      <c r="K1" s="77"/>
      <c r="L1" s="77"/>
      <c r="M1" s="77"/>
      <c r="N1" s="78"/>
      <c r="O1" s="77"/>
      <c r="P1" s="77"/>
      <c r="Q1" s="77"/>
      <c r="R1" s="77"/>
      <c r="S1" s="77"/>
      <c r="T1" s="78"/>
      <c r="U1" s="77"/>
      <c r="V1" s="78"/>
      <c r="W1" s="77"/>
      <c r="X1" s="77"/>
      <c r="Y1" s="78"/>
      <c r="Z1" s="79"/>
    </row>
    <row r="2" spans="1:46" s="80" customFormat="1">
      <c r="A2" s="81" t="s">
        <v>152</v>
      </c>
      <c r="B2" s="81"/>
      <c r="C2" s="81"/>
      <c r="D2" s="82"/>
      <c r="E2" s="82"/>
      <c r="F2" s="82"/>
      <c r="G2" s="82"/>
      <c r="H2" s="82"/>
      <c r="I2" s="77"/>
      <c r="J2" s="77"/>
      <c r="K2" s="77"/>
      <c r="L2" s="77"/>
      <c r="M2" s="77"/>
      <c r="N2" s="78"/>
      <c r="O2" s="77" t="s">
        <v>153</v>
      </c>
      <c r="P2" s="77"/>
      <c r="Q2" s="77"/>
      <c r="R2" s="77"/>
      <c r="S2" s="77"/>
      <c r="T2" s="78"/>
      <c r="U2" s="77"/>
      <c r="V2" s="78"/>
      <c r="W2" s="77"/>
      <c r="X2" s="77"/>
      <c r="Y2" s="78"/>
      <c r="Z2" s="79"/>
    </row>
    <row r="3" spans="1:46" s="80" customFormat="1">
      <c r="A3" s="83" t="s">
        <v>154</v>
      </c>
      <c r="B3" s="83"/>
      <c r="C3" s="83"/>
      <c r="D3" s="84"/>
      <c r="E3" s="84"/>
      <c r="F3" s="84"/>
      <c r="G3" s="84"/>
      <c r="H3" s="84"/>
      <c r="I3" s="77"/>
      <c r="J3" s="77"/>
      <c r="K3" s="77"/>
      <c r="L3" s="77"/>
      <c r="M3" s="77"/>
      <c r="N3" s="78"/>
      <c r="O3" s="77"/>
      <c r="P3" s="77"/>
      <c r="Q3" s="77"/>
      <c r="R3" s="77"/>
      <c r="S3" s="77"/>
      <c r="T3" s="78"/>
      <c r="U3" s="77"/>
      <c r="V3" s="78"/>
      <c r="W3" s="77"/>
      <c r="X3" s="77"/>
      <c r="Y3" s="78"/>
      <c r="Z3" s="79"/>
    </row>
    <row r="4" spans="1:46" s="85" customFormat="1">
      <c r="A4" s="85" t="s">
        <v>155</v>
      </c>
      <c r="I4" s="86"/>
      <c r="J4" s="86"/>
      <c r="K4" s="86"/>
      <c r="L4" s="86"/>
      <c r="M4" s="86"/>
      <c r="N4" s="87"/>
      <c r="O4" s="86"/>
      <c r="P4" s="86"/>
      <c r="Q4" s="86"/>
      <c r="R4" s="86"/>
      <c r="S4" s="86"/>
      <c r="T4" s="87"/>
      <c r="U4" s="86"/>
      <c r="V4" s="87"/>
      <c r="W4" s="86"/>
      <c r="X4" s="86"/>
      <c r="Y4" s="87"/>
    </row>
    <row r="5" spans="1:46" s="85" customFormat="1">
      <c r="A5" s="178" t="s">
        <v>156</v>
      </c>
      <c r="B5" s="178" t="s">
        <v>157</v>
      </c>
      <c r="C5" s="178" t="s">
        <v>158</v>
      </c>
      <c r="D5" s="178" t="s">
        <v>159</v>
      </c>
      <c r="E5" s="176" t="s">
        <v>160</v>
      </c>
      <c r="F5" s="176" t="s">
        <v>161</v>
      </c>
      <c r="G5" s="88"/>
      <c r="H5" s="88"/>
      <c r="I5" s="176" t="s">
        <v>162</v>
      </c>
      <c r="J5" s="88"/>
      <c r="K5" s="176" t="s">
        <v>163</v>
      </c>
      <c r="L5" s="176" t="s">
        <v>164</v>
      </c>
      <c r="M5" s="176" t="s">
        <v>165</v>
      </c>
      <c r="N5" s="176" t="s">
        <v>166</v>
      </c>
      <c r="O5" s="176" t="s">
        <v>167</v>
      </c>
      <c r="P5" s="176" t="s">
        <v>168</v>
      </c>
      <c r="Q5" s="176" t="s">
        <v>169</v>
      </c>
      <c r="R5" s="176" t="s">
        <v>170</v>
      </c>
      <c r="S5" s="176" t="s">
        <v>171</v>
      </c>
      <c r="T5" s="176" t="s">
        <v>172</v>
      </c>
      <c r="U5" s="176" t="s">
        <v>173</v>
      </c>
      <c r="V5" s="176" t="s">
        <v>174</v>
      </c>
      <c r="W5" s="176" t="s">
        <v>175</v>
      </c>
      <c r="X5" s="176" t="s">
        <v>176</v>
      </c>
      <c r="Y5" s="176" t="s">
        <v>177</v>
      </c>
      <c r="Z5" s="179" t="s">
        <v>178</v>
      </c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</row>
    <row r="6" spans="1:46" s="85" customFormat="1">
      <c r="A6" s="178"/>
      <c r="B6" s="178"/>
      <c r="C6" s="178"/>
      <c r="D6" s="178"/>
      <c r="E6" s="176"/>
      <c r="F6" s="176"/>
      <c r="G6" s="88" t="s">
        <v>179</v>
      </c>
      <c r="H6" s="88" t="s">
        <v>180</v>
      </c>
      <c r="I6" s="176"/>
      <c r="J6" s="88" t="s">
        <v>181</v>
      </c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</row>
    <row r="7" spans="1:46" s="104" customFormat="1">
      <c r="A7" s="90" t="s">
        <v>191</v>
      </c>
      <c r="B7" s="90" t="s">
        <v>196</v>
      </c>
      <c r="C7" s="91" t="s">
        <v>46</v>
      </c>
      <c r="D7" s="90" t="s">
        <v>193</v>
      </c>
      <c r="E7" s="90"/>
      <c r="F7" s="90"/>
      <c r="G7" s="93">
        <v>511.28</v>
      </c>
      <c r="H7" s="93">
        <v>1822.03</v>
      </c>
      <c r="I7" s="93">
        <f t="shared" ref="I7:I34" si="0">+G7+H7</f>
        <v>2333.31</v>
      </c>
      <c r="J7" s="95">
        <v>1806.78</v>
      </c>
      <c r="K7" s="96"/>
      <c r="L7" s="96"/>
      <c r="M7" s="97"/>
      <c r="N7" s="98">
        <f t="shared" ref="N7:N34" si="1">SUM(I7:L7)-M7</f>
        <v>4140.09</v>
      </c>
      <c r="O7" s="99"/>
      <c r="P7" s="100"/>
      <c r="Q7" s="100"/>
      <c r="R7" s="95"/>
      <c r="S7" s="93">
        <v>0</v>
      </c>
      <c r="T7" s="98">
        <f t="shared" ref="T7:T34" si="2">+N7-SUM(O7:S7)</f>
        <v>4140.09</v>
      </c>
      <c r="U7" s="101">
        <f t="shared" ref="U7:U34" si="3">IF(N7&gt;4500,N7*0.1,0)</f>
        <v>0</v>
      </c>
      <c r="V7" s="98">
        <f t="shared" ref="V7:V34" si="4">+T7-U7</f>
        <v>4140.09</v>
      </c>
      <c r="W7" s="102">
        <f t="shared" ref="W7:W34" si="5">IF(N7&lt;4500,N7*0.1,0)</f>
        <v>414.00900000000001</v>
      </c>
      <c r="X7" s="101">
        <f t="shared" ref="X7:X34" si="6">G7*0.02</f>
        <v>10.2256</v>
      </c>
      <c r="Y7" s="98">
        <f t="shared" ref="Y7:Y34" si="7">+N7+W7+X7</f>
        <v>4564.3245999999999</v>
      </c>
      <c r="Z7" s="154">
        <f>+FACTURACIÓN!L10</f>
        <v>4564.3245999999999</v>
      </c>
      <c r="AA7" s="117"/>
      <c r="AB7" s="118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>
      <c r="A8" s="90" t="s">
        <v>191</v>
      </c>
      <c r="B8" s="90" t="s">
        <v>197</v>
      </c>
      <c r="C8" s="91" t="s">
        <v>47</v>
      </c>
      <c r="D8" s="90" t="s">
        <v>50</v>
      </c>
      <c r="E8" s="90"/>
      <c r="F8" s="90"/>
      <c r="G8" s="93">
        <v>511.28</v>
      </c>
      <c r="H8" s="93">
        <v>0</v>
      </c>
      <c r="I8" s="93">
        <f t="shared" si="0"/>
        <v>511.28</v>
      </c>
      <c r="J8" s="95">
        <v>2534.5500000000002</v>
      </c>
      <c r="K8" s="95"/>
      <c r="L8" s="95"/>
      <c r="M8" s="97"/>
      <c r="N8" s="98">
        <f t="shared" si="1"/>
        <v>3045.83</v>
      </c>
      <c r="O8" s="99"/>
      <c r="P8" s="100"/>
      <c r="Q8" s="100"/>
      <c r="R8" s="95"/>
      <c r="S8" s="93">
        <v>0</v>
      </c>
      <c r="T8" s="98">
        <f t="shared" si="2"/>
        <v>3045.83</v>
      </c>
      <c r="U8" s="101">
        <f t="shared" si="3"/>
        <v>0</v>
      </c>
      <c r="V8" s="98">
        <f t="shared" si="4"/>
        <v>3045.83</v>
      </c>
      <c r="W8" s="102">
        <f t="shared" si="5"/>
        <v>304.58300000000003</v>
      </c>
      <c r="X8" s="101">
        <f t="shared" si="6"/>
        <v>10.2256</v>
      </c>
      <c r="Y8" s="98">
        <f t="shared" si="7"/>
        <v>3360.6386000000002</v>
      </c>
      <c r="Z8" s="154">
        <f>+FACTURACIÓN!L11</f>
        <v>3360.6386000000002</v>
      </c>
      <c r="AA8" s="117"/>
      <c r="AB8" s="118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>
      <c r="A9" s="90" t="s">
        <v>191</v>
      </c>
      <c r="B9" s="90" t="s">
        <v>195</v>
      </c>
      <c r="C9" s="91" t="s">
        <v>43</v>
      </c>
      <c r="D9" s="90" t="s">
        <v>50</v>
      </c>
      <c r="E9" s="90"/>
      <c r="F9" s="90"/>
      <c r="G9" s="93">
        <v>511.28</v>
      </c>
      <c r="H9" s="93">
        <v>0</v>
      </c>
      <c r="I9" s="93">
        <f t="shared" si="0"/>
        <v>511.28</v>
      </c>
      <c r="J9" s="95">
        <v>6926.69</v>
      </c>
      <c r="K9" s="95"/>
      <c r="L9" s="95"/>
      <c r="M9" s="97"/>
      <c r="N9" s="98">
        <f t="shared" si="1"/>
        <v>7437.9699999999993</v>
      </c>
      <c r="O9" s="99"/>
      <c r="P9" s="100"/>
      <c r="Q9" s="100"/>
      <c r="R9" s="95"/>
      <c r="S9" s="93">
        <v>134.46</v>
      </c>
      <c r="T9" s="98">
        <f t="shared" si="2"/>
        <v>7303.5099999999993</v>
      </c>
      <c r="U9" s="101">
        <f t="shared" si="3"/>
        <v>743.79700000000003</v>
      </c>
      <c r="V9" s="98">
        <f t="shared" si="4"/>
        <v>6559.7129999999997</v>
      </c>
      <c r="W9" s="102">
        <f t="shared" si="5"/>
        <v>0</v>
      </c>
      <c r="X9" s="101">
        <f t="shared" si="6"/>
        <v>10.2256</v>
      </c>
      <c r="Y9" s="98">
        <f t="shared" si="7"/>
        <v>7448.1955999999991</v>
      </c>
      <c r="Z9" s="154">
        <f>+FACTURACIÓN!L12</f>
        <v>7448.1955999999991</v>
      </c>
      <c r="AA9" s="117"/>
      <c r="AB9" s="118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>
      <c r="A10" s="90" t="s">
        <v>186</v>
      </c>
      <c r="B10" s="108" t="s">
        <v>210</v>
      </c>
      <c r="C10" s="91"/>
      <c r="D10" s="90" t="s">
        <v>50</v>
      </c>
      <c r="E10" s="92"/>
      <c r="F10" s="92"/>
      <c r="G10" s="93">
        <v>700</v>
      </c>
      <c r="H10" s="94">
        <v>0</v>
      </c>
      <c r="I10" s="93">
        <f t="shared" si="0"/>
        <v>700</v>
      </c>
      <c r="J10" s="95"/>
      <c r="K10" s="96"/>
      <c r="L10" s="96"/>
      <c r="M10" s="97"/>
      <c r="N10" s="98">
        <f t="shared" si="1"/>
        <v>700</v>
      </c>
      <c r="O10" s="99"/>
      <c r="P10" s="100"/>
      <c r="Q10" s="100"/>
      <c r="R10" s="95"/>
      <c r="S10" s="93"/>
      <c r="T10" s="98">
        <f t="shared" si="2"/>
        <v>700</v>
      </c>
      <c r="U10" s="101">
        <f t="shared" si="3"/>
        <v>0</v>
      </c>
      <c r="V10" s="98">
        <f t="shared" si="4"/>
        <v>700</v>
      </c>
      <c r="W10" s="102">
        <f t="shared" si="5"/>
        <v>70</v>
      </c>
      <c r="X10" s="101">
        <f t="shared" si="6"/>
        <v>14</v>
      </c>
      <c r="Y10" s="98">
        <f t="shared" si="7"/>
        <v>784</v>
      </c>
      <c r="Z10" s="154">
        <f>+FACTURACIÓN!L13</f>
        <v>780.22559999999999</v>
      </c>
      <c r="AA10" s="117"/>
      <c r="AB10" s="118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>
      <c r="A11" s="90" t="s">
        <v>182</v>
      </c>
      <c r="B11" s="90" t="s">
        <v>37</v>
      </c>
      <c r="C11" s="91" t="s">
        <v>38</v>
      </c>
      <c r="D11" s="90" t="s">
        <v>48</v>
      </c>
      <c r="E11" s="92"/>
      <c r="F11" s="92"/>
      <c r="G11" s="93">
        <v>511.28</v>
      </c>
      <c r="H11" s="94">
        <v>1238.72</v>
      </c>
      <c r="I11" s="93">
        <f t="shared" si="0"/>
        <v>1750</v>
      </c>
      <c r="J11" s="95"/>
      <c r="K11" s="96"/>
      <c r="L11" s="96"/>
      <c r="M11" s="97"/>
      <c r="N11" s="98">
        <f t="shared" si="1"/>
        <v>1750</v>
      </c>
      <c r="O11" s="99"/>
      <c r="P11" s="100"/>
      <c r="Q11" s="100"/>
      <c r="R11" s="95"/>
      <c r="S11" s="93">
        <v>0</v>
      </c>
      <c r="T11" s="98">
        <f t="shared" si="2"/>
        <v>1750</v>
      </c>
      <c r="U11" s="101">
        <f t="shared" si="3"/>
        <v>0</v>
      </c>
      <c r="V11" s="98">
        <f t="shared" si="4"/>
        <v>1750</v>
      </c>
      <c r="W11" s="102">
        <f t="shared" si="5"/>
        <v>175</v>
      </c>
      <c r="X11" s="101">
        <f t="shared" si="6"/>
        <v>10.2256</v>
      </c>
      <c r="Y11" s="98">
        <f t="shared" si="7"/>
        <v>1935.2256</v>
      </c>
      <c r="Z11" s="154">
        <f>+FACTURACIÓN!L14</f>
        <v>1935.2256</v>
      </c>
      <c r="AA11" s="117"/>
      <c r="AB11" s="118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</row>
    <row r="12" spans="1:46">
      <c r="A12" s="90" t="s">
        <v>186</v>
      </c>
      <c r="B12" s="90" t="s">
        <v>187</v>
      </c>
      <c r="C12" s="91" t="s">
        <v>51</v>
      </c>
      <c r="D12" s="90" t="s">
        <v>50</v>
      </c>
      <c r="E12" s="90"/>
      <c r="F12" s="90"/>
      <c r="G12" s="93">
        <v>511.28</v>
      </c>
      <c r="H12" s="93">
        <v>0</v>
      </c>
      <c r="I12" s="93">
        <f t="shared" si="0"/>
        <v>511.28</v>
      </c>
      <c r="J12" s="95">
        <v>2000</v>
      </c>
      <c r="K12" s="95"/>
      <c r="L12" s="95"/>
      <c r="M12" s="97"/>
      <c r="N12" s="98">
        <f t="shared" si="1"/>
        <v>2511.2799999999997</v>
      </c>
      <c r="O12" s="99"/>
      <c r="P12" s="100"/>
      <c r="Q12" s="100"/>
      <c r="R12" s="95"/>
      <c r="S12" s="93">
        <v>1184.1199999999999</v>
      </c>
      <c r="T12" s="98">
        <f t="shared" si="2"/>
        <v>1327.1599999999999</v>
      </c>
      <c r="U12" s="101">
        <f t="shared" si="3"/>
        <v>0</v>
      </c>
      <c r="V12" s="98">
        <f t="shared" si="4"/>
        <v>1327.1599999999999</v>
      </c>
      <c r="W12" s="102">
        <f t="shared" si="5"/>
        <v>251.12799999999999</v>
      </c>
      <c r="X12" s="101">
        <f t="shared" si="6"/>
        <v>10.2256</v>
      </c>
      <c r="Y12" s="98">
        <f t="shared" si="7"/>
        <v>2772.6336000000001</v>
      </c>
      <c r="Z12" s="154">
        <f>+FACTURACIÓN!L15</f>
        <v>2772.6336000000001</v>
      </c>
      <c r="AA12" s="117"/>
      <c r="AB12" s="118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</row>
    <row r="13" spans="1:46">
      <c r="A13" s="90" t="s">
        <v>191</v>
      </c>
      <c r="B13" s="90" t="s">
        <v>198</v>
      </c>
      <c r="C13" s="91" t="s">
        <v>52</v>
      </c>
      <c r="D13" s="90" t="s">
        <v>50</v>
      </c>
      <c r="E13" s="90"/>
      <c r="F13" s="90"/>
      <c r="G13" s="93">
        <v>511.28</v>
      </c>
      <c r="H13" s="93">
        <v>188.72000000000003</v>
      </c>
      <c r="I13" s="93">
        <f t="shared" si="0"/>
        <v>700</v>
      </c>
      <c r="J13" s="95"/>
      <c r="K13" s="95"/>
      <c r="L13" s="95"/>
      <c r="M13" s="97"/>
      <c r="N13" s="98">
        <f t="shared" si="1"/>
        <v>700</v>
      </c>
      <c r="O13" s="99"/>
      <c r="P13" s="100"/>
      <c r="Q13" s="100"/>
      <c r="R13" s="95"/>
      <c r="S13" s="93">
        <v>323.13</v>
      </c>
      <c r="T13" s="98">
        <f t="shared" si="2"/>
        <v>376.87</v>
      </c>
      <c r="U13" s="101">
        <f t="shared" si="3"/>
        <v>0</v>
      </c>
      <c r="V13" s="98">
        <f t="shared" si="4"/>
        <v>376.87</v>
      </c>
      <c r="W13" s="102">
        <f t="shared" si="5"/>
        <v>70</v>
      </c>
      <c r="X13" s="101">
        <f t="shared" si="6"/>
        <v>10.2256</v>
      </c>
      <c r="Y13" s="98">
        <f t="shared" si="7"/>
        <v>780.22559999999999</v>
      </c>
      <c r="Z13" s="154">
        <f>+FACTURACIÓN!L16</f>
        <v>780.22559999999999</v>
      </c>
      <c r="AA13" s="117"/>
      <c r="AB13" s="118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>
      <c r="A14" s="90" t="s">
        <v>191</v>
      </c>
      <c r="B14" s="106" t="s">
        <v>192</v>
      </c>
      <c r="C14" s="91">
        <v>5</v>
      </c>
      <c r="D14" s="90" t="s">
        <v>193</v>
      </c>
      <c r="E14" s="90"/>
      <c r="F14" s="92"/>
      <c r="G14" s="93">
        <v>511.28</v>
      </c>
      <c r="H14" s="94">
        <v>0</v>
      </c>
      <c r="I14" s="93">
        <f t="shared" si="0"/>
        <v>511.28</v>
      </c>
      <c r="J14" s="95">
        <v>2092.7600000000002</v>
      </c>
      <c r="K14" s="107"/>
      <c r="L14" s="96"/>
      <c r="M14" s="97"/>
      <c r="N14" s="98">
        <f t="shared" si="1"/>
        <v>2604.04</v>
      </c>
      <c r="O14" s="99"/>
      <c r="P14" s="100"/>
      <c r="Q14" s="100"/>
      <c r="R14" s="95"/>
      <c r="S14" s="93">
        <v>0</v>
      </c>
      <c r="T14" s="98">
        <f t="shared" si="2"/>
        <v>2604.04</v>
      </c>
      <c r="U14" s="101">
        <f t="shared" si="3"/>
        <v>0</v>
      </c>
      <c r="V14" s="98">
        <f t="shared" si="4"/>
        <v>2604.04</v>
      </c>
      <c r="W14" s="102">
        <f t="shared" si="5"/>
        <v>260.404</v>
      </c>
      <c r="X14" s="101">
        <f t="shared" si="6"/>
        <v>10.2256</v>
      </c>
      <c r="Y14" s="98">
        <f t="shared" si="7"/>
        <v>2874.6696000000002</v>
      </c>
      <c r="Z14" s="154">
        <f>+FACTURACIÓN!L17</f>
        <v>2874.6696000000002</v>
      </c>
      <c r="AA14" s="117"/>
      <c r="AB14" s="118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>
      <c r="A15" s="90" t="s">
        <v>191</v>
      </c>
      <c r="B15" s="90" t="s">
        <v>199</v>
      </c>
      <c r="C15" s="91" t="s">
        <v>53</v>
      </c>
      <c r="D15" s="90" t="s">
        <v>50</v>
      </c>
      <c r="E15" s="90"/>
      <c r="F15" s="90"/>
      <c r="G15" s="93">
        <v>511.28</v>
      </c>
      <c r="H15" s="93">
        <v>0</v>
      </c>
      <c r="I15" s="93">
        <f t="shared" si="0"/>
        <v>511.28</v>
      </c>
      <c r="J15" s="95"/>
      <c r="K15" s="95"/>
      <c r="L15" s="95"/>
      <c r="M15" s="97"/>
      <c r="N15" s="98">
        <f t="shared" si="1"/>
        <v>511.28</v>
      </c>
      <c r="O15" s="99"/>
      <c r="P15" s="100"/>
      <c r="Q15" s="100"/>
      <c r="R15" s="95"/>
      <c r="S15" s="93">
        <v>0</v>
      </c>
      <c r="T15" s="98">
        <f t="shared" si="2"/>
        <v>511.28</v>
      </c>
      <c r="U15" s="101">
        <f t="shared" si="3"/>
        <v>0</v>
      </c>
      <c r="V15" s="98">
        <f t="shared" si="4"/>
        <v>511.28</v>
      </c>
      <c r="W15" s="102">
        <f t="shared" si="5"/>
        <v>51.128</v>
      </c>
      <c r="X15" s="101">
        <f t="shared" si="6"/>
        <v>10.2256</v>
      </c>
      <c r="Y15" s="98">
        <f t="shared" si="7"/>
        <v>572.6336</v>
      </c>
      <c r="Z15" s="154">
        <f>+FACTURACIÓN!L18</f>
        <v>645.31059999999991</v>
      </c>
      <c r="AA15" s="117"/>
      <c r="AB15" s="118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>
      <c r="A16" s="90" t="s">
        <v>183</v>
      </c>
      <c r="B16" s="90" t="s">
        <v>185</v>
      </c>
      <c r="C16" s="91" t="s">
        <v>40</v>
      </c>
      <c r="D16" s="90" t="s">
        <v>49</v>
      </c>
      <c r="E16" s="90"/>
      <c r="F16" s="90"/>
      <c r="G16" s="93">
        <v>511.28</v>
      </c>
      <c r="H16" s="93">
        <v>655.38000000000011</v>
      </c>
      <c r="I16" s="93">
        <f t="shared" si="0"/>
        <v>1166.6600000000001</v>
      </c>
      <c r="J16" s="95">
        <v>2004.79</v>
      </c>
      <c r="K16" s="95"/>
      <c r="L16" s="95"/>
      <c r="M16" s="97"/>
      <c r="N16" s="98">
        <f t="shared" si="1"/>
        <v>3171.45</v>
      </c>
      <c r="O16" s="99"/>
      <c r="P16" s="100"/>
      <c r="Q16" s="100"/>
      <c r="R16" s="95"/>
      <c r="S16" s="93">
        <v>498.65</v>
      </c>
      <c r="T16" s="98">
        <f t="shared" si="2"/>
        <v>2672.7999999999997</v>
      </c>
      <c r="U16" s="101">
        <f t="shared" si="3"/>
        <v>0</v>
      </c>
      <c r="V16" s="98">
        <f t="shared" si="4"/>
        <v>2672.7999999999997</v>
      </c>
      <c r="W16" s="102">
        <f t="shared" si="5"/>
        <v>317.14499999999998</v>
      </c>
      <c r="X16" s="101">
        <f t="shared" si="6"/>
        <v>10.2256</v>
      </c>
      <c r="Y16" s="98">
        <f t="shared" si="7"/>
        <v>3498.8206</v>
      </c>
      <c r="Z16" s="154">
        <f>+FACTURACIÓN!L19</f>
        <v>3498.8206</v>
      </c>
      <c r="AA16" s="117"/>
      <c r="AB16" s="118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</row>
    <row r="17" spans="1:46">
      <c r="A17" s="90" t="s">
        <v>191</v>
      </c>
      <c r="B17" s="108" t="s">
        <v>209</v>
      </c>
      <c r="C17" s="91"/>
      <c r="D17" s="90" t="s">
        <v>50</v>
      </c>
      <c r="E17" s="92"/>
      <c r="F17" s="92"/>
      <c r="G17" s="93">
        <v>700</v>
      </c>
      <c r="H17" s="94">
        <v>0</v>
      </c>
      <c r="I17" s="93">
        <f t="shared" si="0"/>
        <v>700</v>
      </c>
      <c r="J17" s="95"/>
      <c r="K17" s="96"/>
      <c r="L17" s="96"/>
      <c r="M17" s="97"/>
      <c r="N17" s="98">
        <f t="shared" si="1"/>
        <v>700</v>
      </c>
      <c r="O17" s="99"/>
      <c r="P17" s="100"/>
      <c r="Q17" s="100"/>
      <c r="R17" s="95"/>
      <c r="S17" s="93"/>
      <c r="T17" s="98">
        <f t="shared" si="2"/>
        <v>700</v>
      </c>
      <c r="U17" s="101">
        <f t="shared" si="3"/>
        <v>0</v>
      </c>
      <c r="V17" s="98">
        <f t="shared" si="4"/>
        <v>700</v>
      </c>
      <c r="W17" s="102">
        <f t="shared" si="5"/>
        <v>70</v>
      </c>
      <c r="X17" s="101">
        <f t="shared" si="6"/>
        <v>14</v>
      </c>
      <c r="Y17" s="98">
        <f t="shared" si="7"/>
        <v>784</v>
      </c>
      <c r="Z17" s="154">
        <f>+FACTURACIÓN!L20</f>
        <v>780.22559999999999</v>
      </c>
      <c r="AA17" s="117"/>
      <c r="AB17" s="118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</row>
    <row r="18" spans="1:46">
      <c r="A18" s="90" t="s">
        <v>191</v>
      </c>
      <c r="B18" s="90" t="s">
        <v>194</v>
      </c>
      <c r="C18" s="91">
        <v>10</v>
      </c>
      <c r="D18" s="90" t="s">
        <v>193</v>
      </c>
      <c r="E18" s="90"/>
      <c r="F18" s="92"/>
      <c r="G18" s="93">
        <v>511.28</v>
      </c>
      <c r="H18" s="94">
        <v>1122.05</v>
      </c>
      <c r="I18" s="93">
        <f t="shared" si="0"/>
        <v>1633.33</v>
      </c>
      <c r="J18" s="95">
        <v>8820.82</v>
      </c>
      <c r="K18" s="96"/>
      <c r="L18" s="96"/>
      <c r="M18" s="97"/>
      <c r="N18" s="98">
        <f t="shared" si="1"/>
        <v>10454.15</v>
      </c>
      <c r="O18" s="99"/>
      <c r="P18" s="100"/>
      <c r="Q18" s="100"/>
      <c r="R18" s="95">
        <v>524.16999999999996</v>
      </c>
      <c r="S18" s="93">
        <v>144.03</v>
      </c>
      <c r="T18" s="98">
        <f t="shared" si="2"/>
        <v>9785.9499999999989</v>
      </c>
      <c r="U18" s="101">
        <f t="shared" si="3"/>
        <v>1045.415</v>
      </c>
      <c r="V18" s="98">
        <f t="shared" si="4"/>
        <v>8740.5349999999999</v>
      </c>
      <c r="W18" s="102">
        <f t="shared" si="5"/>
        <v>0</v>
      </c>
      <c r="X18" s="101">
        <f t="shared" si="6"/>
        <v>10.2256</v>
      </c>
      <c r="Y18" s="98">
        <f t="shared" si="7"/>
        <v>10464.375599999999</v>
      </c>
      <c r="Z18" s="154">
        <f>+FACTURACIÓN!L21</f>
        <v>9940.2055999999993</v>
      </c>
      <c r="AA18" s="117"/>
      <c r="AB18" s="118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1:46">
      <c r="A19" s="90" t="s">
        <v>191</v>
      </c>
      <c r="B19" s="90" t="s">
        <v>202</v>
      </c>
      <c r="C19" s="91" t="s">
        <v>57</v>
      </c>
      <c r="D19" s="90" t="s">
        <v>50</v>
      </c>
      <c r="E19" s="92"/>
      <c r="F19" s="92"/>
      <c r="G19" s="93">
        <v>511.28</v>
      </c>
      <c r="H19" s="94">
        <v>20.579999999999984</v>
      </c>
      <c r="I19" s="93">
        <f t="shared" si="0"/>
        <v>531.8599999999999</v>
      </c>
      <c r="J19" s="95"/>
      <c r="K19" s="96"/>
      <c r="L19" s="96"/>
      <c r="M19" s="97"/>
      <c r="N19" s="98">
        <f t="shared" si="1"/>
        <v>531.8599999999999</v>
      </c>
      <c r="O19" s="99"/>
      <c r="P19" s="100"/>
      <c r="Q19" s="100"/>
      <c r="R19" s="95"/>
      <c r="S19" s="93">
        <v>0</v>
      </c>
      <c r="T19" s="98">
        <f t="shared" si="2"/>
        <v>531.8599999999999</v>
      </c>
      <c r="U19" s="101">
        <f t="shared" si="3"/>
        <v>0</v>
      </c>
      <c r="V19" s="98">
        <f t="shared" si="4"/>
        <v>531.8599999999999</v>
      </c>
      <c r="W19" s="102">
        <f t="shared" si="5"/>
        <v>53.185999999999993</v>
      </c>
      <c r="X19" s="101">
        <f t="shared" si="6"/>
        <v>10.2256</v>
      </c>
      <c r="Y19" s="98">
        <f t="shared" si="7"/>
        <v>595.27159999999992</v>
      </c>
      <c r="Z19" s="154">
        <f>+FACTURACIÓN!L22</f>
        <v>667.94859999999983</v>
      </c>
      <c r="AA19" s="117"/>
      <c r="AB19" s="118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1:46">
      <c r="A20" s="90" t="s">
        <v>191</v>
      </c>
      <c r="B20" s="90" t="s">
        <v>200</v>
      </c>
      <c r="C20" s="91" t="s">
        <v>55</v>
      </c>
      <c r="D20" s="90" t="s">
        <v>50</v>
      </c>
      <c r="E20" s="92"/>
      <c r="F20" s="92"/>
      <c r="G20" s="93">
        <v>511.28</v>
      </c>
      <c r="H20" s="94">
        <v>0</v>
      </c>
      <c r="I20" s="93">
        <f t="shared" si="0"/>
        <v>511.28</v>
      </c>
      <c r="J20" s="95">
        <f>3035.57</f>
        <v>3035.57</v>
      </c>
      <c r="K20" s="96"/>
      <c r="L20" s="96"/>
      <c r="M20" s="97"/>
      <c r="N20" s="98">
        <f t="shared" si="1"/>
        <v>3546.8500000000004</v>
      </c>
      <c r="O20" s="99"/>
      <c r="P20" s="100"/>
      <c r="Q20" s="100"/>
      <c r="R20" s="95"/>
      <c r="S20" s="93">
        <v>0</v>
      </c>
      <c r="T20" s="98">
        <f t="shared" si="2"/>
        <v>3546.8500000000004</v>
      </c>
      <c r="U20" s="101">
        <f t="shared" si="3"/>
        <v>0</v>
      </c>
      <c r="V20" s="98">
        <f t="shared" si="4"/>
        <v>3546.8500000000004</v>
      </c>
      <c r="W20" s="102">
        <f t="shared" si="5"/>
        <v>354.68500000000006</v>
      </c>
      <c r="X20" s="101">
        <f t="shared" si="6"/>
        <v>10.2256</v>
      </c>
      <c r="Y20" s="98">
        <f t="shared" si="7"/>
        <v>3911.7606000000005</v>
      </c>
      <c r="Z20" s="154">
        <f>+FACTURACIÓN!L23</f>
        <v>3911.7606000000005</v>
      </c>
      <c r="AA20" s="117"/>
      <c r="AB20" s="118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1:46">
      <c r="A21" s="90" t="s">
        <v>191</v>
      </c>
      <c r="B21" s="90" t="s">
        <v>201</v>
      </c>
      <c r="C21" s="91" t="s">
        <v>56</v>
      </c>
      <c r="D21" s="90" t="s">
        <v>50</v>
      </c>
      <c r="E21" s="90"/>
      <c r="F21" s="90"/>
      <c r="G21" s="93">
        <v>511.28</v>
      </c>
      <c r="H21" s="93">
        <v>0</v>
      </c>
      <c r="I21" s="93">
        <f t="shared" si="0"/>
        <v>511.28</v>
      </c>
      <c r="J21" s="95">
        <f>1804.73+2000</f>
        <v>3804.73</v>
      </c>
      <c r="K21" s="95"/>
      <c r="L21" s="95"/>
      <c r="M21" s="97"/>
      <c r="N21" s="98">
        <f t="shared" si="1"/>
        <v>4316.01</v>
      </c>
      <c r="O21" s="99"/>
      <c r="P21" s="100"/>
      <c r="Q21" s="100"/>
      <c r="R21" s="95"/>
      <c r="S21" s="93">
        <v>0</v>
      </c>
      <c r="T21" s="98">
        <f t="shared" si="2"/>
        <v>4316.01</v>
      </c>
      <c r="U21" s="101">
        <f t="shared" si="3"/>
        <v>0</v>
      </c>
      <c r="V21" s="98">
        <f t="shared" si="4"/>
        <v>4316.01</v>
      </c>
      <c r="W21" s="102">
        <f t="shared" si="5"/>
        <v>431.60100000000006</v>
      </c>
      <c r="X21" s="101">
        <f t="shared" si="6"/>
        <v>10.2256</v>
      </c>
      <c r="Y21" s="98">
        <f t="shared" si="7"/>
        <v>4757.8365999999996</v>
      </c>
      <c r="Z21" s="154">
        <f>+FACTURACIÓN!L24</f>
        <v>4757.8365999999996</v>
      </c>
      <c r="AA21" s="117"/>
      <c r="AB21" s="118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1:46">
      <c r="A22" s="90" t="s">
        <v>186</v>
      </c>
      <c r="B22" s="90" t="s">
        <v>188</v>
      </c>
      <c r="C22" s="91" t="s">
        <v>54</v>
      </c>
      <c r="D22" s="90" t="s">
        <v>50</v>
      </c>
      <c r="E22" s="90"/>
      <c r="F22" s="90"/>
      <c r="G22" s="93">
        <v>511.28</v>
      </c>
      <c r="H22" s="93">
        <v>0</v>
      </c>
      <c r="I22" s="93">
        <f t="shared" si="0"/>
        <v>511.28</v>
      </c>
      <c r="J22" s="95"/>
      <c r="K22" s="95"/>
      <c r="L22" s="95"/>
      <c r="M22" s="97"/>
      <c r="N22" s="98">
        <f t="shared" si="1"/>
        <v>511.28</v>
      </c>
      <c r="O22" s="99"/>
      <c r="P22" s="100"/>
      <c r="Q22" s="100"/>
      <c r="R22" s="95"/>
      <c r="S22" s="93">
        <v>115.26</v>
      </c>
      <c r="T22" s="98">
        <f t="shared" si="2"/>
        <v>396.02</v>
      </c>
      <c r="U22" s="101">
        <f t="shared" si="3"/>
        <v>0</v>
      </c>
      <c r="V22" s="98">
        <f t="shared" si="4"/>
        <v>396.02</v>
      </c>
      <c r="W22" s="102">
        <f t="shared" si="5"/>
        <v>51.128</v>
      </c>
      <c r="X22" s="101">
        <f t="shared" si="6"/>
        <v>10.2256</v>
      </c>
      <c r="Y22" s="98">
        <f t="shared" si="7"/>
        <v>572.6336</v>
      </c>
      <c r="Z22" s="154">
        <f>+FACTURACIÓN!L25</f>
        <v>645.31059999999991</v>
      </c>
      <c r="AA22" s="117"/>
      <c r="AB22" s="118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</row>
    <row r="23" spans="1:46" s="104" customFormat="1">
      <c r="A23" s="90" t="s">
        <v>183</v>
      </c>
      <c r="B23" s="90" t="s">
        <v>184</v>
      </c>
      <c r="C23" s="91">
        <v>21</v>
      </c>
      <c r="D23" s="90" t="s">
        <v>49</v>
      </c>
      <c r="E23" s="90"/>
      <c r="F23" s="90"/>
      <c r="G23" s="93">
        <v>511.28</v>
      </c>
      <c r="H23" s="93">
        <v>655.38000000000011</v>
      </c>
      <c r="I23" s="93">
        <f t="shared" si="0"/>
        <v>1166.6600000000001</v>
      </c>
      <c r="J23" s="95">
        <v>1702.74</v>
      </c>
      <c r="K23" s="95"/>
      <c r="L23" s="95"/>
      <c r="M23" s="97"/>
      <c r="N23" s="98">
        <f t="shared" si="1"/>
        <v>2869.4</v>
      </c>
      <c r="O23" s="99"/>
      <c r="P23" s="100"/>
      <c r="Q23" s="100"/>
      <c r="R23" s="95"/>
      <c r="S23" s="93">
        <v>89.36</v>
      </c>
      <c r="T23" s="98">
        <f t="shared" si="2"/>
        <v>2780.04</v>
      </c>
      <c r="U23" s="101">
        <f t="shared" si="3"/>
        <v>0</v>
      </c>
      <c r="V23" s="98">
        <f t="shared" si="4"/>
        <v>2780.04</v>
      </c>
      <c r="W23" s="102">
        <f t="shared" si="5"/>
        <v>286.94</v>
      </c>
      <c r="X23" s="101">
        <f t="shared" si="6"/>
        <v>10.2256</v>
      </c>
      <c r="Y23" s="98">
        <f t="shared" si="7"/>
        <v>3166.5656000000004</v>
      </c>
      <c r="Z23" s="154">
        <f>+FACTURACIÓN!L26</f>
        <v>3166.5656000000004</v>
      </c>
      <c r="AA23" s="117"/>
      <c r="AB23" s="118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</row>
    <row r="24" spans="1:46">
      <c r="A24" s="90" t="s">
        <v>191</v>
      </c>
      <c r="B24" s="90" t="s">
        <v>204</v>
      </c>
      <c r="C24" s="91" t="s">
        <v>59</v>
      </c>
      <c r="D24" s="90" t="s">
        <v>50</v>
      </c>
      <c r="E24" s="90"/>
      <c r="F24" s="90"/>
      <c r="G24" s="93">
        <v>511.28</v>
      </c>
      <c r="H24" s="93">
        <v>0</v>
      </c>
      <c r="I24" s="93">
        <f t="shared" si="0"/>
        <v>511.28</v>
      </c>
      <c r="J24" s="95">
        <v>3853.59</v>
      </c>
      <c r="K24" s="95"/>
      <c r="L24" s="95"/>
      <c r="M24" s="97"/>
      <c r="N24" s="98">
        <f t="shared" si="1"/>
        <v>4364.87</v>
      </c>
      <c r="O24" s="99"/>
      <c r="P24" s="100"/>
      <c r="Q24" s="100"/>
      <c r="R24" s="95"/>
      <c r="S24" s="93">
        <v>0</v>
      </c>
      <c r="T24" s="98">
        <f t="shared" si="2"/>
        <v>4364.87</v>
      </c>
      <c r="U24" s="101">
        <f t="shared" si="3"/>
        <v>0</v>
      </c>
      <c r="V24" s="98">
        <f t="shared" si="4"/>
        <v>4364.87</v>
      </c>
      <c r="W24" s="102">
        <f t="shared" si="5"/>
        <v>436.48700000000002</v>
      </c>
      <c r="X24" s="101">
        <f t="shared" si="6"/>
        <v>10.2256</v>
      </c>
      <c r="Y24" s="98">
        <f t="shared" si="7"/>
        <v>4811.5825999999997</v>
      </c>
      <c r="Z24" s="154">
        <f>+FACTURACIÓN!L27</f>
        <v>4811.5825999999997</v>
      </c>
      <c r="AA24" s="117"/>
      <c r="AB24" s="118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1:46">
      <c r="A25" s="90" t="s">
        <v>191</v>
      </c>
      <c r="B25" s="90" t="s">
        <v>203</v>
      </c>
      <c r="C25" s="91" t="s">
        <v>58</v>
      </c>
      <c r="D25" s="90" t="s">
        <v>50</v>
      </c>
      <c r="E25" s="90"/>
      <c r="F25" s="90"/>
      <c r="G25" s="93">
        <v>511.28</v>
      </c>
      <c r="H25" s="93">
        <v>73.039999999999964</v>
      </c>
      <c r="I25" s="93">
        <f t="shared" si="0"/>
        <v>584.31999999999994</v>
      </c>
      <c r="J25" s="95">
        <v>525.28</v>
      </c>
      <c r="K25" s="95"/>
      <c r="L25" s="95"/>
      <c r="M25" s="97"/>
      <c r="N25" s="98">
        <f t="shared" si="1"/>
        <v>1109.5999999999999</v>
      </c>
      <c r="O25" s="99"/>
      <c r="P25" s="100"/>
      <c r="Q25" s="100"/>
      <c r="R25" s="95"/>
      <c r="S25" s="93">
        <v>0</v>
      </c>
      <c r="T25" s="98">
        <f t="shared" si="2"/>
        <v>1109.5999999999999</v>
      </c>
      <c r="U25" s="101">
        <f t="shared" si="3"/>
        <v>0</v>
      </c>
      <c r="V25" s="98">
        <f t="shared" si="4"/>
        <v>1109.5999999999999</v>
      </c>
      <c r="W25" s="102">
        <f t="shared" si="5"/>
        <v>110.96</v>
      </c>
      <c r="X25" s="101">
        <f t="shared" si="6"/>
        <v>10.2256</v>
      </c>
      <c r="Y25" s="98">
        <f t="shared" si="7"/>
        <v>1230.7855999999999</v>
      </c>
      <c r="Z25" s="154">
        <f>+FACTURACIÓN!L28</f>
        <v>1230.7855999999999</v>
      </c>
      <c r="AA25" s="117"/>
      <c r="AB25" s="118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1:46" s="104" customFormat="1">
      <c r="A26" s="90" t="s">
        <v>183</v>
      </c>
      <c r="B26" s="90" t="s">
        <v>116</v>
      </c>
      <c r="C26" s="91" t="s">
        <v>41</v>
      </c>
      <c r="D26" s="90" t="s">
        <v>49</v>
      </c>
      <c r="E26" s="90"/>
      <c r="F26" s="90"/>
      <c r="G26" s="93">
        <v>511.28</v>
      </c>
      <c r="H26" s="93">
        <v>655.3900000000001</v>
      </c>
      <c r="I26" s="93">
        <f t="shared" si="0"/>
        <v>1166.67</v>
      </c>
      <c r="J26" s="95">
        <v>1591.95</v>
      </c>
      <c r="K26" s="95"/>
      <c r="L26" s="95"/>
      <c r="M26" s="97"/>
      <c r="N26" s="98">
        <f t="shared" si="1"/>
        <v>2758.62</v>
      </c>
      <c r="O26" s="99"/>
      <c r="P26" s="100"/>
      <c r="Q26" s="100"/>
      <c r="R26" s="95"/>
      <c r="S26" s="93">
        <v>0</v>
      </c>
      <c r="T26" s="98">
        <f t="shared" si="2"/>
        <v>2758.62</v>
      </c>
      <c r="U26" s="101">
        <f t="shared" si="3"/>
        <v>0</v>
      </c>
      <c r="V26" s="98">
        <f t="shared" si="4"/>
        <v>2758.62</v>
      </c>
      <c r="W26" s="102">
        <f t="shared" si="5"/>
        <v>275.86200000000002</v>
      </c>
      <c r="X26" s="101">
        <f t="shared" si="6"/>
        <v>10.2256</v>
      </c>
      <c r="Y26" s="98">
        <f t="shared" si="7"/>
        <v>3044.7076000000002</v>
      </c>
      <c r="Z26" s="154">
        <f>+FACTURACIÓN!L29</f>
        <v>3044.7076000000002</v>
      </c>
      <c r="AA26" s="117"/>
      <c r="AB26" s="118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46" s="104" customFormat="1">
      <c r="A27" s="90" t="s">
        <v>191</v>
      </c>
      <c r="B27" s="90" t="s">
        <v>35</v>
      </c>
      <c r="C27" s="91" t="s">
        <v>61</v>
      </c>
      <c r="D27" s="90" t="s">
        <v>50</v>
      </c>
      <c r="E27" s="90"/>
      <c r="F27" s="90"/>
      <c r="G27" s="93">
        <v>511.28</v>
      </c>
      <c r="H27" s="93">
        <v>188.72000000000003</v>
      </c>
      <c r="I27" s="93">
        <f t="shared" si="0"/>
        <v>700</v>
      </c>
      <c r="J27" s="95">
        <f>688+2000</f>
        <v>2688</v>
      </c>
      <c r="K27" s="95"/>
      <c r="L27" s="95"/>
      <c r="M27" s="97"/>
      <c r="N27" s="98">
        <f t="shared" si="1"/>
        <v>3388</v>
      </c>
      <c r="O27" s="99"/>
      <c r="P27" s="100"/>
      <c r="Q27" s="100"/>
      <c r="R27" s="95"/>
      <c r="S27" s="93">
        <v>0</v>
      </c>
      <c r="T27" s="98">
        <f t="shared" si="2"/>
        <v>3388</v>
      </c>
      <c r="U27" s="101">
        <f t="shared" si="3"/>
        <v>0</v>
      </c>
      <c r="V27" s="98">
        <f t="shared" si="4"/>
        <v>3388</v>
      </c>
      <c r="W27" s="102">
        <f t="shared" si="5"/>
        <v>338.8</v>
      </c>
      <c r="X27" s="101">
        <f t="shared" si="6"/>
        <v>10.2256</v>
      </c>
      <c r="Y27" s="98">
        <f t="shared" si="7"/>
        <v>3737.0256000000004</v>
      </c>
      <c r="Z27" s="154">
        <f>+FACTURACIÓN!L30</f>
        <v>3737.0256000000004</v>
      </c>
      <c r="AA27" s="117"/>
      <c r="AB27" s="118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46">
      <c r="A28" s="90" t="s">
        <v>191</v>
      </c>
      <c r="B28" s="90" t="s">
        <v>205</v>
      </c>
      <c r="C28" s="91" t="s">
        <v>62</v>
      </c>
      <c r="D28" s="90" t="s">
        <v>50</v>
      </c>
      <c r="E28" s="90"/>
      <c r="F28" s="90"/>
      <c r="G28" s="93">
        <v>511.28</v>
      </c>
      <c r="H28" s="93">
        <v>188.72000000000003</v>
      </c>
      <c r="I28" s="93">
        <f t="shared" si="0"/>
        <v>700</v>
      </c>
      <c r="J28" s="95"/>
      <c r="K28" s="95"/>
      <c r="L28" s="95"/>
      <c r="M28" s="97"/>
      <c r="N28" s="98">
        <f t="shared" si="1"/>
        <v>700</v>
      </c>
      <c r="O28" s="99"/>
      <c r="P28" s="100"/>
      <c r="Q28" s="100"/>
      <c r="R28" s="95"/>
      <c r="S28" s="93">
        <v>0</v>
      </c>
      <c r="T28" s="98">
        <f t="shared" si="2"/>
        <v>700</v>
      </c>
      <c r="U28" s="101">
        <f t="shared" si="3"/>
        <v>0</v>
      </c>
      <c r="V28" s="98">
        <f t="shared" si="4"/>
        <v>700</v>
      </c>
      <c r="W28" s="102">
        <f t="shared" si="5"/>
        <v>70</v>
      </c>
      <c r="X28" s="101">
        <f t="shared" si="6"/>
        <v>10.2256</v>
      </c>
      <c r="Y28" s="98">
        <f t="shared" si="7"/>
        <v>780.22559999999999</v>
      </c>
      <c r="Z28" s="154">
        <f>+FACTURACIÓN!L31</f>
        <v>780.22559999999999</v>
      </c>
      <c r="AA28" s="117"/>
      <c r="AB28" s="118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1:46">
      <c r="A29" s="90" t="s">
        <v>191</v>
      </c>
      <c r="B29" s="90" t="s">
        <v>64</v>
      </c>
      <c r="C29" s="91" t="s">
        <v>63</v>
      </c>
      <c r="D29" s="90" t="s">
        <v>50</v>
      </c>
      <c r="E29" s="92"/>
      <c r="F29" s="92"/>
      <c r="G29" s="93">
        <v>511.28</v>
      </c>
      <c r="H29" s="94">
        <v>0</v>
      </c>
      <c r="I29" s="93">
        <f t="shared" si="0"/>
        <v>511.28</v>
      </c>
      <c r="J29" s="95">
        <v>8747.7000000000007</v>
      </c>
      <c r="K29" s="96"/>
      <c r="L29" s="96"/>
      <c r="M29" s="97"/>
      <c r="N29" s="98">
        <f t="shared" si="1"/>
        <v>9258.9800000000014</v>
      </c>
      <c r="O29" s="99"/>
      <c r="P29" s="100"/>
      <c r="Q29" s="100"/>
      <c r="R29" s="95"/>
      <c r="S29" s="93">
        <v>0</v>
      </c>
      <c r="T29" s="98">
        <f t="shared" si="2"/>
        <v>9258.9800000000014</v>
      </c>
      <c r="U29" s="101">
        <f t="shared" si="3"/>
        <v>925.89800000000014</v>
      </c>
      <c r="V29" s="98">
        <f t="shared" si="4"/>
        <v>8333.0820000000022</v>
      </c>
      <c r="W29" s="102">
        <f t="shared" si="5"/>
        <v>0</v>
      </c>
      <c r="X29" s="101">
        <f t="shared" si="6"/>
        <v>10.2256</v>
      </c>
      <c r="Y29" s="98">
        <f t="shared" si="7"/>
        <v>9269.2056000000011</v>
      </c>
      <c r="Z29" s="154">
        <f>+FACTURACIÓN!L32</f>
        <v>9269.2056000000011</v>
      </c>
      <c r="AA29" s="117"/>
      <c r="AB29" s="118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1:46">
      <c r="A30" s="90" t="s">
        <v>186</v>
      </c>
      <c r="B30" s="90" t="s">
        <v>189</v>
      </c>
      <c r="C30" s="91" t="s">
        <v>65</v>
      </c>
      <c r="D30" s="90" t="s">
        <v>50</v>
      </c>
      <c r="E30" s="90"/>
      <c r="F30" s="90"/>
      <c r="G30" s="93">
        <v>511.28</v>
      </c>
      <c r="H30" s="93">
        <v>0</v>
      </c>
      <c r="I30" s="93">
        <f t="shared" si="0"/>
        <v>511.28</v>
      </c>
      <c r="J30" s="95">
        <v>2348.11</v>
      </c>
      <c r="K30" s="95"/>
      <c r="L30" s="95"/>
      <c r="M30" s="97"/>
      <c r="N30" s="98">
        <f t="shared" si="1"/>
        <v>2859.3900000000003</v>
      </c>
      <c r="O30" s="99"/>
      <c r="P30" s="100"/>
      <c r="Q30" s="100"/>
      <c r="R30" s="95"/>
      <c r="S30" s="93">
        <v>0</v>
      </c>
      <c r="T30" s="98">
        <f t="shared" si="2"/>
        <v>2859.3900000000003</v>
      </c>
      <c r="U30" s="101">
        <f t="shared" si="3"/>
        <v>0</v>
      </c>
      <c r="V30" s="98">
        <f t="shared" si="4"/>
        <v>2859.3900000000003</v>
      </c>
      <c r="W30" s="102">
        <f t="shared" si="5"/>
        <v>285.93900000000002</v>
      </c>
      <c r="X30" s="101">
        <f t="shared" si="6"/>
        <v>10.2256</v>
      </c>
      <c r="Y30" s="98">
        <f t="shared" si="7"/>
        <v>3155.5546000000004</v>
      </c>
      <c r="Z30" s="154">
        <f>+FACTURACIÓN!L33</f>
        <v>3155.5546000000004</v>
      </c>
      <c r="AA30" s="117"/>
      <c r="AB30" s="118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1:46">
      <c r="A31" s="90" t="s">
        <v>186</v>
      </c>
      <c r="B31" s="90" t="s">
        <v>190</v>
      </c>
      <c r="C31" s="91" t="s">
        <v>42</v>
      </c>
      <c r="D31" s="90" t="s">
        <v>50</v>
      </c>
      <c r="E31" s="90"/>
      <c r="F31" s="90"/>
      <c r="G31" s="93">
        <v>511.28</v>
      </c>
      <c r="H31" s="93">
        <v>0</v>
      </c>
      <c r="I31" s="93">
        <f t="shared" si="0"/>
        <v>511.28</v>
      </c>
      <c r="J31" s="95">
        <v>1598.19</v>
      </c>
      <c r="K31" s="95"/>
      <c r="L31" s="95"/>
      <c r="M31" s="97"/>
      <c r="N31" s="98">
        <f t="shared" si="1"/>
        <v>2109.4700000000003</v>
      </c>
      <c r="O31" s="99"/>
      <c r="P31" s="100"/>
      <c r="Q31" s="100"/>
      <c r="R31" s="95"/>
      <c r="S31" s="93">
        <v>134.6</v>
      </c>
      <c r="T31" s="98">
        <f t="shared" si="2"/>
        <v>1974.8700000000003</v>
      </c>
      <c r="U31" s="101">
        <f t="shared" si="3"/>
        <v>0</v>
      </c>
      <c r="V31" s="98">
        <f t="shared" si="4"/>
        <v>1974.8700000000003</v>
      </c>
      <c r="W31" s="102">
        <f t="shared" si="5"/>
        <v>210.94700000000003</v>
      </c>
      <c r="X31" s="101">
        <f t="shared" si="6"/>
        <v>10.2256</v>
      </c>
      <c r="Y31" s="98">
        <f t="shared" si="7"/>
        <v>2330.6426000000006</v>
      </c>
      <c r="Z31" s="154">
        <f>+FACTURACIÓN!L34</f>
        <v>2330.6426000000006</v>
      </c>
      <c r="AA31" s="117"/>
      <c r="AB31" s="118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1:46">
      <c r="A32" s="90" t="s">
        <v>191</v>
      </c>
      <c r="B32" s="90" t="s">
        <v>206</v>
      </c>
      <c r="C32" s="91" t="s">
        <v>66</v>
      </c>
      <c r="D32" s="90" t="s">
        <v>50</v>
      </c>
      <c r="E32" s="90"/>
      <c r="F32" s="90"/>
      <c r="G32" s="93">
        <v>511.28</v>
      </c>
      <c r="H32" s="93">
        <v>0</v>
      </c>
      <c r="I32" s="93">
        <f t="shared" si="0"/>
        <v>511.28</v>
      </c>
      <c r="J32" s="95"/>
      <c r="K32" s="95"/>
      <c r="L32" s="95"/>
      <c r="M32" s="97"/>
      <c r="N32" s="98">
        <f t="shared" si="1"/>
        <v>511.28</v>
      </c>
      <c r="O32" s="99"/>
      <c r="P32" s="100"/>
      <c r="Q32" s="100"/>
      <c r="R32" s="95"/>
      <c r="S32" s="93">
        <v>1148.7</v>
      </c>
      <c r="T32" s="98">
        <f t="shared" si="2"/>
        <v>-637.42000000000007</v>
      </c>
      <c r="U32" s="101">
        <f t="shared" si="3"/>
        <v>0</v>
      </c>
      <c r="V32" s="98">
        <f t="shared" si="4"/>
        <v>-637.42000000000007</v>
      </c>
      <c r="W32" s="102">
        <f t="shared" si="5"/>
        <v>51.128</v>
      </c>
      <c r="X32" s="101">
        <f t="shared" si="6"/>
        <v>10.2256</v>
      </c>
      <c r="Y32" s="98">
        <f t="shared" si="7"/>
        <v>572.6336</v>
      </c>
      <c r="Z32" s="154">
        <f>+FACTURACIÓN!L35</f>
        <v>645.31059999999991</v>
      </c>
      <c r="AA32" s="117"/>
      <c r="AB32" s="118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</row>
    <row r="33" spans="1:46">
      <c r="A33" s="90" t="s">
        <v>191</v>
      </c>
      <c r="B33" s="108" t="s">
        <v>208</v>
      </c>
      <c r="C33" s="91"/>
      <c r="D33" s="90" t="s">
        <v>50</v>
      </c>
      <c r="E33" s="92"/>
      <c r="F33" s="92"/>
      <c r="G33" s="93">
        <v>700</v>
      </c>
      <c r="H33" s="94">
        <v>0</v>
      </c>
      <c r="I33" s="93">
        <f t="shared" si="0"/>
        <v>700</v>
      </c>
      <c r="J33" s="95"/>
      <c r="K33" s="96"/>
      <c r="L33" s="96"/>
      <c r="M33" s="97"/>
      <c r="N33" s="98">
        <f t="shared" si="1"/>
        <v>700</v>
      </c>
      <c r="O33" s="99"/>
      <c r="P33" s="100"/>
      <c r="Q33" s="100"/>
      <c r="R33" s="95"/>
      <c r="S33" s="93"/>
      <c r="T33" s="98">
        <f t="shared" si="2"/>
        <v>700</v>
      </c>
      <c r="U33" s="101">
        <f t="shared" si="3"/>
        <v>0</v>
      </c>
      <c r="V33" s="98">
        <f t="shared" si="4"/>
        <v>700</v>
      </c>
      <c r="W33" s="102">
        <f t="shared" si="5"/>
        <v>70</v>
      </c>
      <c r="X33" s="101">
        <f t="shared" si="6"/>
        <v>14</v>
      </c>
      <c r="Y33" s="98">
        <f t="shared" si="7"/>
        <v>784</v>
      </c>
      <c r="Z33" s="154">
        <f>+FACTURACIÓN!L36</f>
        <v>780.22559999999999</v>
      </c>
      <c r="AA33" s="117"/>
      <c r="AB33" s="118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</row>
    <row r="34" spans="1:46">
      <c r="A34" s="90" t="s">
        <v>191</v>
      </c>
      <c r="B34" s="90" t="s">
        <v>207</v>
      </c>
      <c r="C34" s="91" t="s">
        <v>67</v>
      </c>
      <c r="D34" s="90" t="s">
        <v>50</v>
      </c>
      <c r="E34" s="92"/>
      <c r="F34" s="92"/>
      <c r="G34" s="93">
        <v>511.28</v>
      </c>
      <c r="H34" s="94">
        <v>0</v>
      </c>
      <c r="I34" s="93">
        <f t="shared" si="0"/>
        <v>511.28</v>
      </c>
      <c r="J34" s="95"/>
      <c r="K34" s="96"/>
      <c r="L34" s="96"/>
      <c r="M34" s="97"/>
      <c r="N34" s="98">
        <f t="shared" si="1"/>
        <v>511.28</v>
      </c>
      <c r="O34" s="99"/>
      <c r="P34" s="100"/>
      <c r="Q34" s="100"/>
      <c r="R34" s="95"/>
      <c r="S34" s="93">
        <v>0</v>
      </c>
      <c r="T34" s="98">
        <f t="shared" si="2"/>
        <v>511.28</v>
      </c>
      <c r="U34" s="101">
        <f t="shared" si="3"/>
        <v>0</v>
      </c>
      <c r="V34" s="98">
        <f t="shared" si="4"/>
        <v>511.28</v>
      </c>
      <c r="W34" s="102">
        <f t="shared" si="5"/>
        <v>51.128</v>
      </c>
      <c r="X34" s="101">
        <f t="shared" si="6"/>
        <v>10.2256</v>
      </c>
      <c r="Y34" s="98">
        <f t="shared" si="7"/>
        <v>572.6336</v>
      </c>
      <c r="Z34" s="154">
        <f>+FACTURACIÓN!L37</f>
        <v>645.31059999999991</v>
      </c>
      <c r="AA34" s="117"/>
      <c r="AB34" s="118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1:46">
      <c r="A35" s="90"/>
      <c r="B35" s="90"/>
      <c r="C35" s="91"/>
      <c r="D35" s="90"/>
      <c r="E35" s="92"/>
      <c r="F35" s="92"/>
      <c r="G35" s="93"/>
      <c r="H35" s="94"/>
      <c r="I35" s="93"/>
      <c r="J35" s="95"/>
      <c r="K35" s="96"/>
      <c r="L35" s="96"/>
      <c r="M35" s="97"/>
      <c r="N35" s="98"/>
      <c r="O35" s="99"/>
      <c r="P35" s="100"/>
      <c r="Q35" s="100"/>
      <c r="R35" s="95"/>
      <c r="S35" s="93"/>
      <c r="T35" s="98"/>
      <c r="U35" s="101"/>
      <c r="V35" s="98"/>
      <c r="W35" s="102"/>
      <c r="X35" s="101"/>
      <c r="Y35" s="98">
        <f t="shared" ref="Y35" si="8">+N35+W35+X35</f>
        <v>0</v>
      </c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1:46">
      <c r="A36" s="109"/>
      <c r="B36" s="90"/>
      <c r="C36" s="92"/>
      <c r="D36" s="90"/>
      <c r="E36" s="90"/>
      <c r="F36" s="90"/>
      <c r="G36" s="90"/>
      <c r="H36" s="90"/>
      <c r="I36" s="95"/>
      <c r="J36" s="95"/>
      <c r="K36" s="95"/>
      <c r="L36" s="95"/>
      <c r="M36" s="97"/>
      <c r="N36" s="98">
        <f>SUM(I36:L36)-M36</f>
        <v>0</v>
      </c>
      <c r="O36" s="99"/>
      <c r="P36" s="100"/>
      <c r="Q36" s="100"/>
      <c r="R36" s="95"/>
      <c r="S36" s="93"/>
      <c r="T36" s="98"/>
      <c r="U36" s="101"/>
      <c r="V36" s="98"/>
      <c r="W36" s="102"/>
      <c r="X36" s="101"/>
      <c r="Y36" s="98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1:46">
      <c r="A37" s="109"/>
      <c r="B37" s="90"/>
      <c r="C37" s="92"/>
      <c r="D37" s="90"/>
      <c r="E37" s="90"/>
      <c r="F37" s="90"/>
      <c r="G37" s="90"/>
      <c r="H37" s="90"/>
      <c r="I37" s="95"/>
      <c r="J37" s="95"/>
      <c r="K37" s="95"/>
      <c r="L37" s="95"/>
      <c r="M37" s="97"/>
      <c r="N37" s="98">
        <f>SUM(I37:L37)-M37</f>
        <v>0</v>
      </c>
      <c r="O37" s="99"/>
      <c r="P37" s="100"/>
      <c r="Q37" s="100"/>
      <c r="R37" s="101"/>
      <c r="S37" s="101"/>
      <c r="T37" s="98">
        <f>+N37-SUM(O37:S37)</f>
        <v>0</v>
      </c>
      <c r="U37" s="101">
        <f>IF(N37&gt;4500,N37*0.1,0)</f>
        <v>0</v>
      </c>
      <c r="V37" s="98">
        <f>+T37-U37</f>
        <v>0</v>
      </c>
      <c r="W37" s="102">
        <f t="shared" ref="W37" si="9">IF(N37&lt;4500,N37*0.1,0)</f>
        <v>0</v>
      </c>
      <c r="X37" s="101"/>
      <c r="Y37" s="98">
        <f>+N37+W37+X37</f>
        <v>0</v>
      </c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1:46" s="103" customFormat="1">
      <c r="A38" s="109"/>
      <c r="B38" s="110"/>
      <c r="C38" s="110"/>
      <c r="D38" s="110"/>
      <c r="E38" s="110"/>
      <c r="F38" s="110"/>
      <c r="G38" s="110"/>
      <c r="H38" s="110"/>
      <c r="I38" s="111"/>
      <c r="J38" s="111"/>
      <c r="K38" s="111"/>
      <c r="L38" s="111"/>
      <c r="M38" s="111"/>
      <c r="N38" s="112"/>
      <c r="O38" s="111"/>
      <c r="P38" s="101"/>
      <c r="Q38" s="101"/>
      <c r="R38" s="101"/>
      <c r="S38" s="101"/>
      <c r="T38" s="113"/>
      <c r="U38" s="101"/>
      <c r="V38" s="112"/>
      <c r="W38" s="101"/>
      <c r="X38" s="101"/>
      <c r="Y38" s="112"/>
    </row>
    <row r="39" spans="1:46" ht="16.5" thickBot="1">
      <c r="B39" s="114" t="s">
        <v>211</v>
      </c>
      <c r="C39" s="114"/>
      <c r="D39" s="114"/>
      <c r="E39" s="114"/>
      <c r="F39" s="114"/>
      <c r="G39" s="114"/>
      <c r="H39" s="114"/>
      <c r="I39" s="115">
        <f>SUM(I7:I29)</f>
        <v>18945.61</v>
      </c>
      <c r="J39" s="115"/>
      <c r="K39" s="115">
        <f t="shared" ref="K39:T39" si="10">SUM(K7:K29)</f>
        <v>0</v>
      </c>
      <c r="L39" s="115">
        <f t="shared" si="10"/>
        <v>0</v>
      </c>
      <c r="M39" s="115">
        <f t="shared" si="10"/>
        <v>0</v>
      </c>
      <c r="N39" s="115">
        <f t="shared" si="10"/>
        <v>71081.56</v>
      </c>
      <c r="O39" s="115">
        <f t="shared" si="10"/>
        <v>0</v>
      </c>
      <c r="P39" s="115">
        <f t="shared" si="10"/>
        <v>0</v>
      </c>
      <c r="Q39" s="115">
        <f t="shared" si="10"/>
        <v>0</v>
      </c>
      <c r="R39" s="115">
        <f t="shared" si="10"/>
        <v>524.16999999999996</v>
      </c>
      <c r="S39" s="115">
        <f t="shared" si="10"/>
        <v>2489.0100000000007</v>
      </c>
      <c r="T39" s="115">
        <f t="shared" si="10"/>
        <v>68068.38</v>
      </c>
      <c r="U39" s="115">
        <f>SUBTOTAL(9,U5:U38)</f>
        <v>2715.11</v>
      </c>
      <c r="V39" s="115">
        <f>SUM(V7:V29)</f>
        <v>65353.270000000004</v>
      </c>
      <c r="W39" s="115">
        <f>SUM(W7:W29)</f>
        <v>4393.0460000000003</v>
      </c>
      <c r="X39" s="115">
        <f>SUM(X7:X29)</f>
        <v>242.73759999999987</v>
      </c>
      <c r="Y39" s="115">
        <f>SUBTOTAL(9,Y5:Y38)</f>
        <v>83132.808000000034</v>
      </c>
    </row>
    <row r="40" spans="1:46" ht="16.5" thickTop="1"/>
    <row r="41" spans="1:46">
      <c r="A41" s="177" t="s">
        <v>212</v>
      </c>
      <c r="B41" s="177"/>
      <c r="U41" s="86">
        <f>+U39-U40</f>
        <v>2715.11</v>
      </c>
    </row>
    <row r="42" spans="1:46">
      <c r="A42" s="109"/>
      <c r="B42" s="90"/>
      <c r="C42" s="92"/>
      <c r="D42" s="90"/>
      <c r="E42" s="90"/>
      <c r="F42" s="90"/>
      <c r="G42" s="90"/>
      <c r="H42" s="90"/>
      <c r="I42" s="95"/>
      <c r="J42" s="95"/>
      <c r="K42" s="95"/>
      <c r="L42" s="95"/>
      <c r="M42" s="95"/>
      <c r="N42" s="98">
        <f>SUM(I42:M42)</f>
        <v>0</v>
      </c>
      <c r="O42" s="99"/>
      <c r="P42" s="100"/>
      <c r="Q42" s="100"/>
      <c r="R42" s="100"/>
      <c r="S42" s="100"/>
      <c r="T42" s="98">
        <f>+N42-O42</f>
        <v>0</v>
      </c>
      <c r="U42" s="101">
        <f>+T42*0.05</f>
        <v>0</v>
      </c>
      <c r="V42" s="98">
        <f>+T42-P42-S42</f>
        <v>0</v>
      </c>
      <c r="W42" s="102">
        <f>IF(T42&lt;3000,T42*0.1,0)</f>
        <v>0</v>
      </c>
      <c r="X42" s="101">
        <v>0</v>
      </c>
      <c r="Y42" s="98">
        <f>+T42+W42+X42</f>
        <v>0</v>
      </c>
    </row>
    <row r="43" spans="1:46">
      <c r="A43" s="109"/>
      <c r="B43" s="92"/>
      <c r="C43" s="92"/>
      <c r="D43" s="92"/>
      <c r="E43" s="92"/>
      <c r="F43" s="92"/>
      <c r="G43" s="92"/>
      <c r="H43" s="92"/>
      <c r="I43" s="96"/>
      <c r="J43" s="96"/>
      <c r="K43" s="96"/>
      <c r="L43" s="96"/>
      <c r="M43" s="96"/>
      <c r="N43" s="98">
        <f>SUM(I43:M43)</f>
        <v>0</v>
      </c>
      <c r="O43" s="99"/>
      <c r="P43" s="100"/>
      <c r="Q43" s="100"/>
      <c r="R43" s="100"/>
      <c r="S43" s="100"/>
      <c r="T43" s="98">
        <f>+N43-O43</f>
        <v>0</v>
      </c>
      <c r="U43" s="101">
        <f>+T43*0.05</f>
        <v>0</v>
      </c>
      <c r="V43" s="98">
        <f>+T43-P43-S43</f>
        <v>0</v>
      </c>
      <c r="W43" s="102">
        <f>IF(T43&lt;3000,T43*0.1,0)</f>
        <v>0</v>
      </c>
      <c r="X43" s="101">
        <v>0</v>
      </c>
      <c r="Y43" s="98">
        <f>+T43+W43+X43</f>
        <v>0</v>
      </c>
    </row>
    <row r="44" spans="1:46">
      <c r="Y44" s="87">
        <f>SUM(Y42:Y43)</f>
        <v>0</v>
      </c>
    </row>
    <row r="45" spans="1:46">
      <c r="B45" s="116" t="s">
        <v>213</v>
      </c>
      <c r="C45" s="116"/>
      <c r="Y45" s="87">
        <f>+Y44*0.16</f>
        <v>0</v>
      </c>
    </row>
    <row r="46" spans="1:46">
      <c r="B46" s="116"/>
      <c r="C46" s="116"/>
      <c r="Y46" s="87">
        <f>+Y44+Y45</f>
        <v>0</v>
      </c>
    </row>
    <row r="47" spans="1:46">
      <c r="B47" s="116"/>
      <c r="C47" s="116"/>
    </row>
    <row r="48" spans="1:46">
      <c r="B48" s="116" t="s">
        <v>214</v>
      </c>
      <c r="C48" s="116"/>
      <c r="Y48" s="87">
        <f>+Y41+Y46</f>
        <v>0</v>
      </c>
    </row>
    <row r="49" spans="1:2">
      <c r="B49" s="103"/>
    </row>
    <row r="50" spans="1:2">
      <c r="B50" s="103"/>
    </row>
    <row r="51" spans="1:2">
      <c r="B51" s="23"/>
    </row>
    <row r="52" spans="1:2">
      <c r="B52" s="23"/>
    </row>
    <row r="55" spans="1:2">
      <c r="A55" s="105" t="s">
        <v>215</v>
      </c>
      <c r="B55" s="86"/>
    </row>
    <row r="56" spans="1:2">
      <c r="A56" s="105" t="s">
        <v>216</v>
      </c>
      <c r="B56" s="86"/>
    </row>
    <row r="57" spans="1:2">
      <c r="A57" s="105" t="s">
        <v>217</v>
      </c>
      <c r="B57" s="86"/>
    </row>
    <row r="58" spans="1:2">
      <c r="A58" s="105" t="s">
        <v>218</v>
      </c>
      <c r="B58" s="86"/>
    </row>
    <row r="59" spans="1:2">
      <c r="A59" s="105" t="s">
        <v>219</v>
      </c>
      <c r="B59" s="86"/>
    </row>
    <row r="60" spans="1:2">
      <c r="A60" s="105" t="s">
        <v>220</v>
      </c>
      <c r="B60" s="86"/>
    </row>
  </sheetData>
  <sortState ref="A7:AA36">
    <sortCondition ref="B7:B36"/>
  </sortState>
  <mergeCells count="24">
    <mergeCell ref="V5:V6"/>
    <mergeCell ref="W5:W6"/>
    <mergeCell ref="X5:X6"/>
    <mergeCell ref="Y5:Y6"/>
    <mergeCell ref="Z5:Z6"/>
    <mergeCell ref="A41:B41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D52"/>
  <sheetViews>
    <sheetView tabSelected="1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D12" sqref="BD12"/>
    </sheetView>
  </sheetViews>
  <sheetFormatPr baseColWidth="10" defaultRowHeight="11.25"/>
  <cols>
    <col min="1" max="1" width="12.28515625" style="18" customWidth="1"/>
    <col min="2" max="2" width="40.28515625" style="16" customWidth="1"/>
    <col min="3" max="3" width="13" style="16" bestFit="1" customWidth="1"/>
    <col min="4" max="8" width="13" style="16" customWidth="1"/>
    <col min="9" max="9" width="13.5703125" style="16" bestFit="1" customWidth="1"/>
    <col min="10" max="14" width="13" style="16" bestFit="1" customWidth="1"/>
    <col min="15" max="15" width="11.42578125" style="43"/>
    <col min="16" max="16" width="0" style="16" hidden="1" customWidth="1"/>
    <col min="17" max="17" width="39" style="16" hidden="1" customWidth="1"/>
    <col min="18" max="34" width="0" style="16" hidden="1" customWidth="1"/>
    <col min="35" max="35" width="11.5703125" style="16" hidden="1" customWidth="1"/>
    <col min="36" max="36" width="0" style="16" hidden="1" customWidth="1"/>
    <col min="37" max="37" width="11.5703125" style="16" hidden="1" customWidth="1"/>
    <col min="38" max="42" width="0" style="16" hidden="1" customWidth="1"/>
    <col min="43" max="43" width="27.7109375" style="16" hidden="1" customWidth="1"/>
    <col min="44" max="51" width="0" style="16" hidden="1" customWidth="1"/>
    <col min="52" max="54" width="11.42578125" style="16" hidden="1" customWidth="1"/>
    <col min="55" max="16384" width="11.42578125" style="16"/>
  </cols>
  <sheetData>
    <row r="1" spans="1:55" ht="18" customHeight="1">
      <c r="A1" s="14" t="s">
        <v>0</v>
      </c>
      <c r="B1" s="180" t="s">
        <v>17</v>
      </c>
      <c r="C1" s="181"/>
      <c r="D1" s="15"/>
      <c r="E1" s="15"/>
      <c r="F1" s="15"/>
      <c r="G1" s="66"/>
      <c r="H1" s="66" t="s">
        <v>21</v>
      </c>
      <c r="AP1" s="126" t="s">
        <v>0</v>
      </c>
      <c r="AQ1" s="184" t="s">
        <v>17</v>
      </c>
      <c r="AR1" s="185"/>
      <c r="AS1" s="185"/>
      <c r="AT1" s="124"/>
      <c r="AU1" s="124"/>
      <c r="AV1" s="124"/>
      <c r="AW1" s="124"/>
      <c r="AX1" s="124"/>
    </row>
    <row r="2" spans="1:55" ht="24.95" customHeight="1">
      <c r="A2" s="17" t="s">
        <v>1</v>
      </c>
      <c r="B2" s="163" t="s">
        <v>2</v>
      </c>
      <c r="C2" s="10"/>
      <c r="D2" s="10"/>
      <c r="E2" s="121" t="s">
        <v>111</v>
      </c>
      <c r="F2" s="119"/>
      <c r="G2" s="119"/>
      <c r="H2" s="122">
        <v>1148.7</v>
      </c>
      <c r="I2" s="119" t="s">
        <v>226</v>
      </c>
      <c r="J2" s="123"/>
      <c r="AP2" s="127" t="s">
        <v>1</v>
      </c>
      <c r="AQ2" s="186" t="s">
        <v>2</v>
      </c>
      <c r="AR2" s="187"/>
      <c r="AS2" s="187"/>
      <c r="AT2" s="124"/>
      <c r="AU2" s="124"/>
      <c r="AV2" s="124"/>
      <c r="AW2" s="124"/>
      <c r="AX2" s="124"/>
    </row>
    <row r="3" spans="1:55" ht="15.75">
      <c r="B3" s="68" t="s">
        <v>3</v>
      </c>
      <c r="C3" s="57"/>
      <c r="D3" s="57"/>
      <c r="E3" s="15"/>
      <c r="F3" s="15"/>
      <c r="G3" s="66"/>
      <c r="H3" s="65"/>
      <c r="J3" s="43"/>
      <c r="AP3" s="124"/>
      <c r="AQ3" s="188" t="s">
        <v>3</v>
      </c>
      <c r="AR3" s="189"/>
      <c r="AS3" s="189"/>
      <c r="AT3" s="124"/>
      <c r="AU3" s="124"/>
      <c r="AV3" s="124"/>
      <c r="AW3" s="124"/>
      <c r="AX3" s="124"/>
    </row>
    <row r="4" spans="1:55" ht="15">
      <c r="B4" s="182" t="s">
        <v>227</v>
      </c>
      <c r="C4" s="183"/>
      <c r="D4" s="183"/>
      <c r="E4" s="15"/>
      <c r="F4" s="15"/>
      <c r="G4" s="66"/>
      <c r="H4" s="65"/>
      <c r="AP4" s="124"/>
      <c r="AQ4" s="190" t="s">
        <v>227</v>
      </c>
      <c r="AR4" s="189"/>
      <c r="AS4" s="189"/>
      <c r="AT4" s="124"/>
      <c r="AU4" s="124"/>
      <c r="AV4" s="124"/>
      <c r="AW4" s="124"/>
      <c r="AX4" s="124"/>
    </row>
    <row r="5" spans="1:55" ht="15">
      <c r="B5" s="139" t="s">
        <v>255</v>
      </c>
      <c r="C5" s="46"/>
      <c r="D5" s="46"/>
      <c r="AP5" s="124"/>
      <c r="AQ5" s="128" t="s">
        <v>4</v>
      </c>
      <c r="AR5" s="124"/>
      <c r="AS5" s="124"/>
      <c r="AT5" s="124"/>
      <c r="AU5" s="124"/>
      <c r="AV5" s="124"/>
      <c r="AW5" s="124"/>
      <c r="AX5" s="124"/>
    </row>
    <row r="6" spans="1:55" ht="15">
      <c r="B6" s="67" t="s">
        <v>5</v>
      </c>
      <c r="C6" s="46"/>
      <c r="D6" s="46"/>
      <c r="AP6" s="124"/>
      <c r="AQ6" s="128" t="s">
        <v>5</v>
      </c>
      <c r="AR6" s="124"/>
      <c r="AS6" s="124"/>
      <c r="AT6" s="124"/>
      <c r="AU6" s="124"/>
      <c r="AV6" s="124"/>
      <c r="AW6" s="124"/>
      <c r="AX6" s="124"/>
    </row>
    <row r="7" spans="1:55" ht="15">
      <c r="C7" s="46"/>
      <c r="D7" s="46"/>
      <c r="E7" s="46"/>
      <c r="F7" s="46"/>
      <c r="G7" s="120"/>
      <c r="H7" s="46"/>
      <c r="I7" s="46"/>
      <c r="J7" s="46"/>
      <c r="K7" s="46"/>
      <c r="L7" s="46"/>
      <c r="M7" s="46"/>
      <c r="N7" s="46"/>
    </row>
    <row r="8" spans="1:55" s="30" customFormat="1" ht="35.25" thickBot="1">
      <c r="A8" s="29" t="s">
        <v>6</v>
      </c>
      <c r="B8" s="19" t="s">
        <v>7</v>
      </c>
      <c r="C8" s="19" t="s">
        <v>22</v>
      </c>
      <c r="D8" s="19" t="s">
        <v>27</v>
      </c>
      <c r="E8" s="19" t="s">
        <v>23</v>
      </c>
      <c r="F8" s="19" t="s">
        <v>34</v>
      </c>
      <c r="G8" s="19" t="s">
        <v>170</v>
      </c>
      <c r="H8" s="19" t="s">
        <v>21</v>
      </c>
      <c r="I8" s="19" t="s">
        <v>150</v>
      </c>
      <c r="J8" s="19" t="s">
        <v>24</v>
      </c>
      <c r="K8" s="19" t="s">
        <v>25</v>
      </c>
      <c r="L8" s="19" t="s">
        <v>26</v>
      </c>
      <c r="M8" s="19" t="s">
        <v>20</v>
      </c>
      <c r="N8" s="19" t="s">
        <v>269</v>
      </c>
      <c r="O8" s="173"/>
      <c r="P8" s="178" t="s">
        <v>156</v>
      </c>
      <c r="Q8" s="178" t="s">
        <v>157</v>
      </c>
      <c r="R8" s="178" t="s">
        <v>158</v>
      </c>
      <c r="S8" s="178" t="s">
        <v>159</v>
      </c>
      <c r="T8" s="176" t="s">
        <v>160</v>
      </c>
      <c r="U8" s="176" t="s">
        <v>161</v>
      </c>
      <c r="V8" s="88"/>
      <c r="W8" s="88"/>
      <c r="X8" s="176" t="s">
        <v>162</v>
      </c>
      <c r="Y8" s="88"/>
      <c r="Z8" s="176" t="s">
        <v>163</v>
      </c>
      <c r="AA8" s="176" t="s">
        <v>164</v>
      </c>
      <c r="AB8" s="176" t="s">
        <v>165</v>
      </c>
      <c r="AC8" s="176" t="s">
        <v>166</v>
      </c>
      <c r="AD8" s="176" t="s">
        <v>167</v>
      </c>
      <c r="AE8" s="176" t="s">
        <v>168</v>
      </c>
      <c r="AF8" s="176" t="s">
        <v>169</v>
      </c>
      <c r="AG8" s="176" t="s">
        <v>170</v>
      </c>
      <c r="AH8" s="176" t="s">
        <v>171</v>
      </c>
      <c r="AI8" s="176" t="s">
        <v>172</v>
      </c>
      <c r="AJ8" s="176" t="s">
        <v>173</v>
      </c>
      <c r="AK8" s="176" t="s">
        <v>174</v>
      </c>
      <c r="AL8" s="176" t="s">
        <v>175</v>
      </c>
      <c r="AM8" s="176" t="s">
        <v>176</v>
      </c>
      <c r="AN8" s="176" t="s">
        <v>177</v>
      </c>
      <c r="AO8" s="179" t="s">
        <v>178</v>
      </c>
      <c r="AP8" s="129" t="s">
        <v>6</v>
      </c>
      <c r="AQ8" s="130" t="s">
        <v>7</v>
      </c>
      <c r="AR8" s="130" t="s">
        <v>8</v>
      </c>
      <c r="AS8" s="130" t="s">
        <v>69</v>
      </c>
      <c r="AT8" s="131" t="s">
        <v>9</v>
      </c>
      <c r="AU8" s="130" t="s">
        <v>10</v>
      </c>
      <c r="AV8" s="130" t="s">
        <v>11</v>
      </c>
      <c r="AW8" s="131" t="s">
        <v>12</v>
      </c>
      <c r="AX8" s="132" t="s">
        <v>13</v>
      </c>
      <c r="BC8" s="19" t="s">
        <v>268</v>
      </c>
    </row>
    <row r="9" spans="1:55" s="21" customFormat="1" ht="16.5" customHeight="1" thickTop="1">
      <c r="A9" s="61" t="s">
        <v>14</v>
      </c>
      <c r="O9" s="174"/>
      <c r="P9" s="178"/>
      <c r="Q9" s="178"/>
      <c r="R9" s="178"/>
      <c r="S9" s="178"/>
      <c r="T9" s="176"/>
      <c r="U9" s="176"/>
      <c r="V9" s="88" t="s">
        <v>179</v>
      </c>
      <c r="W9" s="88" t="s">
        <v>180</v>
      </c>
      <c r="X9" s="176"/>
      <c r="Y9" s="88" t="s">
        <v>181</v>
      </c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9"/>
      <c r="AP9" s="133" t="s">
        <v>14</v>
      </c>
      <c r="AQ9" s="124"/>
      <c r="AR9" s="124"/>
      <c r="AS9" s="124"/>
      <c r="AT9" s="124"/>
      <c r="AU9" s="124"/>
      <c r="AV9" s="124"/>
      <c r="AW9" s="124"/>
      <c r="AX9" s="124"/>
    </row>
    <row r="10" spans="1:55" s="21" customFormat="1" ht="15.75">
      <c r="A10" s="164" t="s">
        <v>46</v>
      </c>
      <c r="B10" s="165" t="s">
        <v>45</v>
      </c>
      <c r="C10" s="166">
        <f t="shared" ref="C10:C37" si="0">+X10</f>
        <v>2333.31</v>
      </c>
      <c r="D10" s="166">
        <v>0</v>
      </c>
      <c r="E10" s="166">
        <f t="shared" ref="E10:E37" si="1">+Y10</f>
        <v>1806.78</v>
      </c>
      <c r="F10" s="166">
        <f>+AB10</f>
        <v>0</v>
      </c>
      <c r="G10" s="166">
        <f>+AG10</f>
        <v>0</v>
      </c>
      <c r="H10" s="166">
        <f>+AH10</f>
        <v>0</v>
      </c>
      <c r="I10" s="166">
        <f>+C10+D10+E10+F10-G10</f>
        <v>4140.09</v>
      </c>
      <c r="J10" s="167">
        <f>IF(I10&lt;4500,I10*0.1,0)</f>
        <v>414.00900000000001</v>
      </c>
      <c r="K10" s="166">
        <f>+'C&amp;A'!E10*0.02</f>
        <v>10.2256</v>
      </c>
      <c r="L10" s="166">
        <f>SUM(I10:K10)</f>
        <v>4564.3245999999999</v>
      </c>
      <c r="M10" s="166">
        <f>+L10*0.16</f>
        <v>730.29193599999996</v>
      </c>
      <c r="N10" s="166">
        <f>+L10+M10</f>
        <v>5294.6165359999995</v>
      </c>
      <c r="O10" s="174">
        <f>+I10-'C&amp;A'!J10-SINDICATO!L10</f>
        <v>0</v>
      </c>
      <c r="P10" s="108" t="s">
        <v>191</v>
      </c>
      <c r="Q10" s="108" t="s">
        <v>196</v>
      </c>
      <c r="R10" s="155" t="s">
        <v>46</v>
      </c>
      <c r="S10" s="108" t="s">
        <v>193</v>
      </c>
      <c r="T10" s="108"/>
      <c r="U10" s="108"/>
      <c r="V10" s="156">
        <v>511.28</v>
      </c>
      <c r="W10" s="156">
        <v>1822.03</v>
      </c>
      <c r="X10" s="156">
        <f t="shared" ref="X10:X37" si="2">+V10+W10</f>
        <v>2333.31</v>
      </c>
      <c r="Y10" s="157">
        <v>1806.78</v>
      </c>
      <c r="Z10" s="157"/>
      <c r="AA10" s="157"/>
      <c r="AB10" s="158"/>
      <c r="AC10" s="112">
        <f t="shared" ref="AC10:AC37" si="3">SUM(X10:AA10)-AB10</f>
        <v>4140.09</v>
      </c>
      <c r="AD10" s="157"/>
      <c r="AE10" s="101"/>
      <c r="AF10" s="101"/>
      <c r="AG10" s="157"/>
      <c r="AH10" s="156">
        <v>0</v>
      </c>
      <c r="AI10" s="112">
        <f t="shared" ref="AI10:AI37" si="4">+AC10-SUM(AD10:AH10)</f>
        <v>4140.09</v>
      </c>
      <c r="AJ10" s="101">
        <f t="shared" ref="AJ10:AJ37" si="5">IF(AC10&gt;4500,AC10*0.1,0)</f>
        <v>0</v>
      </c>
      <c r="AK10" s="112">
        <f t="shared" ref="AK10:AK37" si="6">+AI10-AJ10</f>
        <v>4140.09</v>
      </c>
      <c r="AL10" s="101">
        <f t="shared" ref="AL10:AL37" si="7">IF(AC10&lt;4500,AC10*0.1,0)</f>
        <v>414.00900000000001</v>
      </c>
      <c r="AM10" s="101">
        <f t="shared" ref="AM10:AM37" si="8">V10*0.02</f>
        <v>10.2256</v>
      </c>
      <c r="AN10" s="112">
        <f t="shared" ref="AN10:AN37" si="9">+AC10+AL10+AM10</f>
        <v>4564.3245999999999</v>
      </c>
      <c r="AO10" s="118"/>
      <c r="AP10" s="49" t="s">
        <v>228</v>
      </c>
      <c r="AQ10" s="50" t="s">
        <v>70</v>
      </c>
      <c r="AR10" s="51">
        <v>438.24</v>
      </c>
      <c r="AS10" s="51">
        <v>73.040000000000006</v>
      </c>
      <c r="AT10" s="51">
        <v>511.28</v>
      </c>
      <c r="AU10" s="60">
        <v>-66.069999999999993</v>
      </c>
      <c r="AV10" s="60">
        <v>-0.05</v>
      </c>
      <c r="AW10" s="51">
        <v>-66.12</v>
      </c>
      <c r="AX10" s="51">
        <v>577.4</v>
      </c>
      <c r="BC10" s="21" t="s">
        <v>262</v>
      </c>
    </row>
    <row r="11" spans="1:55" s="21" customFormat="1" ht="15.75">
      <c r="A11" s="164" t="s">
        <v>47</v>
      </c>
      <c r="B11" s="168" t="s">
        <v>112</v>
      </c>
      <c r="C11" s="166">
        <f t="shared" si="0"/>
        <v>511.28</v>
      </c>
      <c r="D11" s="166">
        <v>0</v>
      </c>
      <c r="E11" s="166">
        <f t="shared" si="1"/>
        <v>2534.5500000000002</v>
      </c>
      <c r="F11" s="166">
        <f t="shared" ref="F11:F37" si="10">+AB11</f>
        <v>0</v>
      </c>
      <c r="G11" s="166">
        <f t="shared" ref="G11:G37" si="11">+AG11</f>
        <v>0</v>
      </c>
      <c r="H11" s="166">
        <f t="shared" ref="H11:H37" si="12">+AH11</f>
        <v>0</v>
      </c>
      <c r="I11" s="166">
        <f t="shared" ref="I11:I37" si="13">+C11+D11+E11+F11-G11</f>
        <v>3045.83</v>
      </c>
      <c r="J11" s="167">
        <f>IF(I11&lt;4500,I11*0.1,0)</f>
        <v>304.58300000000003</v>
      </c>
      <c r="K11" s="166">
        <f>+'C&amp;A'!E11*0.02</f>
        <v>10.2256</v>
      </c>
      <c r="L11" s="166">
        <f t="shared" ref="L11:L37" si="14">SUM(I11:K11)</f>
        <v>3360.6386000000002</v>
      </c>
      <c r="M11" s="166">
        <f t="shared" ref="M11:M37" si="15">+L11*0.16</f>
        <v>537.70217600000001</v>
      </c>
      <c r="N11" s="166">
        <f t="shared" ref="N11:N37" si="16">+L11+M11</f>
        <v>3898.340776</v>
      </c>
      <c r="O11" s="174">
        <f>+I11-'C&amp;A'!J11-SINDICATO!L11</f>
        <v>0</v>
      </c>
      <c r="P11" s="108" t="s">
        <v>191</v>
      </c>
      <c r="Q11" s="108" t="s">
        <v>197</v>
      </c>
      <c r="R11" s="155" t="s">
        <v>47</v>
      </c>
      <c r="S11" s="108" t="s">
        <v>50</v>
      </c>
      <c r="T11" s="108"/>
      <c r="U11" s="108"/>
      <c r="V11" s="156">
        <v>511.28</v>
      </c>
      <c r="W11" s="156">
        <v>0</v>
      </c>
      <c r="X11" s="156">
        <f t="shared" si="2"/>
        <v>511.28</v>
      </c>
      <c r="Y11" s="157">
        <v>2534.5500000000002</v>
      </c>
      <c r="Z11" s="157"/>
      <c r="AA11" s="157"/>
      <c r="AB11" s="158"/>
      <c r="AC11" s="112">
        <f t="shared" si="3"/>
        <v>3045.83</v>
      </c>
      <c r="AD11" s="157"/>
      <c r="AE11" s="101"/>
      <c r="AF11" s="101"/>
      <c r="AG11" s="157"/>
      <c r="AH11" s="156">
        <v>0</v>
      </c>
      <c r="AI11" s="112">
        <f t="shared" si="4"/>
        <v>3045.83</v>
      </c>
      <c r="AJ11" s="101">
        <f t="shared" si="5"/>
        <v>0</v>
      </c>
      <c r="AK11" s="112">
        <f t="shared" si="6"/>
        <v>3045.83</v>
      </c>
      <c r="AL11" s="101">
        <f t="shared" si="7"/>
        <v>304.58300000000003</v>
      </c>
      <c r="AM11" s="101">
        <f t="shared" si="8"/>
        <v>10.2256</v>
      </c>
      <c r="AN11" s="112">
        <f t="shared" si="9"/>
        <v>3360.6386000000002</v>
      </c>
      <c r="AO11" s="118"/>
      <c r="AP11" s="49" t="s">
        <v>229</v>
      </c>
      <c r="AQ11" s="50" t="s">
        <v>71</v>
      </c>
      <c r="AR11" s="51">
        <v>438.24</v>
      </c>
      <c r="AS11" s="51">
        <v>73.040000000000006</v>
      </c>
      <c r="AT11" s="51">
        <v>511.28</v>
      </c>
      <c r="AU11" s="60">
        <v>-66.069999999999993</v>
      </c>
      <c r="AV11" s="60">
        <v>-0.05</v>
      </c>
      <c r="AW11" s="51">
        <v>-66.12</v>
      </c>
      <c r="AX11" s="51">
        <v>577.4</v>
      </c>
      <c r="BC11" s="21" t="s">
        <v>261</v>
      </c>
    </row>
    <row r="12" spans="1:55" s="21" customFormat="1" ht="15.75">
      <c r="A12" s="164" t="s">
        <v>43</v>
      </c>
      <c r="B12" s="168" t="s">
        <v>106</v>
      </c>
      <c r="C12" s="166">
        <f t="shared" si="0"/>
        <v>511.28</v>
      </c>
      <c r="D12" s="166">
        <v>0</v>
      </c>
      <c r="E12" s="166">
        <f t="shared" si="1"/>
        <v>6926.69</v>
      </c>
      <c r="F12" s="166">
        <f t="shared" si="10"/>
        <v>0</v>
      </c>
      <c r="G12" s="166">
        <f t="shared" si="11"/>
        <v>0</v>
      </c>
      <c r="H12" s="166">
        <f t="shared" si="12"/>
        <v>134.46</v>
      </c>
      <c r="I12" s="166">
        <f t="shared" si="13"/>
        <v>7437.9699999999993</v>
      </c>
      <c r="J12" s="167">
        <f t="shared" ref="J12:J37" si="17">IF(I12&lt;4500,I12*0.1,0)</f>
        <v>0</v>
      </c>
      <c r="K12" s="166">
        <f>+'C&amp;A'!E12*0.02</f>
        <v>10.2256</v>
      </c>
      <c r="L12" s="166">
        <f t="shared" si="14"/>
        <v>7448.1955999999991</v>
      </c>
      <c r="M12" s="166">
        <f t="shared" si="15"/>
        <v>1191.7112959999999</v>
      </c>
      <c r="N12" s="166">
        <f t="shared" si="16"/>
        <v>8639.9068959999986</v>
      </c>
      <c r="O12" s="174">
        <f>+I12-'C&amp;A'!J12-SINDICATO!L12</f>
        <v>878.25699999999961</v>
      </c>
      <c r="P12" s="108" t="s">
        <v>191</v>
      </c>
      <c r="Q12" s="108" t="s">
        <v>195</v>
      </c>
      <c r="R12" s="155" t="s">
        <v>43</v>
      </c>
      <c r="S12" s="108" t="s">
        <v>50</v>
      </c>
      <c r="T12" s="108"/>
      <c r="U12" s="108"/>
      <c r="V12" s="156">
        <v>511.28</v>
      </c>
      <c r="W12" s="156">
        <v>0</v>
      </c>
      <c r="X12" s="156">
        <f t="shared" si="2"/>
        <v>511.28</v>
      </c>
      <c r="Y12" s="157">
        <v>6926.69</v>
      </c>
      <c r="Z12" s="157"/>
      <c r="AA12" s="157"/>
      <c r="AB12" s="158"/>
      <c r="AC12" s="112">
        <f t="shared" si="3"/>
        <v>7437.9699999999993</v>
      </c>
      <c r="AD12" s="157"/>
      <c r="AE12" s="101"/>
      <c r="AF12" s="101"/>
      <c r="AG12" s="157"/>
      <c r="AH12" s="156">
        <v>134.46</v>
      </c>
      <c r="AI12" s="112">
        <f t="shared" si="4"/>
        <v>7303.5099999999993</v>
      </c>
      <c r="AJ12" s="101">
        <f t="shared" si="5"/>
        <v>743.79700000000003</v>
      </c>
      <c r="AK12" s="112">
        <f t="shared" si="6"/>
        <v>6559.7129999999997</v>
      </c>
      <c r="AL12" s="101">
        <f t="shared" si="7"/>
        <v>0</v>
      </c>
      <c r="AM12" s="101">
        <f t="shared" si="8"/>
        <v>10.2256</v>
      </c>
      <c r="AN12" s="112">
        <f t="shared" si="9"/>
        <v>7448.1955999999991</v>
      </c>
      <c r="AO12" s="118"/>
      <c r="AP12" s="49" t="s">
        <v>230</v>
      </c>
      <c r="AQ12" s="50" t="s">
        <v>72</v>
      </c>
      <c r="AR12" s="51">
        <v>438.24</v>
      </c>
      <c r="AS12" s="51">
        <v>73.040000000000006</v>
      </c>
      <c r="AT12" s="51">
        <v>511.28</v>
      </c>
      <c r="AU12" s="60">
        <v>-66.069999999999993</v>
      </c>
      <c r="AV12" s="60">
        <v>-0.05</v>
      </c>
      <c r="AW12" s="51">
        <v>-66.12</v>
      </c>
      <c r="AX12" s="51">
        <v>577.4</v>
      </c>
      <c r="BC12" s="21" t="s">
        <v>261</v>
      </c>
    </row>
    <row r="13" spans="1:55" s="21" customFormat="1" ht="15.75">
      <c r="A13" s="169" t="s">
        <v>231</v>
      </c>
      <c r="B13" s="170" t="s">
        <v>221</v>
      </c>
      <c r="C13" s="166">
        <f t="shared" si="0"/>
        <v>700</v>
      </c>
      <c r="D13" s="166">
        <v>0</v>
      </c>
      <c r="E13" s="166">
        <f t="shared" si="1"/>
        <v>0</v>
      </c>
      <c r="F13" s="166">
        <f t="shared" si="10"/>
        <v>0</v>
      </c>
      <c r="G13" s="166">
        <f t="shared" si="11"/>
        <v>0</v>
      </c>
      <c r="H13" s="166">
        <f t="shared" si="12"/>
        <v>0</v>
      </c>
      <c r="I13" s="166">
        <f t="shared" si="13"/>
        <v>700</v>
      </c>
      <c r="J13" s="167">
        <f t="shared" si="17"/>
        <v>70</v>
      </c>
      <c r="K13" s="166">
        <f>+'C&amp;A'!E13*0.02</f>
        <v>10.2256</v>
      </c>
      <c r="L13" s="166">
        <f t="shared" si="14"/>
        <v>780.22559999999999</v>
      </c>
      <c r="M13" s="166">
        <f t="shared" si="15"/>
        <v>124.836096</v>
      </c>
      <c r="N13" s="166">
        <f t="shared" si="16"/>
        <v>905.06169599999998</v>
      </c>
      <c r="O13" s="174">
        <f>+I13-'C&amp;A'!J13-SINDICATO!L13</f>
        <v>0</v>
      </c>
      <c r="P13" s="108" t="s">
        <v>186</v>
      </c>
      <c r="Q13" s="108" t="s">
        <v>221</v>
      </c>
      <c r="R13" s="155"/>
      <c r="S13" s="108" t="s">
        <v>50</v>
      </c>
      <c r="T13" s="108"/>
      <c r="U13" s="108"/>
      <c r="V13" s="156">
        <v>700</v>
      </c>
      <c r="W13" s="156">
        <v>0</v>
      </c>
      <c r="X13" s="156">
        <f t="shared" si="2"/>
        <v>700</v>
      </c>
      <c r="Y13" s="157"/>
      <c r="Z13" s="157"/>
      <c r="AA13" s="157"/>
      <c r="AB13" s="158"/>
      <c r="AC13" s="112">
        <f t="shared" si="3"/>
        <v>700</v>
      </c>
      <c r="AD13" s="157"/>
      <c r="AE13" s="101"/>
      <c r="AF13" s="101"/>
      <c r="AG13" s="157"/>
      <c r="AH13" s="156"/>
      <c r="AI13" s="112">
        <f t="shared" si="4"/>
        <v>700</v>
      </c>
      <c r="AJ13" s="101">
        <f t="shared" si="5"/>
        <v>0</v>
      </c>
      <c r="AK13" s="112">
        <f t="shared" si="6"/>
        <v>700</v>
      </c>
      <c r="AL13" s="101">
        <f t="shared" si="7"/>
        <v>70</v>
      </c>
      <c r="AM13" s="101">
        <f t="shared" si="8"/>
        <v>14</v>
      </c>
      <c r="AN13" s="112">
        <f t="shared" si="9"/>
        <v>784</v>
      </c>
      <c r="AO13" s="118"/>
      <c r="AP13" s="49" t="s">
        <v>231</v>
      </c>
      <c r="AQ13" s="50" t="s">
        <v>223</v>
      </c>
      <c r="AR13" s="51">
        <v>438.24</v>
      </c>
      <c r="AS13" s="51">
        <v>73.040000000000006</v>
      </c>
      <c r="AT13" s="51">
        <v>511.28</v>
      </c>
      <c r="AU13" s="60">
        <v>-66.069999999999993</v>
      </c>
      <c r="AV13" s="60">
        <v>-0.05</v>
      </c>
      <c r="AW13" s="51">
        <v>-66.12</v>
      </c>
      <c r="AX13" s="51">
        <v>577.4</v>
      </c>
      <c r="BC13" s="21" t="s">
        <v>262</v>
      </c>
    </row>
    <row r="14" spans="1:55" s="21" customFormat="1" ht="15.75">
      <c r="A14" s="164" t="s">
        <v>38</v>
      </c>
      <c r="B14" s="165" t="s">
        <v>37</v>
      </c>
      <c r="C14" s="166">
        <f t="shared" si="0"/>
        <v>1750</v>
      </c>
      <c r="D14" s="166">
        <v>0</v>
      </c>
      <c r="E14" s="166">
        <f t="shared" si="1"/>
        <v>0</v>
      </c>
      <c r="F14" s="166">
        <f t="shared" si="10"/>
        <v>0</v>
      </c>
      <c r="G14" s="166">
        <f t="shared" si="11"/>
        <v>0</v>
      </c>
      <c r="H14" s="166">
        <f t="shared" si="12"/>
        <v>0</v>
      </c>
      <c r="I14" s="166">
        <f t="shared" si="13"/>
        <v>1750</v>
      </c>
      <c r="J14" s="167">
        <f t="shared" si="17"/>
        <v>175</v>
      </c>
      <c r="K14" s="166">
        <f>+'C&amp;A'!E14*0.02</f>
        <v>10.2256</v>
      </c>
      <c r="L14" s="166">
        <f t="shared" si="14"/>
        <v>1935.2256</v>
      </c>
      <c r="M14" s="166">
        <f t="shared" si="15"/>
        <v>309.63609600000001</v>
      </c>
      <c r="N14" s="166">
        <f t="shared" si="16"/>
        <v>2244.8616959999999</v>
      </c>
      <c r="O14" s="174">
        <f>+I14-'C&amp;A'!J14-SINDICATO!L14</f>
        <v>0</v>
      </c>
      <c r="P14" s="108" t="s">
        <v>182</v>
      </c>
      <c r="Q14" s="108" t="s">
        <v>37</v>
      </c>
      <c r="R14" s="155" t="s">
        <v>38</v>
      </c>
      <c r="S14" s="108" t="s">
        <v>48</v>
      </c>
      <c r="T14" s="108"/>
      <c r="U14" s="108"/>
      <c r="V14" s="156">
        <v>511.28</v>
      </c>
      <c r="W14" s="156">
        <v>1238.72</v>
      </c>
      <c r="X14" s="156">
        <f t="shared" si="2"/>
        <v>1750</v>
      </c>
      <c r="Y14" s="157"/>
      <c r="Z14" s="157"/>
      <c r="AA14" s="157"/>
      <c r="AB14" s="158"/>
      <c r="AC14" s="112">
        <f t="shared" si="3"/>
        <v>1750</v>
      </c>
      <c r="AD14" s="157"/>
      <c r="AE14" s="101"/>
      <c r="AF14" s="101"/>
      <c r="AG14" s="157"/>
      <c r="AH14" s="156">
        <v>0</v>
      </c>
      <c r="AI14" s="112">
        <f t="shared" si="4"/>
        <v>1750</v>
      </c>
      <c r="AJ14" s="101">
        <f t="shared" si="5"/>
        <v>0</v>
      </c>
      <c r="AK14" s="112">
        <f t="shared" si="6"/>
        <v>1750</v>
      </c>
      <c r="AL14" s="101">
        <f t="shared" si="7"/>
        <v>175</v>
      </c>
      <c r="AM14" s="101">
        <f t="shared" si="8"/>
        <v>10.2256</v>
      </c>
      <c r="AN14" s="112">
        <f t="shared" si="9"/>
        <v>1935.2256</v>
      </c>
      <c r="AO14" s="118"/>
      <c r="AP14" s="49" t="s">
        <v>232</v>
      </c>
      <c r="AQ14" s="50" t="s">
        <v>73</v>
      </c>
      <c r="AR14" s="51">
        <v>438.24</v>
      </c>
      <c r="AS14" s="51">
        <v>73.040000000000006</v>
      </c>
      <c r="AT14" s="51">
        <v>511.28</v>
      </c>
      <c r="AU14" s="60">
        <v>-66.069999999999993</v>
      </c>
      <c r="AV14" s="60">
        <v>-0.05</v>
      </c>
      <c r="AW14" s="51">
        <v>-66.12</v>
      </c>
      <c r="AX14" s="51">
        <v>577.4</v>
      </c>
      <c r="BC14" s="21" t="s">
        <v>264</v>
      </c>
    </row>
    <row r="15" spans="1:55" s="21" customFormat="1" ht="15.75">
      <c r="A15" s="164" t="s">
        <v>51</v>
      </c>
      <c r="B15" s="168" t="s">
        <v>104</v>
      </c>
      <c r="C15" s="166">
        <f t="shared" si="0"/>
        <v>511.28</v>
      </c>
      <c r="D15" s="166">
        <v>0</v>
      </c>
      <c r="E15" s="166">
        <f t="shared" si="1"/>
        <v>2000</v>
      </c>
      <c r="F15" s="166">
        <f t="shared" si="10"/>
        <v>0</v>
      </c>
      <c r="G15" s="166">
        <f t="shared" si="11"/>
        <v>0</v>
      </c>
      <c r="H15" s="166">
        <f t="shared" si="12"/>
        <v>1184.1199999999999</v>
      </c>
      <c r="I15" s="166">
        <f t="shared" si="13"/>
        <v>2511.2799999999997</v>
      </c>
      <c r="J15" s="167">
        <f t="shared" si="17"/>
        <v>251.12799999999999</v>
      </c>
      <c r="K15" s="166">
        <f>+'C&amp;A'!E15*0.02</f>
        <v>10.2256</v>
      </c>
      <c r="L15" s="166">
        <f t="shared" si="14"/>
        <v>2772.6336000000001</v>
      </c>
      <c r="M15" s="166">
        <f t="shared" si="15"/>
        <v>443.62137600000005</v>
      </c>
      <c r="N15" s="166">
        <f t="shared" si="16"/>
        <v>3216.2549760000002</v>
      </c>
      <c r="O15" s="174">
        <f>+I15-'C&amp;A'!J15-SINDICATO!L15</f>
        <v>1184.1199999999999</v>
      </c>
      <c r="P15" s="108" t="s">
        <v>186</v>
      </c>
      <c r="Q15" s="108" t="s">
        <v>187</v>
      </c>
      <c r="R15" s="155" t="s">
        <v>51</v>
      </c>
      <c r="S15" s="108" t="s">
        <v>50</v>
      </c>
      <c r="T15" s="108"/>
      <c r="U15" s="108"/>
      <c r="V15" s="156">
        <v>511.28</v>
      </c>
      <c r="W15" s="156">
        <v>0</v>
      </c>
      <c r="X15" s="156">
        <f t="shared" si="2"/>
        <v>511.28</v>
      </c>
      <c r="Y15" s="157">
        <v>2000</v>
      </c>
      <c r="Z15" s="157"/>
      <c r="AA15" s="157"/>
      <c r="AB15" s="158"/>
      <c r="AC15" s="112">
        <f t="shared" si="3"/>
        <v>2511.2799999999997</v>
      </c>
      <c r="AD15" s="157"/>
      <c r="AE15" s="101"/>
      <c r="AF15" s="101"/>
      <c r="AG15" s="157"/>
      <c r="AH15" s="156">
        <v>1184.1199999999999</v>
      </c>
      <c r="AI15" s="112">
        <f t="shared" si="4"/>
        <v>1327.1599999999999</v>
      </c>
      <c r="AJ15" s="101">
        <f t="shared" si="5"/>
        <v>0</v>
      </c>
      <c r="AK15" s="112">
        <f t="shared" si="6"/>
        <v>1327.1599999999999</v>
      </c>
      <c r="AL15" s="101">
        <f t="shared" si="7"/>
        <v>251.12799999999999</v>
      </c>
      <c r="AM15" s="101">
        <f t="shared" si="8"/>
        <v>10.2256</v>
      </c>
      <c r="AN15" s="112">
        <f t="shared" si="9"/>
        <v>2772.6336000000001</v>
      </c>
      <c r="AO15" s="118"/>
      <c r="AP15" s="49" t="s">
        <v>233</v>
      </c>
      <c r="AQ15" s="50" t="s">
        <v>74</v>
      </c>
      <c r="AR15" s="51">
        <v>438.24</v>
      </c>
      <c r="AS15" s="51">
        <v>73.040000000000006</v>
      </c>
      <c r="AT15" s="51">
        <v>511.28</v>
      </c>
      <c r="AU15" s="60">
        <v>-66.069999999999993</v>
      </c>
      <c r="AV15" s="51">
        <v>0.15</v>
      </c>
      <c r="AW15" s="51">
        <v>-65.92</v>
      </c>
      <c r="AX15" s="51">
        <v>577.20000000000005</v>
      </c>
      <c r="BC15" s="21" t="s">
        <v>262</v>
      </c>
    </row>
    <row r="16" spans="1:55" s="21" customFormat="1" ht="15.75">
      <c r="A16" s="164" t="s">
        <v>52</v>
      </c>
      <c r="B16" s="168" t="s">
        <v>75</v>
      </c>
      <c r="C16" s="166">
        <f t="shared" si="0"/>
        <v>700</v>
      </c>
      <c r="D16" s="166">
        <v>0</v>
      </c>
      <c r="E16" s="166">
        <f t="shared" si="1"/>
        <v>0</v>
      </c>
      <c r="F16" s="166">
        <f t="shared" si="10"/>
        <v>0</v>
      </c>
      <c r="G16" s="166">
        <f t="shared" si="11"/>
        <v>0</v>
      </c>
      <c r="H16" s="166">
        <f t="shared" si="12"/>
        <v>323.13</v>
      </c>
      <c r="I16" s="166">
        <f t="shared" si="13"/>
        <v>700</v>
      </c>
      <c r="J16" s="167">
        <f t="shared" si="17"/>
        <v>70</v>
      </c>
      <c r="K16" s="166">
        <f>+'C&amp;A'!E16*0.02</f>
        <v>10.2256</v>
      </c>
      <c r="L16" s="166">
        <f t="shared" si="14"/>
        <v>780.22559999999999</v>
      </c>
      <c r="M16" s="166">
        <f t="shared" si="15"/>
        <v>124.836096</v>
      </c>
      <c r="N16" s="166">
        <f t="shared" si="16"/>
        <v>905.06169599999998</v>
      </c>
      <c r="O16" s="174">
        <f>+I16-'C&amp;A'!J16-SINDICATO!L16</f>
        <v>323.13</v>
      </c>
      <c r="P16" s="108" t="s">
        <v>191</v>
      </c>
      <c r="Q16" s="108" t="s">
        <v>198</v>
      </c>
      <c r="R16" s="155" t="s">
        <v>52</v>
      </c>
      <c r="S16" s="108" t="s">
        <v>50</v>
      </c>
      <c r="T16" s="108"/>
      <c r="U16" s="108"/>
      <c r="V16" s="156">
        <v>511.28</v>
      </c>
      <c r="W16" s="156">
        <v>188.72000000000003</v>
      </c>
      <c r="X16" s="156">
        <f t="shared" si="2"/>
        <v>700</v>
      </c>
      <c r="Y16" s="157"/>
      <c r="Z16" s="157"/>
      <c r="AA16" s="157"/>
      <c r="AB16" s="158"/>
      <c r="AC16" s="112">
        <f t="shared" si="3"/>
        <v>700</v>
      </c>
      <c r="AD16" s="157"/>
      <c r="AE16" s="101"/>
      <c r="AF16" s="101"/>
      <c r="AG16" s="157"/>
      <c r="AH16" s="156">
        <v>323.13</v>
      </c>
      <c r="AI16" s="112">
        <f t="shared" si="4"/>
        <v>376.87</v>
      </c>
      <c r="AJ16" s="101">
        <f t="shared" si="5"/>
        <v>0</v>
      </c>
      <c r="AK16" s="112">
        <f t="shared" si="6"/>
        <v>376.87</v>
      </c>
      <c r="AL16" s="101">
        <f t="shared" si="7"/>
        <v>70</v>
      </c>
      <c r="AM16" s="101">
        <f t="shared" si="8"/>
        <v>10.2256</v>
      </c>
      <c r="AN16" s="112">
        <f t="shared" si="9"/>
        <v>780.22559999999999</v>
      </c>
      <c r="AO16" s="118"/>
      <c r="AP16" s="49" t="s">
        <v>234</v>
      </c>
      <c r="AQ16" s="50" t="s">
        <v>75</v>
      </c>
      <c r="AR16" s="51">
        <v>438.24</v>
      </c>
      <c r="AS16" s="51">
        <v>73.040000000000006</v>
      </c>
      <c r="AT16" s="51">
        <v>511.28</v>
      </c>
      <c r="AU16" s="60">
        <v>-66.069999999999993</v>
      </c>
      <c r="AV16" s="51">
        <v>0.15</v>
      </c>
      <c r="AW16" s="51">
        <v>-65.92</v>
      </c>
      <c r="AX16" s="51">
        <v>577.20000000000005</v>
      </c>
      <c r="BC16" s="21" t="s">
        <v>261</v>
      </c>
    </row>
    <row r="17" spans="1:55" s="21" customFormat="1" ht="15.75">
      <c r="A17" s="164" t="s">
        <v>76</v>
      </c>
      <c r="B17" s="168" t="s">
        <v>77</v>
      </c>
      <c r="C17" s="166">
        <f t="shared" si="0"/>
        <v>511.28</v>
      </c>
      <c r="D17" s="166">
        <v>0</v>
      </c>
      <c r="E17" s="166">
        <f t="shared" si="1"/>
        <v>2092.7600000000002</v>
      </c>
      <c r="F17" s="166">
        <f t="shared" si="10"/>
        <v>0</v>
      </c>
      <c r="G17" s="166">
        <f t="shared" si="11"/>
        <v>0</v>
      </c>
      <c r="H17" s="166">
        <f t="shared" si="12"/>
        <v>0</v>
      </c>
      <c r="I17" s="166">
        <f t="shared" si="13"/>
        <v>2604.04</v>
      </c>
      <c r="J17" s="167">
        <f t="shared" si="17"/>
        <v>260.404</v>
      </c>
      <c r="K17" s="166">
        <f>+'C&amp;A'!E17*0.02</f>
        <v>10.2256</v>
      </c>
      <c r="L17" s="166">
        <f t="shared" si="14"/>
        <v>2874.6696000000002</v>
      </c>
      <c r="M17" s="166">
        <f t="shared" si="15"/>
        <v>459.94713600000006</v>
      </c>
      <c r="N17" s="166">
        <f t="shared" si="16"/>
        <v>3334.6167360000004</v>
      </c>
      <c r="O17" s="174">
        <f>+I17-'C&amp;A'!J17-SINDICATO!L17</f>
        <v>0</v>
      </c>
      <c r="P17" s="108" t="s">
        <v>191</v>
      </c>
      <c r="Q17" s="108" t="s">
        <v>192</v>
      </c>
      <c r="R17" s="155">
        <v>5</v>
      </c>
      <c r="S17" s="108" t="s">
        <v>193</v>
      </c>
      <c r="T17" s="108"/>
      <c r="U17" s="108"/>
      <c r="V17" s="156">
        <v>511.28</v>
      </c>
      <c r="W17" s="156">
        <v>0</v>
      </c>
      <c r="X17" s="156">
        <f t="shared" si="2"/>
        <v>511.28</v>
      </c>
      <c r="Y17" s="157">
        <v>2092.7600000000002</v>
      </c>
      <c r="Z17" s="159"/>
      <c r="AA17" s="157"/>
      <c r="AB17" s="158"/>
      <c r="AC17" s="112">
        <f t="shared" si="3"/>
        <v>2604.04</v>
      </c>
      <c r="AD17" s="157"/>
      <c r="AE17" s="101"/>
      <c r="AF17" s="101"/>
      <c r="AG17" s="157"/>
      <c r="AH17" s="156">
        <v>0</v>
      </c>
      <c r="AI17" s="112">
        <f t="shared" si="4"/>
        <v>2604.04</v>
      </c>
      <c r="AJ17" s="101">
        <f t="shared" si="5"/>
        <v>0</v>
      </c>
      <c r="AK17" s="112">
        <f t="shared" si="6"/>
        <v>2604.04</v>
      </c>
      <c r="AL17" s="101">
        <f t="shared" si="7"/>
        <v>260.404</v>
      </c>
      <c r="AM17" s="101">
        <f t="shared" si="8"/>
        <v>10.2256</v>
      </c>
      <c r="AN17" s="112">
        <f t="shared" si="9"/>
        <v>2874.6696000000002</v>
      </c>
      <c r="AO17" s="118"/>
      <c r="AP17" s="49" t="s">
        <v>235</v>
      </c>
      <c r="AQ17" s="50" t="s">
        <v>77</v>
      </c>
      <c r="AR17" s="51">
        <v>438.24</v>
      </c>
      <c r="AS17" s="51">
        <v>73.040000000000006</v>
      </c>
      <c r="AT17" s="51">
        <v>511.28</v>
      </c>
      <c r="AU17" s="60">
        <v>-66.069999999999993</v>
      </c>
      <c r="AV17" s="60">
        <v>-0.05</v>
      </c>
      <c r="AW17" s="51">
        <v>-66.12</v>
      </c>
      <c r="AX17" s="51">
        <v>577.4</v>
      </c>
      <c r="BC17" s="21" t="s">
        <v>261</v>
      </c>
    </row>
    <row r="18" spans="1:55" s="21" customFormat="1" ht="15.75">
      <c r="A18" s="164" t="s">
        <v>53</v>
      </c>
      <c r="B18" s="168" t="s">
        <v>108</v>
      </c>
      <c r="C18" s="166">
        <f t="shared" si="0"/>
        <v>511.28</v>
      </c>
      <c r="D18" s="166">
        <f>-'C&amp;A'!F18</f>
        <v>66.069999999999993</v>
      </c>
      <c r="E18" s="166">
        <f t="shared" si="1"/>
        <v>0</v>
      </c>
      <c r="F18" s="166">
        <f t="shared" si="10"/>
        <v>0</v>
      </c>
      <c r="G18" s="166">
        <f t="shared" si="11"/>
        <v>0</v>
      </c>
      <c r="H18" s="166">
        <f t="shared" si="12"/>
        <v>0</v>
      </c>
      <c r="I18" s="166">
        <f t="shared" si="13"/>
        <v>577.34999999999991</v>
      </c>
      <c r="J18" s="167">
        <f t="shared" si="17"/>
        <v>57.734999999999992</v>
      </c>
      <c r="K18" s="166">
        <f>+'C&amp;A'!E18*0.02</f>
        <v>10.2256</v>
      </c>
      <c r="L18" s="166">
        <f t="shared" si="14"/>
        <v>645.31059999999991</v>
      </c>
      <c r="M18" s="166">
        <f t="shared" si="15"/>
        <v>103.24969599999999</v>
      </c>
      <c r="N18" s="166">
        <f t="shared" si="16"/>
        <v>748.56029599999988</v>
      </c>
      <c r="O18" s="174">
        <f>+I18-'C&amp;A'!J18-SINDICATO!L18</f>
        <v>0.14999999999986358</v>
      </c>
      <c r="P18" s="108" t="s">
        <v>191</v>
      </c>
      <c r="Q18" s="108" t="s">
        <v>199</v>
      </c>
      <c r="R18" s="155" t="s">
        <v>53</v>
      </c>
      <c r="S18" s="108" t="s">
        <v>50</v>
      </c>
      <c r="T18" s="108"/>
      <c r="U18" s="108"/>
      <c r="V18" s="156">
        <v>511.28</v>
      </c>
      <c r="W18" s="156">
        <v>0</v>
      </c>
      <c r="X18" s="156">
        <f t="shared" si="2"/>
        <v>511.28</v>
      </c>
      <c r="Y18" s="157"/>
      <c r="Z18" s="157"/>
      <c r="AA18" s="157"/>
      <c r="AB18" s="158"/>
      <c r="AC18" s="112">
        <f t="shared" si="3"/>
        <v>511.28</v>
      </c>
      <c r="AD18" s="157"/>
      <c r="AE18" s="101"/>
      <c r="AF18" s="101"/>
      <c r="AG18" s="157"/>
      <c r="AH18" s="156">
        <v>0</v>
      </c>
      <c r="AI18" s="112">
        <f t="shared" si="4"/>
        <v>511.28</v>
      </c>
      <c r="AJ18" s="101">
        <f t="shared" si="5"/>
        <v>0</v>
      </c>
      <c r="AK18" s="112">
        <f t="shared" si="6"/>
        <v>511.28</v>
      </c>
      <c r="AL18" s="101">
        <f t="shared" si="7"/>
        <v>51.128</v>
      </c>
      <c r="AM18" s="101">
        <f t="shared" si="8"/>
        <v>10.2256</v>
      </c>
      <c r="AN18" s="112">
        <f t="shared" si="9"/>
        <v>572.6336</v>
      </c>
      <c r="AO18" s="118"/>
      <c r="AP18" s="49" t="s">
        <v>236</v>
      </c>
      <c r="AQ18" s="50" t="s">
        <v>78</v>
      </c>
      <c r="AR18" s="51">
        <v>438.24</v>
      </c>
      <c r="AS18" s="51">
        <v>73.040000000000006</v>
      </c>
      <c r="AT18" s="51">
        <v>511.28</v>
      </c>
      <c r="AU18" s="60">
        <v>-66.069999999999993</v>
      </c>
      <c r="AV18" s="51">
        <v>0.15</v>
      </c>
      <c r="AW18" s="51">
        <v>-65.92</v>
      </c>
      <c r="AX18" s="51">
        <v>577.20000000000005</v>
      </c>
      <c r="BC18" s="21" t="s">
        <v>261</v>
      </c>
    </row>
    <row r="19" spans="1:55" s="21" customFormat="1" ht="15.75">
      <c r="A19" s="164" t="s">
        <v>40</v>
      </c>
      <c r="B19" s="165" t="s">
        <v>185</v>
      </c>
      <c r="C19" s="166">
        <f t="shared" si="0"/>
        <v>1166.6600000000001</v>
      </c>
      <c r="D19" s="166">
        <v>0</v>
      </c>
      <c r="E19" s="166">
        <f t="shared" si="1"/>
        <v>2004.79</v>
      </c>
      <c r="F19" s="166">
        <f t="shared" si="10"/>
        <v>0</v>
      </c>
      <c r="G19" s="166">
        <f t="shared" si="11"/>
        <v>0</v>
      </c>
      <c r="H19" s="166">
        <f t="shared" si="12"/>
        <v>498.65</v>
      </c>
      <c r="I19" s="166">
        <f t="shared" si="13"/>
        <v>3171.45</v>
      </c>
      <c r="J19" s="167">
        <f t="shared" si="17"/>
        <v>317.14499999999998</v>
      </c>
      <c r="K19" s="166">
        <f>+'C&amp;A'!E19*0.02</f>
        <v>10.2256</v>
      </c>
      <c r="L19" s="166">
        <f t="shared" si="14"/>
        <v>3498.8206</v>
      </c>
      <c r="M19" s="166">
        <f t="shared" si="15"/>
        <v>559.81129599999997</v>
      </c>
      <c r="N19" s="166">
        <f t="shared" si="16"/>
        <v>4058.6318959999999</v>
      </c>
      <c r="O19" s="174">
        <f>+I19-'C&amp;A'!J19-SINDICATO!L19</f>
        <v>498.65000000000009</v>
      </c>
      <c r="P19" s="108" t="s">
        <v>183</v>
      </c>
      <c r="Q19" s="108" t="s">
        <v>185</v>
      </c>
      <c r="R19" s="155" t="s">
        <v>40</v>
      </c>
      <c r="S19" s="108" t="s">
        <v>49</v>
      </c>
      <c r="T19" s="108"/>
      <c r="U19" s="108"/>
      <c r="V19" s="156">
        <v>511.28</v>
      </c>
      <c r="W19" s="156">
        <v>655.38000000000011</v>
      </c>
      <c r="X19" s="156">
        <f t="shared" si="2"/>
        <v>1166.6600000000001</v>
      </c>
      <c r="Y19" s="157">
        <v>2004.79</v>
      </c>
      <c r="Z19" s="157"/>
      <c r="AA19" s="157"/>
      <c r="AB19" s="158"/>
      <c r="AC19" s="112">
        <f t="shared" si="3"/>
        <v>3171.45</v>
      </c>
      <c r="AD19" s="157"/>
      <c r="AE19" s="101"/>
      <c r="AF19" s="101"/>
      <c r="AG19" s="157"/>
      <c r="AH19" s="156">
        <v>498.65</v>
      </c>
      <c r="AI19" s="112">
        <f t="shared" si="4"/>
        <v>2672.7999999999997</v>
      </c>
      <c r="AJ19" s="101">
        <f t="shared" si="5"/>
        <v>0</v>
      </c>
      <c r="AK19" s="112">
        <f t="shared" si="6"/>
        <v>2672.7999999999997</v>
      </c>
      <c r="AL19" s="101">
        <f t="shared" si="7"/>
        <v>317.14499999999998</v>
      </c>
      <c r="AM19" s="101">
        <f t="shared" si="8"/>
        <v>10.2256</v>
      </c>
      <c r="AN19" s="112">
        <f t="shared" si="9"/>
        <v>3498.8206</v>
      </c>
      <c r="AO19" s="118"/>
      <c r="AP19" s="49" t="s">
        <v>237</v>
      </c>
      <c r="AQ19" s="50" t="s">
        <v>79</v>
      </c>
      <c r="AR19" s="51">
        <v>438.24</v>
      </c>
      <c r="AS19" s="51">
        <v>73.040000000000006</v>
      </c>
      <c r="AT19" s="51">
        <v>511.28</v>
      </c>
      <c r="AU19" s="60">
        <v>-66.069999999999993</v>
      </c>
      <c r="AV19" s="60">
        <v>-0.05</v>
      </c>
      <c r="AW19" s="51">
        <v>-66.12</v>
      </c>
      <c r="AX19" s="51">
        <v>577.4</v>
      </c>
      <c r="BC19" s="21" t="s">
        <v>266</v>
      </c>
    </row>
    <row r="20" spans="1:55" s="21" customFormat="1" ht="15.75">
      <c r="A20" s="171" t="s">
        <v>237</v>
      </c>
      <c r="B20" s="170" t="s">
        <v>209</v>
      </c>
      <c r="C20" s="166">
        <f t="shared" si="0"/>
        <v>700</v>
      </c>
      <c r="D20" s="166">
        <v>0</v>
      </c>
      <c r="E20" s="166">
        <f t="shared" si="1"/>
        <v>0</v>
      </c>
      <c r="F20" s="166">
        <f t="shared" si="10"/>
        <v>0</v>
      </c>
      <c r="G20" s="166">
        <f t="shared" si="11"/>
        <v>0</v>
      </c>
      <c r="H20" s="166">
        <f t="shared" si="12"/>
        <v>0</v>
      </c>
      <c r="I20" s="166">
        <f t="shared" si="13"/>
        <v>700</v>
      </c>
      <c r="J20" s="167">
        <f t="shared" si="17"/>
        <v>70</v>
      </c>
      <c r="K20" s="166">
        <f>+'C&amp;A'!E20*0.02</f>
        <v>10.2256</v>
      </c>
      <c r="L20" s="166">
        <f t="shared" si="14"/>
        <v>780.22559999999999</v>
      </c>
      <c r="M20" s="166">
        <f t="shared" si="15"/>
        <v>124.836096</v>
      </c>
      <c r="N20" s="166">
        <f t="shared" si="16"/>
        <v>905.06169599999998</v>
      </c>
      <c r="O20" s="174">
        <f>+I20-'C&amp;A'!J20-SINDICATO!L20</f>
        <v>0</v>
      </c>
      <c r="P20" s="108" t="s">
        <v>191</v>
      </c>
      <c r="Q20" s="108" t="s">
        <v>209</v>
      </c>
      <c r="R20" s="155"/>
      <c r="S20" s="108" t="s">
        <v>50</v>
      </c>
      <c r="T20" s="108"/>
      <c r="U20" s="108"/>
      <c r="V20" s="156">
        <v>700</v>
      </c>
      <c r="W20" s="156">
        <v>0</v>
      </c>
      <c r="X20" s="156">
        <f t="shared" si="2"/>
        <v>700</v>
      </c>
      <c r="Y20" s="157"/>
      <c r="Z20" s="157"/>
      <c r="AA20" s="157"/>
      <c r="AB20" s="158"/>
      <c r="AC20" s="112">
        <f t="shared" si="3"/>
        <v>700</v>
      </c>
      <c r="AD20" s="157"/>
      <c r="AE20" s="101"/>
      <c r="AF20" s="101"/>
      <c r="AG20" s="157"/>
      <c r="AH20" s="156"/>
      <c r="AI20" s="112">
        <f t="shared" si="4"/>
        <v>700</v>
      </c>
      <c r="AJ20" s="101">
        <f t="shared" si="5"/>
        <v>0</v>
      </c>
      <c r="AK20" s="112">
        <f t="shared" si="6"/>
        <v>700</v>
      </c>
      <c r="AL20" s="101">
        <f t="shared" si="7"/>
        <v>70</v>
      </c>
      <c r="AM20" s="101">
        <f t="shared" si="8"/>
        <v>14</v>
      </c>
      <c r="AN20" s="112">
        <f t="shared" si="9"/>
        <v>784</v>
      </c>
      <c r="AO20" s="118"/>
      <c r="AP20" s="49" t="s">
        <v>237</v>
      </c>
      <c r="AQ20" s="50" t="s">
        <v>224</v>
      </c>
      <c r="AR20" s="51">
        <v>438.24</v>
      </c>
      <c r="AS20" s="51">
        <v>73.040000000000006</v>
      </c>
      <c r="AT20" s="51">
        <v>511.28</v>
      </c>
      <c r="AU20" s="60">
        <v>-66.069999999999993</v>
      </c>
      <c r="AV20" s="60">
        <v>-0.05</v>
      </c>
      <c r="AW20" s="51">
        <v>-66.12</v>
      </c>
      <c r="AX20" s="51">
        <v>577.4</v>
      </c>
      <c r="BC20" s="21" t="s">
        <v>261</v>
      </c>
    </row>
    <row r="21" spans="1:55" s="21" customFormat="1" ht="15.75">
      <c r="A21" s="164" t="s">
        <v>80</v>
      </c>
      <c r="B21" s="165" t="s">
        <v>102</v>
      </c>
      <c r="C21" s="166">
        <f t="shared" si="0"/>
        <v>1633.33</v>
      </c>
      <c r="D21" s="166">
        <v>0</v>
      </c>
      <c r="E21" s="166">
        <f t="shared" si="1"/>
        <v>8820.82</v>
      </c>
      <c r="F21" s="166">
        <f t="shared" si="10"/>
        <v>0</v>
      </c>
      <c r="G21" s="166">
        <f t="shared" si="11"/>
        <v>524.16999999999996</v>
      </c>
      <c r="H21" s="166">
        <f t="shared" si="12"/>
        <v>144.03</v>
      </c>
      <c r="I21" s="166">
        <f t="shared" si="13"/>
        <v>9929.98</v>
      </c>
      <c r="J21" s="167">
        <f t="shared" si="17"/>
        <v>0</v>
      </c>
      <c r="K21" s="166">
        <f>+'C&amp;A'!E21*0.02</f>
        <v>10.2256</v>
      </c>
      <c r="L21" s="166">
        <f t="shared" si="14"/>
        <v>9940.2055999999993</v>
      </c>
      <c r="M21" s="166">
        <f t="shared" si="15"/>
        <v>1590.432896</v>
      </c>
      <c r="N21" s="166">
        <f t="shared" si="16"/>
        <v>11530.638496</v>
      </c>
      <c r="O21" s="174">
        <f>+I21-'C&amp;A'!J21-SINDICATO!L21</f>
        <v>1189.4449999999997</v>
      </c>
      <c r="P21" s="108" t="s">
        <v>191</v>
      </c>
      <c r="Q21" s="108" t="s">
        <v>194</v>
      </c>
      <c r="R21" s="155">
        <v>10</v>
      </c>
      <c r="S21" s="108" t="s">
        <v>193</v>
      </c>
      <c r="T21" s="108"/>
      <c r="U21" s="108"/>
      <c r="V21" s="156">
        <v>511.28</v>
      </c>
      <c r="W21" s="156">
        <v>1122.05</v>
      </c>
      <c r="X21" s="156">
        <f t="shared" si="2"/>
        <v>1633.33</v>
      </c>
      <c r="Y21" s="157">
        <v>8820.82</v>
      </c>
      <c r="Z21" s="157"/>
      <c r="AA21" s="157"/>
      <c r="AB21" s="158"/>
      <c r="AC21" s="112">
        <f t="shared" si="3"/>
        <v>10454.15</v>
      </c>
      <c r="AD21" s="157"/>
      <c r="AE21" s="101"/>
      <c r="AF21" s="101"/>
      <c r="AG21" s="157">
        <v>524.16999999999996</v>
      </c>
      <c r="AH21" s="156">
        <v>144.03</v>
      </c>
      <c r="AI21" s="112">
        <f t="shared" si="4"/>
        <v>9785.9499999999989</v>
      </c>
      <c r="AJ21" s="101">
        <f t="shared" si="5"/>
        <v>1045.415</v>
      </c>
      <c r="AK21" s="112">
        <f t="shared" si="6"/>
        <v>8740.5349999999999</v>
      </c>
      <c r="AL21" s="101">
        <f t="shared" si="7"/>
        <v>0</v>
      </c>
      <c r="AM21" s="101">
        <f t="shared" si="8"/>
        <v>10.2256</v>
      </c>
      <c r="AN21" s="112">
        <f t="shared" si="9"/>
        <v>10464.375599999999</v>
      </c>
      <c r="AO21" s="118"/>
      <c r="AP21" s="49" t="s">
        <v>238</v>
      </c>
      <c r="AQ21" s="50" t="s">
        <v>81</v>
      </c>
      <c r="AR21" s="51">
        <v>438.24</v>
      </c>
      <c r="AS21" s="51">
        <v>73.040000000000006</v>
      </c>
      <c r="AT21" s="51">
        <v>511.28</v>
      </c>
      <c r="AU21" s="60">
        <v>-66.069999999999993</v>
      </c>
      <c r="AV21" s="60">
        <v>-0.05</v>
      </c>
      <c r="AW21" s="51">
        <v>-66.12</v>
      </c>
      <c r="AX21" s="51">
        <v>577.4</v>
      </c>
      <c r="BC21" s="21" t="s">
        <v>261</v>
      </c>
    </row>
    <row r="22" spans="1:55" s="21" customFormat="1" ht="15.75">
      <c r="A22" s="164" t="s">
        <v>57</v>
      </c>
      <c r="B22" s="168" t="s">
        <v>115</v>
      </c>
      <c r="C22" s="166">
        <f t="shared" si="0"/>
        <v>531.8599999999999</v>
      </c>
      <c r="D22" s="166">
        <f>-'C&amp;A'!F22</f>
        <v>66.069999999999993</v>
      </c>
      <c r="E22" s="166">
        <f t="shared" si="1"/>
        <v>0</v>
      </c>
      <c r="F22" s="166">
        <f t="shared" si="10"/>
        <v>0</v>
      </c>
      <c r="G22" s="166">
        <f t="shared" si="11"/>
        <v>0</v>
      </c>
      <c r="H22" s="166">
        <f t="shared" si="12"/>
        <v>0</v>
      </c>
      <c r="I22" s="166">
        <f t="shared" si="13"/>
        <v>597.92999999999984</v>
      </c>
      <c r="J22" s="167">
        <f t="shared" si="17"/>
        <v>59.792999999999985</v>
      </c>
      <c r="K22" s="166">
        <f>+'C&amp;A'!E22*0.02</f>
        <v>10.2256</v>
      </c>
      <c r="L22" s="166">
        <f t="shared" si="14"/>
        <v>667.94859999999983</v>
      </c>
      <c r="M22" s="166">
        <f t="shared" si="15"/>
        <v>106.87177599999997</v>
      </c>
      <c r="N22" s="166">
        <f t="shared" si="16"/>
        <v>774.82037599999978</v>
      </c>
      <c r="O22" s="174">
        <f>+I22-'C&amp;A'!J22-SINDICATO!L22</f>
        <v>0</v>
      </c>
      <c r="P22" s="108" t="s">
        <v>191</v>
      </c>
      <c r="Q22" s="108" t="s">
        <v>202</v>
      </c>
      <c r="R22" s="155" t="s">
        <v>57</v>
      </c>
      <c r="S22" s="108" t="s">
        <v>50</v>
      </c>
      <c r="T22" s="108"/>
      <c r="U22" s="108"/>
      <c r="V22" s="156">
        <v>511.28</v>
      </c>
      <c r="W22" s="156">
        <v>20.579999999999984</v>
      </c>
      <c r="X22" s="156">
        <f t="shared" si="2"/>
        <v>531.8599999999999</v>
      </c>
      <c r="Y22" s="157"/>
      <c r="Z22" s="157"/>
      <c r="AA22" s="157"/>
      <c r="AB22" s="158"/>
      <c r="AC22" s="112">
        <f t="shared" si="3"/>
        <v>531.8599999999999</v>
      </c>
      <c r="AD22" s="157"/>
      <c r="AE22" s="101"/>
      <c r="AF22" s="101"/>
      <c r="AG22" s="157"/>
      <c r="AH22" s="156">
        <v>0</v>
      </c>
      <c r="AI22" s="112">
        <f t="shared" si="4"/>
        <v>531.8599999999999</v>
      </c>
      <c r="AJ22" s="101">
        <f t="shared" si="5"/>
        <v>0</v>
      </c>
      <c r="AK22" s="112">
        <f t="shared" si="6"/>
        <v>531.8599999999999</v>
      </c>
      <c r="AL22" s="101">
        <f t="shared" si="7"/>
        <v>53.185999999999993</v>
      </c>
      <c r="AM22" s="101">
        <f t="shared" si="8"/>
        <v>10.2256</v>
      </c>
      <c r="AN22" s="112">
        <f t="shared" si="9"/>
        <v>595.27159999999992</v>
      </c>
      <c r="AO22" s="118"/>
      <c r="AP22" s="49" t="s">
        <v>239</v>
      </c>
      <c r="AQ22" s="50" t="s">
        <v>82</v>
      </c>
      <c r="AR22" s="51">
        <v>438.24</v>
      </c>
      <c r="AS22" s="51">
        <v>73.040000000000006</v>
      </c>
      <c r="AT22" s="51">
        <v>511.28</v>
      </c>
      <c r="AU22" s="60">
        <v>-66.069999999999993</v>
      </c>
      <c r="AV22" s="60">
        <v>-0.05</v>
      </c>
      <c r="AW22" s="51">
        <v>-66.12</v>
      </c>
      <c r="AX22" s="51">
        <v>577.4</v>
      </c>
      <c r="BC22" s="21" t="s">
        <v>261</v>
      </c>
    </row>
    <row r="23" spans="1:55" s="21" customFormat="1" ht="15.75">
      <c r="A23" s="164" t="s">
        <v>55</v>
      </c>
      <c r="B23" s="168" t="s">
        <v>103</v>
      </c>
      <c r="C23" s="166">
        <f t="shared" si="0"/>
        <v>511.28</v>
      </c>
      <c r="D23" s="166">
        <v>0</v>
      </c>
      <c r="E23" s="166">
        <f t="shared" si="1"/>
        <v>3035.57</v>
      </c>
      <c r="F23" s="166">
        <f t="shared" si="10"/>
        <v>0</v>
      </c>
      <c r="G23" s="166">
        <f t="shared" si="11"/>
        <v>0</v>
      </c>
      <c r="H23" s="166">
        <f t="shared" si="12"/>
        <v>0</v>
      </c>
      <c r="I23" s="166">
        <f t="shared" si="13"/>
        <v>3546.8500000000004</v>
      </c>
      <c r="J23" s="167">
        <f t="shared" si="17"/>
        <v>354.68500000000006</v>
      </c>
      <c r="K23" s="166">
        <f>+'C&amp;A'!E23*0.02</f>
        <v>10.2256</v>
      </c>
      <c r="L23" s="166">
        <f t="shared" si="14"/>
        <v>3911.7606000000005</v>
      </c>
      <c r="M23" s="166">
        <f t="shared" si="15"/>
        <v>625.88169600000015</v>
      </c>
      <c r="N23" s="166">
        <f t="shared" si="16"/>
        <v>4537.6422960000009</v>
      </c>
      <c r="O23" s="174">
        <f>+I23-'C&amp;A'!J23-SINDICATO!L23</f>
        <v>0</v>
      </c>
      <c r="P23" s="108" t="s">
        <v>191</v>
      </c>
      <c r="Q23" s="108" t="s">
        <v>200</v>
      </c>
      <c r="R23" s="155" t="s">
        <v>55</v>
      </c>
      <c r="S23" s="108" t="s">
        <v>50</v>
      </c>
      <c r="T23" s="108"/>
      <c r="U23" s="108"/>
      <c r="V23" s="156">
        <v>511.28</v>
      </c>
      <c r="W23" s="156">
        <v>0</v>
      </c>
      <c r="X23" s="156">
        <f t="shared" si="2"/>
        <v>511.28</v>
      </c>
      <c r="Y23" s="157">
        <f>3035.57</f>
        <v>3035.57</v>
      </c>
      <c r="Z23" s="157"/>
      <c r="AA23" s="157"/>
      <c r="AB23" s="158"/>
      <c r="AC23" s="112">
        <f t="shared" si="3"/>
        <v>3546.8500000000004</v>
      </c>
      <c r="AD23" s="157"/>
      <c r="AE23" s="101"/>
      <c r="AF23" s="101"/>
      <c r="AG23" s="157"/>
      <c r="AH23" s="156">
        <v>0</v>
      </c>
      <c r="AI23" s="112">
        <f t="shared" si="4"/>
        <v>3546.8500000000004</v>
      </c>
      <c r="AJ23" s="101">
        <f t="shared" si="5"/>
        <v>0</v>
      </c>
      <c r="AK23" s="112">
        <f t="shared" si="6"/>
        <v>3546.8500000000004</v>
      </c>
      <c r="AL23" s="101">
        <f t="shared" si="7"/>
        <v>354.68500000000006</v>
      </c>
      <c r="AM23" s="101">
        <f t="shared" si="8"/>
        <v>10.2256</v>
      </c>
      <c r="AN23" s="112">
        <f t="shared" si="9"/>
        <v>3911.7606000000005</v>
      </c>
      <c r="AO23" s="118"/>
      <c r="AP23" s="49" t="s">
        <v>240</v>
      </c>
      <c r="AQ23" s="50" t="s">
        <v>83</v>
      </c>
      <c r="AR23" s="51">
        <v>438.24</v>
      </c>
      <c r="AS23" s="51">
        <v>73.040000000000006</v>
      </c>
      <c r="AT23" s="51">
        <v>511.28</v>
      </c>
      <c r="AU23" s="60">
        <v>-66.069999999999993</v>
      </c>
      <c r="AV23" s="51">
        <v>0.15</v>
      </c>
      <c r="AW23" s="51">
        <v>-65.92</v>
      </c>
      <c r="AX23" s="51">
        <v>577.20000000000005</v>
      </c>
      <c r="BC23" s="21" t="s">
        <v>261</v>
      </c>
    </row>
    <row r="24" spans="1:55" s="21" customFormat="1" ht="15.75">
      <c r="A24" s="164" t="s">
        <v>56</v>
      </c>
      <c r="B24" s="168" t="s">
        <v>110</v>
      </c>
      <c r="C24" s="166">
        <f t="shared" si="0"/>
        <v>511.28</v>
      </c>
      <c r="D24" s="166">
        <v>0</v>
      </c>
      <c r="E24" s="166">
        <f t="shared" si="1"/>
        <v>3804.73</v>
      </c>
      <c r="F24" s="166">
        <f t="shared" si="10"/>
        <v>0</v>
      </c>
      <c r="G24" s="166">
        <f t="shared" si="11"/>
        <v>0</v>
      </c>
      <c r="H24" s="166">
        <f t="shared" si="12"/>
        <v>0</v>
      </c>
      <c r="I24" s="166">
        <f t="shared" si="13"/>
        <v>4316.01</v>
      </c>
      <c r="J24" s="167">
        <f t="shared" si="17"/>
        <v>431.60100000000006</v>
      </c>
      <c r="K24" s="166">
        <f>+'C&amp;A'!E24*0.02</f>
        <v>10.2256</v>
      </c>
      <c r="L24" s="166">
        <f t="shared" si="14"/>
        <v>4757.8365999999996</v>
      </c>
      <c r="M24" s="166">
        <f t="shared" si="15"/>
        <v>761.25385599999993</v>
      </c>
      <c r="N24" s="166">
        <f t="shared" si="16"/>
        <v>5519.0904559999999</v>
      </c>
      <c r="O24" s="174">
        <f>+I24-'C&amp;A'!J24-SINDICATO!L24</f>
        <v>0</v>
      </c>
      <c r="P24" s="108" t="s">
        <v>191</v>
      </c>
      <c r="Q24" s="108" t="s">
        <v>201</v>
      </c>
      <c r="R24" s="155" t="s">
        <v>56</v>
      </c>
      <c r="S24" s="108" t="s">
        <v>50</v>
      </c>
      <c r="T24" s="108"/>
      <c r="U24" s="108"/>
      <c r="V24" s="156">
        <v>511.28</v>
      </c>
      <c r="W24" s="156">
        <v>0</v>
      </c>
      <c r="X24" s="156">
        <f t="shared" si="2"/>
        <v>511.28</v>
      </c>
      <c r="Y24" s="157">
        <f>1804.73+2000</f>
        <v>3804.73</v>
      </c>
      <c r="Z24" s="157"/>
      <c r="AA24" s="157"/>
      <c r="AB24" s="158"/>
      <c r="AC24" s="112">
        <f t="shared" si="3"/>
        <v>4316.01</v>
      </c>
      <c r="AD24" s="157"/>
      <c r="AE24" s="101"/>
      <c r="AF24" s="101"/>
      <c r="AG24" s="157"/>
      <c r="AH24" s="156">
        <v>0</v>
      </c>
      <c r="AI24" s="112">
        <f t="shared" si="4"/>
        <v>4316.01</v>
      </c>
      <c r="AJ24" s="101">
        <f t="shared" si="5"/>
        <v>0</v>
      </c>
      <c r="AK24" s="112">
        <f t="shared" si="6"/>
        <v>4316.01</v>
      </c>
      <c r="AL24" s="101">
        <f t="shared" si="7"/>
        <v>431.60100000000006</v>
      </c>
      <c r="AM24" s="101">
        <f t="shared" si="8"/>
        <v>10.2256</v>
      </c>
      <c r="AN24" s="112">
        <f t="shared" si="9"/>
        <v>4757.8365999999996</v>
      </c>
      <c r="AO24" s="118"/>
      <c r="AP24" s="49" t="s">
        <v>241</v>
      </c>
      <c r="AQ24" s="50" t="s">
        <v>84</v>
      </c>
      <c r="AR24" s="51">
        <v>438.24</v>
      </c>
      <c r="AS24" s="51">
        <v>73.040000000000006</v>
      </c>
      <c r="AT24" s="51">
        <v>511.28</v>
      </c>
      <c r="AU24" s="60">
        <v>-66.069999999999993</v>
      </c>
      <c r="AV24" s="60">
        <v>-0.05</v>
      </c>
      <c r="AW24" s="51">
        <v>-66.12</v>
      </c>
      <c r="AX24" s="51">
        <v>577.4</v>
      </c>
      <c r="BC24" s="21" t="s">
        <v>261</v>
      </c>
    </row>
    <row r="25" spans="1:55" s="21" customFormat="1" ht="15.75">
      <c r="A25" s="164" t="s">
        <v>54</v>
      </c>
      <c r="B25" s="168" t="s">
        <v>107</v>
      </c>
      <c r="C25" s="166">
        <f t="shared" si="0"/>
        <v>511.28</v>
      </c>
      <c r="D25" s="166">
        <f>-'C&amp;A'!F25</f>
        <v>66.069999999999993</v>
      </c>
      <c r="E25" s="166">
        <f t="shared" si="1"/>
        <v>0</v>
      </c>
      <c r="F25" s="166">
        <f t="shared" si="10"/>
        <v>0</v>
      </c>
      <c r="G25" s="166">
        <f t="shared" si="11"/>
        <v>0</v>
      </c>
      <c r="H25" s="166">
        <f t="shared" si="12"/>
        <v>115.26</v>
      </c>
      <c r="I25" s="166">
        <f t="shared" si="13"/>
        <v>577.34999999999991</v>
      </c>
      <c r="J25" s="167">
        <f t="shared" si="17"/>
        <v>57.734999999999992</v>
      </c>
      <c r="K25" s="166">
        <f>+'C&amp;A'!E25*0.02</f>
        <v>10.2256</v>
      </c>
      <c r="L25" s="166">
        <f t="shared" si="14"/>
        <v>645.31059999999991</v>
      </c>
      <c r="M25" s="166">
        <f t="shared" si="15"/>
        <v>103.24969599999999</v>
      </c>
      <c r="N25" s="166">
        <f t="shared" si="16"/>
        <v>748.56029599999988</v>
      </c>
      <c r="O25" s="174">
        <f>+I25-'C&amp;A'!J25-SINDICATO!L25</f>
        <v>115.40999999999991</v>
      </c>
      <c r="P25" s="108" t="s">
        <v>186</v>
      </c>
      <c r="Q25" s="108" t="s">
        <v>188</v>
      </c>
      <c r="R25" s="155" t="s">
        <v>54</v>
      </c>
      <c r="S25" s="108" t="s">
        <v>50</v>
      </c>
      <c r="T25" s="108"/>
      <c r="U25" s="108"/>
      <c r="V25" s="156">
        <v>511.28</v>
      </c>
      <c r="W25" s="156">
        <v>0</v>
      </c>
      <c r="X25" s="156">
        <f t="shared" si="2"/>
        <v>511.28</v>
      </c>
      <c r="Y25" s="157"/>
      <c r="Z25" s="157"/>
      <c r="AA25" s="157"/>
      <c r="AB25" s="158"/>
      <c r="AC25" s="112">
        <f t="shared" si="3"/>
        <v>511.28</v>
      </c>
      <c r="AD25" s="157"/>
      <c r="AE25" s="101"/>
      <c r="AF25" s="101"/>
      <c r="AG25" s="157"/>
      <c r="AH25" s="156">
        <v>115.26</v>
      </c>
      <c r="AI25" s="112">
        <f t="shared" si="4"/>
        <v>396.02</v>
      </c>
      <c r="AJ25" s="101">
        <f t="shared" si="5"/>
        <v>0</v>
      </c>
      <c r="AK25" s="112">
        <f t="shared" si="6"/>
        <v>396.02</v>
      </c>
      <c r="AL25" s="101">
        <f t="shared" si="7"/>
        <v>51.128</v>
      </c>
      <c r="AM25" s="101">
        <f t="shared" si="8"/>
        <v>10.2256</v>
      </c>
      <c r="AN25" s="112">
        <f t="shared" si="9"/>
        <v>572.6336</v>
      </c>
      <c r="AO25" s="118"/>
      <c r="AP25" s="49" t="s">
        <v>242</v>
      </c>
      <c r="AQ25" s="50" t="s">
        <v>85</v>
      </c>
      <c r="AR25" s="51">
        <v>438.24</v>
      </c>
      <c r="AS25" s="51">
        <v>73.040000000000006</v>
      </c>
      <c r="AT25" s="51">
        <v>511.28</v>
      </c>
      <c r="AU25" s="60">
        <v>-66.069999999999993</v>
      </c>
      <c r="AV25" s="51">
        <v>0.15</v>
      </c>
      <c r="AW25" s="51">
        <v>-65.92</v>
      </c>
      <c r="AX25" s="51">
        <v>577.20000000000005</v>
      </c>
      <c r="BC25" s="21" t="s">
        <v>261</v>
      </c>
    </row>
    <row r="26" spans="1:55" s="21" customFormat="1" ht="15.75">
      <c r="A26" s="164" t="s">
        <v>86</v>
      </c>
      <c r="B26" s="172" t="s">
        <v>39</v>
      </c>
      <c r="C26" s="166">
        <f t="shared" si="0"/>
        <v>1166.6600000000001</v>
      </c>
      <c r="D26" s="166">
        <v>0</v>
      </c>
      <c r="E26" s="166">
        <f t="shared" si="1"/>
        <v>1702.74</v>
      </c>
      <c r="F26" s="166">
        <f t="shared" si="10"/>
        <v>0</v>
      </c>
      <c r="G26" s="166">
        <f t="shared" si="11"/>
        <v>0</v>
      </c>
      <c r="H26" s="166">
        <f t="shared" si="12"/>
        <v>89.36</v>
      </c>
      <c r="I26" s="166">
        <f t="shared" si="13"/>
        <v>2869.4</v>
      </c>
      <c r="J26" s="167">
        <f t="shared" si="17"/>
        <v>286.94</v>
      </c>
      <c r="K26" s="166">
        <f>+'C&amp;A'!E26*0.02</f>
        <v>10.2256</v>
      </c>
      <c r="L26" s="166">
        <f t="shared" si="14"/>
        <v>3166.5656000000004</v>
      </c>
      <c r="M26" s="166">
        <f t="shared" si="15"/>
        <v>506.65049600000009</v>
      </c>
      <c r="N26" s="166">
        <f t="shared" si="16"/>
        <v>3673.2160960000006</v>
      </c>
      <c r="O26" s="174">
        <f>+I26-'C&amp;A'!J26-SINDICATO!L26</f>
        <v>89.360000000000127</v>
      </c>
      <c r="P26" s="108" t="s">
        <v>183</v>
      </c>
      <c r="Q26" s="108" t="s">
        <v>184</v>
      </c>
      <c r="R26" s="155">
        <v>21</v>
      </c>
      <c r="S26" s="108" t="s">
        <v>49</v>
      </c>
      <c r="T26" s="108"/>
      <c r="U26" s="108"/>
      <c r="V26" s="156">
        <v>511.28</v>
      </c>
      <c r="W26" s="156">
        <v>655.38000000000011</v>
      </c>
      <c r="X26" s="156">
        <f t="shared" si="2"/>
        <v>1166.6600000000001</v>
      </c>
      <c r="Y26" s="157">
        <v>1702.74</v>
      </c>
      <c r="Z26" s="157"/>
      <c r="AA26" s="157"/>
      <c r="AB26" s="158"/>
      <c r="AC26" s="112">
        <f t="shared" si="3"/>
        <v>2869.4</v>
      </c>
      <c r="AD26" s="157"/>
      <c r="AE26" s="101"/>
      <c r="AF26" s="101"/>
      <c r="AG26" s="157"/>
      <c r="AH26" s="156">
        <v>89.36</v>
      </c>
      <c r="AI26" s="112">
        <f t="shared" si="4"/>
        <v>2780.04</v>
      </c>
      <c r="AJ26" s="101">
        <f t="shared" si="5"/>
        <v>0</v>
      </c>
      <c r="AK26" s="112">
        <f t="shared" si="6"/>
        <v>2780.04</v>
      </c>
      <c r="AL26" s="101">
        <f t="shared" si="7"/>
        <v>286.94</v>
      </c>
      <c r="AM26" s="101">
        <f t="shared" si="8"/>
        <v>10.2256</v>
      </c>
      <c r="AN26" s="112">
        <f t="shared" si="9"/>
        <v>3166.5656000000004</v>
      </c>
      <c r="AO26" s="118"/>
      <c r="AP26" s="49" t="s">
        <v>243</v>
      </c>
      <c r="AQ26" s="50" t="s">
        <v>87</v>
      </c>
      <c r="AR26" s="51">
        <v>438.24</v>
      </c>
      <c r="AS26" s="51">
        <v>73.040000000000006</v>
      </c>
      <c r="AT26" s="51">
        <v>511.28</v>
      </c>
      <c r="AU26" s="60">
        <v>-66.069999999999993</v>
      </c>
      <c r="AV26" s="60">
        <v>-0.05</v>
      </c>
      <c r="AW26" s="51">
        <v>-66.12</v>
      </c>
      <c r="AX26" s="51">
        <v>577.4</v>
      </c>
      <c r="BC26" s="21" t="s">
        <v>266</v>
      </c>
    </row>
    <row r="27" spans="1:55" s="21" customFormat="1" ht="15.75">
      <c r="A27" s="164" t="s">
        <v>88</v>
      </c>
      <c r="B27" s="165" t="s">
        <v>60</v>
      </c>
      <c r="C27" s="166">
        <f t="shared" si="0"/>
        <v>511.28</v>
      </c>
      <c r="D27" s="166">
        <v>0</v>
      </c>
      <c r="E27" s="166">
        <f t="shared" si="1"/>
        <v>3853.59</v>
      </c>
      <c r="F27" s="166">
        <f t="shared" si="10"/>
        <v>0</v>
      </c>
      <c r="G27" s="166">
        <f t="shared" si="11"/>
        <v>0</v>
      </c>
      <c r="H27" s="166">
        <f t="shared" si="12"/>
        <v>0</v>
      </c>
      <c r="I27" s="166">
        <f t="shared" si="13"/>
        <v>4364.87</v>
      </c>
      <c r="J27" s="167">
        <f t="shared" si="17"/>
        <v>436.48700000000002</v>
      </c>
      <c r="K27" s="166">
        <f>+'C&amp;A'!E27*0.02</f>
        <v>10.2256</v>
      </c>
      <c r="L27" s="166">
        <f t="shared" si="14"/>
        <v>4811.5825999999997</v>
      </c>
      <c r="M27" s="166">
        <f t="shared" si="15"/>
        <v>769.85321599999997</v>
      </c>
      <c r="N27" s="166">
        <f t="shared" si="16"/>
        <v>5581.4358159999992</v>
      </c>
      <c r="O27" s="174">
        <f>+I27-'C&amp;A'!J27-SINDICATO!L27</f>
        <v>0</v>
      </c>
      <c r="P27" s="108" t="s">
        <v>191</v>
      </c>
      <c r="Q27" s="108" t="s">
        <v>204</v>
      </c>
      <c r="R27" s="155" t="s">
        <v>59</v>
      </c>
      <c r="S27" s="108" t="s">
        <v>50</v>
      </c>
      <c r="T27" s="108"/>
      <c r="U27" s="108"/>
      <c r="V27" s="156">
        <v>511.28</v>
      </c>
      <c r="W27" s="156">
        <v>0</v>
      </c>
      <c r="X27" s="156">
        <f t="shared" si="2"/>
        <v>511.28</v>
      </c>
      <c r="Y27" s="157">
        <v>3853.59</v>
      </c>
      <c r="Z27" s="157"/>
      <c r="AA27" s="157"/>
      <c r="AB27" s="158"/>
      <c r="AC27" s="112">
        <f t="shared" si="3"/>
        <v>4364.87</v>
      </c>
      <c r="AD27" s="157"/>
      <c r="AE27" s="101"/>
      <c r="AF27" s="101"/>
      <c r="AG27" s="157"/>
      <c r="AH27" s="156">
        <v>0</v>
      </c>
      <c r="AI27" s="112">
        <f t="shared" si="4"/>
        <v>4364.87</v>
      </c>
      <c r="AJ27" s="101">
        <f t="shared" si="5"/>
        <v>0</v>
      </c>
      <c r="AK27" s="112">
        <f t="shared" si="6"/>
        <v>4364.87</v>
      </c>
      <c r="AL27" s="101">
        <f t="shared" si="7"/>
        <v>436.48700000000002</v>
      </c>
      <c r="AM27" s="101">
        <f t="shared" si="8"/>
        <v>10.2256</v>
      </c>
      <c r="AN27" s="112">
        <f t="shared" si="9"/>
        <v>4811.5825999999997</v>
      </c>
      <c r="AO27" s="118"/>
      <c r="AP27" s="49" t="s">
        <v>244</v>
      </c>
      <c r="AQ27" s="50" t="s">
        <v>89</v>
      </c>
      <c r="AR27" s="51">
        <v>438.24</v>
      </c>
      <c r="AS27" s="51">
        <v>73.040000000000006</v>
      </c>
      <c r="AT27" s="51">
        <v>511.28</v>
      </c>
      <c r="AU27" s="60">
        <v>-66.069999999999993</v>
      </c>
      <c r="AV27" s="60">
        <v>-0.05</v>
      </c>
      <c r="AW27" s="51">
        <v>-66.12</v>
      </c>
      <c r="AX27" s="51">
        <v>577.4</v>
      </c>
      <c r="BC27" s="21" t="s">
        <v>261</v>
      </c>
    </row>
    <row r="28" spans="1:55" s="21" customFormat="1" ht="15.75">
      <c r="A28" s="164" t="s">
        <v>58</v>
      </c>
      <c r="B28" s="168" t="s">
        <v>109</v>
      </c>
      <c r="C28" s="166">
        <f t="shared" si="0"/>
        <v>584.31999999999994</v>
      </c>
      <c r="D28" s="166">
        <v>0</v>
      </c>
      <c r="E28" s="166">
        <f t="shared" si="1"/>
        <v>525.28</v>
      </c>
      <c r="F28" s="166">
        <f t="shared" si="10"/>
        <v>0</v>
      </c>
      <c r="G28" s="166">
        <f t="shared" si="11"/>
        <v>0</v>
      </c>
      <c r="H28" s="166">
        <f t="shared" si="12"/>
        <v>0</v>
      </c>
      <c r="I28" s="166">
        <f t="shared" si="13"/>
        <v>1109.5999999999999</v>
      </c>
      <c r="J28" s="167">
        <f t="shared" si="17"/>
        <v>110.96</v>
      </c>
      <c r="K28" s="166">
        <f>+'C&amp;A'!E28*0.02</f>
        <v>10.2256</v>
      </c>
      <c r="L28" s="166">
        <f t="shared" si="14"/>
        <v>1230.7855999999999</v>
      </c>
      <c r="M28" s="166">
        <f t="shared" si="15"/>
        <v>196.92569599999999</v>
      </c>
      <c r="N28" s="166">
        <f t="shared" si="16"/>
        <v>1427.7112959999999</v>
      </c>
      <c r="O28" s="174">
        <f>+I28-'C&amp;A'!J28-SINDICATO!L28</f>
        <v>0</v>
      </c>
      <c r="P28" s="108" t="s">
        <v>191</v>
      </c>
      <c r="Q28" s="108" t="s">
        <v>203</v>
      </c>
      <c r="R28" s="155" t="s">
        <v>58</v>
      </c>
      <c r="S28" s="108" t="s">
        <v>50</v>
      </c>
      <c r="T28" s="108"/>
      <c r="U28" s="108"/>
      <c r="V28" s="156">
        <v>511.28</v>
      </c>
      <c r="W28" s="156">
        <v>73.039999999999964</v>
      </c>
      <c r="X28" s="156">
        <f t="shared" si="2"/>
        <v>584.31999999999994</v>
      </c>
      <c r="Y28" s="157">
        <v>525.28</v>
      </c>
      <c r="Z28" s="157"/>
      <c r="AA28" s="157"/>
      <c r="AB28" s="158"/>
      <c r="AC28" s="112">
        <f t="shared" si="3"/>
        <v>1109.5999999999999</v>
      </c>
      <c r="AD28" s="157"/>
      <c r="AE28" s="101"/>
      <c r="AF28" s="101"/>
      <c r="AG28" s="157"/>
      <c r="AH28" s="156">
        <v>0</v>
      </c>
      <c r="AI28" s="112">
        <f t="shared" si="4"/>
        <v>1109.5999999999999</v>
      </c>
      <c r="AJ28" s="101">
        <f t="shared" si="5"/>
        <v>0</v>
      </c>
      <c r="AK28" s="112">
        <f t="shared" si="6"/>
        <v>1109.5999999999999</v>
      </c>
      <c r="AL28" s="101">
        <f t="shared" si="7"/>
        <v>110.96</v>
      </c>
      <c r="AM28" s="101">
        <f t="shared" si="8"/>
        <v>10.2256</v>
      </c>
      <c r="AN28" s="112">
        <f t="shared" si="9"/>
        <v>1230.7855999999999</v>
      </c>
      <c r="AO28" s="118"/>
      <c r="AP28" s="49" t="s">
        <v>245</v>
      </c>
      <c r="AQ28" s="50" t="s">
        <v>90</v>
      </c>
      <c r="AR28" s="51">
        <v>438.24</v>
      </c>
      <c r="AS28" s="51">
        <v>73.040000000000006</v>
      </c>
      <c r="AT28" s="51">
        <v>511.28</v>
      </c>
      <c r="AU28" s="60">
        <v>-66.069999999999993</v>
      </c>
      <c r="AV28" s="60">
        <v>-0.05</v>
      </c>
      <c r="AW28" s="51">
        <v>-66.12</v>
      </c>
      <c r="AX28" s="51">
        <v>577.4</v>
      </c>
      <c r="BC28" s="21" t="s">
        <v>261</v>
      </c>
    </row>
    <row r="29" spans="1:55" s="21" customFormat="1" ht="15.75">
      <c r="A29" s="164" t="s">
        <v>91</v>
      </c>
      <c r="B29" s="165" t="s">
        <v>116</v>
      </c>
      <c r="C29" s="166">
        <f t="shared" si="0"/>
        <v>1166.67</v>
      </c>
      <c r="D29" s="166">
        <v>0</v>
      </c>
      <c r="E29" s="166">
        <f t="shared" si="1"/>
        <v>1591.95</v>
      </c>
      <c r="F29" s="166">
        <f t="shared" si="10"/>
        <v>0</v>
      </c>
      <c r="G29" s="166">
        <f t="shared" si="11"/>
        <v>0</v>
      </c>
      <c r="H29" s="166">
        <f t="shared" si="12"/>
        <v>0</v>
      </c>
      <c r="I29" s="166">
        <f t="shared" si="13"/>
        <v>2758.62</v>
      </c>
      <c r="J29" s="167">
        <f t="shared" si="17"/>
        <v>275.86200000000002</v>
      </c>
      <c r="K29" s="166">
        <f>+'C&amp;A'!E29*0.02</f>
        <v>10.2256</v>
      </c>
      <c r="L29" s="166">
        <f t="shared" si="14"/>
        <v>3044.7076000000002</v>
      </c>
      <c r="M29" s="166">
        <f t="shared" si="15"/>
        <v>487.15321600000004</v>
      </c>
      <c r="N29" s="166">
        <f t="shared" si="16"/>
        <v>3531.8608160000003</v>
      </c>
      <c r="O29" s="174">
        <f>+I29-'C&amp;A'!J29-SINDICATO!L29</f>
        <v>0</v>
      </c>
      <c r="P29" s="108" t="s">
        <v>183</v>
      </c>
      <c r="Q29" s="108" t="s">
        <v>116</v>
      </c>
      <c r="R29" s="155" t="s">
        <v>41</v>
      </c>
      <c r="S29" s="108" t="s">
        <v>49</v>
      </c>
      <c r="T29" s="108"/>
      <c r="U29" s="108"/>
      <c r="V29" s="156">
        <v>511.28</v>
      </c>
      <c r="W29" s="156">
        <v>655.3900000000001</v>
      </c>
      <c r="X29" s="156">
        <f t="shared" si="2"/>
        <v>1166.67</v>
      </c>
      <c r="Y29" s="157">
        <v>1591.95</v>
      </c>
      <c r="Z29" s="157"/>
      <c r="AA29" s="157"/>
      <c r="AB29" s="158"/>
      <c r="AC29" s="112">
        <f t="shared" si="3"/>
        <v>2758.62</v>
      </c>
      <c r="AD29" s="157"/>
      <c r="AE29" s="101"/>
      <c r="AF29" s="101"/>
      <c r="AG29" s="157"/>
      <c r="AH29" s="156">
        <v>0</v>
      </c>
      <c r="AI29" s="112">
        <f t="shared" si="4"/>
        <v>2758.62</v>
      </c>
      <c r="AJ29" s="101">
        <f t="shared" si="5"/>
        <v>0</v>
      </c>
      <c r="AK29" s="112">
        <f t="shared" si="6"/>
        <v>2758.62</v>
      </c>
      <c r="AL29" s="101">
        <f t="shared" si="7"/>
        <v>275.86200000000002</v>
      </c>
      <c r="AM29" s="101">
        <f t="shared" si="8"/>
        <v>10.2256</v>
      </c>
      <c r="AN29" s="112">
        <f t="shared" si="9"/>
        <v>3044.7076000000002</v>
      </c>
      <c r="AO29" s="118"/>
      <c r="AP29" s="49" t="s">
        <v>246</v>
      </c>
      <c r="AQ29" s="50" t="s">
        <v>92</v>
      </c>
      <c r="AR29" s="51">
        <v>438.24</v>
      </c>
      <c r="AS29" s="51">
        <v>73.040000000000006</v>
      </c>
      <c r="AT29" s="51">
        <v>511.28</v>
      </c>
      <c r="AU29" s="60">
        <v>-66.069999999999993</v>
      </c>
      <c r="AV29" s="60">
        <v>-0.05</v>
      </c>
      <c r="AW29" s="51">
        <v>-66.12</v>
      </c>
      <c r="AX29" s="51">
        <v>577.4</v>
      </c>
      <c r="BC29" s="21" t="s">
        <v>266</v>
      </c>
    </row>
    <row r="30" spans="1:55" s="21" customFormat="1" ht="15.75">
      <c r="A30" s="164" t="s">
        <v>61</v>
      </c>
      <c r="B30" s="168" t="s">
        <v>35</v>
      </c>
      <c r="C30" s="166">
        <f t="shared" si="0"/>
        <v>700</v>
      </c>
      <c r="D30" s="166">
        <v>0</v>
      </c>
      <c r="E30" s="166">
        <f t="shared" si="1"/>
        <v>2688</v>
      </c>
      <c r="F30" s="166">
        <f t="shared" si="10"/>
        <v>0</v>
      </c>
      <c r="G30" s="166">
        <f t="shared" si="11"/>
        <v>0</v>
      </c>
      <c r="H30" s="166">
        <f t="shared" si="12"/>
        <v>0</v>
      </c>
      <c r="I30" s="166">
        <f t="shared" si="13"/>
        <v>3388</v>
      </c>
      <c r="J30" s="167">
        <f t="shared" si="17"/>
        <v>338.8</v>
      </c>
      <c r="K30" s="166">
        <f>+'C&amp;A'!E30*0.02</f>
        <v>10.2256</v>
      </c>
      <c r="L30" s="166">
        <f t="shared" si="14"/>
        <v>3737.0256000000004</v>
      </c>
      <c r="M30" s="166">
        <f t="shared" si="15"/>
        <v>597.92409600000008</v>
      </c>
      <c r="N30" s="166">
        <f t="shared" si="16"/>
        <v>4334.9496960000006</v>
      </c>
      <c r="O30" s="174">
        <f>+I30-'C&amp;A'!J30-SINDICATO!L30</f>
        <v>0</v>
      </c>
      <c r="P30" s="108" t="s">
        <v>191</v>
      </c>
      <c r="Q30" s="108" t="s">
        <v>35</v>
      </c>
      <c r="R30" s="155" t="s">
        <v>61</v>
      </c>
      <c r="S30" s="108" t="s">
        <v>50</v>
      </c>
      <c r="T30" s="108"/>
      <c r="U30" s="108"/>
      <c r="V30" s="156">
        <v>511.28</v>
      </c>
      <c r="W30" s="156">
        <v>188.72000000000003</v>
      </c>
      <c r="X30" s="156">
        <f t="shared" si="2"/>
        <v>700</v>
      </c>
      <c r="Y30" s="157">
        <f>688+2000</f>
        <v>2688</v>
      </c>
      <c r="Z30" s="157"/>
      <c r="AA30" s="157"/>
      <c r="AB30" s="158"/>
      <c r="AC30" s="112">
        <f t="shared" si="3"/>
        <v>3388</v>
      </c>
      <c r="AD30" s="157"/>
      <c r="AE30" s="101"/>
      <c r="AF30" s="101"/>
      <c r="AG30" s="157"/>
      <c r="AH30" s="156">
        <v>0</v>
      </c>
      <c r="AI30" s="112">
        <f t="shared" si="4"/>
        <v>3388</v>
      </c>
      <c r="AJ30" s="101">
        <f t="shared" si="5"/>
        <v>0</v>
      </c>
      <c r="AK30" s="112">
        <f t="shared" si="6"/>
        <v>3388</v>
      </c>
      <c r="AL30" s="101">
        <f t="shared" si="7"/>
        <v>338.8</v>
      </c>
      <c r="AM30" s="101">
        <f t="shared" si="8"/>
        <v>10.2256</v>
      </c>
      <c r="AN30" s="112">
        <f t="shared" si="9"/>
        <v>3737.0256000000004</v>
      </c>
      <c r="AO30" s="118"/>
      <c r="AP30" s="49" t="s">
        <v>247</v>
      </c>
      <c r="AQ30" s="50" t="s">
        <v>93</v>
      </c>
      <c r="AR30" s="51">
        <v>438.24</v>
      </c>
      <c r="AS30" s="51">
        <v>73.040000000000006</v>
      </c>
      <c r="AT30" s="51">
        <v>511.28</v>
      </c>
      <c r="AU30" s="60">
        <v>-66.069999999999993</v>
      </c>
      <c r="AV30" s="60">
        <v>-0.05</v>
      </c>
      <c r="AW30" s="51">
        <v>-66.12</v>
      </c>
      <c r="AX30" s="51">
        <v>577.4</v>
      </c>
      <c r="BC30" s="21" t="s">
        <v>261</v>
      </c>
    </row>
    <row r="31" spans="1:55" s="21" customFormat="1" ht="15.75">
      <c r="A31" s="164" t="s">
        <v>62</v>
      </c>
      <c r="B31" s="168" t="s">
        <v>36</v>
      </c>
      <c r="C31" s="166">
        <f t="shared" si="0"/>
        <v>700</v>
      </c>
      <c r="D31" s="166">
        <v>0</v>
      </c>
      <c r="E31" s="166">
        <f t="shared" si="1"/>
        <v>0</v>
      </c>
      <c r="F31" s="166">
        <f t="shared" si="10"/>
        <v>0</v>
      </c>
      <c r="G31" s="166">
        <f t="shared" si="11"/>
        <v>0</v>
      </c>
      <c r="H31" s="166">
        <f t="shared" si="12"/>
        <v>0</v>
      </c>
      <c r="I31" s="166">
        <f t="shared" si="13"/>
        <v>700</v>
      </c>
      <c r="J31" s="167">
        <f t="shared" si="17"/>
        <v>70</v>
      </c>
      <c r="K31" s="166">
        <f>+'C&amp;A'!E31*0.02</f>
        <v>10.2256</v>
      </c>
      <c r="L31" s="166">
        <f t="shared" si="14"/>
        <v>780.22559999999999</v>
      </c>
      <c r="M31" s="166">
        <f t="shared" si="15"/>
        <v>124.836096</v>
      </c>
      <c r="N31" s="166">
        <f t="shared" si="16"/>
        <v>905.06169599999998</v>
      </c>
      <c r="O31" s="174">
        <f>+I31-'C&amp;A'!J31-SINDICATO!L31</f>
        <v>0</v>
      </c>
      <c r="P31" s="108" t="s">
        <v>191</v>
      </c>
      <c r="Q31" s="108" t="s">
        <v>205</v>
      </c>
      <c r="R31" s="155" t="s">
        <v>62</v>
      </c>
      <c r="S31" s="108" t="s">
        <v>50</v>
      </c>
      <c r="T31" s="108"/>
      <c r="U31" s="108"/>
      <c r="V31" s="156">
        <v>511.28</v>
      </c>
      <c r="W31" s="156">
        <v>188.72000000000003</v>
      </c>
      <c r="X31" s="156">
        <f t="shared" si="2"/>
        <v>700</v>
      </c>
      <c r="Y31" s="157"/>
      <c r="Z31" s="157"/>
      <c r="AA31" s="157"/>
      <c r="AB31" s="158"/>
      <c r="AC31" s="112">
        <f t="shared" si="3"/>
        <v>700</v>
      </c>
      <c r="AD31" s="157"/>
      <c r="AE31" s="101"/>
      <c r="AF31" s="101"/>
      <c r="AG31" s="157"/>
      <c r="AH31" s="156">
        <v>0</v>
      </c>
      <c r="AI31" s="112">
        <f t="shared" si="4"/>
        <v>700</v>
      </c>
      <c r="AJ31" s="101">
        <f t="shared" si="5"/>
        <v>0</v>
      </c>
      <c r="AK31" s="112">
        <f t="shared" si="6"/>
        <v>700</v>
      </c>
      <c r="AL31" s="101">
        <f t="shared" si="7"/>
        <v>70</v>
      </c>
      <c r="AM31" s="101">
        <f t="shared" si="8"/>
        <v>10.2256</v>
      </c>
      <c r="AN31" s="112">
        <f t="shared" si="9"/>
        <v>780.22559999999999</v>
      </c>
      <c r="AO31" s="118"/>
      <c r="AP31" s="49" t="s">
        <v>248</v>
      </c>
      <c r="AQ31" s="50" t="s">
        <v>94</v>
      </c>
      <c r="AR31" s="51">
        <v>438.24</v>
      </c>
      <c r="AS31" s="51">
        <v>73.040000000000006</v>
      </c>
      <c r="AT31" s="51">
        <v>511.28</v>
      </c>
      <c r="AU31" s="60">
        <v>-66.069999999999993</v>
      </c>
      <c r="AV31" s="51">
        <v>0.15</v>
      </c>
      <c r="AW31" s="51">
        <v>-65.92</v>
      </c>
      <c r="AX31" s="51">
        <v>577.20000000000005</v>
      </c>
      <c r="BC31" s="21" t="s">
        <v>261</v>
      </c>
    </row>
    <row r="32" spans="1:55" s="21" customFormat="1" ht="15.75">
      <c r="A32" s="164" t="s">
        <v>63</v>
      </c>
      <c r="B32" s="165" t="s">
        <v>64</v>
      </c>
      <c r="C32" s="166">
        <f t="shared" si="0"/>
        <v>511.28</v>
      </c>
      <c r="D32" s="166">
        <v>0</v>
      </c>
      <c r="E32" s="166">
        <f t="shared" si="1"/>
        <v>8747.7000000000007</v>
      </c>
      <c r="F32" s="166">
        <f t="shared" si="10"/>
        <v>0</v>
      </c>
      <c r="G32" s="166">
        <f t="shared" si="11"/>
        <v>0</v>
      </c>
      <c r="H32" s="166">
        <f t="shared" si="12"/>
        <v>0</v>
      </c>
      <c r="I32" s="166">
        <f t="shared" si="13"/>
        <v>9258.9800000000014</v>
      </c>
      <c r="J32" s="167">
        <f t="shared" si="17"/>
        <v>0</v>
      </c>
      <c r="K32" s="166">
        <f>+'C&amp;A'!E32*0.02</f>
        <v>10.2256</v>
      </c>
      <c r="L32" s="166">
        <f t="shared" si="14"/>
        <v>9269.2056000000011</v>
      </c>
      <c r="M32" s="166">
        <f t="shared" si="15"/>
        <v>1483.0728960000001</v>
      </c>
      <c r="N32" s="166">
        <f t="shared" si="16"/>
        <v>10752.278496000001</v>
      </c>
      <c r="O32" s="174">
        <f>+I32-'C&amp;A'!J32-SINDICATO!L32</f>
        <v>925.89800000000014</v>
      </c>
      <c r="P32" s="108" t="s">
        <v>191</v>
      </c>
      <c r="Q32" s="108" t="s">
        <v>64</v>
      </c>
      <c r="R32" s="155" t="s">
        <v>63</v>
      </c>
      <c r="S32" s="108" t="s">
        <v>50</v>
      </c>
      <c r="T32" s="108"/>
      <c r="U32" s="108"/>
      <c r="V32" s="156">
        <v>511.28</v>
      </c>
      <c r="W32" s="156">
        <v>0</v>
      </c>
      <c r="X32" s="156">
        <f t="shared" si="2"/>
        <v>511.28</v>
      </c>
      <c r="Y32" s="157">
        <v>8747.7000000000007</v>
      </c>
      <c r="Z32" s="157"/>
      <c r="AA32" s="157"/>
      <c r="AB32" s="158"/>
      <c r="AC32" s="112">
        <f t="shared" si="3"/>
        <v>9258.9800000000014</v>
      </c>
      <c r="AD32" s="157"/>
      <c r="AE32" s="101"/>
      <c r="AF32" s="101"/>
      <c r="AG32" s="157"/>
      <c r="AH32" s="156">
        <v>0</v>
      </c>
      <c r="AI32" s="112">
        <f t="shared" si="4"/>
        <v>9258.9800000000014</v>
      </c>
      <c r="AJ32" s="101">
        <f t="shared" si="5"/>
        <v>925.89800000000014</v>
      </c>
      <c r="AK32" s="112">
        <f t="shared" si="6"/>
        <v>8333.0820000000022</v>
      </c>
      <c r="AL32" s="101">
        <f t="shared" si="7"/>
        <v>0</v>
      </c>
      <c r="AM32" s="101">
        <f t="shared" si="8"/>
        <v>10.2256</v>
      </c>
      <c r="AN32" s="112">
        <f t="shared" si="9"/>
        <v>9269.2056000000011</v>
      </c>
      <c r="AO32" s="118"/>
      <c r="AP32" s="49" t="s">
        <v>249</v>
      </c>
      <c r="AQ32" s="50" t="s">
        <v>95</v>
      </c>
      <c r="AR32" s="51">
        <v>438.24</v>
      </c>
      <c r="AS32" s="51">
        <v>73.040000000000006</v>
      </c>
      <c r="AT32" s="51">
        <v>511.28</v>
      </c>
      <c r="AU32" s="60">
        <v>-66.069999999999993</v>
      </c>
      <c r="AV32" s="51">
        <v>0.15</v>
      </c>
      <c r="AW32" s="51">
        <v>-65.92</v>
      </c>
      <c r="AX32" s="51">
        <v>577.20000000000005</v>
      </c>
      <c r="BC32" s="21" t="s">
        <v>261</v>
      </c>
    </row>
    <row r="33" spans="1:56" s="21" customFormat="1" ht="15.75">
      <c r="A33" s="164" t="s">
        <v>96</v>
      </c>
      <c r="B33" s="168" t="s">
        <v>113</v>
      </c>
      <c r="C33" s="166">
        <f t="shared" si="0"/>
        <v>511.28</v>
      </c>
      <c r="D33" s="166">
        <v>0</v>
      </c>
      <c r="E33" s="166">
        <f t="shared" si="1"/>
        <v>2348.11</v>
      </c>
      <c r="F33" s="166">
        <f t="shared" si="10"/>
        <v>0</v>
      </c>
      <c r="G33" s="166">
        <f t="shared" si="11"/>
        <v>0</v>
      </c>
      <c r="H33" s="166">
        <f t="shared" si="12"/>
        <v>0</v>
      </c>
      <c r="I33" s="166">
        <f t="shared" si="13"/>
        <v>2859.3900000000003</v>
      </c>
      <c r="J33" s="167">
        <f t="shared" si="17"/>
        <v>285.93900000000002</v>
      </c>
      <c r="K33" s="166">
        <f>+'C&amp;A'!E33*0.02</f>
        <v>10.2256</v>
      </c>
      <c r="L33" s="166">
        <f t="shared" si="14"/>
        <v>3155.5546000000004</v>
      </c>
      <c r="M33" s="166">
        <f t="shared" si="15"/>
        <v>504.88873600000005</v>
      </c>
      <c r="N33" s="166">
        <f t="shared" si="16"/>
        <v>3660.4433360000003</v>
      </c>
      <c r="O33" s="174">
        <f>+I33-'C&amp;A'!J33-SINDICATO!L33</f>
        <v>0</v>
      </c>
      <c r="P33" s="108" t="s">
        <v>186</v>
      </c>
      <c r="Q33" s="108" t="s">
        <v>189</v>
      </c>
      <c r="R33" s="155" t="s">
        <v>65</v>
      </c>
      <c r="S33" s="108" t="s">
        <v>50</v>
      </c>
      <c r="T33" s="108"/>
      <c r="U33" s="108"/>
      <c r="V33" s="156">
        <v>511.28</v>
      </c>
      <c r="W33" s="156">
        <v>0</v>
      </c>
      <c r="X33" s="156">
        <f t="shared" si="2"/>
        <v>511.28</v>
      </c>
      <c r="Y33" s="157">
        <v>2348.11</v>
      </c>
      <c r="Z33" s="157"/>
      <c r="AA33" s="157"/>
      <c r="AB33" s="158"/>
      <c r="AC33" s="112">
        <f t="shared" si="3"/>
        <v>2859.3900000000003</v>
      </c>
      <c r="AD33" s="157"/>
      <c r="AE33" s="101"/>
      <c r="AF33" s="101"/>
      <c r="AG33" s="157"/>
      <c r="AH33" s="156">
        <v>0</v>
      </c>
      <c r="AI33" s="112">
        <f t="shared" si="4"/>
        <v>2859.3900000000003</v>
      </c>
      <c r="AJ33" s="101">
        <f t="shared" si="5"/>
        <v>0</v>
      </c>
      <c r="AK33" s="112">
        <f t="shared" si="6"/>
        <v>2859.3900000000003</v>
      </c>
      <c r="AL33" s="101">
        <f t="shared" si="7"/>
        <v>285.93900000000002</v>
      </c>
      <c r="AM33" s="101">
        <f t="shared" si="8"/>
        <v>10.2256</v>
      </c>
      <c r="AN33" s="112">
        <f t="shared" si="9"/>
        <v>3155.5546000000004</v>
      </c>
      <c r="AO33" s="118"/>
      <c r="AP33" s="49" t="s">
        <v>250</v>
      </c>
      <c r="AQ33" s="50" t="s">
        <v>97</v>
      </c>
      <c r="AR33" s="51">
        <v>438.24</v>
      </c>
      <c r="AS33" s="51">
        <v>73.040000000000006</v>
      </c>
      <c r="AT33" s="51">
        <v>511.28</v>
      </c>
      <c r="AU33" s="60">
        <v>-66.069999999999993</v>
      </c>
      <c r="AV33" s="51">
        <v>0.15</v>
      </c>
      <c r="AW33" s="51">
        <v>-65.92</v>
      </c>
      <c r="AX33" s="51">
        <v>577.20000000000005</v>
      </c>
      <c r="BC33" s="21" t="s">
        <v>262</v>
      </c>
    </row>
    <row r="34" spans="1:56" s="21" customFormat="1" ht="15.75">
      <c r="A34" s="164" t="s">
        <v>42</v>
      </c>
      <c r="B34" s="168" t="s">
        <v>105</v>
      </c>
      <c r="C34" s="166">
        <f t="shared" si="0"/>
        <v>511.28</v>
      </c>
      <c r="D34" s="166">
        <v>0</v>
      </c>
      <c r="E34" s="166">
        <f t="shared" si="1"/>
        <v>1598.19</v>
      </c>
      <c r="F34" s="166">
        <f t="shared" si="10"/>
        <v>0</v>
      </c>
      <c r="G34" s="166">
        <f t="shared" si="11"/>
        <v>0</v>
      </c>
      <c r="H34" s="166">
        <f t="shared" si="12"/>
        <v>134.6</v>
      </c>
      <c r="I34" s="166">
        <f t="shared" si="13"/>
        <v>2109.4700000000003</v>
      </c>
      <c r="J34" s="167">
        <f t="shared" si="17"/>
        <v>210.94700000000003</v>
      </c>
      <c r="K34" s="166">
        <f>+'C&amp;A'!E34*0.02</f>
        <v>10.2256</v>
      </c>
      <c r="L34" s="166">
        <f t="shared" si="14"/>
        <v>2330.6426000000006</v>
      </c>
      <c r="M34" s="166">
        <f t="shared" si="15"/>
        <v>372.90281600000009</v>
      </c>
      <c r="N34" s="166">
        <f t="shared" si="16"/>
        <v>2703.5454160000008</v>
      </c>
      <c r="O34" s="174">
        <f>+I34-'C&amp;A'!J34-SINDICATO!L34</f>
        <v>134.59999999999991</v>
      </c>
      <c r="P34" s="108" t="s">
        <v>186</v>
      </c>
      <c r="Q34" s="108" t="s">
        <v>190</v>
      </c>
      <c r="R34" s="155" t="s">
        <v>42</v>
      </c>
      <c r="S34" s="108" t="s">
        <v>50</v>
      </c>
      <c r="T34" s="108"/>
      <c r="U34" s="108"/>
      <c r="V34" s="156">
        <v>511.28</v>
      </c>
      <c r="W34" s="156">
        <v>0</v>
      </c>
      <c r="X34" s="156">
        <f t="shared" si="2"/>
        <v>511.28</v>
      </c>
      <c r="Y34" s="157">
        <v>1598.19</v>
      </c>
      <c r="Z34" s="157"/>
      <c r="AA34" s="157"/>
      <c r="AB34" s="158"/>
      <c r="AC34" s="112">
        <f t="shared" si="3"/>
        <v>2109.4700000000003</v>
      </c>
      <c r="AD34" s="157"/>
      <c r="AE34" s="101"/>
      <c r="AF34" s="101"/>
      <c r="AG34" s="157"/>
      <c r="AH34" s="156">
        <v>134.6</v>
      </c>
      <c r="AI34" s="112">
        <f t="shared" si="4"/>
        <v>1974.8700000000003</v>
      </c>
      <c r="AJ34" s="101">
        <f t="shared" si="5"/>
        <v>0</v>
      </c>
      <c r="AK34" s="112">
        <f t="shared" si="6"/>
        <v>1974.8700000000003</v>
      </c>
      <c r="AL34" s="101">
        <f t="shared" si="7"/>
        <v>210.94700000000003</v>
      </c>
      <c r="AM34" s="101">
        <f t="shared" si="8"/>
        <v>10.2256</v>
      </c>
      <c r="AN34" s="112">
        <f t="shared" si="9"/>
        <v>2330.6426000000006</v>
      </c>
      <c r="AO34" s="118"/>
      <c r="AP34" s="49" t="s">
        <v>251</v>
      </c>
      <c r="AQ34" s="50" t="s">
        <v>99</v>
      </c>
      <c r="AR34" s="51">
        <v>438.24</v>
      </c>
      <c r="AS34" s="51">
        <v>73.040000000000006</v>
      </c>
      <c r="AT34" s="51">
        <v>511.28</v>
      </c>
      <c r="AU34" s="60">
        <v>-66.069999999999993</v>
      </c>
      <c r="AV34" s="60">
        <v>-0.05</v>
      </c>
      <c r="AW34" s="51">
        <v>-66.12</v>
      </c>
      <c r="AX34" s="51">
        <v>577.4</v>
      </c>
      <c r="BC34" s="21" t="s">
        <v>262</v>
      </c>
    </row>
    <row r="35" spans="1:56" s="21" customFormat="1" ht="15.75">
      <c r="A35" s="164" t="s">
        <v>66</v>
      </c>
      <c r="B35" s="168" t="s">
        <v>111</v>
      </c>
      <c r="C35" s="166">
        <f t="shared" si="0"/>
        <v>511.28</v>
      </c>
      <c r="D35" s="166">
        <f>-'C&amp;A'!F35</f>
        <v>66.069999999999993</v>
      </c>
      <c r="E35" s="166">
        <f t="shared" si="1"/>
        <v>0</v>
      </c>
      <c r="F35" s="166">
        <f t="shared" si="10"/>
        <v>0</v>
      </c>
      <c r="G35" s="166">
        <f t="shared" si="11"/>
        <v>0</v>
      </c>
      <c r="H35" s="166">
        <v>0</v>
      </c>
      <c r="I35" s="166">
        <f t="shared" si="13"/>
        <v>577.34999999999991</v>
      </c>
      <c r="J35" s="167">
        <f t="shared" si="17"/>
        <v>57.734999999999992</v>
      </c>
      <c r="K35" s="166">
        <f>+'C&amp;A'!E35*0.02</f>
        <v>10.2256</v>
      </c>
      <c r="L35" s="166">
        <f t="shared" si="14"/>
        <v>645.31059999999991</v>
      </c>
      <c r="M35" s="166">
        <f t="shared" si="15"/>
        <v>103.24969599999999</v>
      </c>
      <c r="N35" s="166">
        <f t="shared" si="16"/>
        <v>748.56029599999988</v>
      </c>
      <c r="O35" s="174">
        <v>0</v>
      </c>
      <c r="P35" s="108" t="s">
        <v>191</v>
      </c>
      <c r="Q35" s="108" t="s">
        <v>206</v>
      </c>
      <c r="R35" s="155" t="s">
        <v>66</v>
      </c>
      <c r="S35" s="108" t="s">
        <v>50</v>
      </c>
      <c r="T35" s="108"/>
      <c r="U35" s="108"/>
      <c r="V35" s="156">
        <v>511.28</v>
      </c>
      <c r="W35" s="156">
        <v>0</v>
      </c>
      <c r="X35" s="156">
        <f t="shared" si="2"/>
        <v>511.28</v>
      </c>
      <c r="Y35" s="157"/>
      <c r="Z35" s="157"/>
      <c r="AA35" s="157"/>
      <c r="AB35" s="158"/>
      <c r="AC35" s="112">
        <f t="shared" si="3"/>
        <v>511.28</v>
      </c>
      <c r="AD35" s="157"/>
      <c r="AE35" s="101"/>
      <c r="AF35" s="101"/>
      <c r="AG35" s="157"/>
      <c r="AH35" s="156">
        <v>0</v>
      </c>
      <c r="AI35" s="112">
        <f t="shared" si="4"/>
        <v>511.28</v>
      </c>
      <c r="AJ35" s="101">
        <f t="shared" si="5"/>
        <v>0</v>
      </c>
      <c r="AK35" s="112">
        <f t="shared" si="6"/>
        <v>511.28</v>
      </c>
      <c r="AL35" s="101">
        <f t="shared" si="7"/>
        <v>51.128</v>
      </c>
      <c r="AM35" s="101">
        <f t="shared" si="8"/>
        <v>10.2256</v>
      </c>
      <c r="AN35" s="112">
        <f t="shared" si="9"/>
        <v>572.6336</v>
      </c>
      <c r="AO35" s="118"/>
      <c r="AP35" s="49" t="s">
        <v>252</v>
      </c>
      <c r="AQ35" s="50" t="s">
        <v>100</v>
      </c>
      <c r="AR35" s="51">
        <v>438.24</v>
      </c>
      <c r="AS35" s="51">
        <v>73.040000000000006</v>
      </c>
      <c r="AT35" s="51">
        <v>511.28</v>
      </c>
      <c r="AU35" s="60">
        <v>-66.069999999999993</v>
      </c>
      <c r="AV35" s="60">
        <v>-0.05</v>
      </c>
      <c r="AW35" s="51">
        <v>-66.12</v>
      </c>
      <c r="AX35" s="51">
        <v>577.4</v>
      </c>
      <c r="BC35" s="21" t="s">
        <v>261</v>
      </c>
    </row>
    <row r="36" spans="1:56" s="21" customFormat="1" ht="15.75">
      <c r="A36" s="171" t="s">
        <v>253</v>
      </c>
      <c r="B36" s="170" t="s">
        <v>222</v>
      </c>
      <c r="C36" s="166">
        <f t="shared" si="0"/>
        <v>700</v>
      </c>
      <c r="D36" s="166">
        <v>0</v>
      </c>
      <c r="E36" s="166">
        <f t="shared" si="1"/>
        <v>0</v>
      </c>
      <c r="F36" s="166">
        <f t="shared" si="10"/>
        <v>0</v>
      </c>
      <c r="G36" s="166">
        <f t="shared" si="11"/>
        <v>0</v>
      </c>
      <c r="H36" s="166">
        <f t="shared" si="12"/>
        <v>0</v>
      </c>
      <c r="I36" s="166">
        <f t="shared" si="13"/>
        <v>700</v>
      </c>
      <c r="J36" s="167">
        <f t="shared" si="17"/>
        <v>70</v>
      </c>
      <c r="K36" s="166">
        <f>+'C&amp;A'!E36*0.02</f>
        <v>10.2256</v>
      </c>
      <c r="L36" s="166">
        <f t="shared" si="14"/>
        <v>780.22559999999999</v>
      </c>
      <c r="M36" s="166">
        <f t="shared" si="15"/>
        <v>124.836096</v>
      </c>
      <c r="N36" s="166">
        <f t="shared" si="16"/>
        <v>905.06169599999998</v>
      </c>
      <c r="O36" s="174">
        <f>+I36-'C&amp;A'!J36-SINDICATO!L36</f>
        <v>0</v>
      </c>
      <c r="P36" s="108" t="s">
        <v>191</v>
      </c>
      <c r="Q36" s="108" t="s">
        <v>222</v>
      </c>
      <c r="R36" s="155"/>
      <c r="S36" s="108" t="s">
        <v>50</v>
      </c>
      <c r="T36" s="108"/>
      <c r="U36" s="108"/>
      <c r="V36" s="156">
        <v>700</v>
      </c>
      <c r="W36" s="156">
        <v>0</v>
      </c>
      <c r="X36" s="156">
        <f t="shared" si="2"/>
        <v>700</v>
      </c>
      <c r="Y36" s="157"/>
      <c r="Z36" s="157"/>
      <c r="AA36" s="157"/>
      <c r="AB36" s="158"/>
      <c r="AC36" s="112">
        <f t="shared" si="3"/>
        <v>700</v>
      </c>
      <c r="AD36" s="157"/>
      <c r="AE36" s="101"/>
      <c r="AF36" s="101"/>
      <c r="AG36" s="157"/>
      <c r="AH36" s="156"/>
      <c r="AI36" s="112">
        <f t="shared" si="4"/>
        <v>700</v>
      </c>
      <c r="AJ36" s="101">
        <f t="shared" si="5"/>
        <v>0</v>
      </c>
      <c r="AK36" s="112">
        <f t="shared" si="6"/>
        <v>700</v>
      </c>
      <c r="AL36" s="101">
        <f t="shared" si="7"/>
        <v>70</v>
      </c>
      <c r="AM36" s="101">
        <f t="shared" si="8"/>
        <v>14</v>
      </c>
      <c r="AN36" s="112">
        <f t="shared" si="9"/>
        <v>784</v>
      </c>
      <c r="AO36" s="118"/>
      <c r="AP36" s="49" t="s">
        <v>253</v>
      </c>
      <c r="AQ36" s="50" t="s">
        <v>225</v>
      </c>
      <c r="AR36" s="51">
        <v>438.24</v>
      </c>
      <c r="AS36" s="51">
        <v>73.040000000000006</v>
      </c>
      <c r="AT36" s="51">
        <v>511.28</v>
      </c>
      <c r="AU36" s="60">
        <v>-66.069999999999993</v>
      </c>
      <c r="AV36" s="60">
        <v>-0.05</v>
      </c>
      <c r="AW36" s="51">
        <v>-66.12</v>
      </c>
      <c r="AX36" s="51">
        <v>577.4</v>
      </c>
      <c r="BC36" s="21" t="s">
        <v>261</v>
      </c>
    </row>
    <row r="37" spans="1:56" s="21" customFormat="1" ht="15.75">
      <c r="A37" s="164" t="s">
        <v>67</v>
      </c>
      <c r="B37" s="168" t="s">
        <v>114</v>
      </c>
      <c r="C37" s="166">
        <f t="shared" si="0"/>
        <v>511.28</v>
      </c>
      <c r="D37" s="166">
        <f>-'C&amp;A'!F37</f>
        <v>66.069999999999993</v>
      </c>
      <c r="E37" s="166">
        <f t="shared" si="1"/>
        <v>0</v>
      </c>
      <c r="F37" s="166">
        <f t="shared" si="10"/>
        <v>0</v>
      </c>
      <c r="G37" s="166">
        <f t="shared" si="11"/>
        <v>0</v>
      </c>
      <c r="H37" s="166">
        <f t="shared" si="12"/>
        <v>0</v>
      </c>
      <c r="I37" s="166">
        <f t="shared" si="13"/>
        <v>577.34999999999991</v>
      </c>
      <c r="J37" s="167">
        <f t="shared" si="17"/>
        <v>57.734999999999992</v>
      </c>
      <c r="K37" s="166">
        <f>+'C&amp;A'!E37*0.02</f>
        <v>10.2256</v>
      </c>
      <c r="L37" s="166">
        <f t="shared" si="14"/>
        <v>645.31059999999991</v>
      </c>
      <c r="M37" s="166">
        <f t="shared" si="15"/>
        <v>103.24969599999999</v>
      </c>
      <c r="N37" s="166">
        <f t="shared" si="16"/>
        <v>748.56029599999988</v>
      </c>
      <c r="O37" s="174">
        <v>0</v>
      </c>
      <c r="P37" s="108" t="s">
        <v>191</v>
      </c>
      <c r="Q37" s="108" t="s">
        <v>207</v>
      </c>
      <c r="R37" s="155" t="s">
        <v>67</v>
      </c>
      <c r="S37" s="108" t="s">
        <v>50</v>
      </c>
      <c r="T37" s="108"/>
      <c r="U37" s="108"/>
      <c r="V37" s="156">
        <v>511.28</v>
      </c>
      <c r="W37" s="156">
        <v>0</v>
      </c>
      <c r="X37" s="156">
        <f t="shared" si="2"/>
        <v>511.28</v>
      </c>
      <c r="Y37" s="157"/>
      <c r="Z37" s="157"/>
      <c r="AA37" s="157"/>
      <c r="AB37" s="158"/>
      <c r="AC37" s="112">
        <f t="shared" si="3"/>
        <v>511.28</v>
      </c>
      <c r="AD37" s="157"/>
      <c r="AE37" s="101"/>
      <c r="AF37" s="101"/>
      <c r="AG37" s="157"/>
      <c r="AH37" s="156">
        <v>0</v>
      </c>
      <c r="AI37" s="112">
        <f t="shared" si="4"/>
        <v>511.28</v>
      </c>
      <c r="AJ37" s="101">
        <f t="shared" si="5"/>
        <v>0</v>
      </c>
      <c r="AK37" s="112">
        <f t="shared" si="6"/>
        <v>511.28</v>
      </c>
      <c r="AL37" s="101">
        <f t="shared" si="7"/>
        <v>51.128</v>
      </c>
      <c r="AM37" s="101">
        <f t="shared" si="8"/>
        <v>10.2256</v>
      </c>
      <c r="AN37" s="112">
        <f t="shared" si="9"/>
        <v>572.6336</v>
      </c>
      <c r="AO37" s="118"/>
      <c r="AP37" s="49" t="s">
        <v>254</v>
      </c>
      <c r="AQ37" s="50" t="s">
        <v>101</v>
      </c>
      <c r="AR37" s="51">
        <v>438.24</v>
      </c>
      <c r="AS37" s="51">
        <v>73.040000000000006</v>
      </c>
      <c r="AT37" s="51">
        <v>511.28</v>
      </c>
      <c r="AU37" s="60">
        <v>-66.069999999999993</v>
      </c>
      <c r="AV37" s="60">
        <v>-0.05</v>
      </c>
      <c r="AW37" s="51">
        <v>-66.12</v>
      </c>
      <c r="AX37" s="51">
        <v>577.4</v>
      </c>
      <c r="BC37" s="21" t="s">
        <v>261</v>
      </c>
    </row>
    <row r="38" spans="1:56" s="21" customFormat="1" ht="15.75">
      <c r="A38" s="20"/>
      <c r="B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74"/>
      <c r="P38" s="108"/>
      <c r="Q38" s="108"/>
      <c r="R38" s="155"/>
      <c r="S38" s="108"/>
      <c r="T38" s="108"/>
      <c r="U38" s="108"/>
      <c r="V38" s="156"/>
      <c r="W38" s="156"/>
      <c r="X38" s="156"/>
      <c r="Y38" s="157"/>
      <c r="Z38" s="157"/>
      <c r="AA38" s="157"/>
      <c r="AB38" s="158"/>
      <c r="AC38" s="112">
        <f>SUM(AC10:AC37)</f>
        <v>77772.98</v>
      </c>
      <c r="AD38" s="112">
        <f>SUM(AD10:AD37)</f>
        <v>0</v>
      </c>
      <c r="AE38" s="112">
        <f>SUM(AE10:AE37)</f>
        <v>0</v>
      </c>
      <c r="AF38" s="112">
        <f>SUM(AF10:AF37)</f>
        <v>0</v>
      </c>
      <c r="AG38" s="112">
        <f>SUM(AG10:AG37)</f>
        <v>524.16999999999996</v>
      </c>
      <c r="AH38" s="112">
        <f t="shared" ref="AH38" si="18">SUM(AH10:AH37)</f>
        <v>2623.6100000000006</v>
      </c>
      <c r="AI38" s="112">
        <f>SUM(AI10:AI37)</f>
        <v>74625.2</v>
      </c>
      <c r="AJ38" s="112">
        <f t="shared" ref="AJ38" si="19">SUM(AJ10:AJ37)</f>
        <v>2715.11</v>
      </c>
      <c r="AK38" s="112">
        <f t="shared" ref="AK38" si="20">SUM(AK10:AK37)</f>
        <v>71910.09</v>
      </c>
      <c r="AL38" s="112">
        <f t="shared" ref="AL38" si="21">SUM(AL10:AL37)</f>
        <v>5062.1880000000001</v>
      </c>
      <c r="AM38" s="112">
        <f t="shared" ref="AM38" si="22">SUM(AM10:AM37)</f>
        <v>297.63999999999982</v>
      </c>
      <c r="AN38" s="112">
        <f t="shared" ref="AN38" si="23">SUM(AN10:AN37)</f>
        <v>83132.808000000034</v>
      </c>
      <c r="AO38" s="103"/>
      <c r="AP38" s="52"/>
      <c r="AQ38" s="53"/>
      <c r="AR38" s="53" t="s">
        <v>15</v>
      </c>
      <c r="AS38" s="53" t="s">
        <v>15</v>
      </c>
      <c r="AT38" s="53" t="s">
        <v>15</v>
      </c>
      <c r="AU38" s="53" t="s">
        <v>15</v>
      </c>
      <c r="AV38" s="53" t="s">
        <v>15</v>
      </c>
      <c r="AW38" s="53" t="s">
        <v>15</v>
      </c>
      <c r="AX38" s="53" t="s">
        <v>15</v>
      </c>
    </row>
    <row r="39" spans="1:56" s="21" customFormat="1" ht="16.5" thickBot="1">
      <c r="A39" s="25" t="s">
        <v>16</v>
      </c>
      <c r="B39" s="20"/>
      <c r="C39" s="26">
        <f>SUM(C10:C37)</f>
        <v>21690.729999999996</v>
      </c>
      <c r="D39" s="26">
        <f t="shared" ref="D39:N39" si="24">SUM(D10:D37)</f>
        <v>330.34999999999997</v>
      </c>
      <c r="E39" s="26">
        <f t="shared" si="24"/>
        <v>56082.25</v>
      </c>
      <c r="F39" s="26">
        <f t="shared" si="24"/>
        <v>0</v>
      </c>
      <c r="G39" s="26">
        <f t="shared" si="24"/>
        <v>524.16999999999996</v>
      </c>
      <c r="H39" s="26">
        <f t="shared" si="24"/>
        <v>2623.6100000000006</v>
      </c>
      <c r="I39" s="26">
        <f t="shared" si="24"/>
        <v>77579.160000000018</v>
      </c>
      <c r="J39" s="26">
        <f t="shared" si="24"/>
        <v>5095.223</v>
      </c>
      <c r="K39" s="26">
        <f t="shared" si="24"/>
        <v>286.31679999999977</v>
      </c>
      <c r="L39" s="26">
        <f>SUM(L10:L37)</f>
        <v>82960.699800000031</v>
      </c>
      <c r="M39" s="26">
        <f t="shared" si="24"/>
        <v>13273.711968000005</v>
      </c>
      <c r="N39" s="26">
        <f t="shared" si="24"/>
        <v>96234.411768000005</v>
      </c>
      <c r="O39" s="175">
        <f>SUM(O10:O37)</f>
        <v>5339.0199999999986</v>
      </c>
      <c r="P39" s="109"/>
      <c r="Q39" s="108"/>
      <c r="R39" s="108"/>
      <c r="S39" s="108"/>
      <c r="T39" s="108"/>
      <c r="U39" s="108"/>
      <c r="V39" s="108"/>
      <c r="W39" s="108"/>
      <c r="X39" s="157"/>
      <c r="Y39" s="157"/>
      <c r="Z39" s="157"/>
      <c r="AA39" s="157"/>
      <c r="AB39" s="158"/>
      <c r="AC39" s="112">
        <f>SUM(X39:AA39)-AB39</f>
        <v>0</v>
      </c>
      <c r="AD39" s="157"/>
      <c r="AE39" s="101"/>
      <c r="AF39" s="101"/>
      <c r="AG39" s="157"/>
      <c r="AH39" s="156"/>
      <c r="AI39" s="112"/>
      <c r="AJ39" s="101"/>
      <c r="AK39" s="112"/>
      <c r="AL39" s="101"/>
      <c r="AM39" s="101"/>
      <c r="AN39" s="112"/>
      <c r="AO39" s="103"/>
      <c r="AP39" s="62" t="s">
        <v>16</v>
      </c>
      <c r="AQ39" s="50" t="s">
        <v>17</v>
      </c>
      <c r="AR39" s="160">
        <v>12270.72</v>
      </c>
      <c r="AS39" s="160">
        <v>2045.12</v>
      </c>
      <c r="AT39" s="160">
        <v>14315.84</v>
      </c>
      <c r="AU39" s="161">
        <v>-1849.96</v>
      </c>
      <c r="AV39" s="160">
        <v>0.2</v>
      </c>
      <c r="AW39" s="160">
        <v>-1849.76</v>
      </c>
      <c r="AX39" s="160">
        <v>16165.6</v>
      </c>
    </row>
    <row r="40" spans="1:56" s="21" customFormat="1" ht="16.5" thickTop="1">
      <c r="A40" s="20"/>
      <c r="B40" s="2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175"/>
      <c r="P40" s="109"/>
      <c r="Q40" s="108"/>
      <c r="R40" s="108"/>
      <c r="S40" s="108"/>
      <c r="T40" s="108"/>
      <c r="U40" s="108"/>
      <c r="V40" s="108"/>
      <c r="W40" s="108"/>
      <c r="X40" s="157"/>
      <c r="Y40" s="157"/>
      <c r="Z40" s="157"/>
      <c r="AA40" s="157"/>
      <c r="AB40" s="158"/>
      <c r="AC40" s="112">
        <f>SUM(X40:AA40)-AB40</f>
        <v>0</v>
      </c>
      <c r="AD40" s="157"/>
      <c r="AE40" s="101"/>
      <c r="AF40" s="101"/>
      <c r="AG40" s="101"/>
      <c r="AH40" s="101"/>
      <c r="AI40" s="112"/>
      <c r="AJ40" s="101"/>
      <c r="AK40" s="112"/>
      <c r="AL40" s="101"/>
      <c r="AM40" s="101"/>
      <c r="AN40" s="112"/>
    </row>
    <row r="41" spans="1:56" s="21" customFormat="1" ht="15">
      <c r="A41" s="20"/>
      <c r="C41" s="21" t="s">
        <v>17</v>
      </c>
      <c r="D41" s="64"/>
      <c r="I41" s="45"/>
      <c r="K41" s="21" t="s">
        <v>17</v>
      </c>
      <c r="L41" s="21" t="s">
        <v>17</v>
      </c>
      <c r="M41" s="21" t="s">
        <v>17</v>
      </c>
      <c r="N41" s="64"/>
      <c r="O41" s="175">
        <f>+SINDICATO!I39+SINDICATO!H39+'C&amp;A'!G39</f>
        <v>5338.72</v>
      </c>
      <c r="AP41" s="31"/>
      <c r="AQ41" s="31"/>
      <c r="AR41" s="50" t="s">
        <v>17</v>
      </c>
      <c r="AS41" s="50" t="s">
        <v>17</v>
      </c>
      <c r="AT41" s="50" t="s">
        <v>17</v>
      </c>
      <c r="AU41" s="50" t="s">
        <v>17</v>
      </c>
      <c r="AV41" s="50" t="s">
        <v>17</v>
      </c>
      <c r="AW41" s="50" t="s">
        <v>17</v>
      </c>
      <c r="AX41" s="50" t="s">
        <v>17</v>
      </c>
    </row>
    <row r="42" spans="1:56" s="21" customFormat="1">
      <c r="A42" s="20" t="s">
        <v>17</v>
      </c>
      <c r="C42" s="27"/>
      <c r="D42" s="27"/>
      <c r="E42" s="27"/>
      <c r="F42" s="27"/>
      <c r="G42" s="27"/>
      <c r="H42" s="27"/>
      <c r="I42" s="63"/>
      <c r="J42" s="27"/>
      <c r="K42" s="27"/>
      <c r="L42" s="27"/>
      <c r="M42" s="27"/>
      <c r="N42" s="63"/>
      <c r="O42" s="175">
        <f>+O39-O41</f>
        <v>0.29999999999836291</v>
      </c>
      <c r="AP42" s="49" t="s">
        <v>17</v>
      </c>
      <c r="AQ42" s="50" t="s">
        <v>17</v>
      </c>
      <c r="AR42" s="162"/>
      <c r="AS42" s="162"/>
      <c r="AT42" s="162"/>
      <c r="AU42" s="162"/>
      <c r="AV42" s="162"/>
      <c r="AW42" s="162"/>
      <c r="AX42" s="162"/>
    </row>
    <row r="43" spans="1:56" s="21" customFormat="1">
      <c r="A43" s="20"/>
      <c r="B43" s="21" t="s">
        <v>17</v>
      </c>
      <c r="I43" s="45"/>
      <c r="N43" s="45"/>
      <c r="O43" s="174"/>
    </row>
    <row r="44" spans="1:56" s="21" customFormat="1">
      <c r="A44" s="20"/>
      <c r="I44" s="45"/>
      <c r="O44" s="174"/>
    </row>
    <row r="45" spans="1:56" s="21" customFormat="1">
      <c r="A45" s="20"/>
      <c r="O45" s="174"/>
    </row>
    <row r="46" spans="1:56" s="21" customFormat="1">
      <c r="A46" s="20"/>
      <c r="O46" s="174"/>
    </row>
    <row r="47" spans="1:56" s="21" customFormat="1">
      <c r="A47" s="20"/>
      <c r="O47" s="174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</row>
    <row r="48" spans="1:56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74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1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74"/>
    </row>
    <row r="50" spans="1: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74"/>
    </row>
    <row r="51" spans="1: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74"/>
    </row>
    <row r="52" spans="1:1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74"/>
    </row>
  </sheetData>
  <autoFilter ref="A8:BD43"/>
  <sortState ref="A10:M35">
    <sortCondition ref="B10:B35"/>
  </sortState>
  <mergeCells count="29">
    <mergeCell ref="AQ1:AS1"/>
    <mergeCell ref="AQ2:AS2"/>
    <mergeCell ref="AQ3:AS3"/>
    <mergeCell ref="AQ4:AS4"/>
    <mergeCell ref="AK8:AK9"/>
    <mergeCell ref="AL8:AL9"/>
    <mergeCell ref="AM8:AM9"/>
    <mergeCell ref="AN8:AN9"/>
    <mergeCell ref="AO8:AO9"/>
    <mergeCell ref="AF8:AF9"/>
    <mergeCell ref="AG8:AG9"/>
    <mergeCell ref="AH8:AH9"/>
    <mergeCell ref="AI8:AI9"/>
    <mergeCell ref="AJ8:AJ9"/>
    <mergeCell ref="AA8:AA9"/>
    <mergeCell ref="AB8:AB9"/>
    <mergeCell ref="AC8:AC9"/>
    <mergeCell ref="AD8:AD9"/>
    <mergeCell ref="AE8:AE9"/>
    <mergeCell ref="S8:S9"/>
    <mergeCell ref="T8:T9"/>
    <mergeCell ref="U8:U9"/>
    <mergeCell ref="X8:X9"/>
    <mergeCell ref="Z8:Z9"/>
    <mergeCell ref="B1:C1"/>
    <mergeCell ref="P8:P9"/>
    <mergeCell ref="Q8:Q9"/>
    <mergeCell ref="B4:D4"/>
    <mergeCell ref="R8:R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42"/>
  <sheetViews>
    <sheetView workbookViewId="0">
      <selection activeCell="A13" sqref="A13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customWidth="1"/>
    <col min="4" max="4" width="13" style="34" customWidth="1"/>
    <col min="5" max="5" width="13.5703125" style="2" customWidth="1"/>
    <col min="6" max="6" width="13" style="2" customWidth="1"/>
    <col min="7" max="7" width="13" style="135" customWidth="1"/>
    <col min="8" max="10" width="13" style="2" customWidth="1"/>
    <col min="11" max="11" width="11.42578125" style="2" customWidth="1"/>
    <col min="12" max="12" width="11.42578125" style="2"/>
    <col min="13" max="13" width="30.85546875" style="2" bestFit="1" customWidth="1"/>
    <col min="14" max="16384" width="11.42578125" style="2"/>
  </cols>
  <sheetData>
    <row r="1" spans="1:20" ht="18" customHeight="1">
      <c r="A1" s="4" t="s">
        <v>0</v>
      </c>
      <c r="B1" s="184" t="s">
        <v>17</v>
      </c>
      <c r="C1" s="189"/>
      <c r="D1" s="35"/>
      <c r="L1" s="137" t="s">
        <v>0</v>
      </c>
      <c r="M1" s="184" t="s">
        <v>17</v>
      </c>
      <c r="N1" s="185"/>
      <c r="O1" s="185"/>
      <c r="P1" s="134"/>
      <c r="Q1" s="134"/>
      <c r="R1" s="134"/>
      <c r="S1" s="134"/>
      <c r="T1" s="134"/>
    </row>
    <row r="2" spans="1:20" ht="24.95" customHeight="1">
      <c r="A2" s="5" t="s">
        <v>1</v>
      </c>
      <c r="B2" s="73" t="s">
        <v>2</v>
      </c>
      <c r="C2" s="10"/>
      <c r="D2" s="10"/>
      <c r="L2" s="138" t="s">
        <v>1</v>
      </c>
      <c r="M2" s="186" t="s">
        <v>2</v>
      </c>
      <c r="N2" s="187"/>
      <c r="O2" s="187"/>
      <c r="P2" s="134"/>
      <c r="Q2" s="134"/>
      <c r="R2" s="134"/>
      <c r="S2" s="134"/>
      <c r="T2" s="134"/>
    </row>
    <row r="3" spans="1:20" ht="15.75">
      <c r="B3" s="74" t="s">
        <v>3</v>
      </c>
      <c r="C3" s="57"/>
      <c r="D3" s="57"/>
      <c r="L3" s="134"/>
      <c r="M3" s="188" t="s">
        <v>3</v>
      </c>
      <c r="N3" s="189"/>
      <c r="O3" s="189"/>
      <c r="P3" s="134"/>
      <c r="Q3" s="134"/>
      <c r="R3" s="134"/>
      <c r="S3" s="134"/>
      <c r="T3" s="134"/>
    </row>
    <row r="4" spans="1:20" ht="15">
      <c r="B4" s="190" t="s">
        <v>227</v>
      </c>
      <c r="C4" s="189"/>
      <c r="D4" s="189"/>
      <c r="L4" s="134"/>
      <c r="M4" s="190" t="s">
        <v>227</v>
      </c>
      <c r="N4" s="189"/>
      <c r="O4" s="189"/>
      <c r="P4" s="134"/>
      <c r="Q4" s="134"/>
      <c r="R4" s="134"/>
      <c r="S4" s="134"/>
      <c r="T4" s="134"/>
    </row>
    <row r="5" spans="1:20" ht="15">
      <c r="B5" s="69" t="s">
        <v>4</v>
      </c>
      <c r="C5" s="46"/>
      <c r="D5" s="46"/>
      <c r="L5" s="134"/>
      <c r="M5" s="139" t="s">
        <v>4</v>
      </c>
      <c r="N5" s="134"/>
      <c r="O5" s="134"/>
      <c r="P5" s="134"/>
      <c r="Q5" s="134"/>
      <c r="R5" s="134"/>
      <c r="S5" s="134"/>
      <c r="T5" s="134"/>
    </row>
    <row r="6" spans="1:20" ht="15">
      <c r="B6" s="69" t="s">
        <v>5</v>
      </c>
      <c r="C6" s="46"/>
      <c r="D6" s="46"/>
      <c r="L6" s="134"/>
      <c r="M6" s="139" t="s">
        <v>5</v>
      </c>
      <c r="N6" s="134"/>
      <c r="O6" s="134"/>
      <c r="P6" s="134"/>
      <c r="Q6" s="134"/>
      <c r="R6" s="134"/>
      <c r="S6" s="134"/>
      <c r="T6" s="134"/>
    </row>
    <row r="7" spans="1:20">
      <c r="B7" s="69"/>
      <c r="L7" s="125"/>
      <c r="M7" s="125"/>
      <c r="N7" s="125"/>
      <c r="O7" s="125"/>
      <c r="P7" s="125"/>
      <c r="Q7" s="125"/>
      <c r="R7" s="125"/>
      <c r="S7" s="125"/>
      <c r="T7" s="125"/>
    </row>
    <row r="8" spans="1:20" s="6" customFormat="1" ht="34.5" thickBot="1">
      <c r="A8" s="7" t="s">
        <v>6</v>
      </c>
      <c r="B8" s="8" t="s">
        <v>7</v>
      </c>
      <c r="C8" s="36" t="s">
        <v>8</v>
      </c>
      <c r="D8" s="36" t="s">
        <v>69</v>
      </c>
      <c r="E8" s="37" t="s">
        <v>9</v>
      </c>
      <c r="F8" s="36" t="s">
        <v>10</v>
      </c>
      <c r="G8" s="13" t="s">
        <v>32</v>
      </c>
      <c r="H8" s="36" t="s">
        <v>11</v>
      </c>
      <c r="I8" s="37" t="s">
        <v>12</v>
      </c>
      <c r="J8" s="38" t="s">
        <v>13</v>
      </c>
      <c r="L8" s="141" t="s">
        <v>6</v>
      </c>
      <c r="M8" s="142" t="s">
        <v>7</v>
      </c>
      <c r="N8" s="142" t="s">
        <v>8</v>
      </c>
      <c r="O8" s="142" t="s">
        <v>69</v>
      </c>
      <c r="P8" s="143" t="s">
        <v>9</v>
      </c>
      <c r="Q8" s="142" t="s">
        <v>10</v>
      </c>
      <c r="R8" s="142" t="s">
        <v>11</v>
      </c>
      <c r="S8" s="143" t="s">
        <v>12</v>
      </c>
      <c r="T8" s="144" t="s">
        <v>13</v>
      </c>
    </row>
    <row r="9" spans="1:20" s="50" customFormat="1" ht="15.75" thickTop="1">
      <c r="A9" s="49"/>
      <c r="L9" s="145" t="s">
        <v>14</v>
      </c>
      <c r="M9" s="134"/>
      <c r="N9" s="134"/>
      <c r="O9" s="134"/>
      <c r="P9" s="134"/>
      <c r="Q9" s="134"/>
      <c r="R9" s="134"/>
      <c r="S9" s="134"/>
      <c r="T9" s="134"/>
    </row>
    <row r="10" spans="1:20" s="50" customFormat="1">
      <c r="A10" s="136" t="s">
        <v>228</v>
      </c>
      <c r="B10" s="135" t="s">
        <v>70</v>
      </c>
      <c r="C10" s="153">
        <v>438.24</v>
      </c>
      <c r="D10" s="153">
        <v>73.040000000000006</v>
      </c>
      <c r="E10" s="45">
        <f>SUM(C10:D10)</f>
        <v>511.28000000000003</v>
      </c>
      <c r="F10" s="153">
        <v>-66.069999999999993</v>
      </c>
      <c r="G10" s="153">
        <v>0</v>
      </c>
      <c r="H10" s="153">
        <v>-0.05</v>
      </c>
      <c r="I10" s="45">
        <f>SUM(F10:H10)</f>
        <v>-66.11999999999999</v>
      </c>
      <c r="J10" s="45">
        <f>+E10-I10</f>
        <v>577.4</v>
      </c>
      <c r="L10" s="136" t="s">
        <v>228</v>
      </c>
      <c r="M10" s="135" t="s">
        <v>70</v>
      </c>
      <c r="N10" s="146">
        <v>438.24</v>
      </c>
      <c r="O10" s="146">
        <v>73.040000000000006</v>
      </c>
      <c r="P10" s="146">
        <v>511.28</v>
      </c>
      <c r="Q10" s="147">
        <v>-66.069999999999993</v>
      </c>
      <c r="R10" s="147">
        <v>-0.05</v>
      </c>
      <c r="S10" s="146">
        <v>-66.12</v>
      </c>
      <c r="T10" s="146">
        <v>577.4</v>
      </c>
    </row>
    <row r="11" spans="1:20" s="50" customFormat="1">
      <c r="A11" s="136" t="s">
        <v>229</v>
      </c>
      <c r="B11" s="135" t="s">
        <v>71</v>
      </c>
      <c r="C11" s="153">
        <v>438.24</v>
      </c>
      <c r="D11" s="153">
        <v>73.040000000000006</v>
      </c>
      <c r="E11" s="45">
        <f t="shared" ref="E11:E37" si="0">SUM(C11:D11)</f>
        <v>511.28000000000003</v>
      </c>
      <c r="F11" s="153">
        <v>-66.069999999999993</v>
      </c>
      <c r="G11" s="153">
        <v>0</v>
      </c>
      <c r="H11" s="153">
        <v>-0.05</v>
      </c>
      <c r="I11" s="45">
        <f t="shared" ref="I11:I35" si="1">SUM(F11:H11)</f>
        <v>-66.11999999999999</v>
      </c>
      <c r="J11" s="45">
        <f t="shared" ref="J11:J35" si="2">+E11-I11</f>
        <v>577.4</v>
      </c>
      <c r="L11" s="136" t="s">
        <v>229</v>
      </c>
      <c r="M11" s="135" t="s">
        <v>71</v>
      </c>
      <c r="N11" s="146">
        <v>438.24</v>
      </c>
      <c r="O11" s="146">
        <v>73.040000000000006</v>
      </c>
      <c r="P11" s="146">
        <v>511.28</v>
      </c>
      <c r="Q11" s="147">
        <v>-66.069999999999993</v>
      </c>
      <c r="R11" s="147">
        <v>-0.05</v>
      </c>
      <c r="S11" s="146">
        <v>-66.12</v>
      </c>
      <c r="T11" s="146">
        <v>577.4</v>
      </c>
    </row>
    <row r="12" spans="1:20" s="50" customFormat="1">
      <c r="A12" s="136" t="s">
        <v>230</v>
      </c>
      <c r="B12" s="135" t="s">
        <v>72</v>
      </c>
      <c r="C12" s="153">
        <v>438.24</v>
      </c>
      <c r="D12" s="153">
        <v>73.040000000000006</v>
      </c>
      <c r="E12" s="45">
        <f t="shared" si="0"/>
        <v>511.28000000000003</v>
      </c>
      <c r="F12" s="153">
        <v>-66.069999999999993</v>
      </c>
      <c r="G12" s="153">
        <v>0</v>
      </c>
      <c r="H12" s="153">
        <v>-0.05</v>
      </c>
      <c r="I12" s="45">
        <f t="shared" si="1"/>
        <v>-66.11999999999999</v>
      </c>
      <c r="J12" s="45">
        <f t="shared" si="2"/>
        <v>577.4</v>
      </c>
      <c r="L12" s="136" t="s">
        <v>230</v>
      </c>
      <c r="M12" s="135" t="s">
        <v>72</v>
      </c>
      <c r="N12" s="146">
        <v>438.24</v>
      </c>
      <c r="O12" s="146">
        <v>73.040000000000006</v>
      </c>
      <c r="P12" s="146">
        <v>511.28</v>
      </c>
      <c r="Q12" s="147">
        <v>-66.069999999999993</v>
      </c>
      <c r="R12" s="147">
        <v>-0.05</v>
      </c>
      <c r="S12" s="146">
        <v>-66.12</v>
      </c>
      <c r="T12" s="146">
        <v>577.4</v>
      </c>
    </row>
    <row r="13" spans="1:20" s="50" customFormat="1">
      <c r="A13" s="136" t="s">
        <v>231</v>
      </c>
      <c r="B13" s="135" t="s">
        <v>223</v>
      </c>
      <c r="C13" s="153">
        <v>438.24</v>
      </c>
      <c r="D13" s="153">
        <v>73.040000000000006</v>
      </c>
      <c r="E13" s="45">
        <f t="shared" si="0"/>
        <v>511.28000000000003</v>
      </c>
      <c r="F13" s="153">
        <v>-66.069999999999993</v>
      </c>
      <c r="G13" s="153">
        <v>0</v>
      </c>
      <c r="H13" s="153">
        <v>-0.05</v>
      </c>
      <c r="I13" s="45">
        <f t="shared" si="1"/>
        <v>-66.11999999999999</v>
      </c>
      <c r="J13" s="45">
        <f t="shared" si="2"/>
        <v>577.4</v>
      </c>
      <c r="L13" s="136" t="s">
        <v>231</v>
      </c>
      <c r="M13" s="135" t="s">
        <v>223</v>
      </c>
      <c r="N13" s="146">
        <v>438.24</v>
      </c>
      <c r="O13" s="146">
        <v>73.040000000000006</v>
      </c>
      <c r="P13" s="146">
        <v>511.28</v>
      </c>
      <c r="Q13" s="147">
        <v>-66.069999999999993</v>
      </c>
      <c r="R13" s="147">
        <v>-0.05</v>
      </c>
      <c r="S13" s="146">
        <v>-66.12</v>
      </c>
      <c r="T13" s="146">
        <v>577.4</v>
      </c>
    </row>
    <row r="14" spans="1:20" s="50" customFormat="1">
      <c r="A14" s="136" t="s">
        <v>232</v>
      </c>
      <c r="B14" s="135" t="s">
        <v>73</v>
      </c>
      <c r="C14" s="153">
        <v>438.24</v>
      </c>
      <c r="D14" s="153">
        <v>73.040000000000006</v>
      </c>
      <c r="E14" s="45">
        <f t="shared" si="0"/>
        <v>511.28000000000003</v>
      </c>
      <c r="F14" s="153">
        <v>-66.069999999999993</v>
      </c>
      <c r="G14" s="153">
        <v>0</v>
      </c>
      <c r="H14" s="153">
        <v>-0.05</v>
      </c>
      <c r="I14" s="45">
        <f t="shared" si="1"/>
        <v>-66.11999999999999</v>
      </c>
      <c r="J14" s="45">
        <f t="shared" si="2"/>
        <v>577.4</v>
      </c>
      <c r="L14" s="136" t="s">
        <v>232</v>
      </c>
      <c r="M14" s="135" t="s">
        <v>73</v>
      </c>
      <c r="N14" s="146">
        <v>438.24</v>
      </c>
      <c r="O14" s="146">
        <v>73.040000000000006</v>
      </c>
      <c r="P14" s="146">
        <v>511.28</v>
      </c>
      <c r="Q14" s="147">
        <v>-66.069999999999993</v>
      </c>
      <c r="R14" s="147">
        <v>-0.05</v>
      </c>
      <c r="S14" s="146">
        <v>-66.12</v>
      </c>
      <c r="T14" s="146">
        <v>577.4</v>
      </c>
    </row>
    <row r="15" spans="1:20" s="50" customFormat="1">
      <c r="A15" s="136" t="s">
        <v>233</v>
      </c>
      <c r="B15" s="135" t="s">
        <v>74</v>
      </c>
      <c r="C15" s="153">
        <v>438.24</v>
      </c>
      <c r="D15" s="153">
        <v>73.040000000000006</v>
      </c>
      <c r="E15" s="45">
        <f t="shared" si="0"/>
        <v>511.28000000000003</v>
      </c>
      <c r="F15" s="153">
        <v>-66.069999999999993</v>
      </c>
      <c r="G15" s="153">
        <v>0</v>
      </c>
      <c r="H15" s="153">
        <v>0.15</v>
      </c>
      <c r="I15" s="45">
        <f t="shared" si="1"/>
        <v>-65.919999999999987</v>
      </c>
      <c r="J15" s="45">
        <f t="shared" si="2"/>
        <v>577.20000000000005</v>
      </c>
      <c r="L15" s="136" t="s">
        <v>233</v>
      </c>
      <c r="M15" s="135" t="s">
        <v>74</v>
      </c>
      <c r="N15" s="146">
        <v>438.24</v>
      </c>
      <c r="O15" s="146">
        <v>73.040000000000006</v>
      </c>
      <c r="P15" s="146">
        <v>511.28</v>
      </c>
      <c r="Q15" s="147">
        <v>-66.069999999999993</v>
      </c>
      <c r="R15" s="146">
        <v>0.15</v>
      </c>
      <c r="S15" s="146">
        <v>-65.92</v>
      </c>
      <c r="T15" s="146">
        <v>577.20000000000005</v>
      </c>
    </row>
    <row r="16" spans="1:20" s="50" customFormat="1">
      <c r="A16" s="136" t="s">
        <v>234</v>
      </c>
      <c r="B16" s="135" t="s">
        <v>75</v>
      </c>
      <c r="C16" s="153">
        <v>438.24</v>
      </c>
      <c r="D16" s="153">
        <v>73.040000000000006</v>
      </c>
      <c r="E16" s="45">
        <f t="shared" si="0"/>
        <v>511.28000000000003</v>
      </c>
      <c r="F16" s="153">
        <v>-66.069999999999993</v>
      </c>
      <c r="G16" s="153">
        <v>323.13</v>
      </c>
      <c r="H16" s="153">
        <v>0.15</v>
      </c>
      <c r="I16" s="45">
        <f t="shared" si="1"/>
        <v>257.20999999999998</v>
      </c>
      <c r="J16" s="45">
        <f t="shared" si="2"/>
        <v>254.07000000000005</v>
      </c>
      <c r="L16" s="136" t="s">
        <v>234</v>
      </c>
      <c r="M16" s="135" t="s">
        <v>75</v>
      </c>
      <c r="N16" s="146">
        <v>438.24</v>
      </c>
      <c r="O16" s="146">
        <v>73.040000000000006</v>
      </c>
      <c r="P16" s="146">
        <v>511.28</v>
      </c>
      <c r="Q16" s="147">
        <v>-66.069999999999993</v>
      </c>
      <c r="R16" s="146">
        <v>0.15</v>
      </c>
      <c r="S16" s="146">
        <v>-65.92</v>
      </c>
      <c r="T16" s="146">
        <v>577.20000000000005</v>
      </c>
    </row>
    <row r="17" spans="1:20" s="50" customFormat="1">
      <c r="A17" s="136" t="s">
        <v>235</v>
      </c>
      <c r="B17" s="135" t="s">
        <v>77</v>
      </c>
      <c r="C17" s="153">
        <v>438.24</v>
      </c>
      <c r="D17" s="153">
        <v>73.040000000000006</v>
      </c>
      <c r="E17" s="45">
        <f t="shared" si="0"/>
        <v>511.28000000000003</v>
      </c>
      <c r="F17" s="153">
        <v>-66.069999999999993</v>
      </c>
      <c r="G17" s="153">
        <v>0</v>
      </c>
      <c r="H17" s="153">
        <v>-0.05</v>
      </c>
      <c r="I17" s="45">
        <f t="shared" si="1"/>
        <v>-66.11999999999999</v>
      </c>
      <c r="J17" s="45">
        <f t="shared" si="2"/>
        <v>577.4</v>
      </c>
      <c r="L17" s="136" t="s">
        <v>235</v>
      </c>
      <c r="M17" s="135" t="s">
        <v>77</v>
      </c>
      <c r="N17" s="146">
        <v>438.24</v>
      </c>
      <c r="O17" s="146">
        <v>73.040000000000006</v>
      </c>
      <c r="P17" s="146">
        <v>511.28</v>
      </c>
      <c r="Q17" s="147">
        <v>-66.069999999999993</v>
      </c>
      <c r="R17" s="147">
        <v>-0.05</v>
      </c>
      <c r="S17" s="146">
        <v>-66.12</v>
      </c>
      <c r="T17" s="146">
        <v>577.4</v>
      </c>
    </row>
    <row r="18" spans="1:20" s="50" customFormat="1">
      <c r="A18" s="136" t="s">
        <v>236</v>
      </c>
      <c r="B18" s="135" t="s">
        <v>78</v>
      </c>
      <c r="C18" s="153">
        <v>438.24</v>
      </c>
      <c r="D18" s="153">
        <v>73.040000000000006</v>
      </c>
      <c r="E18" s="45">
        <f t="shared" si="0"/>
        <v>511.28000000000003</v>
      </c>
      <c r="F18" s="153">
        <v>-66.069999999999993</v>
      </c>
      <c r="G18" s="153">
        <v>0</v>
      </c>
      <c r="H18" s="153">
        <v>0.15</v>
      </c>
      <c r="I18" s="45">
        <f t="shared" si="1"/>
        <v>-65.919999999999987</v>
      </c>
      <c r="J18" s="45">
        <f t="shared" si="2"/>
        <v>577.20000000000005</v>
      </c>
      <c r="L18" s="136" t="s">
        <v>236</v>
      </c>
      <c r="M18" s="135" t="s">
        <v>78</v>
      </c>
      <c r="N18" s="146">
        <v>438.24</v>
      </c>
      <c r="O18" s="146">
        <v>73.040000000000006</v>
      </c>
      <c r="P18" s="146">
        <v>511.28</v>
      </c>
      <c r="Q18" s="147">
        <v>-66.069999999999993</v>
      </c>
      <c r="R18" s="146">
        <v>0.15</v>
      </c>
      <c r="S18" s="146">
        <v>-65.92</v>
      </c>
      <c r="T18" s="146">
        <v>577.20000000000005</v>
      </c>
    </row>
    <row r="19" spans="1:20" s="50" customFormat="1">
      <c r="A19" s="136" t="s">
        <v>237</v>
      </c>
      <c r="B19" s="135" t="s">
        <v>79</v>
      </c>
      <c r="C19" s="153">
        <v>438.24</v>
      </c>
      <c r="D19" s="153">
        <v>73.040000000000006</v>
      </c>
      <c r="E19" s="45">
        <f t="shared" si="0"/>
        <v>511.28000000000003</v>
      </c>
      <c r="F19" s="153">
        <v>-66.069999999999993</v>
      </c>
      <c r="G19" s="153">
        <v>0</v>
      </c>
      <c r="H19" s="153">
        <v>-0.05</v>
      </c>
      <c r="I19" s="45">
        <f t="shared" si="1"/>
        <v>-66.11999999999999</v>
      </c>
      <c r="J19" s="45">
        <f t="shared" si="2"/>
        <v>577.4</v>
      </c>
      <c r="L19" s="136" t="s">
        <v>237</v>
      </c>
      <c r="M19" s="135" t="s">
        <v>79</v>
      </c>
      <c r="N19" s="146">
        <v>438.24</v>
      </c>
      <c r="O19" s="146">
        <v>73.040000000000006</v>
      </c>
      <c r="P19" s="146">
        <v>511.28</v>
      </c>
      <c r="Q19" s="147">
        <v>-66.069999999999993</v>
      </c>
      <c r="R19" s="147">
        <v>-0.05</v>
      </c>
      <c r="S19" s="146">
        <v>-66.12</v>
      </c>
      <c r="T19" s="146">
        <v>577.4</v>
      </c>
    </row>
    <row r="20" spans="1:20" s="50" customFormat="1">
      <c r="A20" s="136" t="s">
        <v>237</v>
      </c>
      <c r="B20" s="135" t="s">
        <v>224</v>
      </c>
      <c r="C20" s="153">
        <v>438.24</v>
      </c>
      <c r="D20" s="153">
        <v>73.040000000000006</v>
      </c>
      <c r="E20" s="45">
        <f t="shared" si="0"/>
        <v>511.28000000000003</v>
      </c>
      <c r="F20" s="153">
        <v>-66.069999999999993</v>
      </c>
      <c r="G20" s="153">
        <v>0</v>
      </c>
      <c r="H20" s="153">
        <v>-0.05</v>
      </c>
      <c r="I20" s="45">
        <f t="shared" si="1"/>
        <v>-66.11999999999999</v>
      </c>
      <c r="J20" s="45">
        <f t="shared" si="2"/>
        <v>577.4</v>
      </c>
      <c r="L20" s="136" t="s">
        <v>237</v>
      </c>
      <c r="M20" s="135" t="s">
        <v>224</v>
      </c>
      <c r="N20" s="146">
        <v>438.24</v>
      </c>
      <c r="O20" s="146">
        <v>73.040000000000006</v>
      </c>
      <c r="P20" s="146">
        <v>511.28</v>
      </c>
      <c r="Q20" s="147">
        <v>-66.069999999999993</v>
      </c>
      <c r="R20" s="147">
        <v>-0.05</v>
      </c>
      <c r="S20" s="146">
        <v>-66.12</v>
      </c>
      <c r="T20" s="146">
        <v>577.4</v>
      </c>
    </row>
    <row r="21" spans="1:20" s="50" customFormat="1">
      <c r="A21" s="136" t="s">
        <v>238</v>
      </c>
      <c r="B21" s="135" t="s">
        <v>81</v>
      </c>
      <c r="C21" s="153">
        <v>438.24</v>
      </c>
      <c r="D21" s="153">
        <v>73.040000000000006</v>
      </c>
      <c r="E21" s="45">
        <f t="shared" si="0"/>
        <v>511.28000000000003</v>
      </c>
      <c r="F21" s="153">
        <v>-66.069999999999993</v>
      </c>
      <c r="G21" s="153">
        <v>0</v>
      </c>
      <c r="H21" s="153">
        <v>-0.05</v>
      </c>
      <c r="I21" s="45">
        <f t="shared" si="1"/>
        <v>-66.11999999999999</v>
      </c>
      <c r="J21" s="45">
        <f t="shared" si="2"/>
        <v>577.4</v>
      </c>
      <c r="L21" s="136" t="s">
        <v>238</v>
      </c>
      <c r="M21" s="135" t="s">
        <v>81</v>
      </c>
      <c r="N21" s="146">
        <v>438.24</v>
      </c>
      <c r="O21" s="146">
        <v>73.040000000000006</v>
      </c>
      <c r="P21" s="146">
        <v>511.28</v>
      </c>
      <c r="Q21" s="147">
        <v>-66.069999999999993</v>
      </c>
      <c r="R21" s="147">
        <v>-0.05</v>
      </c>
      <c r="S21" s="146">
        <v>-66.12</v>
      </c>
      <c r="T21" s="146">
        <v>577.4</v>
      </c>
    </row>
    <row r="22" spans="1:20" s="50" customFormat="1">
      <c r="A22" s="136" t="s">
        <v>239</v>
      </c>
      <c r="B22" s="135" t="s">
        <v>82</v>
      </c>
      <c r="C22" s="153">
        <v>438.24</v>
      </c>
      <c r="D22" s="153">
        <v>73.040000000000006</v>
      </c>
      <c r="E22" s="45">
        <f t="shared" si="0"/>
        <v>511.28000000000003</v>
      </c>
      <c r="F22" s="153">
        <v>-66.069999999999993</v>
      </c>
      <c r="G22" s="153">
        <v>0</v>
      </c>
      <c r="H22" s="153">
        <v>-0.05</v>
      </c>
      <c r="I22" s="45">
        <f t="shared" si="1"/>
        <v>-66.11999999999999</v>
      </c>
      <c r="J22" s="45">
        <f t="shared" si="2"/>
        <v>577.4</v>
      </c>
      <c r="L22" s="136" t="s">
        <v>239</v>
      </c>
      <c r="M22" s="135" t="s">
        <v>82</v>
      </c>
      <c r="N22" s="146">
        <v>438.24</v>
      </c>
      <c r="O22" s="146">
        <v>73.040000000000006</v>
      </c>
      <c r="P22" s="146">
        <v>511.28</v>
      </c>
      <c r="Q22" s="147">
        <v>-66.069999999999993</v>
      </c>
      <c r="R22" s="147">
        <v>-0.05</v>
      </c>
      <c r="S22" s="146">
        <v>-66.12</v>
      </c>
      <c r="T22" s="146">
        <v>577.4</v>
      </c>
    </row>
    <row r="23" spans="1:20" s="50" customFormat="1">
      <c r="A23" s="136" t="s">
        <v>240</v>
      </c>
      <c r="B23" s="135" t="s">
        <v>83</v>
      </c>
      <c r="C23" s="153">
        <v>438.24</v>
      </c>
      <c r="D23" s="153">
        <v>73.040000000000006</v>
      </c>
      <c r="E23" s="45">
        <f t="shared" si="0"/>
        <v>511.28000000000003</v>
      </c>
      <c r="F23" s="153">
        <v>-66.069999999999993</v>
      </c>
      <c r="G23" s="153">
        <v>0</v>
      </c>
      <c r="H23" s="153">
        <v>0.15</v>
      </c>
      <c r="I23" s="45">
        <f t="shared" si="1"/>
        <v>-65.919999999999987</v>
      </c>
      <c r="J23" s="45">
        <f t="shared" si="2"/>
        <v>577.20000000000005</v>
      </c>
      <c r="L23" s="136" t="s">
        <v>240</v>
      </c>
      <c r="M23" s="135" t="s">
        <v>83</v>
      </c>
      <c r="N23" s="146">
        <v>438.24</v>
      </c>
      <c r="O23" s="146">
        <v>73.040000000000006</v>
      </c>
      <c r="P23" s="146">
        <v>511.28</v>
      </c>
      <c r="Q23" s="147">
        <v>-66.069999999999993</v>
      </c>
      <c r="R23" s="146">
        <v>0.15</v>
      </c>
      <c r="S23" s="146">
        <v>-65.92</v>
      </c>
      <c r="T23" s="146">
        <v>577.20000000000005</v>
      </c>
    </row>
    <row r="24" spans="1:20" s="50" customFormat="1">
      <c r="A24" s="136" t="s">
        <v>241</v>
      </c>
      <c r="B24" s="135" t="s">
        <v>84</v>
      </c>
      <c r="C24" s="153">
        <v>438.24</v>
      </c>
      <c r="D24" s="153">
        <v>73.040000000000006</v>
      </c>
      <c r="E24" s="45">
        <f t="shared" si="0"/>
        <v>511.28000000000003</v>
      </c>
      <c r="F24" s="153">
        <v>-66.069999999999993</v>
      </c>
      <c r="G24" s="153">
        <v>0</v>
      </c>
      <c r="H24" s="153">
        <v>-0.05</v>
      </c>
      <c r="I24" s="45">
        <f t="shared" si="1"/>
        <v>-66.11999999999999</v>
      </c>
      <c r="J24" s="45">
        <f t="shared" si="2"/>
        <v>577.4</v>
      </c>
      <c r="L24" s="136" t="s">
        <v>241</v>
      </c>
      <c r="M24" s="135" t="s">
        <v>84</v>
      </c>
      <c r="N24" s="146">
        <v>438.24</v>
      </c>
      <c r="O24" s="146">
        <v>73.040000000000006</v>
      </c>
      <c r="P24" s="146">
        <v>511.28</v>
      </c>
      <c r="Q24" s="147">
        <v>-66.069999999999993</v>
      </c>
      <c r="R24" s="147">
        <v>-0.05</v>
      </c>
      <c r="S24" s="146">
        <v>-66.12</v>
      </c>
      <c r="T24" s="146">
        <v>577.4</v>
      </c>
    </row>
    <row r="25" spans="1:20" s="50" customFormat="1">
      <c r="A25" s="136" t="s">
        <v>242</v>
      </c>
      <c r="B25" s="135" t="s">
        <v>85</v>
      </c>
      <c r="C25" s="153">
        <v>438.24</v>
      </c>
      <c r="D25" s="153">
        <v>73.040000000000006</v>
      </c>
      <c r="E25" s="45">
        <f t="shared" si="0"/>
        <v>511.28000000000003</v>
      </c>
      <c r="F25" s="153">
        <v>-66.069999999999993</v>
      </c>
      <c r="G25" s="153">
        <v>115.26</v>
      </c>
      <c r="H25" s="153">
        <v>0.15</v>
      </c>
      <c r="I25" s="45">
        <f t="shared" si="1"/>
        <v>49.340000000000011</v>
      </c>
      <c r="J25" s="45">
        <f t="shared" si="2"/>
        <v>461.94</v>
      </c>
      <c r="L25" s="136" t="s">
        <v>242</v>
      </c>
      <c r="M25" s="135" t="s">
        <v>85</v>
      </c>
      <c r="N25" s="146">
        <v>438.24</v>
      </c>
      <c r="O25" s="146">
        <v>73.040000000000006</v>
      </c>
      <c r="P25" s="146">
        <v>511.28</v>
      </c>
      <c r="Q25" s="147">
        <v>-66.069999999999993</v>
      </c>
      <c r="R25" s="146">
        <v>0.15</v>
      </c>
      <c r="S25" s="146">
        <v>-65.92</v>
      </c>
      <c r="T25" s="146">
        <v>577.20000000000005</v>
      </c>
    </row>
    <row r="26" spans="1:20" s="50" customFormat="1">
      <c r="A26" s="136" t="s">
        <v>243</v>
      </c>
      <c r="B26" s="135" t="s">
        <v>87</v>
      </c>
      <c r="C26" s="153">
        <v>438.24</v>
      </c>
      <c r="D26" s="153">
        <v>73.040000000000006</v>
      </c>
      <c r="E26" s="45">
        <f t="shared" si="0"/>
        <v>511.28000000000003</v>
      </c>
      <c r="F26" s="153">
        <v>-66.069999999999993</v>
      </c>
      <c r="G26" s="153">
        <v>0</v>
      </c>
      <c r="H26" s="153">
        <v>-0.05</v>
      </c>
      <c r="I26" s="45">
        <f t="shared" si="1"/>
        <v>-66.11999999999999</v>
      </c>
      <c r="J26" s="45">
        <f t="shared" si="2"/>
        <v>577.4</v>
      </c>
      <c r="L26" s="136" t="s">
        <v>243</v>
      </c>
      <c r="M26" s="135" t="s">
        <v>87</v>
      </c>
      <c r="N26" s="146">
        <v>438.24</v>
      </c>
      <c r="O26" s="146">
        <v>73.040000000000006</v>
      </c>
      <c r="P26" s="146">
        <v>511.28</v>
      </c>
      <c r="Q26" s="147">
        <v>-66.069999999999993</v>
      </c>
      <c r="R26" s="147">
        <v>-0.05</v>
      </c>
      <c r="S26" s="146">
        <v>-66.12</v>
      </c>
      <c r="T26" s="146">
        <v>577.4</v>
      </c>
    </row>
    <row r="27" spans="1:20" s="50" customFormat="1">
      <c r="A27" s="136" t="s">
        <v>244</v>
      </c>
      <c r="B27" s="135" t="s">
        <v>89</v>
      </c>
      <c r="C27" s="153">
        <v>438.24</v>
      </c>
      <c r="D27" s="153">
        <v>73.040000000000006</v>
      </c>
      <c r="E27" s="45">
        <f t="shared" si="0"/>
        <v>511.28000000000003</v>
      </c>
      <c r="F27" s="153">
        <v>-66.069999999999993</v>
      </c>
      <c r="G27" s="153">
        <v>0</v>
      </c>
      <c r="H27" s="153">
        <v>-0.05</v>
      </c>
      <c r="I27" s="45">
        <f t="shared" si="1"/>
        <v>-66.11999999999999</v>
      </c>
      <c r="J27" s="45">
        <f t="shared" si="2"/>
        <v>577.4</v>
      </c>
      <c r="L27" s="136" t="s">
        <v>244</v>
      </c>
      <c r="M27" s="135" t="s">
        <v>89</v>
      </c>
      <c r="N27" s="146">
        <v>438.24</v>
      </c>
      <c r="O27" s="146">
        <v>73.040000000000006</v>
      </c>
      <c r="P27" s="146">
        <v>511.28</v>
      </c>
      <c r="Q27" s="147">
        <v>-66.069999999999993</v>
      </c>
      <c r="R27" s="147">
        <v>-0.05</v>
      </c>
      <c r="S27" s="146">
        <v>-66.12</v>
      </c>
      <c r="T27" s="146">
        <v>577.4</v>
      </c>
    </row>
    <row r="28" spans="1:20" s="50" customFormat="1">
      <c r="A28" s="136" t="s">
        <v>245</v>
      </c>
      <c r="B28" s="135" t="s">
        <v>90</v>
      </c>
      <c r="C28" s="153">
        <v>438.24</v>
      </c>
      <c r="D28" s="153">
        <v>73.040000000000006</v>
      </c>
      <c r="E28" s="45">
        <f t="shared" si="0"/>
        <v>511.28000000000003</v>
      </c>
      <c r="F28" s="153">
        <v>-66.069999999999993</v>
      </c>
      <c r="G28" s="153">
        <v>0</v>
      </c>
      <c r="H28" s="153">
        <v>-0.05</v>
      </c>
      <c r="I28" s="45">
        <f t="shared" si="1"/>
        <v>-66.11999999999999</v>
      </c>
      <c r="J28" s="45">
        <f t="shared" si="2"/>
        <v>577.4</v>
      </c>
      <c r="L28" s="136" t="s">
        <v>245</v>
      </c>
      <c r="M28" s="135" t="s">
        <v>90</v>
      </c>
      <c r="N28" s="146">
        <v>438.24</v>
      </c>
      <c r="O28" s="146">
        <v>73.040000000000006</v>
      </c>
      <c r="P28" s="146">
        <v>511.28</v>
      </c>
      <c r="Q28" s="147">
        <v>-66.069999999999993</v>
      </c>
      <c r="R28" s="147">
        <v>-0.05</v>
      </c>
      <c r="S28" s="146">
        <v>-66.12</v>
      </c>
      <c r="T28" s="146">
        <v>577.4</v>
      </c>
    </row>
    <row r="29" spans="1:20" s="50" customFormat="1">
      <c r="A29" s="136" t="s">
        <v>246</v>
      </c>
      <c r="B29" s="135" t="s">
        <v>92</v>
      </c>
      <c r="C29" s="153">
        <v>438.24</v>
      </c>
      <c r="D29" s="153">
        <v>73.040000000000006</v>
      </c>
      <c r="E29" s="45">
        <f t="shared" si="0"/>
        <v>511.28000000000003</v>
      </c>
      <c r="F29" s="153">
        <v>-66.069999999999993</v>
      </c>
      <c r="G29" s="153">
        <v>0</v>
      </c>
      <c r="H29" s="153">
        <v>-0.05</v>
      </c>
      <c r="I29" s="45">
        <f t="shared" si="1"/>
        <v>-66.11999999999999</v>
      </c>
      <c r="J29" s="45">
        <f t="shared" si="2"/>
        <v>577.4</v>
      </c>
      <c r="L29" s="136" t="s">
        <v>246</v>
      </c>
      <c r="M29" s="135" t="s">
        <v>92</v>
      </c>
      <c r="N29" s="146">
        <v>438.24</v>
      </c>
      <c r="O29" s="146">
        <v>73.040000000000006</v>
      </c>
      <c r="P29" s="146">
        <v>511.28</v>
      </c>
      <c r="Q29" s="147">
        <v>-66.069999999999993</v>
      </c>
      <c r="R29" s="147">
        <v>-0.05</v>
      </c>
      <c r="S29" s="146">
        <v>-66.12</v>
      </c>
      <c r="T29" s="146">
        <v>577.4</v>
      </c>
    </row>
    <row r="30" spans="1:20" s="50" customFormat="1">
      <c r="A30" s="136" t="s">
        <v>247</v>
      </c>
      <c r="B30" s="135" t="s">
        <v>93</v>
      </c>
      <c r="C30" s="153">
        <v>438.24</v>
      </c>
      <c r="D30" s="153">
        <v>73.040000000000006</v>
      </c>
      <c r="E30" s="45">
        <f t="shared" si="0"/>
        <v>511.28000000000003</v>
      </c>
      <c r="F30" s="153">
        <v>-66.069999999999993</v>
      </c>
      <c r="G30" s="153">
        <v>0</v>
      </c>
      <c r="H30" s="153">
        <v>-0.05</v>
      </c>
      <c r="I30" s="45">
        <f t="shared" si="1"/>
        <v>-66.11999999999999</v>
      </c>
      <c r="J30" s="45">
        <f t="shared" si="2"/>
        <v>577.4</v>
      </c>
      <c r="L30" s="136" t="s">
        <v>247</v>
      </c>
      <c r="M30" s="135" t="s">
        <v>93</v>
      </c>
      <c r="N30" s="146">
        <v>438.24</v>
      </c>
      <c r="O30" s="146">
        <v>73.040000000000006</v>
      </c>
      <c r="P30" s="146">
        <v>511.28</v>
      </c>
      <c r="Q30" s="147">
        <v>-66.069999999999993</v>
      </c>
      <c r="R30" s="147">
        <v>-0.05</v>
      </c>
      <c r="S30" s="146">
        <v>-66.12</v>
      </c>
      <c r="T30" s="146">
        <v>577.4</v>
      </c>
    </row>
    <row r="31" spans="1:20" s="50" customFormat="1">
      <c r="A31" s="136" t="s">
        <v>248</v>
      </c>
      <c r="B31" s="135" t="s">
        <v>94</v>
      </c>
      <c r="C31" s="153">
        <v>438.24</v>
      </c>
      <c r="D31" s="153">
        <v>73.040000000000006</v>
      </c>
      <c r="E31" s="45">
        <f t="shared" si="0"/>
        <v>511.28000000000003</v>
      </c>
      <c r="F31" s="153">
        <v>-66.069999999999993</v>
      </c>
      <c r="G31" s="153">
        <v>0</v>
      </c>
      <c r="H31" s="153">
        <v>0.15</v>
      </c>
      <c r="I31" s="45">
        <f t="shared" si="1"/>
        <v>-65.919999999999987</v>
      </c>
      <c r="J31" s="45">
        <f t="shared" si="2"/>
        <v>577.20000000000005</v>
      </c>
      <c r="L31" s="136" t="s">
        <v>248</v>
      </c>
      <c r="M31" s="135" t="s">
        <v>94</v>
      </c>
      <c r="N31" s="146">
        <v>438.24</v>
      </c>
      <c r="O31" s="146">
        <v>73.040000000000006</v>
      </c>
      <c r="P31" s="146">
        <v>511.28</v>
      </c>
      <c r="Q31" s="147">
        <v>-66.069999999999993</v>
      </c>
      <c r="R31" s="146">
        <v>0.15</v>
      </c>
      <c r="S31" s="146">
        <v>-65.92</v>
      </c>
      <c r="T31" s="146">
        <v>577.20000000000005</v>
      </c>
    </row>
    <row r="32" spans="1:20" s="50" customFormat="1">
      <c r="A32" s="136" t="s">
        <v>249</v>
      </c>
      <c r="B32" s="135" t="s">
        <v>95</v>
      </c>
      <c r="C32" s="153">
        <v>438.24</v>
      </c>
      <c r="D32" s="153">
        <v>73.040000000000006</v>
      </c>
      <c r="E32" s="45">
        <f t="shared" si="0"/>
        <v>511.28000000000003</v>
      </c>
      <c r="F32" s="153">
        <v>-66.069999999999993</v>
      </c>
      <c r="G32" s="153">
        <v>0</v>
      </c>
      <c r="H32" s="153">
        <v>0.15</v>
      </c>
      <c r="I32" s="45">
        <f t="shared" si="1"/>
        <v>-65.919999999999987</v>
      </c>
      <c r="J32" s="45">
        <f t="shared" si="2"/>
        <v>577.20000000000005</v>
      </c>
      <c r="L32" s="136" t="s">
        <v>249</v>
      </c>
      <c r="M32" s="135" t="s">
        <v>95</v>
      </c>
      <c r="N32" s="146">
        <v>438.24</v>
      </c>
      <c r="O32" s="146">
        <v>73.040000000000006</v>
      </c>
      <c r="P32" s="146">
        <v>511.28</v>
      </c>
      <c r="Q32" s="147">
        <v>-66.069999999999993</v>
      </c>
      <c r="R32" s="146">
        <v>0.15</v>
      </c>
      <c r="S32" s="146">
        <v>-65.92</v>
      </c>
      <c r="T32" s="146">
        <v>577.20000000000005</v>
      </c>
    </row>
    <row r="33" spans="1:20" s="50" customFormat="1">
      <c r="A33" s="136" t="s">
        <v>250</v>
      </c>
      <c r="B33" s="135" t="s">
        <v>97</v>
      </c>
      <c r="C33" s="153">
        <v>438.24</v>
      </c>
      <c r="D33" s="153">
        <v>73.040000000000006</v>
      </c>
      <c r="E33" s="45">
        <f t="shared" si="0"/>
        <v>511.28000000000003</v>
      </c>
      <c r="F33" s="153">
        <v>-66.069999999999993</v>
      </c>
      <c r="G33" s="153">
        <v>0</v>
      </c>
      <c r="H33" s="153">
        <v>0.15</v>
      </c>
      <c r="I33" s="45">
        <f t="shared" si="1"/>
        <v>-65.919999999999987</v>
      </c>
      <c r="J33" s="45">
        <f t="shared" si="2"/>
        <v>577.20000000000005</v>
      </c>
      <c r="L33" s="136" t="s">
        <v>250</v>
      </c>
      <c r="M33" s="135" t="s">
        <v>97</v>
      </c>
      <c r="N33" s="146">
        <v>438.24</v>
      </c>
      <c r="O33" s="146">
        <v>73.040000000000006</v>
      </c>
      <c r="P33" s="146">
        <v>511.28</v>
      </c>
      <c r="Q33" s="147">
        <v>-66.069999999999993</v>
      </c>
      <c r="R33" s="146">
        <v>0.15</v>
      </c>
      <c r="S33" s="146">
        <v>-65.92</v>
      </c>
      <c r="T33" s="146">
        <v>577.20000000000005</v>
      </c>
    </row>
    <row r="34" spans="1:20" s="50" customFormat="1">
      <c r="A34" s="136" t="s">
        <v>251</v>
      </c>
      <c r="B34" s="135" t="s">
        <v>99</v>
      </c>
      <c r="C34" s="153">
        <v>438.24</v>
      </c>
      <c r="D34" s="153">
        <v>73.040000000000006</v>
      </c>
      <c r="E34" s="45">
        <f t="shared" si="0"/>
        <v>511.28000000000003</v>
      </c>
      <c r="F34" s="153">
        <v>-66.069999999999993</v>
      </c>
      <c r="G34" s="153">
        <v>0</v>
      </c>
      <c r="H34" s="153">
        <v>-0.05</v>
      </c>
      <c r="I34" s="45">
        <f t="shared" si="1"/>
        <v>-66.11999999999999</v>
      </c>
      <c r="J34" s="45">
        <f t="shared" si="2"/>
        <v>577.4</v>
      </c>
      <c r="L34" s="136" t="s">
        <v>251</v>
      </c>
      <c r="M34" s="135" t="s">
        <v>99</v>
      </c>
      <c r="N34" s="146">
        <v>438.24</v>
      </c>
      <c r="O34" s="146">
        <v>73.040000000000006</v>
      </c>
      <c r="P34" s="146">
        <v>511.28</v>
      </c>
      <c r="Q34" s="147">
        <v>-66.069999999999993</v>
      </c>
      <c r="R34" s="147">
        <v>-0.05</v>
      </c>
      <c r="S34" s="146">
        <v>-66.12</v>
      </c>
      <c r="T34" s="146">
        <v>577.4</v>
      </c>
    </row>
    <row r="35" spans="1:20" s="50" customFormat="1">
      <c r="A35" s="136" t="s">
        <v>252</v>
      </c>
      <c r="B35" s="135" t="s">
        <v>100</v>
      </c>
      <c r="C35" s="153">
        <v>438.24</v>
      </c>
      <c r="D35" s="153">
        <v>73.040000000000006</v>
      </c>
      <c r="E35" s="45">
        <f t="shared" si="0"/>
        <v>511.28000000000003</v>
      </c>
      <c r="F35" s="153">
        <v>-66.069999999999993</v>
      </c>
      <c r="G35" s="153">
        <v>0</v>
      </c>
      <c r="H35" s="153">
        <v>-0.05</v>
      </c>
      <c r="I35" s="45">
        <f t="shared" si="1"/>
        <v>-66.11999999999999</v>
      </c>
      <c r="J35" s="45">
        <f t="shared" si="2"/>
        <v>577.4</v>
      </c>
      <c r="L35" s="136" t="s">
        <v>252</v>
      </c>
      <c r="M35" s="135" t="s">
        <v>100</v>
      </c>
      <c r="N35" s="146">
        <v>438.24</v>
      </c>
      <c r="O35" s="146">
        <v>73.040000000000006</v>
      </c>
      <c r="P35" s="146">
        <v>511.28</v>
      </c>
      <c r="Q35" s="147">
        <v>-66.069999999999993</v>
      </c>
      <c r="R35" s="147">
        <v>-0.05</v>
      </c>
      <c r="S35" s="146">
        <v>-66.12</v>
      </c>
      <c r="T35" s="146">
        <v>577.4</v>
      </c>
    </row>
    <row r="36" spans="1:20" s="50" customFormat="1">
      <c r="A36" s="136" t="s">
        <v>253</v>
      </c>
      <c r="B36" s="135" t="s">
        <v>225</v>
      </c>
      <c r="C36" s="153">
        <v>438.24</v>
      </c>
      <c r="D36" s="153">
        <v>73.040000000000006</v>
      </c>
      <c r="E36" s="45">
        <f t="shared" si="0"/>
        <v>511.28000000000003</v>
      </c>
      <c r="F36" s="153">
        <v>-66.069999999999993</v>
      </c>
      <c r="G36" s="153">
        <v>0</v>
      </c>
      <c r="H36" s="153">
        <v>-0.05</v>
      </c>
      <c r="I36" s="45">
        <f t="shared" ref="I36:I37" si="3">SUM(F36:H36)</f>
        <v>-66.11999999999999</v>
      </c>
      <c r="J36" s="45">
        <f t="shared" ref="J36:J37" si="4">+E36-I36</f>
        <v>577.4</v>
      </c>
      <c r="L36" s="136" t="s">
        <v>253</v>
      </c>
      <c r="M36" s="135" t="s">
        <v>225</v>
      </c>
      <c r="N36" s="146">
        <v>438.24</v>
      </c>
      <c r="O36" s="146">
        <v>73.040000000000006</v>
      </c>
      <c r="P36" s="146">
        <v>511.28</v>
      </c>
      <c r="Q36" s="147">
        <v>-66.069999999999993</v>
      </c>
      <c r="R36" s="147">
        <v>-0.05</v>
      </c>
      <c r="S36" s="146">
        <v>-66.12</v>
      </c>
      <c r="T36" s="146">
        <v>577.4</v>
      </c>
    </row>
    <row r="37" spans="1:20" s="50" customFormat="1">
      <c r="A37" s="136" t="s">
        <v>254</v>
      </c>
      <c r="B37" s="135" t="s">
        <v>101</v>
      </c>
      <c r="C37" s="153">
        <v>438.24</v>
      </c>
      <c r="D37" s="153">
        <v>73.040000000000006</v>
      </c>
      <c r="E37" s="45">
        <f t="shared" si="0"/>
        <v>511.28000000000003</v>
      </c>
      <c r="F37" s="153">
        <v>-66.069999999999993</v>
      </c>
      <c r="G37" s="153">
        <v>0</v>
      </c>
      <c r="H37" s="153">
        <v>-0.05</v>
      </c>
      <c r="I37" s="45">
        <f t="shared" si="3"/>
        <v>-66.11999999999999</v>
      </c>
      <c r="J37" s="45">
        <f t="shared" si="4"/>
        <v>577.4</v>
      </c>
      <c r="L37" s="136" t="s">
        <v>254</v>
      </c>
      <c r="M37" s="135" t="s">
        <v>101</v>
      </c>
      <c r="N37" s="146">
        <v>438.24</v>
      </c>
      <c r="O37" s="146">
        <v>73.040000000000006</v>
      </c>
      <c r="P37" s="146">
        <v>511.28</v>
      </c>
      <c r="Q37" s="147">
        <v>-66.069999999999993</v>
      </c>
      <c r="R37" s="147">
        <v>-0.05</v>
      </c>
      <c r="S37" s="146">
        <v>-66.12</v>
      </c>
      <c r="T37" s="146">
        <v>577.4</v>
      </c>
    </row>
    <row r="38" spans="1:20" s="50" customFormat="1">
      <c r="A38" s="49"/>
      <c r="C38" s="140" t="s">
        <v>15</v>
      </c>
      <c r="D38" s="140" t="s">
        <v>15</v>
      </c>
      <c r="E38" s="140" t="s">
        <v>15</v>
      </c>
      <c r="F38" s="140" t="s">
        <v>15</v>
      </c>
      <c r="G38" s="140" t="s">
        <v>15</v>
      </c>
      <c r="H38" s="140" t="s">
        <v>15</v>
      </c>
      <c r="I38" s="140" t="s">
        <v>15</v>
      </c>
      <c r="J38" s="140" t="s">
        <v>15</v>
      </c>
      <c r="L38" s="148"/>
      <c r="M38" s="140"/>
      <c r="N38" s="140" t="s">
        <v>15</v>
      </c>
      <c r="O38" s="140" t="s">
        <v>15</v>
      </c>
      <c r="P38" s="140" t="s">
        <v>15</v>
      </c>
      <c r="Q38" s="140" t="s">
        <v>15</v>
      </c>
      <c r="R38" s="140" t="s">
        <v>15</v>
      </c>
      <c r="S38" s="140" t="s">
        <v>15</v>
      </c>
      <c r="T38" s="140" t="s">
        <v>15</v>
      </c>
    </row>
    <row r="39" spans="1:20" s="53" customFormat="1">
      <c r="A39" s="49"/>
      <c r="B39" s="50"/>
      <c r="C39" s="150">
        <f>SUM(C10:C38)</f>
        <v>12270.719999999996</v>
      </c>
      <c r="D39" s="150">
        <f t="shared" ref="D39:I39" si="5">SUM(D10:D38)</f>
        <v>2045.1199999999994</v>
      </c>
      <c r="E39" s="150">
        <f t="shared" si="5"/>
        <v>14315.840000000006</v>
      </c>
      <c r="F39" s="150">
        <f t="shared" si="5"/>
        <v>-1849.9599999999987</v>
      </c>
      <c r="G39" s="150">
        <f t="shared" ref="G39" si="6">SUM(G10:G38)</f>
        <v>438.39</v>
      </c>
      <c r="H39" s="150">
        <f t="shared" ref="H39" si="7">SUM(H10:H38)</f>
        <v>0.19999999999999996</v>
      </c>
      <c r="I39" s="150">
        <f t="shared" si="5"/>
        <v>-1411.3699999999997</v>
      </c>
      <c r="J39" s="150">
        <f>SUM(J10:J38)</f>
        <v>15727.209999999997</v>
      </c>
      <c r="L39" s="151" t="s">
        <v>16</v>
      </c>
      <c r="M39" s="135" t="s">
        <v>17</v>
      </c>
      <c r="N39" s="150">
        <v>12270.72</v>
      </c>
      <c r="O39" s="150">
        <v>2045.12</v>
      </c>
      <c r="P39" s="150">
        <v>14315.84</v>
      </c>
      <c r="Q39" s="152">
        <v>-1849.96</v>
      </c>
      <c r="R39" s="150">
        <v>0.2</v>
      </c>
      <c r="S39" s="150">
        <v>-1849.76</v>
      </c>
      <c r="T39" s="150">
        <v>16165.6</v>
      </c>
    </row>
    <row r="40" spans="1:20" s="1" customFormat="1" ht="14.25">
      <c r="A40" s="3" t="s">
        <v>17</v>
      </c>
      <c r="B40" s="2" t="s">
        <v>17</v>
      </c>
      <c r="C40" s="9"/>
      <c r="D40" s="39"/>
      <c r="E40" s="9"/>
      <c r="F40" s="9"/>
      <c r="G40" s="149"/>
      <c r="H40" s="9"/>
      <c r="I40" s="9"/>
      <c r="J40" s="9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1:20" ht="15">
      <c r="L41" s="134"/>
      <c r="M41" s="134"/>
      <c r="N41" s="135" t="s">
        <v>17</v>
      </c>
      <c r="O41" s="135" t="s">
        <v>17</v>
      </c>
      <c r="P41" s="135" t="s">
        <v>17</v>
      </c>
      <c r="Q41" s="135" t="s">
        <v>17</v>
      </c>
      <c r="R41" s="135" t="s">
        <v>17</v>
      </c>
      <c r="S41" s="135" t="s">
        <v>17</v>
      </c>
      <c r="T41" s="135" t="s">
        <v>17</v>
      </c>
    </row>
    <row r="42" spans="1:20">
      <c r="L42" s="136" t="s">
        <v>17</v>
      </c>
      <c r="M42" s="135" t="s">
        <v>17</v>
      </c>
      <c r="N42" s="149"/>
      <c r="O42" s="149"/>
      <c r="P42" s="149"/>
      <c r="Q42" s="149"/>
      <c r="R42" s="149"/>
      <c r="S42" s="149"/>
      <c r="T42" s="149"/>
    </row>
  </sheetData>
  <mergeCells count="6">
    <mergeCell ref="B1:C1"/>
    <mergeCell ref="M1:O1"/>
    <mergeCell ref="M2:O2"/>
    <mergeCell ref="M3:O3"/>
    <mergeCell ref="M4:O4"/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L42"/>
  <sheetViews>
    <sheetView workbookViewId="0">
      <pane xSplit="2" ySplit="9" topLeftCell="F10" activePane="bottomRight" state="frozen"/>
      <selection activeCell="B4" sqref="B4"/>
      <selection pane="topRight" activeCell="B4" sqref="B4"/>
      <selection pane="bottomLeft" activeCell="B4" sqref="B4"/>
      <selection pane="bottomRight" activeCell="M1" sqref="M1:P1048576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34" customWidth="1"/>
    <col min="11" max="11" width="13" style="2" bestFit="1" customWidth="1"/>
    <col min="12" max="12" width="12.7109375" style="2" customWidth="1"/>
    <col min="13" max="16384" width="11.42578125" style="2"/>
  </cols>
  <sheetData>
    <row r="1" spans="1:12" ht="18" customHeight="1">
      <c r="A1" s="4" t="s">
        <v>0</v>
      </c>
      <c r="B1" s="184" t="s">
        <v>17</v>
      </c>
      <c r="C1" s="189"/>
      <c r="I1" s="44"/>
      <c r="J1" s="44"/>
    </row>
    <row r="2" spans="1:12" ht="24.95" customHeight="1">
      <c r="A2" s="5" t="s">
        <v>1</v>
      </c>
      <c r="B2" s="70" t="s">
        <v>2</v>
      </c>
      <c r="C2" s="11"/>
      <c r="D2" s="32"/>
      <c r="I2" s="44"/>
      <c r="J2" s="44"/>
    </row>
    <row r="3" spans="1:12" ht="15.75">
      <c r="B3" s="71" t="s">
        <v>3</v>
      </c>
      <c r="C3" s="48"/>
      <c r="D3" s="32"/>
    </row>
    <row r="4" spans="1:12" ht="15">
      <c r="B4" s="72" t="s">
        <v>68</v>
      </c>
      <c r="C4" s="48"/>
      <c r="D4" s="32"/>
    </row>
    <row r="5" spans="1:12">
      <c r="B5" s="69" t="s">
        <v>4</v>
      </c>
      <c r="C5" s="47"/>
      <c r="D5" s="47"/>
    </row>
    <row r="6" spans="1:12">
      <c r="B6" s="69" t="s">
        <v>5</v>
      </c>
      <c r="C6" s="47"/>
      <c r="D6" s="47"/>
    </row>
    <row r="8" spans="1:12" s="6" customFormat="1" ht="34.5" thickBot="1">
      <c r="A8" s="7" t="s">
        <v>6</v>
      </c>
      <c r="B8" s="8" t="s">
        <v>7</v>
      </c>
      <c r="C8" s="13" t="s">
        <v>28</v>
      </c>
      <c r="D8" s="13" t="s">
        <v>29</v>
      </c>
      <c r="E8" s="12" t="s">
        <v>9</v>
      </c>
      <c r="F8" s="13" t="s">
        <v>30</v>
      </c>
      <c r="G8" s="13" t="s">
        <v>31</v>
      </c>
      <c r="H8" s="13" t="s">
        <v>32</v>
      </c>
      <c r="I8" s="13" t="s">
        <v>33</v>
      </c>
      <c r="J8" s="13" t="s">
        <v>11</v>
      </c>
      <c r="K8" s="12" t="s">
        <v>12</v>
      </c>
      <c r="L8" s="28" t="s">
        <v>13</v>
      </c>
    </row>
    <row r="9" spans="1:12" s="50" customFormat="1" ht="12" thickTop="1">
      <c r="A9" s="58" t="s">
        <v>14</v>
      </c>
    </row>
    <row r="10" spans="1:12" s="50" customFormat="1">
      <c r="A10" s="136" t="s">
        <v>228</v>
      </c>
      <c r="B10" s="135" t="s">
        <v>70</v>
      </c>
      <c r="C10" s="51">
        <f>+FACTURACIÓN!I10-'C&amp;A'!J10+SINDICATO!F10-'C&amp;A'!G10</f>
        <v>3562.69</v>
      </c>
      <c r="D10" s="51">
        <v>0</v>
      </c>
      <c r="E10" s="45">
        <f>SUM(C10:D10)</f>
        <v>3562.69</v>
      </c>
      <c r="F10" s="51">
        <f>-FACTURACIÓN!F10</f>
        <v>0</v>
      </c>
      <c r="G10" s="51">
        <v>0</v>
      </c>
      <c r="H10" s="45">
        <f>+FACTURACIÓN!H10</f>
        <v>0</v>
      </c>
      <c r="I10" s="51">
        <v>0</v>
      </c>
      <c r="J10" s="51">
        <v>0</v>
      </c>
      <c r="K10" s="51">
        <f t="shared" ref="K10:K32" si="0">SUM(F10:J10)</f>
        <v>0</v>
      </c>
      <c r="L10" s="59">
        <f>+E10-K10</f>
        <v>3562.69</v>
      </c>
    </row>
    <row r="11" spans="1:12" s="50" customFormat="1">
      <c r="A11" s="136" t="s">
        <v>229</v>
      </c>
      <c r="B11" s="135" t="s">
        <v>71</v>
      </c>
      <c r="C11" s="51">
        <f>+FACTURACIÓN!I11-'C&amp;A'!J11+SINDICATO!F11-'C&amp;A'!G11</f>
        <v>2468.4299999999998</v>
      </c>
      <c r="D11" s="51">
        <v>0</v>
      </c>
      <c r="E11" s="45">
        <f t="shared" ref="E11:E37" si="1">SUM(C11:D11)</f>
        <v>2468.4299999999998</v>
      </c>
      <c r="F11" s="51">
        <f>-FACTURACIÓN!F11</f>
        <v>0</v>
      </c>
      <c r="G11" s="51">
        <v>0</v>
      </c>
      <c r="H11" s="45">
        <f>+FACTURACIÓN!H11</f>
        <v>0</v>
      </c>
      <c r="I11" s="51">
        <v>0</v>
      </c>
      <c r="J11" s="51">
        <v>0</v>
      </c>
      <c r="K11" s="51">
        <f>SUM(F11:J11)</f>
        <v>0</v>
      </c>
      <c r="L11" s="59">
        <f t="shared" ref="L11:L37" si="2">+E11-K11</f>
        <v>2468.4299999999998</v>
      </c>
    </row>
    <row r="12" spans="1:12" s="50" customFormat="1">
      <c r="A12" s="136" t="s">
        <v>230</v>
      </c>
      <c r="B12" s="135" t="s">
        <v>72</v>
      </c>
      <c r="C12" s="51">
        <f>+FACTURACIÓN!I12-'C&amp;A'!J12+SINDICATO!F12-'C&amp;A'!G12</f>
        <v>6860.57</v>
      </c>
      <c r="D12" s="51">
        <v>0</v>
      </c>
      <c r="E12" s="45">
        <f t="shared" si="1"/>
        <v>6860.57</v>
      </c>
      <c r="F12" s="51">
        <f>-FACTURACIÓN!F12</f>
        <v>0</v>
      </c>
      <c r="G12" s="51">
        <v>0</v>
      </c>
      <c r="H12" s="45">
        <f>+FACTURACIÓN!H12</f>
        <v>134.46</v>
      </c>
      <c r="I12" s="51">
        <v>743.79700000000003</v>
      </c>
      <c r="J12" s="51">
        <v>0</v>
      </c>
      <c r="K12" s="51">
        <f t="shared" si="0"/>
        <v>878.25700000000006</v>
      </c>
      <c r="L12" s="59">
        <f t="shared" si="2"/>
        <v>5982.3130000000001</v>
      </c>
    </row>
    <row r="13" spans="1:12" s="50" customFormat="1">
      <c r="A13" s="136" t="s">
        <v>231</v>
      </c>
      <c r="B13" s="135" t="s">
        <v>223</v>
      </c>
      <c r="C13" s="51">
        <f>+FACTURACIÓN!I13-'C&amp;A'!J13+SINDICATO!F13-'C&amp;A'!G13</f>
        <v>122.60000000000002</v>
      </c>
      <c r="D13" s="51">
        <v>0</v>
      </c>
      <c r="E13" s="45">
        <f t="shared" si="1"/>
        <v>122.60000000000002</v>
      </c>
      <c r="F13" s="51">
        <f>-FACTURACIÓN!F14</f>
        <v>0</v>
      </c>
      <c r="G13" s="51">
        <v>0</v>
      </c>
      <c r="H13" s="45">
        <f>+FACTURACIÓN!H13</f>
        <v>0</v>
      </c>
      <c r="I13" s="51">
        <v>0</v>
      </c>
      <c r="J13" s="51">
        <v>0</v>
      </c>
      <c r="K13" s="51">
        <f t="shared" si="0"/>
        <v>0</v>
      </c>
      <c r="L13" s="59">
        <f t="shared" si="2"/>
        <v>122.60000000000002</v>
      </c>
    </row>
    <row r="14" spans="1:12" s="50" customFormat="1">
      <c r="A14" s="136" t="s">
        <v>232</v>
      </c>
      <c r="B14" s="135" t="s">
        <v>73</v>
      </c>
      <c r="C14" s="51">
        <f>+FACTURACIÓN!I14-'C&amp;A'!J14+SINDICATO!F14-'C&amp;A'!G14</f>
        <v>1172.5999999999999</v>
      </c>
      <c r="D14" s="51">
        <v>0</v>
      </c>
      <c r="E14" s="45">
        <f t="shared" si="1"/>
        <v>1172.5999999999999</v>
      </c>
      <c r="F14" s="51">
        <f>-FACTURACIÓN!F15</f>
        <v>0</v>
      </c>
      <c r="G14" s="51">
        <v>0</v>
      </c>
      <c r="H14" s="45">
        <f>+FACTURACIÓN!H14</f>
        <v>0</v>
      </c>
      <c r="I14" s="51">
        <v>0</v>
      </c>
      <c r="J14" s="51">
        <v>0</v>
      </c>
      <c r="K14" s="51">
        <f t="shared" si="0"/>
        <v>0</v>
      </c>
      <c r="L14" s="59">
        <f t="shared" si="2"/>
        <v>1172.5999999999999</v>
      </c>
    </row>
    <row r="15" spans="1:12" s="50" customFormat="1">
      <c r="A15" s="136" t="s">
        <v>233</v>
      </c>
      <c r="B15" s="135" t="s">
        <v>74</v>
      </c>
      <c r="C15" s="51">
        <f>+FACTURACIÓN!I15-'C&amp;A'!J15+SINDICATO!F15-'C&amp;A'!G15</f>
        <v>1934.0799999999997</v>
      </c>
      <c r="D15" s="51">
        <v>0</v>
      </c>
      <c r="E15" s="45">
        <f t="shared" si="1"/>
        <v>1934.0799999999997</v>
      </c>
      <c r="F15" s="51">
        <f>-FACTURACIÓN!F16</f>
        <v>0</v>
      </c>
      <c r="G15" s="51">
        <v>0</v>
      </c>
      <c r="H15" s="45">
        <f>+FACTURACIÓN!H15</f>
        <v>1184.1199999999999</v>
      </c>
      <c r="I15" s="51">
        <v>0</v>
      </c>
      <c r="J15" s="51">
        <v>0</v>
      </c>
      <c r="K15" s="51">
        <f t="shared" si="0"/>
        <v>1184.1199999999999</v>
      </c>
      <c r="L15" s="59">
        <f t="shared" si="2"/>
        <v>749.95999999999981</v>
      </c>
    </row>
    <row r="16" spans="1:12" s="50" customFormat="1">
      <c r="A16" s="136" t="s">
        <v>234</v>
      </c>
      <c r="B16" s="135" t="s">
        <v>75</v>
      </c>
      <c r="C16" s="51">
        <f>+FACTURACIÓN!I16-'C&amp;A'!J16+SINDICATO!F16-'C&amp;A'!G16</f>
        <v>122.79999999999995</v>
      </c>
      <c r="D16" s="51">
        <v>0</v>
      </c>
      <c r="E16" s="45">
        <f t="shared" si="1"/>
        <v>122.79999999999995</v>
      </c>
      <c r="F16" s="51">
        <f>-FACTURACIÓN!F17</f>
        <v>0</v>
      </c>
      <c r="G16" s="51">
        <v>0</v>
      </c>
      <c r="H16" s="45">
        <v>0</v>
      </c>
      <c r="I16" s="51">
        <v>0</v>
      </c>
      <c r="J16" s="51">
        <v>0</v>
      </c>
      <c r="K16" s="51">
        <f t="shared" si="0"/>
        <v>0</v>
      </c>
      <c r="L16" s="59">
        <f t="shared" si="2"/>
        <v>122.79999999999995</v>
      </c>
    </row>
    <row r="17" spans="1:12" s="50" customFormat="1">
      <c r="A17" s="136" t="s">
        <v>235</v>
      </c>
      <c r="B17" s="135" t="s">
        <v>77</v>
      </c>
      <c r="C17" s="51">
        <f>+FACTURACIÓN!I17-'C&amp;A'!J17+SINDICATO!F17-'C&amp;A'!G17</f>
        <v>2026.6399999999999</v>
      </c>
      <c r="D17" s="51">
        <v>0</v>
      </c>
      <c r="E17" s="45">
        <f t="shared" si="1"/>
        <v>2026.6399999999999</v>
      </c>
      <c r="F17" s="51">
        <f>-FACTURACIÓN!F18</f>
        <v>0</v>
      </c>
      <c r="G17" s="51">
        <v>0</v>
      </c>
      <c r="H17" s="45">
        <f>+FACTURACIÓN!H17</f>
        <v>0</v>
      </c>
      <c r="I17" s="51">
        <v>0</v>
      </c>
      <c r="J17" s="51">
        <v>0</v>
      </c>
      <c r="K17" s="51">
        <f t="shared" si="0"/>
        <v>0</v>
      </c>
      <c r="L17" s="59">
        <f t="shared" si="2"/>
        <v>2026.6399999999999</v>
      </c>
    </row>
    <row r="18" spans="1:12" s="50" customFormat="1">
      <c r="A18" s="136" t="s">
        <v>236</v>
      </c>
      <c r="B18" s="135" t="s">
        <v>78</v>
      </c>
      <c r="C18" s="51">
        <v>0</v>
      </c>
      <c r="D18" s="51">
        <v>0</v>
      </c>
      <c r="E18" s="45">
        <f t="shared" si="1"/>
        <v>0</v>
      </c>
      <c r="F18" s="51">
        <f>-FACTURACIÓN!F19</f>
        <v>0</v>
      </c>
      <c r="G18" s="51">
        <v>0</v>
      </c>
      <c r="H18" s="45">
        <f>+FACTURACIÓN!H18</f>
        <v>0</v>
      </c>
      <c r="I18" s="51">
        <v>0</v>
      </c>
      <c r="J18" s="51">
        <v>0</v>
      </c>
      <c r="K18" s="51">
        <f t="shared" si="0"/>
        <v>0</v>
      </c>
      <c r="L18" s="59">
        <f t="shared" si="2"/>
        <v>0</v>
      </c>
    </row>
    <row r="19" spans="1:12" s="50" customFormat="1">
      <c r="A19" s="136" t="s">
        <v>237</v>
      </c>
      <c r="B19" s="135" t="s">
        <v>79</v>
      </c>
      <c r="C19" s="51">
        <f>+FACTURACIÓN!I19-'C&amp;A'!J19+SINDICATO!F19-'C&amp;A'!G19</f>
        <v>2594.0499999999997</v>
      </c>
      <c r="D19" s="51">
        <v>0</v>
      </c>
      <c r="E19" s="45">
        <f t="shared" si="1"/>
        <v>2594.0499999999997</v>
      </c>
      <c r="F19" s="51">
        <f>-FACTURACIÓN!F21</f>
        <v>0</v>
      </c>
      <c r="G19" s="51">
        <v>0</v>
      </c>
      <c r="H19" s="45">
        <f>+FACTURACIÓN!H19</f>
        <v>498.65</v>
      </c>
      <c r="I19" s="51">
        <v>0</v>
      </c>
      <c r="J19" s="51">
        <v>0</v>
      </c>
      <c r="K19" s="51">
        <f t="shared" si="0"/>
        <v>498.65</v>
      </c>
      <c r="L19" s="59">
        <f t="shared" si="2"/>
        <v>2095.3999999999996</v>
      </c>
    </row>
    <row r="20" spans="1:12" s="50" customFormat="1">
      <c r="A20" s="136" t="s">
        <v>237</v>
      </c>
      <c r="B20" s="135" t="s">
        <v>224</v>
      </c>
      <c r="C20" s="51">
        <f>+FACTURACIÓN!I20-'C&amp;A'!J20+SINDICATO!F20-'C&amp;A'!G20</f>
        <v>122.60000000000002</v>
      </c>
      <c r="D20" s="51">
        <v>0</v>
      </c>
      <c r="E20" s="45">
        <f t="shared" si="1"/>
        <v>122.60000000000002</v>
      </c>
      <c r="F20" s="51">
        <f>-FACTURACIÓN!F22</f>
        <v>0</v>
      </c>
      <c r="G20" s="51">
        <v>0</v>
      </c>
      <c r="H20" s="45">
        <f>+FACTURACIÓN!H20</f>
        <v>0</v>
      </c>
      <c r="I20" s="51">
        <v>0</v>
      </c>
      <c r="J20" s="51">
        <v>0</v>
      </c>
      <c r="K20" s="51">
        <f t="shared" si="0"/>
        <v>0</v>
      </c>
      <c r="L20" s="59">
        <f t="shared" si="2"/>
        <v>122.60000000000002</v>
      </c>
    </row>
    <row r="21" spans="1:12" s="50" customFormat="1">
      <c r="A21" s="136" t="s">
        <v>238</v>
      </c>
      <c r="B21" s="135" t="s">
        <v>81</v>
      </c>
      <c r="C21" s="51">
        <f>+FACTURACIÓN!I21-'C&amp;A'!J21+SINDICATO!F21-'C&amp;A'!G21</f>
        <v>9352.58</v>
      </c>
      <c r="D21" s="51">
        <v>0</v>
      </c>
      <c r="E21" s="45">
        <f t="shared" si="1"/>
        <v>9352.58</v>
      </c>
      <c r="F21" s="51">
        <f>-FACTURACIÓN!F23</f>
        <v>0</v>
      </c>
      <c r="G21" s="51">
        <v>0</v>
      </c>
      <c r="H21" s="45">
        <f>+FACTURACIÓN!H21</f>
        <v>144.03</v>
      </c>
      <c r="I21" s="51">
        <v>1045.415</v>
      </c>
      <c r="J21" s="51">
        <v>0</v>
      </c>
      <c r="K21" s="51">
        <f t="shared" si="0"/>
        <v>1189.4449999999999</v>
      </c>
      <c r="L21" s="59">
        <f t="shared" si="2"/>
        <v>8163.1350000000002</v>
      </c>
    </row>
    <row r="22" spans="1:12" s="50" customFormat="1">
      <c r="A22" s="136" t="s">
        <v>239</v>
      </c>
      <c r="B22" s="135" t="s">
        <v>82</v>
      </c>
      <c r="C22" s="51">
        <f>+FACTURACIÓN!I22-'C&amp;A'!J22+SINDICATO!F22-'C&amp;A'!G22</f>
        <v>20.529999999999859</v>
      </c>
      <c r="D22" s="51">
        <v>0</v>
      </c>
      <c r="E22" s="45">
        <f t="shared" si="1"/>
        <v>20.529999999999859</v>
      </c>
      <c r="F22" s="51">
        <f>-FACTURACIÓN!F24</f>
        <v>0</v>
      </c>
      <c r="G22" s="51">
        <v>0</v>
      </c>
      <c r="H22" s="45">
        <f>+FACTURACIÓN!H22</f>
        <v>0</v>
      </c>
      <c r="I22" s="51">
        <v>0</v>
      </c>
      <c r="J22" s="51">
        <v>0</v>
      </c>
      <c r="K22" s="51">
        <f t="shared" si="0"/>
        <v>0</v>
      </c>
      <c r="L22" s="59">
        <f t="shared" si="2"/>
        <v>20.529999999999859</v>
      </c>
    </row>
    <row r="23" spans="1:12" s="50" customFormat="1">
      <c r="A23" s="136" t="s">
        <v>240</v>
      </c>
      <c r="B23" s="135" t="s">
        <v>83</v>
      </c>
      <c r="C23" s="51">
        <f>+FACTURACIÓN!I23-'C&amp;A'!J23+SINDICATO!F23-'C&amp;A'!G23</f>
        <v>2969.6500000000005</v>
      </c>
      <c r="D23" s="51">
        <v>0</v>
      </c>
      <c r="E23" s="45">
        <f t="shared" si="1"/>
        <v>2969.6500000000005</v>
      </c>
      <c r="F23" s="51">
        <f>-FACTURACIÓN!F25</f>
        <v>0</v>
      </c>
      <c r="G23" s="51">
        <v>0</v>
      </c>
      <c r="H23" s="45">
        <f>+FACTURACIÓN!H23</f>
        <v>0</v>
      </c>
      <c r="I23" s="51">
        <v>0</v>
      </c>
      <c r="J23" s="51">
        <v>0</v>
      </c>
      <c r="K23" s="51">
        <f t="shared" si="0"/>
        <v>0</v>
      </c>
      <c r="L23" s="59">
        <f t="shared" si="2"/>
        <v>2969.6500000000005</v>
      </c>
    </row>
    <row r="24" spans="1:12" s="50" customFormat="1">
      <c r="A24" s="136" t="s">
        <v>241</v>
      </c>
      <c r="B24" s="135" t="s">
        <v>84</v>
      </c>
      <c r="C24" s="51">
        <f>+FACTURACIÓN!I24-'C&amp;A'!J24+SINDICATO!F24-'C&amp;A'!G24</f>
        <v>3738.61</v>
      </c>
      <c r="D24" s="51">
        <v>0</v>
      </c>
      <c r="E24" s="45">
        <f t="shared" si="1"/>
        <v>3738.61</v>
      </c>
      <c r="F24" s="51">
        <f>-FACTURACIÓN!F26</f>
        <v>0</v>
      </c>
      <c r="G24" s="51">
        <v>0</v>
      </c>
      <c r="H24" s="45">
        <f>+FACTURACIÓN!H24</f>
        <v>0</v>
      </c>
      <c r="I24" s="51">
        <v>0</v>
      </c>
      <c r="J24" s="51">
        <v>0</v>
      </c>
      <c r="K24" s="51">
        <f t="shared" si="0"/>
        <v>0</v>
      </c>
      <c r="L24" s="59">
        <f t="shared" si="2"/>
        <v>3738.61</v>
      </c>
    </row>
    <row r="25" spans="1:12" s="50" customFormat="1">
      <c r="A25" s="136" t="s">
        <v>242</v>
      </c>
      <c r="B25" s="135" t="s">
        <v>85</v>
      </c>
      <c r="C25" s="51">
        <v>0</v>
      </c>
      <c r="D25" s="51">
        <v>0</v>
      </c>
      <c r="E25" s="45">
        <f t="shared" si="1"/>
        <v>0</v>
      </c>
      <c r="F25" s="51">
        <f>-FACTURACIÓN!F27</f>
        <v>0</v>
      </c>
      <c r="G25" s="51">
        <v>0</v>
      </c>
      <c r="H25" s="45">
        <v>0</v>
      </c>
      <c r="I25" s="51">
        <v>0</v>
      </c>
      <c r="J25" s="51">
        <v>0</v>
      </c>
      <c r="K25" s="51">
        <f t="shared" si="0"/>
        <v>0</v>
      </c>
      <c r="L25" s="59">
        <f t="shared" si="2"/>
        <v>0</v>
      </c>
    </row>
    <row r="26" spans="1:12" s="50" customFormat="1">
      <c r="A26" s="136" t="s">
        <v>243</v>
      </c>
      <c r="B26" s="135" t="s">
        <v>87</v>
      </c>
      <c r="C26" s="51">
        <f>+FACTURACIÓN!I26-'C&amp;A'!J26+SINDICATO!F26-'C&amp;A'!G26</f>
        <v>2292</v>
      </c>
      <c r="D26" s="51">
        <v>0</v>
      </c>
      <c r="E26" s="45">
        <f t="shared" si="1"/>
        <v>2292</v>
      </c>
      <c r="F26" s="51">
        <f>-FACTURACIÓN!F28</f>
        <v>0</v>
      </c>
      <c r="G26" s="51">
        <v>0</v>
      </c>
      <c r="H26" s="45">
        <f>+FACTURACIÓN!H26</f>
        <v>89.36</v>
      </c>
      <c r="I26" s="51">
        <v>0</v>
      </c>
      <c r="J26" s="51">
        <v>0</v>
      </c>
      <c r="K26" s="51">
        <f t="shared" si="0"/>
        <v>89.36</v>
      </c>
      <c r="L26" s="59">
        <f t="shared" si="2"/>
        <v>2202.64</v>
      </c>
    </row>
    <row r="27" spans="1:12" s="50" customFormat="1">
      <c r="A27" s="136" t="s">
        <v>244</v>
      </c>
      <c r="B27" s="135" t="s">
        <v>89</v>
      </c>
      <c r="C27" s="51">
        <f>+FACTURACIÓN!I27-'C&amp;A'!J27+SINDICATO!F27-'C&amp;A'!G27</f>
        <v>3787.47</v>
      </c>
      <c r="D27" s="51">
        <v>0</v>
      </c>
      <c r="E27" s="45">
        <f t="shared" si="1"/>
        <v>3787.47</v>
      </c>
      <c r="F27" s="51">
        <f>-FACTURACIÓN!F29</f>
        <v>0</v>
      </c>
      <c r="G27" s="51">
        <v>0</v>
      </c>
      <c r="H27" s="45">
        <f>+FACTURACIÓN!H27</f>
        <v>0</v>
      </c>
      <c r="I27" s="51">
        <v>0</v>
      </c>
      <c r="J27" s="51">
        <v>0</v>
      </c>
      <c r="K27" s="51">
        <f t="shared" si="0"/>
        <v>0</v>
      </c>
      <c r="L27" s="59">
        <f t="shared" si="2"/>
        <v>3787.47</v>
      </c>
    </row>
    <row r="28" spans="1:12" s="50" customFormat="1">
      <c r="A28" s="136" t="s">
        <v>245</v>
      </c>
      <c r="B28" s="135" t="s">
        <v>90</v>
      </c>
      <c r="C28" s="51">
        <f>+FACTURACIÓN!I28-'C&amp;A'!J28+SINDICATO!F28-'C&amp;A'!G28</f>
        <v>532.19999999999993</v>
      </c>
      <c r="D28" s="51">
        <v>0</v>
      </c>
      <c r="E28" s="45">
        <f t="shared" si="1"/>
        <v>532.19999999999993</v>
      </c>
      <c r="F28" s="51">
        <f>-FACTURACIÓN!F30</f>
        <v>0</v>
      </c>
      <c r="G28" s="51">
        <v>0</v>
      </c>
      <c r="H28" s="45">
        <f>+FACTURACIÓN!H28</f>
        <v>0</v>
      </c>
      <c r="I28" s="51">
        <v>0</v>
      </c>
      <c r="J28" s="51">
        <v>0</v>
      </c>
      <c r="K28" s="51">
        <f t="shared" si="0"/>
        <v>0</v>
      </c>
      <c r="L28" s="59">
        <f t="shared" si="2"/>
        <v>532.19999999999993</v>
      </c>
    </row>
    <row r="29" spans="1:12" s="50" customFormat="1">
      <c r="A29" s="136" t="s">
        <v>246</v>
      </c>
      <c r="B29" s="135" t="s">
        <v>92</v>
      </c>
      <c r="C29" s="51">
        <f>+FACTURACIÓN!I29-'C&amp;A'!J29+SINDICATO!F29-'C&amp;A'!G29</f>
        <v>2181.2199999999998</v>
      </c>
      <c r="D29" s="51">
        <v>0</v>
      </c>
      <c r="E29" s="45">
        <f t="shared" si="1"/>
        <v>2181.2199999999998</v>
      </c>
      <c r="F29" s="51">
        <f>-FACTURACIÓN!F31</f>
        <v>0</v>
      </c>
      <c r="G29" s="51">
        <v>0</v>
      </c>
      <c r="H29" s="45">
        <f>+FACTURACIÓN!H29</f>
        <v>0</v>
      </c>
      <c r="I29" s="51">
        <v>0</v>
      </c>
      <c r="J29" s="51">
        <v>0</v>
      </c>
      <c r="K29" s="51">
        <f t="shared" si="0"/>
        <v>0</v>
      </c>
      <c r="L29" s="59">
        <f t="shared" si="2"/>
        <v>2181.2199999999998</v>
      </c>
    </row>
    <row r="30" spans="1:12" s="50" customFormat="1">
      <c r="A30" s="136" t="s">
        <v>247</v>
      </c>
      <c r="B30" s="135" t="s">
        <v>93</v>
      </c>
      <c r="C30" s="51">
        <f>+FACTURACIÓN!I30-'C&amp;A'!J30+SINDICATO!F30-'C&amp;A'!G30</f>
        <v>2810.6</v>
      </c>
      <c r="D30" s="51">
        <v>0</v>
      </c>
      <c r="E30" s="45">
        <f t="shared" si="1"/>
        <v>2810.6</v>
      </c>
      <c r="F30" s="51">
        <f>-FACTURACIÓN!F32</f>
        <v>0</v>
      </c>
      <c r="G30" s="51">
        <v>0</v>
      </c>
      <c r="H30" s="45">
        <f>+FACTURACIÓN!H30</f>
        <v>0</v>
      </c>
      <c r="I30" s="51">
        <v>0</v>
      </c>
      <c r="J30" s="51">
        <v>0</v>
      </c>
      <c r="K30" s="51">
        <f t="shared" si="0"/>
        <v>0</v>
      </c>
      <c r="L30" s="59">
        <f t="shared" si="2"/>
        <v>2810.6</v>
      </c>
    </row>
    <row r="31" spans="1:12" s="50" customFormat="1">
      <c r="A31" s="136" t="s">
        <v>248</v>
      </c>
      <c r="B31" s="135" t="s">
        <v>94</v>
      </c>
      <c r="C31" s="51">
        <f>+FACTURACIÓN!I31-'C&amp;A'!J31+SINDICATO!F31-'C&amp;A'!G31</f>
        <v>122.79999999999995</v>
      </c>
      <c r="D31" s="51">
        <v>0</v>
      </c>
      <c r="E31" s="45">
        <f t="shared" si="1"/>
        <v>122.79999999999995</v>
      </c>
      <c r="F31" s="51">
        <f>-FACTURACIÓN!F33</f>
        <v>0</v>
      </c>
      <c r="G31" s="51">
        <v>0</v>
      </c>
      <c r="H31" s="45">
        <f>+FACTURACIÓN!H31</f>
        <v>0</v>
      </c>
      <c r="I31" s="51">
        <v>0</v>
      </c>
      <c r="J31" s="51">
        <v>0</v>
      </c>
      <c r="K31" s="51">
        <f t="shared" si="0"/>
        <v>0</v>
      </c>
      <c r="L31" s="59">
        <f t="shared" si="2"/>
        <v>122.79999999999995</v>
      </c>
    </row>
    <row r="32" spans="1:12" s="50" customFormat="1">
      <c r="A32" s="136" t="s">
        <v>249</v>
      </c>
      <c r="B32" s="135" t="s">
        <v>95</v>
      </c>
      <c r="C32" s="51">
        <f>+FACTURACIÓN!I32-'C&amp;A'!J32+SINDICATO!F32-'C&amp;A'!G32</f>
        <v>8681.7800000000007</v>
      </c>
      <c r="D32" s="51">
        <v>0</v>
      </c>
      <c r="E32" s="45">
        <f t="shared" si="1"/>
        <v>8681.7800000000007</v>
      </c>
      <c r="F32" s="51">
        <f>-FACTURACIÓN!F34</f>
        <v>0</v>
      </c>
      <c r="G32" s="51">
        <v>0</v>
      </c>
      <c r="H32" s="45">
        <f>+FACTURACIÓN!H32</f>
        <v>0</v>
      </c>
      <c r="I32" s="51">
        <v>925.89800000000014</v>
      </c>
      <c r="J32" s="51">
        <v>0</v>
      </c>
      <c r="K32" s="51">
        <f t="shared" si="0"/>
        <v>925.89800000000014</v>
      </c>
      <c r="L32" s="59">
        <f t="shared" si="2"/>
        <v>7755.8820000000005</v>
      </c>
    </row>
    <row r="33" spans="1:12" s="50" customFormat="1">
      <c r="A33" s="136" t="s">
        <v>250</v>
      </c>
      <c r="B33" s="135" t="s">
        <v>97</v>
      </c>
      <c r="C33" s="51">
        <f>+FACTURACIÓN!I33-'C&amp;A'!J33+SINDICATO!F33-'C&amp;A'!G33</f>
        <v>2282.1900000000005</v>
      </c>
      <c r="D33" s="51">
        <v>0</v>
      </c>
      <c r="E33" s="45">
        <f t="shared" si="1"/>
        <v>2282.1900000000005</v>
      </c>
      <c r="F33" s="51">
        <f>-FACTURACIÓN!F35</f>
        <v>0</v>
      </c>
      <c r="G33" s="51">
        <v>0</v>
      </c>
      <c r="H33" s="45">
        <f>+FACTURACIÓN!H33</f>
        <v>0</v>
      </c>
      <c r="I33" s="51">
        <v>0</v>
      </c>
      <c r="J33" s="51">
        <v>0</v>
      </c>
      <c r="K33" s="51">
        <f>SUM(F33:J33)</f>
        <v>0</v>
      </c>
      <c r="L33" s="59">
        <f t="shared" si="2"/>
        <v>2282.1900000000005</v>
      </c>
    </row>
    <row r="34" spans="1:12" s="50" customFormat="1">
      <c r="A34" s="136" t="s">
        <v>251</v>
      </c>
      <c r="B34" s="135" t="s">
        <v>99</v>
      </c>
      <c r="C34" s="51">
        <f>+FACTURACIÓN!I34-'C&amp;A'!J34+SINDICATO!F34-'C&amp;A'!G34</f>
        <v>1532.0700000000002</v>
      </c>
      <c r="D34" s="51">
        <v>0</v>
      </c>
      <c r="E34" s="45">
        <f t="shared" si="1"/>
        <v>1532.0700000000002</v>
      </c>
      <c r="F34" s="51">
        <f>-FACTURACIÓN!F37</f>
        <v>0</v>
      </c>
      <c r="G34" s="51">
        <v>0</v>
      </c>
      <c r="H34" s="45">
        <f>+FACTURACIÓN!H34</f>
        <v>134.6</v>
      </c>
      <c r="I34" s="51">
        <v>0</v>
      </c>
      <c r="J34" s="51">
        <v>0</v>
      </c>
      <c r="K34" s="51">
        <f>SUM(F34:J34)</f>
        <v>134.6</v>
      </c>
      <c r="L34" s="59">
        <f t="shared" si="2"/>
        <v>1397.4700000000003</v>
      </c>
    </row>
    <row r="35" spans="1:12" s="50" customFormat="1">
      <c r="A35" s="136" t="s">
        <v>252</v>
      </c>
      <c r="B35" s="135" t="s">
        <v>100</v>
      </c>
      <c r="C35" s="51">
        <v>0</v>
      </c>
      <c r="D35" s="51">
        <v>0</v>
      </c>
      <c r="E35" s="45">
        <f t="shared" si="1"/>
        <v>0</v>
      </c>
      <c r="F35" s="51">
        <f>-FACTURACIÓN!F38</f>
        <v>0</v>
      </c>
      <c r="G35" s="51">
        <v>0</v>
      </c>
      <c r="H35" s="45">
        <f>+FACTURACIÓN!H35</f>
        <v>0</v>
      </c>
      <c r="I35" s="51">
        <v>0</v>
      </c>
      <c r="J35" s="51">
        <v>0</v>
      </c>
      <c r="K35" s="51">
        <f t="shared" ref="K35:K37" si="3">SUM(F35:J35)</f>
        <v>0</v>
      </c>
      <c r="L35" s="59">
        <f t="shared" si="2"/>
        <v>0</v>
      </c>
    </row>
    <row r="36" spans="1:12" s="50" customFormat="1">
      <c r="A36" s="136" t="s">
        <v>253</v>
      </c>
      <c r="B36" s="135" t="s">
        <v>225</v>
      </c>
      <c r="C36" s="51">
        <f>+FACTURACIÓN!I36-'C&amp;A'!J36+SINDICATO!F36-'C&amp;A'!G36</f>
        <v>122.60000000000002</v>
      </c>
      <c r="D36" s="51">
        <v>0</v>
      </c>
      <c r="E36" s="45">
        <f t="shared" si="1"/>
        <v>122.60000000000002</v>
      </c>
      <c r="F36" s="51">
        <f>-FACTURACIÓN!F39</f>
        <v>0</v>
      </c>
      <c r="G36" s="51">
        <v>0</v>
      </c>
      <c r="H36" s="45">
        <f>+FACTURACIÓN!H36</f>
        <v>0</v>
      </c>
      <c r="I36" s="51">
        <v>0</v>
      </c>
      <c r="J36" s="51">
        <v>0</v>
      </c>
      <c r="K36" s="51">
        <f t="shared" si="3"/>
        <v>0</v>
      </c>
      <c r="L36" s="59">
        <f t="shared" si="2"/>
        <v>122.60000000000002</v>
      </c>
    </row>
    <row r="37" spans="1:12" s="53" customFormat="1">
      <c r="A37" s="136" t="s">
        <v>254</v>
      </c>
      <c r="B37" s="135" t="s">
        <v>101</v>
      </c>
      <c r="C37" s="51">
        <v>0</v>
      </c>
      <c r="D37" s="51">
        <v>0</v>
      </c>
      <c r="E37" s="45">
        <f t="shared" si="1"/>
        <v>0</v>
      </c>
      <c r="F37" s="51">
        <f>-FACTURACIÓN!F40</f>
        <v>0</v>
      </c>
      <c r="G37" s="51">
        <v>0</v>
      </c>
      <c r="H37" s="45">
        <f>+FACTURACIÓN!H37</f>
        <v>0</v>
      </c>
      <c r="I37" s="51">
        <v>0</v>
      </c>
      <c r="J37" s="51">
        <v>0</v>
      </c>
      <c r="K37" s="51">
        <f t="shared" si="3"/>
        <v>0</v>
      </c>
      <c r="L37" s="59">
        <f t="shared" si="2"/>
        <v>0</v>
      </c>
    </row>
    <row r="38" spans="1:12" s="55" customFormat="1" ht="14.25">
      <c r="A38" s="52"/>
      <c r="B38" s="53"/>
      <c r="C38" s="53" t="s">
        <v>15</v>
      </c>
      <c r="D38" s="53" t="s">
        <v>15</v>
      </c>
      <c r="E38" s="53" t="s">
        <v>15</v>
      </c>
      <c r="F38" s="53" t="s">
        <v>15</v>
      </c>
      <c r="G38" s="53" t="s">
        <v>15</v>
      </c>
      <c r="H38" s="53" t="s">
        <v>15</v>
      </c>
      <c r="I38" s="53" t="s">
        <v>15</v>
      </c>
      <c r="J38" s="53" t="s">
        <v>15</v>
      </c>
      <c r="K38" s="53" t="s">
        <v>15</v>
      </c>
      <c r="L38" s="53" t="s">
        <v>15</v>
      </c>
    </row>
    <row r="39" spans="1:12" s="50" customFormat="1" ht="15">
      <c r="A39" s="54" t="s">
        <v>16</v>
      </c>
      <c r="B39" s="55" t="s">
        <v>17</v>
      </c>
      <c r="C39" s="56">
        <f t="shared" ref="C39:L39" si="4">SUM(C10:C38)</f>
        <v>61413.36</v>
      </c>
      <c r="D39" s="56">
        <f t="shared" si="4"/>
        <v>0</v>
      </c>
      <c r="E39" s="56">
        <f t="shared" si="4"/>
        <v>61413.36</v>
      </c>
      <c r="F39" s="56">
        <f t="shared" si="4"/>
        <v>0</v>
      </c>
      <c r="G39" s="56">
        <f t="shared" si="4"/>
        <v>0</v>
      </c>
      <c r="H39" s="56">
        <f t="shared" si="4"/>
        <v>2185.2199999999998</v>
      </c>
      <c r="I39" s="56">
        <f t="shared" si="4"/>
        <v>2715.11</v>
      </c>
      <c r="J39" s="56">
        <f t="shared" si="4"/>
        <v>0</v>
      </c>
      <c r="K39" s="56">
        <f t="shared" si="4"/>
        <v>4900.33</v>
      </c>
      <c r="L39" s="56">
        <f t="shared" si="4"/>
        <v>56513.03</v>
      </c>
    </row>
    <row r="40" spans="1:1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>
      <c r="C41" s="2" t="s">
        <v>17</v>
      </c>
      <c r="D41" s="2" t="s">
        <v>17</v>
      </c>
      <c r="E41" s="2" t="s">
        <v>17</v>
      </c>
      <c r="F41" s="2" t="s">
        <v>17</v>
      </c>
      <c r="G41" s="2" t="s">
        <v>17</v>
      </c>
      <c r="H41" s="2" t="s">
        <v>17</v>
      </c>
      <c r="I41" s="2" t="s">
        <v>17</v>
      </c>
      <c r="K41" s="2" t="s">
        <v>17</v>
      </c>
    </row>
    <row r="42" spans="1:12">
      <c r="A42" s="3" t="s">
        <v>17</v>
      </c>
      <c r="B42" s="2" t="s">
        <v>17</v>
      </c>
      <c r="C42" s="9"/>
      <c r="D42" s="9"/>
      <c r="E42" s="9"/>
      <c r="F42" s="9"/>
      <c r="G42" s="9"/>
      <c r="H42" s="9"/>
      <c r="I42" s="9"/>
      <c r="J42" s="39"/>
      <c r="K42" s="9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09" workbookViewId="0">
      <selection activeCell="A109" sqref="A1:XFD1048576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topLeftCell="A4" workbookViewId="0">
      <selection activeCell="C29" sqref="C29"/>
    </sheetView>
  </sheetViews>
  <sheetFormatPr baseColWidth="10" defaultRowHeight="15"/>
  <cols>
    <col min="1" max="1" width="11.42578125" style="33"/>
    <col min="2" max="2" width="25.85546875" style="33" bestFit="1" customWidth="1"/>
    <col min="3" max="3" width="11.42578125" style="42"/>
    <col min="4" max="16384" width="11.42578125" style="33"/>
  </cols>
  <sheetData>
    <row r="1" spans="1:3">
      <c r="A1" s="33" t="s">
        <v>18</v>
      </c>
      <c r="B1" s="33" t="s">
        <v>117</v>
      </c>
      <c r="C1" s="42" t="s">
        <v>118</v>
      </c>
    </row>
    <row r="2" spans="1:3">
      <c r="A2" s="33" t="s">
        <v>19</v>
      </c>
      <c r="B2" s="33" t="s">
        <v>119</v>
      </c>
      <c r="C2" s="42" t="s">
        <v>19</v>
      </c>
    </row>
    <row r="3" spans="1:3">
      <c r="A3" s="40" t="s">
        <v>44</v>
      </c>
      <c r="B3" s="40" t="s">
        <v>128</v>
      </c>
      <c r="C3" s="41">
        <v>0</v>
      </c>
    </row>
    <row r="4" spans="1:3">
      <c r="A4" s="40" t="s">
        <v>46</v>
      </c>
      <c r="B4" s="40" t="s">
        <v>129</v>
      </c>
      <c r="C4" s="41">
        <v>0</v>
      </c>
    </row>
    <row r="5" spans="1:3">
      <c r="A5" s="40" t="s">
        <v>47</v>
      </c>
      <c r="B5" s="40" t="s">
        <v>130</v>
      </c>
      <c r="C5" s="41">
        <v>0</v>
      </c>
    </row>
    <row r="6" spans="1:3">
      <c r="A6" s="40" t="s">
        <v>43</v>
      </c>
      <c r="B6" s="40" t="s">
        <v>127</v>
      </c>
      <c r="C6" s="41">
        <v>134.46</v>
      </c>
    </row>
    <row r="7" spans="1:3">
      <c r="A7" s="40" t="s">
        <v>38</v>
      </c>
      <c r="B7" s="40" t="s">
        <v>120</v>
      </c>
      <c r="C7" s="41">
        <v>0</v>
      </c>
    </row>
    <row r="8" spans="1:3">
      <c r="A8" s="40" t="s">
        <v>51</v>
      </c>
      <c r="B8" s="40" t="s">
        <v>131</v>
      </c>
      <c r="C8" s="41">
        <v>134.6</v>
      </c>
    </row>
    <row r="9" spans="1:3">
      <c r="A9" s="40" t="s">
        <v>52</v>
      </c>
      <c r="B9" s="40" t="s">
        <v>132</v>
      </c>
      <c r="C9" s="41">
        <v>240.83</v>
      </c>
    </row>
    <row r="10" spans="1:3">
      <c r="A10" s="40">
        <v>5</v>
      </c>
      <c r="B10" s="40" t="s">
        <v>125</v>
      </c>
      <c r="C10" s="41">
        <v>0</v>
      </c>
    </row>
    <row r="11" spans="1:3">
      <c r="A11" s="40" t="s">
        <v>53</v>
      </c>
      <c r="B11" s="40" t="s">
        <v>133</v>
      </c>
      <c r="C11" s="41">
        <v>0</v>
      </c>
    </row>
    <row r="12" spans="1:3">
      <c r="A12" s="40" t="s">
        <v>40</v>
      </c>
      <c r="B12" s="40" t="s">
        <v>122</v>
      </c>
      <c r="C12" s="41">
        <v>498.65</v>
      </c>
    </row>
    <row r="13" spans="1:3">
      <c r="A13" s="40">
        <v>21</v>
      </c>
      <c r="B13" s="40" t="s">
        <v>126</v>
      </c>
      <c r="C13" s="41">
        <v>144.03</v>
      </c>
    </row>
    <row r="14" spans="1:3">
      <c r="A14" s="40" t="s">
        <v>55</v>
      </c>
      <c r="B14" s="40" t="s">
        <v>135</v>
      </c>
      <c r="C14" s="41">
        <v>0</v>
      </c>
    </row>
    <row r="15" spans="1:3">
      <c r="A15" s="40" t="s">
        <v>56</v>
      </c>
      <c r="B15" s="40" t="s">
        <v>136</v>
      </c>
      <c r="C15" s="41">
        <v>0</v>
      </c>
    </row>
    <row r="16" spans="1:3">
      <c r="A16" s="40" t="s">
        <v>54</v>
      </c>
      <c r="B16" s="40" t="s">
        <v>134</v>
      </c>
      <c r="C16" s="41">
        <v>115.26</v>
      </c>
    </row>
    <row r="17" spans="1:3">
      <c r="A17" s="40">
        <v>10</v>
      </c>
      <c r="B17" s="40" t="s">
        <v>121</v>
      </c>
      <c r="C17" s="41">
        <v>89.36</v>
      </c>
    </row>
    <row r="18" spans="1:3">
      <c r="A18" s="40" t="s">
        <v>59</v>
      </c>
      <c r="B18" s="40" t="s">
        <v>140</v>
      </c>
      <c r="C18" s="41">
        <v>0</v>
      </c>
    </row>
    <row r="19" spans="1:3">
      <c r="A19" s="40" t="s">
        <v>137</v>
      </c>
      <c r="B19" s="40" t="s">
        <v>138</v>
      </c>
      <c r="C19" s="41">
        <v>0</v>
      </c>
    </row>
    <row r="20" spans="1:3">
      <c r="A20" s="40" t="s">
        <v>58</v>
      </c>
      <c r="B20" s="40" t="s">
        <v>139</v>
      </c>
      <c r="C20" s="41">
        <v>0</v>
      </c>
    </row>
    <row r="21" spans="1:3">
      <c r="A21" s="40" t="s">
        <v>41</v>
      </c>
      <c r="B21" s="40" t="s">
        <v>123</v>
      </c>
      <c r="C21" s="41">
        <v>0</v>
      </c>
    </row>
    <row r="22" spans="1:3">
      <c r="A22" s="40" t="s">
        <v>61</v>
      </c>
      <c r="B22" s="40" t="s">
        <v>141</v>
      </c>
      <c r="C22" s="41">
        <v>0</v>
      </c>
    </row>
    <row r="23" spans="1:3">
      <c r="A23" s="40" t="s">
        <v>62</v>
      </c>
      <c r="B23" s="40" t="s">
        <v>142</v>
      </c>
      <c r="C23" s="41">
        <v>0</v>
      </c>
    </row>
    <row r="24" spans="1:3">
      <c r="A24" s="40" t="s">
        <v>63</v>
      </c>
      <c r="B24" s="40" t="s">
        <v>143</v>
      </c>
      <c r="C24" s="41">
        <v>0</v>
      </c>
    </row>
    <row r="25" spans="1:3">
      <c r="A25" s="40" t="s">
        <v>65</v>
      </c>
      <c r="B25" s="40" t="s">
        <v>144</v>
      </c>
      <c r="C25" s="41">
        <v>0</v>
      </c>
    </row>
    <row r="26" spans="1:3">
      <c r="A26" s="40" t="s">
        <v>145</v>
      </c>
      <c r="B26" s="40" t="s">
        <v>146</v>
      </c>
      <c r="C26" s="41">
        <v>0</v>
      </c>
    </row>
    <row r="27" spans="1:3">
      <c r="A27" s="40" t="s">
        <v>98</v>
      </c>
      <c r="B27" s="40" t="s">
        <v>147</v>
      </c>
      <c r="C27" s="41">
        <v>786.47</v>
      </c>
    </row>
    <row r="28" spans="1:3">
      <c r="A28" s="40" t="s">
        <v>42</v>
      </c>
      <c r="B28" s="40" t="s">
        <v>124</v>
      </c>
      <c r="C28" s="41">
        <v>134.6</v>
      </c>
    </row>
    <row r="29" spans="1:3">
      <c r="A29" s="40" t="s">
        <v>66</v>
      </c>
      <c r="B29" s="40" t="s">
        <v>148</v>
      </c>
      <c r="C29" s="41">
        <v>898.42</v>
      </c>
    </row>
    <row r="30" spans="1:3">
      <c r="A30" s="40" t="s">
        <v>67</v>
      </c>
      <c r="B30" s="40" t="s">
        <v>149</v>
      </c>
      <c r="C30" s="41">
        <v>0</v>
      </c>
    </row>
  </sheetData>
  <sortState ref="A3:C67">
    <sortCondition ref="B3:B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XFD1048576"/>
    </sheetView>
  </sheetViews>
  <sheetFormatPr baseColWidth="10" defaultRowHeight="15"/>
  <sheetData>
    <row r="1" spans="1:6">
      <c r="A1" s="191" t="s">
        <v>256</v>
      </c>
      <c r="B1" s="191"/>
      <c r="C1" s="192"/>
    </row>
    <row r="2" spans="1:6">
      <c r="A2" s="191" t="s">
        <v>257</v>
      </c>
      <c r="B2" s="191"/>
      <c r="C2" s="192"/>
    </row>
    <row r="3" spans="1:6">
      <c r="A3" s="191" t="s">
        <v>258</v>
      </c>
      <c r="B3" s="193" t="s">
        <v>270</v>
      </c>
      <c r="C3" s="192"/>
    </row>
    <row r="4" spans="1:6">
      <c r="A4" s="191" t="s">
        <v>155</v>
      </c>
      <c r="B4" s="193"/>
      <c r="C4" s="192"/>
    </row>
    <row r="5" spans="1:6">
      <c r="A5" s="192"/>
      <c r="B5" s="192"/>
      <c r="C5" s="192"/>
    </row>
    <row r="6" spans="1:6">
      <c r="A6" s="192" t="s">
        <v>259</v>
      </c>
      <c r="B6" s="192" t="s">
        <v>260</v>
      </c>
      <c r="C6" s="192"/>
    </row>
    <row r="7" spans="1:6">
      <c r="A7" s="194" t="s">
        <v>261</v>
      </c>
      <c r="B7" s="195">
        <v>57712</v>
      </c>
      <c r="C7" s="194"/>
    </row>
    <row r="8" spans="1:6">
      <c r="A8" s="194" t="s">
        <v>262</v>
      </c>
      <c r="B8" s="196">
        <v>13603.38</v>
      </c>
      <c r="C8" s="194"/>
    </row>
    <row r="9" spans="1:6">
      <c r="A9" s="194" t="s">
        <v>263</v>
      </c>
      <c r="B9" s="195"/>
      <c r="C9" s="194"/>
    </row>
    <row r="10" spans="1:6">
      <c r="A10" s="194" t="s">
        <v>264</v>
      </c>
      <c r="B10" s="195">
        <v>1935.23</v>
      </c>
      <c r="C10" s="194"/>
    </row>
    <row r="11" spans="1:6">
      <c r="A11" s="194" t="s">
        <v>265</v>
      </c>
      <c r="B11" s="195"/>
      <c r="C11" s="194"/>
    </row>
    <row r="12" spans="1:6">
      <c r="A12" s="194" t="s">
        <v>266</v>
      </c>
      <c r="B12" s="195">
        <v>9710.09</v>
      </c>
      <c r="C12" s="194"/>
    </row>
    <row r="13" spans="1:6" ht="15.75" thickBot="1">
      <c r="A13" s="194" t="s">
        <v>267</v>
      </c>
      <c r="B13" s="197"/>
      <c r="C13" s="194"/>
    </row>
    <row r="14" spans="1:6">
      <c r="A14" s="194"/>
      <c r="B14" s="198">
        <f>SUM(B7:B13)</f>
        <v>82960.7</v>
      </c>
      <c r="C14" s="194"/>
    </row>
    <row r="15" spans="1:6" ht="15.75" thickBot="1">
      <c r="A15" s="194"/>
      <c r="B15" s="199">
        <f>B14*0.16</f>
        <v>13273.712</v>
      </c>
      <c r="C15" s="194"/>
      <c r="F15" s="134"/>
    </row>
    <row r="16" spans="1:6" ht="15.75" thickTop="1">
      <c r="A16" s="194"/>
      <c r="B16" s="200">
        <f>+B14+B15</f>
        <v>96234.411999999997</v>
      </c>
      <c r="C16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INCIDENCIAS</vt:lpstr>
      <vt:lpstr>FACTURACIÓN</vt:lpstr>
      <vt:lpstr>C&amp;A</vt:lpstr>
      <vt:lpstr>SINDICATO</vt:lpstr>
      <vt:lpstr>Hoja3</vt:lpstr>
      <vt:lpstr>Hoja1</vt:lpstr>
      <vt:lpstr>INFONAVIT</vt:lpstr>
      <vt:lpstr>DESGLOSE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cqqusuario</cp:lastModifiedBy>
  <cp:lastPrinted>2016-03-10T18:57:57Z</cp:lastPrinted>
  <dcterms:created xsi:type="dcterms:W3CDTF">2016-01-16T18:25:25Z</dcterms:created>
  <dcterms:modified xsi:type="dcterms:W3CDTF">2016-03-10T19:10:37Z</dcterms:modified>
</cp:coreProperties>
</file>