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tabRatio="750" activeTab="6"/>
  </bookViews>
  <sheets>
    <sheet name="Hoja1" sheetId="12" r:id="rId1"/>
    <sheet name="FACTURACIÓN" sheetId="8" r:id="rId2"/>
    <sheet name="C&amp;A" sheetId="4" r:id="rId3"/>
    <sheet name="SINDICATO" sheetId="2" r:id="rId4"/>
    <sheet name="Hoja2" sheetId="13" r:id="rId5"/>
    <sheet name="Hoja3" sheetId="14" r:id="rId6"/>
    <sheet name="Hoja4" sheetId="15" r:id="rId7"/>
  </sheets>
  <definedNames>
    <definedName name="_xlnm.Print_Area" localSheetId="2">'C&amp;A'!$A$1:$H$71</definedName>
    <definedName name="_xlnm.Print_Area" localSheetId="1">FACTURACIÓN!$A$1:$W$66</definedName>
    <definedName name="_xlnm.Print_Area" localSheetId="4">Hoja2!$A$1:$M$67</definedName>
    <definedName name="_xlnm.Print_Area" localSheetId="3">SINDICATO!$A$1:$M$70</definedName>
  </definedNames>
  <calcPr calcId="145621"/>
</workbook>
</file>

<file path=xl/calcChain.xml><?xml version="1.0" encoding="utf-8"?>
<calcChain xmlns="http://schemas.openxmlformats.org/spreadsheetml/2006/main">
  <c r="D69" i="4" l="1"/>
  <c r="E69" i="4"/>
  <c r="F69" i="4"/>
  <c r="G69" i="4"/>
  <c r="H69" i="4"/>
  <c r="C69" i="4"/>
  <c r="L10" i="15"/>
  <c r="C10" i="15"/>
  <c r="C11" i="15" s="1"/>
  <c r="N66" i="2"/>
  <c r="K66" i="2"/>
  <c r="I66" i="2"/>
  <c r="J66" i="2"/>
  <c r="L66" i="2" s="1"/>
  <c r="C66" i="2"/>
  <c r="D66" i="2"/>
  <c r="G66" i="4"/>
  <c r="D66" i="4"/>
  <c r="H66" i="4" s="1"/>
  <c r="L11" i="15"/>
  <c r="O13" i="14"/>
  <c r="V13" i="14" s="1"/>
  <c r="T10" i="14"/>
  <c r="S10" i="14"/>
  <c r="R10" i="14"/>
  <c r="Q10" i="14"/>
  <c r="P10" i="14"/>
  <c r="N10" i="14"/>
  <c r="M10" i="14"/>
  <c r="L10" i="14"/>
  <c r="K10" i="14"/>
  <c r="J10" i="14"/>
  <c r="O8" i="14"/>
  <c r="Z7" i="14"/>
  <c r="Z10" i="14" s="1"/>
  <c r="U7" i="14"/>
  <c r="U10" i="14" s="1"/>
  <c r="O7" i="14"/>
  <c r="I7" i="14"/>
  <c r="I10" i="14" s="1"/>
  <c r="M66" i="2" l="1"/>
  <c r="X13" i="14"/>
  <c r="Y13" i="14"/>
  <c r="AA13" i="14" s="1"/>
  <c r="AA14" i="14" s="1"/>
  <c r="W13" i="14"/>
  <c r="V7" i="14"/>
  <c r="W8" i="14"/>
  <c r="Y8" i="14"/>
  <c r="AA8" i="14" s="1"/>
  <c r="O10" i="14"/>
  <c r="W7" i="14"/>
  <c r="W10" i="14" s="1"/>
  <c r="W12" i="14" s="1"/>
  <c r="Y7" i="14"/>
  <c r="Y10" i="14" s="1"/>
  <c r="V8" i="14"/>
  <c r="X8" i="14" s="1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10" i="13"/>
  <c r="L66" i="13"/>
  <c r="C66" i="13"/>
  <c r="AA15" i="14" l="1"/>
  <c r="AA16" i="14" s="1"/>
  <c r="AA18" i="14" s="1"/>
  <c r="AA7" i="14"/>
  <c r="AA10" i="14" s="1"/>
  <c r="V10" i="14"/>
  <c r="X7" i="14"/>
  <c r="X10" i="14" s="1"/>
  <c r="L69" i="13"/>
  <c r="L68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62" i="13"/>
  <c r="S63" i="13"/>
  <c r="S64" i="13"/>
  <c r="S65" i="13"/>
  <c r="S10" i="13"/>
  <c r="Z11" i="8" l="1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10" i="8"/>
  <c r="E69" i="2"/>
  <c r="F69" i="2"/>
  <c r="G69" i="2"/>
  <c r="H69" i="2"/>
  <c r="I69" i="2"/>
  <c r="J69" i="2"/>
  <c r="K69" i="2"/>
  <c r="L69" i="2"/>
  <c r="G11" i="4"/>
  <c r="H11" i="4"/>
  <c r="G12" i="4"/>
  <c r="H12" i="4"/>
  <c r="C12" i="2" s="1"/>
  <c r="D12" i="2" s="1"/>
  <c r="G13" i="4"/>
  <c r="H13" i="4"/>
  <c r="G14" i="4"/>
  <c r="H14" i="4"/>
  <c r="C14" i="2" s="1"/>
  <c r="G15" i="4"/>
  <c r="H15" i="4"/>
  <c r="G16" i="4"/>
  <c r="H16" i="4"/>
  <c r="C16" i="2" s="1"/>
  <c r="D16" i="2" s="1"/>
  <c r="G17" i="4"/>
  <c r="H17" i="4"/>
  <c r="G18" i="4"/>
  <c r="H18" i="4"/>
  <c r="G19" i="4"/>
  <c r="H19" i="4"/>
  <c r="C19" i="2" s="1"/>
  <c r="G20" i="4"/>
  <c r="H20" i="4"/>
  <c r="G21" i="4"/>
  <c r="H21" i="4"/>
  <c r="G22" i="4"/>
  <c r="H22" i="4"/>
  <c r="C22" i="2" s="1"/>
  <c r="D22" i="2" s="1"/>
  <c r="G23" i="4"/>
  <c r="H23" i="4"/>
  <c r="G24" i="4"/>
  <c r="H24" i="4"/>
  <c r="C24" i="2" s="1"/>
  <c r="G25" i="4"/>
  <c r="H25" i="4"/>
  <c r="G26" i="4"/>
  <c r="H26" i="4"/>
  <c r="C26" i="2" s="1"/>
  <c r="D26" i="2" s="1"/>
  <c r="G27" i="4"/>
  <c r="H27" i="4"/>
  <c r="G28" i="4"/>
  <c r="H28" i="4"/>
  <c r="C28" i="2" s="1"/>
  <c r="G29" i="4"/>
  <c r="H29" i="4"/>
  <c r="G30" i="4"/>
  <c r="H30" i="4"/>
  <c r="C30" i="2" s="1"/>
  <c r="D30" i="2" s="1"/>
  <c r="G31" i="4"/>
  <c r="H31" i="4"/>
  <c r="G32" i="4"/>
  <c r="H32" i="4"/>
  <c r="C32" i="2" s="1"/>
  <c r="G33" i="4"/>
  <c r="H33" i="4"/>
  <c r="G34" i="4"/>
  <c r="H34" i="4"/>
  <c r="C34" i="2" s="1"/>
  <c r="D34" i="2" s="1"/>
  <c r="G35" i="4"/>
  <c r="H35" i="4"/>
  <c r="G36" i="4"/>
  <c r="H36" i="4"/>
  <c r="C36" i="2" s="1"/>
  <c r="G37" i="4"/>
  <c r="H37" i="4"/>
  <c r="G38" i="4"/>
  <c r="H38" i="4"/>
  <c r="C38" i="2" s="1"/>
  <c r="D38" i="2" s="1"/>
  <c r="G39" i="4"/>
  <c r="H39" i="4"/>
  <c r="G40" i="4"/>
  <c r="H40" i="4"/>
  <c r="C40" i="2" s="1"/>
  <c r="G41" i="4"/>
  <c r="H41" i="4"/>
  <c r="G42" i="4"/>
  <c r="H42" i="4"/>
  <c r="C42" i="2" s="1"/>
  <c r="D42" i="2" s="1"/>
  <c r="G43" i="4"/>
  <c r="H43" i="4"/>
  <c r="G44" i="4"/>
  <c r="H44" i="4"/>
  <c r="C44" i="2" s="1"/>
  <c r="G45" i="4"/>
  <c r="H45" i="4"/>
  <c r="G46" i="4"/>
  <c r="H46" i="4"/>
  <c r="C46" i="2" s="1"/>
  <c r="D46" i="2" s="1"/>
  <c r="G47" i="4"/>
  <c r="H47" i="4"/>
  <c r="G48" i="4"/>
  <c r="H48" i="4"/>
  <c r="C48" i="2" s="1"/>
  <c r="G49" i="4"/>
  <c r="H49" i="4"/>
  <c r="G50" i="4"/>
  <c r="H50" i="4"/>
  <c r="C50" i="2" s="1"/>
  <c r="D50" i="2" s="1"/>
  <c r="G51" i="4"/>
  <c r="H51" i="4"/>
  <c r="G52" i="4"/>
  <c r="H52" i="4"/>
  <c r="C52" i="2" s="1"/>
  <c r="G53" i="4"/>
  <c r="H53" i="4"/>
  <c r="G54" i="4"/>
  <c r="H54" i="4"/>
  <c r="C54" i="2" s="1"/>
  <c r="D54" i="2" s="1"/>
  <c r="G55" i="4"/>
  <c r="H55" i="4"/>
  <c r="G56" i="4"/>
  <c r="H56" i="4"/>
  <c r="C56" i="2" s="1"/>
  <c r="G57" i="4"/>
  <c r="H57" i="4"/>
  <c r="G58" i="4"/>
  <c r="H58" i="4"/>
  <c r="C58" i="2" s="1"/>
  <c r="D58" i="2" s="1"/>
  <c r="G59" i="4"/>
  <c r="H59" i="4"/>
  <c r="G60" i="4"/>
  <c r="H60" i="4"/>
  <c r="C60" i="2" s="1"/>
  <c r="G61" i="4"/>
  <c r="H61" i="4"/>
  <c r="G62" i="4"/>
  <c r="H62" i="4"/>
  <c r="C62" i="2" s="1"/>
  <c r="D62" i="2" s="1"/>
  <c r="G63" i="4"/>
  <c r="H63" i="4"/>
  <c r="G64" i="4"/>
  <c r="H64" i="4"/>
  <c r="C64" i="2" s="1"/>
  <c r="G65" i="4"/>
  <c r="H65" i="4"/>
  <c r="H10" i="4"/>
  <c r="G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10" i="4"/>
  <c r="E44" i="4"/>
  <c r="C44" i="4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M31" i="2" s="1"/>
  <c r="L32" i="2"/>
  <c r="L33" i="2"/>
  <c r="L34" i="2"/>
  <c r="L35" i="2"/>
  <c r="M35" i="2" s="1"/>
  <c r="L36" i="2"/>
  <c r="L37" i="2"/>
  <c r="L38" i="2"/>
  <c r="L39" i="2"/>
  <c r="M39" i="2" s="1"/>
  <c r="L40" i="2"/>
  <c r="L41" i="2"/>
  <c r="L42" i="2"/>
  <c r="L43" i="2"/>
  <c r="M43" i="2" s="1"/>
  <c r="L44" i="2"/>
  <c r="L45" i="2"/>
  <c r="L46" i="2"/>
  <c r="L47" i="2"/>
  <c r="M47" i="2" s="1"/>
  <c r="L48" i="2"/>
  <c r="L49" i="2"/>
  <c r="L50" i="2"/>
  <c r="L51" i="2"/>
  <c r="M51" i="2" s="1"/>
  <c r="L52" i="2"/>
  <c r="L53" i="2"/>
  <c r="L54" i="2"/>
  <c r="L55" i="2"/>
  <c r="M55" i="2" s="1"/>
  <c r="L56" i="2"/>
  <c r="L57" i="2"/>
  <c r="L58" i="2"/>
  <c r="L59" i="2"/>
  <c r="M59" i="2" s="1"/>
  <c r="L60" i="2"/>
  <c r="L61" i="2"/>
  <c r="L62" i="2"/>
  <c r="L63" i="2"/>
  <c r="M63" i="2" s="1"/>
  <c r="L64" i="2"/>
  <c r="L65" i="2"/>
  <c r="L10" i="2"/>
  <c r="D14" i="2"/>
  <c r="D19" i="2"/>
  <c r="D24" i="2"/>
  <c r="D28" i="2"/>
  <c r="D32" i="2"/>
  <c r="D36" i="2"/>
  <c r="D40" i="2"/>
  <c r="D44" i="2"/>
  <c r="D48" i="2"/>
  <c r="D52" i="2"/>
  <c r="D56" i="2"/>
  <c r="D60" i="2"/>
  <c r="D64" i="2"/>
  <c r="AX10" i="8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F10" i="2"/>
  <c r="G10" i="2"/>
  <c r="H10" i="2"/>
  <c r="I10" i="2"/>
  <c r="J10" i="2"/>
  <c r="K10" i="2"/>
  <c r="E10" i="2"/>
  <c r="C11" i="2"/>
  <c r="D11" i="2" s="1"/>
  <c r="C13" i="2"/>
  <c r="D13" i="2" s="1"/>
  <c r="C15" i="2"/>
  <c r="D15" i="2" s="1"/>
  <c r="C18" i="2"/>
  <c r="D18" i="2" s="1"/>
  <c r="C21" i="2"/>
  <c r="D21" i="2" s="1"/>
  <c r="C23" i="2"/>
  <c r="D23" i="2" s="1"/>
  <c r="C25" i="2"/>
  <c r="D25" i="2" s="1"/>
  <c r="C29" i="2"/>
  <c r="D29" i="2" s="1"/>
  <c r="C31" i="2"/>
  <c r="D31" i="2" s="1"/>
  <c r="C33" i="2"/>
  <c r="D33" i="2" s="1"/>
  <c r="C35" i="2"/>
  <c r="D35" i="2" s="1"/>
  <c r="C37" i="2"/>
  <c r="D37" i="2" s="1"/>
  <c r="C39" i="2"/>
  <c r="D39" i="2" s="1"/>
  <c r="C41" i="2"/>
  <c r="D41" i="2" s="1"/>
  <c r="C43" i="2"/>
  <c r="D43" i="2" s="1"/>
  <c r="C45" i="2"/>
  <c r="D45" i="2" s="1"/>
  <c r="C47" i="2"/>
  <c r="D47" i="2" s="1"/>
  <c r="C49" i="2"/>
  <c r="D49" i="2" s="1"/>
  <c r="C51" i="2"/>
  <c r="D51" i="2" s="1"/>
  <c r="C53" i="2"/>
  <c r="D53" i="2" s="1"/>
  <c r="C55" i="2"/>
  <c r="D55" i="2" s="1"/>
  <c r="C57" i="2"/>
  <c r="D57" i="2" s="1"/>
  <c r="C59" i="2"/>
  <c r="D59" i="2" s="1"/>
  <c r="C61" i="2"/>
  <c r="D61" i="2" s="1"/>
  <c r="C63" i="2"/>
  <c r="D63" i="2" s="1"/>
  <c r="C65" i="2"/>
  <c r="D65" i="2" s="1"/>
  <c r="C10" i="2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10" i="8"/>
  <c r="AA7" i="12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10" i="8"/>
  <c r="I66" i="8"/>
  <c r="J66" i="8"/>
  <c r="K66" i="8"/>
  <c r="L66" i="8"/>
  <c r="M66" i="8"/>
  <c r="I11" i="8"/>
  <c r="J11" i="8"/>
  <c r="I12" i="8"/>
  <c r="J12" i="8"/>
  <c r="I13" i="8"/>
  <c r="J13" i="8"/>
  <c r="Q13" i="8" s="1"/>
  <c r="Y13" i="8" s="1"/>
  <c r="I14" i="8"/>
  <c r="J14" i="8"/>
  <c r="Q14" i="8" s="1"/>
  <c r="I15" i="8"/>
  <c r="J15" i="8"/>
  <c r="I16" i="8"/>
  <c r="J16" i="8"/>
  <c r="I17" i="8"/>
  <c r="J17" i="8"/>
  <c r="Q17" i="8" s="1"/>
  <c r="Y17" i="8" s="1"/>
  <c r="I18" i="8"/>
  <c r="J18" i="8"/>
  <c r="Q18" i="8" s="1"/>
  <c r="I19" i="8"/>
  <c r="J19" i="8"/>
  <c r="I20" i="8"/>
  <c r="J20" i="8"/>
  <c r="I21" i="8"/>
  <c r="J21" i="8"/>
  <c r="Q21" i="8" s="1"/>
  <c r="Y21" i="8" s="1"/>
  <c r="I22" i="8"/>
  <c r="J22" i="8"/>
  <c r="Q22" i="8" s="1"/>
  <c r="Y22" i="8" s="1"/>
  <c r="I23" i="8"/>
  <c r="J23" i="8"/>
  <c r="I24" i="8"/>
  <c r="J24" i="8"/>
  <c r="Q24" i="8" s="1"/>
  <c r="Y24" i="8" s="1"/>
  <c r="I25" i="8"/>
  <c r="J25" i="8"/>
  <c r="I26" i="8"/>
  <c r="J26" i="8"/>
  <c r="Q26" i="8" s="1"/>
  <c r="Y26" i="8" s="1"/>
  <c r="I27" i="8"/>
  <c r="J27" i="8"/>
  <c r="I28" i="8"/>
  <c r="J28" i="8"/>
  <c r="Q28" i="8" s="1"/>
  <c r="Y28" i="8" s="1"/>
  <c r="I29" i="8"/>
  <c r="J29" i="8"/>
  <c r="I30" i="8"/>
  <c r="J30" i="8"/>
  <c r="Q30" i="8" s="1"/>
  <c r="Y30" i="8" s="1"/>
  <c r="I31" i="8"/>
  <c r="J31" i="8"/>
  <c r="I32" i="8"/>
  <c r="J32" i="8"/>
  <c r="Q32" i="8" s="1"/>
  <c r="Y32" i="8" s="1"/>
  <c r="I33" i="8"/>
  <c r="J33" i="8"/>
  <c r="I34" i="8"/>
  <c r="J34" i="8"/>
  <c r="Q34" i="8" s="1"/>
  <c r="Y34" i="8" s="1"/>
  <c r="I35" i="8"/>
  <c r="J35" i="8"/>
  <c r="I36" i="8"/>
  <c r="J36" i="8"/>
  <c r="Q36" i="8" s="1"/>
  <c r="Y36" i="8" s="1"/>
  <c r="I37" i="8"/>
  <c r="J37" i="8"/>
  <c r="I38" i="8"/>
  <c r="J38" i="8"/>
  <c r="Q38" i="8" s="1"/>
  <c r="Y38" i="8" s="1"/>
  <c r="I39" i="8"/>
  <c r="J39" i="8"/>
  <c r="I40" i="8"/>
  <c r="J40" i="8"/>
  <c r="Q40" i="8" s="1"/>
  <c r="I41" i="8"/>
  <c r="J41" i="8"/>
  <c r="I42" i="8"/>
  <c r="J42" i="8"/>
  <c r="I43" i="8"/>
  <c r="J43" i="8"/>
  <c r="Q43" i="8" s="1"/>
  <c r="Y43" i="8" s="1"/>
  <c r="I44" i="8"/>
  <c r="J44" i="8"/>
  <c r="Q44" i="8" s="1"/>
  <c r="I45" i="8"/>
  <c r="J45" i="8"/>
  <c r="I46" i="8"/>
  <c r="J46" i="8"/>
  <c r="I47" i="8"/>
  <c r="J47" i="8"/>
  <c r="Q47" i="8" s="1"/>
  <c r="Y47" i="8" s="1"/>
  <c r="I48" i="8"/>
  <c r="J48" i="8"/>
  <c r="Q48" i="8" s="1"/>
  <c r="I49" i="8"/>
  <c r="J49" i="8"/>
  <c r="I50" i="8"/>
  <c r="J50" i="8"/>
  <c r="I51" i="8"/>
  <c r="J51" i="8"/>
  <c r="Q51" i="8" s="1"/>
  <c r="Y51" i="8" s="1"/>
  <c r="I52" i="8"/>
  <c r="J52" i="8"/>
  <c r="Q52" i="8" s="1"/>
  <c r="I53" i="8"/>
  <c r="J53" i="8"/>
  <c r="I54" i="8"/>
  <c r="J54" i="8"/>
  <c r="I55" i="8"/>
  <c r="J55" i="8"/>
  <c r="Q55" i="8" s="1"/>
  <c r="Y55" i="8" s="1"/>
  <c r="I56" i="8"/>
  <c r="J56" i="8"/>
  <c r="Q56" i="8" s="1"/>
  <c r="I57" i="8"/>
  <c r="J57" i="8"/>
  <c r="I58" i="8"/>
  <c r="J58" i="8"/>
  <c r="I59" i="8"/>
  <c r="J59" i="8"/>
  <c r="Q59" i="8" s="1"/>
  <c r="Y59" i="8" s="1"/>
  <c r="I60" i="8"/>
  <c r="J60" i="8"/>
  <c r="Q60" i="8" s="1"/>
  <c r="I61" i="8"/>
  <c r="J61" i="8"/>
  <c r="I62" i="8"/>
  <c r="J62" i="8"/>
  <c r="I63" i="8"/>
  <c r="J63" i="8"/>
  <c r="Q63" i="8" s="1"/>
  <c r="Y63" i="8" s="1"/>
  <c r="I64" i="8"/>
  <c r="J64" i="8"/>
  <c r="Q64" i="8" s="1"/>
  <c r="I65" i="8"/>
  <c r="J65" i="8"/>
  <c r="J10" i="8"/>
  <c r="I10" i="8"/>
  <c r="I8" i="8"/>
  <c r="Q12" i="8"/>
  <c r="Q16" i="8"/>
  <c r="Q20" i="8"/>
  <c r="Q42" i="8"/>
  <c r="Q46" i="8"/>
  <c r="Q50" i="8"/>
  <c r="Q54" i="8"/>
  <c r="Q58" i="8"/>
  <c r="Q62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AX21" i="8"/>
  <c r="AX11" i="8"/>
  <c r="AX12" i="8"/>
  <c r="X12" i="8" s="1"/>
  <c r="AX13" i="8"/>
  <c r="AX14" i="8"/>
  <c r="X14" i="8" s="1"/>
  <c r="AX15" i="8"/>
  <c r="AX16" i="8"/>
  <c r="X16" i="8" s="1"/>
  <c r="AX17" i="8"/>
  <c r="AX18" i="8"/>
  <c r="X18" i="8" s="1"/>
  <c r="AX19" i="8"/>
  <c r="AX20" i="8"/>
  <c r="X20" i="8" s="1"/>
  <c r="AX22" i="8"/>
  <c r="AX23" i="8"/>
  <c r="AX24" i="8"/>
  <c r="AX25" i="8"/>
  <c r="AX26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X11" i="8"/>
  <c r="X13" i="8"/>
  <c r="X15" i="8"/>
  <c r="X17" i="8"/>
  <c r="X19" i="8"/>
  <c r="X21" i="8"/>
  <c r="X22" i="8"/>
  <c r="X23" i="8"/>
  <c r="X24" i="8"/>
  <c r="X25" i="8"/>
  <c r="X26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54" i="8"/>
  <c r="AO55" i="8"/>
  <c r="AO56" i="8"/>
  <c r="AO57" i="8"/>
  <c r="AO58" i="8"/>
  <c r="AO59" i="8"/>
  <c r="AO60" i="8"/>
  <c r="AO61" i="8"/>
  <c r="AO62" i="8"/>
  <c r="AO63" i="8"/>
  <c r="AO64" i="8"/>
  <c r="AO65" i="8"/>
  <c r="AO10" i="8"/>
  <c r="X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O27" i="8" s="1"/>
  <c r="AX27" i="8" s="1"/>
  <c r="X27" i="8" s="1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10" i="8"/>
  <c r="S10" i="8"/>
  <c r="T11" i="8"/>
  <c r="U11" i="8" s="1"/>
  <c r="V11" i="8" s="1"/>
  <c r="W11" i="8" s="1"/>
  <c r="T12" i="8"/>
  <c r="U12" i="8" s="1"/>
  <c r="V12" i="8" s="1"/>
  <c r="W12" i="8" s="1"/>
  <c r="T13" i="8"/>
  <c r="U13" i="8" s="1"/>
  <c r="V13" i="8" s="1"/>
  <c r="W13" i="8" s="1"/>
  <c r="T14" i="8"/>
  <c r="U14" i="8" s="1"/>
  <c r="V14" i="8" s="1"/>
  <c r="W14" i="8" s="1"/>
  <c r="T15" i="8"/>
  <c r="U15" i="8" s="1"/>
  <c r="V15" i="8" s="1"/>
  <c r="W15" i="8" s="1"/>
  <c r="T16" i="8"/>
  <c r="U16" i="8" s="1"/>
  <c r="V16" i="8" s="1"/>
  <c r="W16" i="8" s="1"/>
  <c r="T17" i="8"/>
  <c r="U17" i="8" s="1"/>
  <c r="V17" i="8" s="1"/>
  <c r="W17" i="8" s="1"/>
  <c r="T18" i="8"/>
  <c r="U18" i="8" s="1"/>
  <c r="V18" i="8" s="1"/>
  <c r="W18" i="8" s="1"/>
  <c r="T19" i="8"/>
  <c r="U19" i="8" s="1"/>
  <c r="V19" i="8" s="1"/>
  <c r="W19" i="8" s="1"/>
  <c r="T20" i="8"/>
  <c r="U20" i="8" s="1"/>
  <c r="V20" i="8" s="1"/>
  <c r="W20" i="8" s="1"/>
  <c r="T21" i="8"/>
  <c r="U21" i="8" s="1"/>
  <c r="V21" i="8" s="1"/>
  <c r="W21" i="8" s="1"/>
  <c r="T22" i="8"/>
  <c r="U22" i="8" s="1"/>
  <c r="V22" i="8" s="1"/>
  <c r="W22" i="8" s="1"/>
  <c r="T23" i="8"/>
  <c r="U23" i="8" s="1"/>
  <c r="V23" i="8" s="1"/>
  <c r="W23" i="8" s="1"/>
  <c r="T24" i="8"/>
  <c r="U24" i="8" s="1"/>
  <c r="V24" i="8" s="1"/>
  <c r="W24" i="8" s="1"/>
  <c r="T25" i="8"/>
  <c r="U25" i="8" s="1"/>
  <c r="V25" i="8" s="1"/>
  <c r="W25" i="8" s="1"/>
  <c r="T26" i="8"/>
  <c r="U26" i="8" s="1"/>
  <c r="V26" i="8" s="1"/>
  <c r="W26" i="8" s="1"/>
  <c r="T27" i="8"/>
  <c r="T28" i="8"/>
  <c r="U28" i="8" s="1"/>
  <c r="V28" i="8" s="1"/>
  <c r="W28" i="8" s="1"/>
  <c r="T29" i="8"/>
  <c r="U29" i="8" s="1"/>
  <c r="V29" i="8" s="1"/>
  <c r="W29" i="8" s="1"/>
  <c r="T30" i="8"/>
  <c r="U30" i="8" s="1"/>
  <c r="V30" i="8" s="1"/>
  <c r="W30" i="8" s="1"/>
  <c r="T31" i="8"/>
  <c r="U31" i="8" s="1"/>
  <c r="V31" i="8" s="1"/>
  <c r="W31" i="8" s="1"/>
  <c r="T32" i="8"/>
  <c r="U32" i="8" s="1"/>
  <c r="V32" i="8" s="1"/>
  <c r="W32" i="8" s="1"/>
  <c r="T33" i="8"/>
  <c r="U33" i="8" s="1"/>
  <c r="V33" i="8" s="1"/>
  <c r="W33" i="8" s="1"/>
  <c r="T34" i="8"/>
  <c r="U34" i="8" s="1"/>
  <c r="V34" i="8" s="1"/>
  <c r="W34" i="8" s="1"/>
  <c r="T35" i="8"/>
  <c r="U35" i="8" s="1"/>
  <c r="V35" i="8" s="1"/>
  <c r="W35" i="8" s="1"/>
  <c r="T36" i="8"/>
  <c r="U36" i="8" s="1"/>
  <c r="V36" i="8" s="1"/>
  <c r="W36" i="8" s="1"/>
  <c r="T37" i="8"/>
  <c r="U37" i="8" s="1"/>
  <c r="V37" i="8" s="1"/>
  <c r="W37" i="8" s="1"/>
  <c r="T38" i="8"/>
  <c r="U38" i="8" s="1"/>
  <c r="V38" i="8" s="1"/>
  <c r="W38" i="8" s="1"/>
  <c r="T39" i="8"/>
  <c r="U39" i="8" s="1"/>
  <c r="V39" i="8" s="1"/>
  <c r="W39" i="8" s="1"/>
  <c r="T40" i="8"/>
  <c r="U40" i="8" s="1"/>
  <c r="V40" i="8" s="1"/>
  <c r="W40" i="8" s="1"/>
  <c r="T41" i="8"/>
  <c r="U41" i="8" s="1"/>
  <c r="V41" i="8" s="1"/>
  <c r="W41" i="8" s="1"/>
  <c r="T42" i="8"/>
  <c r="U42" i="8" s="1"/>
  <c r="V42" i="8" s="1"/>
  <c r="W42" i="8" s="1"/>
  <c r="T43" i="8"/>
  <c r="U43" i="8" s="1"/>
  <c r="V43" i="8" s="1"/>
  <c r="W43" i="8" s="1"/>
  <c r="T45" i="8"/>
  <c r="U45" i="8" s="1"/>
  <c r="V45" i="8" s="1"/>
  <c r="W45" i="8" s="1"/>
  <c r="T46" i="8"/>
  <c r="U46" i="8" s="1"/>
  <c r="V46" i="8" s="1"/>
  <c r="W46" i="8" s="1"/>
  <c r="T47" i="8"/>
  <c r="U47" i="8" s="1"/>
  <c r="V47" i="8" s="1"/>
  <c r="W47" i="8" s="1"/>
  <c r="T48" i="8"/>
  <c r="U48" i="8" s="1"/>
  <c r="V48" i="8" s="1"/>
  <c r="W48" i="8" s="1"/>
  <c r="T49" i="8"/>
  <c r="U49" i="8" s="1"/>
  <c r="V49" i="8" s="1"/>
  <c r="W49" i="8" s="1"/>
  <c r="T50" i="8"/>
  <c r="U50" i="8" s="1"/>
  <c r="V50" i="8" s="1"/>
  <c r="W50" i="8" s="1"/>
  <c r="T51" i="8"/>
  <c r="U51" i="8" s="1"/>
  <c r="V51" i="8" s="1"/>
  <c r="W51" i="8" s="1"/>
  <c r="T52" i="8"/>
  <c r="U52" i="8" s="1"/>
  <c r="V52" i="8" s="1"/>
  <c r="W52" i="8" s="1"/>
  <c r="T53" i="8"/>
  <c r="U53" i="8" s="1"/>
  <c r="V53" i="8" s="1"/>
  <c r="W53" i="8" s="1"/>
  <c r="T54" i="8"/>
  <c r="U54" i="8" s="1"/>
  <c r="V54" i="8" s="1"/>
  <c r="W54" i="8" s="1"/>
  <c r="T55" i="8"/>
  <c r="U55" i="8" s="1"/>
  <c r="V55" i="8" s="1"/>
  <c r="W55" i="8" s="1"/>
  <c r="T56" i="8"/>
  <c r="U56" i="8" s="1"/>
  <c r="V56" i="8" s="1"/>
  <c r="W56" i="8" s="1"/>
  <c r="T57" i="8"/>
  <c r="U57" i="8" s="1"/>
  <c r="V57" i="8" s="1"/>
  <c r="W57" i="8" s="1"/>
  <c r="T58" i="8"/>
  <c r="U58" i="8" s="1"/>
  <c r="V58" i="8" s="1"/>
  <c r="W58" i="8" s="1"/>
  <c r="T59" i="8"/>
  <c r="U59" i="8" s="1"/>
  <c r="V59" i="8" s="1"/>
  <c r="W59" i="8" s="1"/>
  <c r="T60" i="8"/>
  <c r="U60" i="8" s="1"/>
  <c r="V60" i="8" s="1"/>
  <c r="W60" i="8" s="1"/>
  <c r="T61" i="8"/>
  <c r="U61" i="8" s="1"/>
  <c r="V61" i="8" s="1"/>
  <c r="W61" i="8" s="1"/>
  <c r="T62" i="8"/>
  <c r="U62" i="8" s="1"/>
  <c r="V62" i="8" s="1"/>
  <c r="W62" i="8" s="1"/>
  <c r="T63" i="8"/>
  <c r="U63" i="8" s="1"/>
  <c r="V63" i="8" s="1"/>
  <c r="W63" i="8" s="1"/>
  <c r="T64" i="8"/>
  <c r="U64" i="8" s="1"/>
  <c r="V64" i="8" s="1"/>
  <c r="W64" i="8" s="1"/>
  <c r="T65" i="8"/>
  <c r="U65" i="8" s="1"/>
  <c r="V65" i="8" s="1"/>
  <c r="W65" i="8" s="1"/>
  <c r="T10" i="8"/>
  <c r="U10" i="8" s="1"/>
  <c r="Q11" i="8"/>
  <c r="Q15" i="8"/>
  <c r="Y15" i="8" s="1"/>
  <c r="Q19" i="8"/>
  <c r="Y19" i="8" s="1"/>
  <c r="Q23" i="8"/>
  <c r="Y23" i="8" s="1"/>
  <c r="Q25" i="8"/>
  <c r="Y25" i="8" s="1"/>
  <c r="Q29" i="8"/>
  <c r="Y29" i="8" s="1"/>
  <c r="Q31" i="8"/>
  <c r="Y31" i="8" s="1"/>
  <c r="Q33" i="8"/>
  <c r="Y33" i="8" s="1"/>
  <c r="Q35" i="8"/>
  <c r="Y35" i="8" s="1"/>
  <c r="Q37" i="8"/>
  <c r="Y37" i="8" s="1"/>
  <c r="Q41" i="8"/>
  <c r="Y41" i="8" s="1"/>
  <c r="Q45" i="8"/>
  <c r="Y45" i="8" s="1"/>
  <c r="Q49" i="8"/>
  <c r="Y49" i="8" s="1"/>
  <c r="Q53" i="8"/>
  <c r="Y53" i="8" s="1"/>
  <c r="Q57" i="8"/>
  <c r="Y57" i="8" s="1"/>
  <c r="Q61" i="8"/>
  <c r="Y61" i="8" s="1"/>
  <c r="Q65" i="8"/>
  <c r="Y65" i="8" s="1"/>
  <c r="Q10" i="8"/>
  <c r="D66" i="8"/>
  <c r="E66" i="8"/>
  <c r="F66" i="8"/>
  <c r="G66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C27" i="2" s="1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E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79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79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10" i="8"/>
  <c r="J79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79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79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10" i="8"/>
  <c r="M10" i="8"/>
  <c r="D27" i="2" l="1"/>
  <c r="D69" i="2" s="1"/>
  <c r="C69" i="2"/>
  <c r="Q27" i="8"/>
  <c r="Y27" i="8" s="1"/>
  <c r="H66" i="8"/>
  <c r="R27" i="8"/>
  <c r="R66" i="8" s="1"/>
  <c r="M27" i="2"/>
  <c r="M69" i="2" s="1"/>
  <c r="M65" i="2"/>
  <c r="M61" i="2"/>
  <c r="M57" i="2"/>
  <c r="M53" i="2"/>
  <c r="M49" i="2"/>
  <c r="M45" i="2"/>
  <c r="M41" i="2"/>
  <c r="M37" i="2"/>
  <c r="M33" i="2"/>
  <c r="M29" i="2"/>
  <c r="M25" i="2"/>
  <c r="M23" i="2"/>
  <c r="M21" i="2"/>
  <c r="M19" i="2"/>
  <c r="M15" i="2"/>
  <c r="M13" i="2"/>
  <c r="M11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18" i="2"/>
  <c r="M16" i="2"/>
  <c r="M14" i="2"/>
  <c r="M12" i="2"/>
  <c r="T44" i="8"/>
  <c r="U44" i="8" s="1"/>
  <c r="V44" i="8" s="1"/>
  <c r="W44" i="8" s="1"/>
  <c r="V10" i="8"/>
  <c r="W10" i="8" s="1"/>
  <c r="Y64" i="8"/>
  <c r="Y62" i="8"/>
  <c r="Y60" i="8"/>
  <c r="Y58" i="8"/>
  <c r="Y56" i="8"/>
  <c r="Y54" i="8"/>
  <c r="Y52" i="8"/>
  <c r="Y50" i="8"/>
  <c r="Y48" i="8"/>
  <c r="Y46" i="8"/>
  <c r="Y44" i="8"/>
  <c r="Y42" i="8"/>
  <c r="Y40" i="8"/>
  <c r="Y20" i="8"/>
  <c r="Y18" i="8"/>
  <c r="Y16" i="8"/>
  <c r="Y14" i="8"/>
  <c r="Y12" i="8"/>
  <c r="Y10" i="8"/>
  <c r="Y11" i="8"/>
  <c r="U27" i="8" l="1"/>
  <c r="V27" i="8" s="1"/>
  <c r="W27" i="8" s="1"/>
  <c r="C11" i="8" l="1"/>
  <c r="E11" i="8"/>
  <c r="C12" i="8"/>
  <c r="E12" i="8"/>
  <c r="C13" i="8"/>
  <c r="E13" i="8"/>
  <c r="C14" i="8"/>
  <c r="E14" i="8"/>
  <c r="C15" i="8"/>
  <c r="E15" i="8"/>
  <c r="C16" i="8"/>
  <c r="E16" i="8"/>
  <c r="C17" i="8"/>
  <c r="E17" i="8"/>
  <c r="C18" i="8"/>
  <c r="E18" i="8"/>
  <c r="C19" i="8"/>
  <c r="E19" i="8"/>
  <c r="C20" i="8"/>
  <c r="E20" i="8"/>
  <c r="C21" i="8"/>
  <c r="E21" i="8"/>
  <c r="C22" i="8"/>
  <c r="E22" i="8"/>
  <c r="C23" i="8"/>
  <c r="E23" i="8"/>
  <c r="C24" i="8"/>
  <c r="E24" i="8"/>
  <c r="C25" i="8"/>
  <c r="E25" i="8"/>
  <c r="C26" i="8"/>
  <c r="E26" i="8"/>
  <c r="E27" i="8"/>
  <c r="C28" i="8"/>
  <c r="E28" i="8"/>
  <c r="C29" i="8"/>
  <c r="E29" i="8"/>
  <c r="C30" i="8"/>
  <c r="E30" i="8"/>
  <c r="C31" i="8"/>
  <c r="E31" i="8"/>
  <c r="C32" i="8"/>
  <c r="E32" i="8"/>
  <c r="C33" i="8"/>
  <c r="E33" i="8"/>
  <c r="C34" i="8"/>
  <c r="E34" i="8"/>
  <c r="C35" i="8"/>
  <c r="E35" i="8"/>
  <c r="C36" i="8"/>
  <c r="E36" i="8"/>
  <c r="C37" i="8"/>
  <c r="E37" i="8"/>
  <c r="C38" i="8"/>
  <c r="E38" i="8"/>
  <c r="C39" i="8"/>
  <c r="E39" i="8"/>
  <c r="C40" i="8"/>
  <c r="E40" i="8"/>
  <c r="C41" i="8"/>
  <c r="E41" i="8"/>
  <c r="C42" i="8"/>
  <c r="E42" i="8"/>
  <c r="C43" i="8"/>
  <c r="E43" i="8"/>
  <c r="C44" i="8"/>
  <c r="E44" i="8"/>
  <c r="C45" i="8"/>
  <c r="E45" i="8"/>
  <c r="C46" i="8"/>
  <c r="E46" i="8"/>
  <c r="C47" i="8"/>
  <c r="E47" i="8"/>
  <c r="C79" i="8"/>
  <c r="E79" i="8"/>
  <c r="C48" i="8"/>
  <c r="E48" i="8"/>
  <c r="C49" i="8"/>
  <c r="E49" i="8"/>
  <c r="C50" i="8"/>
  <c r="E50" i="8"/>
  <c r="C51" i="8"/>
  <c r="E51" i="8"/>
  <c r="C52" i="8"/>
  <c r="E52" i="8"/>
  <c r="C53" i="8"/>
  <c r="E53" i="8"/>
  <c r="C54" i="8"/>
  <c r="E54" i="8"/>
  <c r="C55" i="8"/>
  <c r="E55" i="8"/>
  <c r="C56" i="8"/>
  <c r="E56" i="8"/>
  <c r="C57" i="8"/>
  <c r="E57" i="8"/>
  <c r="C58" i="8"/>
  <c r="E58" i="8"/>
  <c r="C59" i="8"/>
  <c r="E59" i="8"/>
  <c r="C60" i="8"/>
  <c r="E60" i="8"/>
  <c r="C61" i="8"/>
  <c r="E61" i="8"/>
  <c r="C62" i="8"/>
  <c r="E62" i="8"/>
  <c r="C63" i="8"/>
  <c r="E63" i="8"/>
  <c r="C64" i="8"/>
  <c r="E64" i="8"/>
  <c r="C65" i="8"/>
  <c r="E65" i="8"/>
  <c r="C10" i="8"/>
  <c r="AZ96" i="8"/>
  <c r="AI96" i="8"/>
  <c r="AO96" i="8" s="1"/>
  <c r="AO72" i="8"/>
  <c r="AV72" i="8" s="1"/>
  <c r="AO71" i="8"/>
  <c r="AV71" i="8" s="1"/>
  <c r="AU68" i="8"/>
  <c r="AT68" i="8"/>
  <c r="AS68" i="8"/>
  <c r="AR68" i="8"/>
  <c r="AQ68" i="8"/>
  <c r="AP68" i="8"/>
  <c r="AN68" i="8"/>
  <c r="AM68" i="8"/>
  <c r="AL68" i="8"/>
  <c r="AK68" i="8"/>
  <c r="AJ68" i="8"/>
  <c r="AO66" i="8"/>
  <c r="AY66" i="8" s="1"/>
  <c r="AZ68" i="8"/>
  <c r="Z94" i="12"/>
  <c r="I94" i="12"/>
  <c r="O94" i="12" s="1"/>
  <c r="O70" i="12"/>
  <c r="V70" i="12" s="1"/>
  <c r="O69" i="12"/>
  <c r="V69" i="12" s="1"/>
  <c r="U66" i="12"/>
  <c r="T66" i="12"/>
  <c r="S66" i="12"/>
  <c r="R66" i="12"/>
  <c r="Q66" i="12"/>
  <c r="P66" i="12"/>
  <c r="N66" i="12"/>
  <c r="M66" i="12"/>
  <c r="L66" i="12"/>
  <c r="K66" i="12"/>
  <c r="J66" i="12"/>
  <c r="O64" i="12"/>
  <c r="Y64" i="12" s="1"/>
  <c r="Z63" i="12"/>
  <c r="I63" i="12"/>
  <c r="O63" i="12" s="1"/>
  <c r="Z62" i="12"/>
  <c r="O62" i="12"/>
  <c r="V62" i="12" s="1"/>
  <c r="I62" i="12"/>
  <c r="Z61" i="12"/>
  <c r="I61" i="12"/>
  <c r="O61" i="12" s="1"/>
  <c r="Z60" i="12"/>
  <c r="O60" i="12"/>
  <c r="V60" i="12" s="1"/>
  <c r="I60" i="12"/>
  <c r="Z59" i="12"/>
  <c r="I59" i="12"/>
  <c r="O59" i="12" s="1"/>
  <c r="Z58" i="12"/>
  <c r="O58" i="12"/>
  <c r="V58" i="12" s="1"/>
  <c r="I58" i="12"/>
  <c r="Z57" i="12"/>
  <c r="I57" i="12"/>
  <c r="O57" i="12" s="1"/>
  <c r="Z56" i="12"/>
  <c r="O56" i="12"/>
  <c r="V56" i="12" s="1"/>
  <c r="I56" i="12"/>
  <c r="Z55" i="12"/>
  <c r="I55" i="12"/>
  <c r="O55" i="12" s="1"/>
  <c r="Z54" i="12"/>
  <c r="I54" i="12"/>
  <c r="O54" i="12" s="1"/>
  <c r="Z53" i="12"/>
  <c r="I53" i="12"/>
  <c r="O53" i="12" s="1"/>
  <c r="Z52" i="12"/>
  <c r="I52" i="12"/>
  <c r="O52" i="12" s="1"/>
  <c r="Z51" i="12"/>
  <c r="O51" i="12"/>
  <c r="V51" i="12" s="1"/>
  <c r="I51" i="12"/>
  <c r="Z50" i="12"/>
  <c r="I50" i="12"/>
  <c r="O50" i="12" s="1"/>
  <c r="Z49" i="12"/>
  <c r="O49" i="12"/>
  <c r="V49" i="12" s="1"/>
  <c r="I49" i="12"/>
  <c r="Z48" i="12"/>
  <c r="I48" i="12"/>
  <c r="O48" i="12" s="1"/>
  <c r="Z47" i="12"/>
  <c r="I47" i="12"/>
  <c r="O47" i="12" s="1"/>
  <c r="Z46" i="12"/>
  <c r="I46" i="12"/>
  <c r="O46" i="12" s="1"/>
  <c r="H46" i="12"/>
  <c r="Z45" i="12"/>
  <c r="V45" i="12"/>
  <c r="I45" i="12"/>
  <c r="O45" i="12" s="1"/>
  <c r="Z44" i="12"/>
  <c r="O44" i="12"/>
  <c r="V44" i="12" s="1"/>
  <c r="I44" i="12"/>
  <c r="Z43" i="12"/>
  <c r="I43" i="12"/>
  <c r="O43" i="12" s="1"/>
  <c r="Z42" i="12"/>
  <c r="O42" i="12"/>
  <c r="V42" i="12" s="1"/>
  <c r="I42" i="12"/>
  <c r="Z41" i="12"/>
  <c r="I41" i="12"/>
  <c r="O41" i="12" s="1"/>
  <c r="Z40" i="12"/>
  <c r="O40" i="12"/>
  <c r="V40" i="12" s="1"/>
  <c r="I40" i="12"/>
  <c r="Z39" i="12"/>
  <c r="I39" i="12"/>
  <c r="O39" i="12" s="1"/>
  <c r="H39" i="12"/>
  <c r="Z38" i="12"/>
  <c r="I38" i="12"/>
  <c r="O38" i="12" s="1"/>
  <c r="Z37" i="12"/>
  <c r="O37" i="12"/>
  <c r="V37" i="12" s="1"/>
  <c r="I37" i="12"/>
  <c r="Z36" i="12"/>
  <c r="I36" i="12"/>
  <c r="O36" i="12" s="1"/>
  <c r="Z35" i="12"/>
  <c r="O35" i="12"/>
  <c r="V35" i="12" s="1"/>
  <c r="I35" i="12"/>
  <c r="Z34" i="12"/>
  <c r="I34" i="12"/>
  <c r="O34" i="12" s="1"/>
  <c r="Z33" i="12"/>
  <c r="O33" i="12"/>
  <c r="V33" i="12" s="1"/>
  <c r="I33" i="12"/>
  <c r="Z32" i="12"/>
  <c r="I32" i="12"/>
  <c r="O32" i="12" s="1"/>
  <c r="Z31" i="12"/>
  <c r="O31" i="12"/>
  <c r="V31" i="12" s="1"/>
  <c r="I31" i="12"/>
  <c r="Z30" i="12"/>
  <c r="I30" i="12"/>
  <c r="O30" i="12" s="1"/>
  <c r="Z29" i="12"/>
  <c r="O29" i="12"/>
  <c r="V29" i="12" s="1"/>
  <c r="I29" i="12"/>
  <c r="Z28" i="12"/>
  <c r="I28" i="12"/>
  <c r="O28" i="12" s="1"/>
  <c r="Z27" i="12"/>
  <c r="O27" i="12"/>
  <c r="V27" i="12" s="1"/>
  <c r="I27" i="12"/>
  <c r="Z26" i="12"/>
  <c r="I26" i="12"/>
  <c r="O26" i="12" s="1"/>
  <c r="Z25" i="12"/>
  <c r="O25" i="12"/>
  <c r="V25" i="12" s="1"/>
  <c r="I25" i="12"/>
  <c r="O24" i="12"/>
  <c r="I24" i="12"/>
  <c r="Z23" i="12"/>
  <c r="I23" i="12"/>
  <c r="O23" i="12" s="1"/>
  <c r="Z22" i="12"/>
  <c r="O22" i="12"/>
  <c r="V22" i="12" s="1"/>
  <c r="I22" i="12"/>
  <c r="Z21" i="12"/>
  <c r="I21" i="12"/>
  <c r="O21" i="12" s="1"/>
  <c r="Z20" i="12"/>
  <c r="I20" i="12"/>
  <c r="O20" i="12" s="1"/>
  <c r="Z19" i="12"/>
  <c r="O19" i="12"/>
  <c r="V19" i="12" s="1"/>
  <c r="I19" i="12"/>
  <c r="Z18" i="12"/>
  <c r="I18" i="12"/>
  <c r="O18" i="12" s="1"/>
  <c r="V18" i="12" s="1"/>
  <c r="Z17" i="12"/>
  <c r="O17" i="12"/>
  <c r="V17" i="12" s="1"/>
  <c r="I17" i="12"/>
  <c r="Z16" i="12"/>
  <c r="I16" i="12"/>
  <c r="O16" i="12" s="1"/>
  <c r="Z15" i="12"/>
  <c r="O15" i="12"/>
  <c r="V15" i="12" s="1"/>
  <c r="I15" i="12"/>
  <c r="Z14" i="12"/>
  <c r="I14" i="12"/>
  <c r="O14" i="12" s="1"/>
  <c r="Z13" i="12"/>
  <c r="O13" i="12"/>
  <c r="V13" i="12" s="1"/>
  <c r="I13" i="12"/>
  <c r="Z12" i="12"/>
  <c r="I12" i="12"/>
  <c r="O12" i="12" s="1"/>
  <c r="Z11" i="12"/>
  <c r="O11" i="12"/>
  <c r="V11" i="12" s="1"/>
  <c r="I11" i="12"/>
  <c r="Z10" i="12"/>
  <c r="I10" i="12"/>
  <c r="O10" i="12" s="1"/>
  <c r="Z9" i="12"/>
  <c r="O9" i="12"/>
  <c r="V9" i="12" s="1"/>
  <c r="I9" i="12"/>
  <c r="Z8" i="12"/>
  <c r="I8" i="12"/>
  <c r="O8" i="12" s="1"/>
  <c r="Z7" i="12"/>
  <c r="Z66" i="12" s="1"/>
  <c r="I7" i="12"/>
  <c r="I66" i="12" s="1"/>
  <c r="H5" i="4"/>
  <c r="Z66" i="8"/>
  <c r="Y67" i="8"/>
  <c r="AI68" i="8" l="1"/>
  <c r="AY71" i="8"/>
  <c r="AW71" i="8"/>
  <c r="BA71" i="8"/>
  <c r="AX71" i="8"/>
  <c r="AV96" i="8"/>
  <c r="AY96" i="8"/>
  <c r="BA96" i="8" s="1"/>
  <c r="AW96" i="8"/>
  <c r="AY72" i="8"/>
  <c r="AW72" i="8"/>
  <c r="BA72" i="8"/>
  <c r="AX72" i="8"/>
  <c r="AV66" i="8"/>
  <c r="BA66" i="8"/>
  <c r="AW66" i="8"/>
  <c r="Y8" i="12"/>
  <c r="AA8" i="12" s="1"/>
  <c r="W8" i="12"/>
  <c r="V8" i="12"/>
  <c r="X8" i="12" s="1"/>
  <c r="AD8" i="12" s="1"/>
  <c r="AA12" i="12"/>
  <c r="Y12" i="12"/>
  <c r="W12" i="12"/>
  <c r="V12" i="12"/>
  <c r="Y16" i="12"/>
  <c r="AA16" i="12" s="1"/>
  <c r="W16" i="12"/>
  <c r="V16" i="12"/>
  <c r="X16" i="12" s="1"/>
  <c r="AD16" i="12" s="1"/>
  <c r="AA10" i="12"/>
  <c r="Y10" i="12"/>
  <c r="W10" i="12"/>
  <c r="V10" i="12"/>
  <c r="Y14" i="12"/>
  <c r="AA14" i="12" s="1"/>
  <c r="W14" i="12"/>
  <c r="V14" i="12"/>
  <c r="X14" i="12" s="1"/>
  <c r="AD14" i="12" s="1"/>
  <c r="O7" i="12"/>
  <c r="W9" i="12"/>
  <c r="X9" i="12" s="1"/>
  <c r="AD9" i="12" s="1"/>
  <c r="Y9" i="12"/>
  <c r="AA9" i="12" s="1"/>
  <c r="W11" i="12"/>
  <c r="X11" i="12" s="1"/>
  <c r="AD11" i="12" s="1"/>
  <c r="Y11" i="12"/>
  <c r="AA11" i="12"/>
  <c r="W13" i="12"/>
  <c r="X13" i="12" s="1"/>
  <c r="AD13" i="12" s="1"/>
  <c r="Y13" i="12"/>
  <c r="AA13" i="12" s="1"/>
  <c r="W15" i="12"/>
  <c r="X15" i="12" s="1"/>
  <c r="AD15" i="12" s="1"/>
  <c r="Y15" i="12"/>
  <c r="AA15" i="12"/>
  <c r="Y17" i="12"/>
  <c r="AA17" i="12" s="1"/>
  <c r="Y20" i="12"/>
  <c r="AA20" i="12" s="1"/>
  <c r="W20" i="12"/>
  <c r="V20" i="12"/>
  <c r="X20" i="12" s="1"/>
  <c r="Y21" i="12"/>
  <c r="AA21" i="12" s="1"/>
  <c r="W21" i="12"/>
  <c r="V21" i="12"/>
  <c r="X21" i="12" s="1"/>
  <c r="AD21" i="12" s="1"/>
  <c r="Y26" i="12"/>
  <c r="AA26" i="12" s="1"/>
  <c r="W26" i="12"/>
  <c r="V26" i="12"/>
  <c r="X26" i="12" s="1"/>
  <c r="AD26" i="12" s="1"/>
  <c r="AA30" i="12"/>
  <c r="Y30" i="12"/>
  <c r="W30" i="12"/>
  <c r="V30" i="12"/>
  <c r="Y34" i="12"/>
  <c r="AA34" i="12" s="1"/>
  <c r="W34" i="12"/>
  <c r="V34" i="12"/>
  <c r="X34" i="12" s="1"/>
  <c r="AD34" i="12" s="1"/>
  <c r="AA38" i="12"/>
  <c r="Y38" i="12"/>
  <c r="W38" i="12"/>
  <c r="V38" i="12"/>
  <c r="Y41" i="12"/>
  <c r="AA41" i="12" s="1"/>
  <c r="W41" i="12"/>
  <c r="V41" i="12"/>
  <c r="X41" i="12" s="1"/>
  <c r="AD41" i="12" s="1"/>
  <c r="W17" i="12"/>
  <c r="X17" i="12" s="1"/>
  <c r="AD17" i="12" s="1"/>
  <c r="Y18" i="12"/>
  <c r="AA18" i="12" s="1"/>
  <c r="W18" i="12"/>
  <c r="X18" i="12" s="1"/>
  <c r="AD18" i="12" s="1"/>
  <c r="X22" i="12"/>
  <c r="AD22" i="12" s="1"/>
  <c r="Y23" i="12"/>
  <c r="AA23" i="12" s="1"/>
  <c r="W23" i="12"/>
  <c r="V23" i="12"/>
  <c r="X23" i="12" s="1"/>
  <c r="AD23" i="12" s="1"/>
  <c r="AA28" i="12"/>
  <c r="Y28" i="12"/>
  <c r="W28" i="12"/>
  <c r="V28" i="12"/>
  <c r="X31" i="12"/>
  <c r="AD31" i="12" s="1"/>
  <c r="Y32" i="12"/>
  <c r="AA32" i="12" s="1"/>
  <c r="W32" i="12"/>
  <c r="V32" i="12"/>
  <c r="X32" i="12" s="1"/>
  <c r="AD32" i="12" s="1"/>
  <c r="AA36" i="12"/>
  <c r="Y36" i="12"/>
  <c r="W36" i="12"/>
  <c r="V36" i="12"/>
  <c r="AA39" i="12"/>
  <c r="Y39" i="12"/>
  <c r="W39" i="12"/>
  <c r="V39" i="12"/>
  <c r="Y43" i="12"/>
  <c r="AA43" i="12" s="1"/>
  <c r="W43" i="12"/>
  <c r="V43" i="12"/>
  <c r="X43" i="12" s="1"/>
  <c r="AD43" i="12" s="1"/>
  <c r="W19" i="12"/>
  <c r="X19" i="12" s="1"/>
  <c r="AD19" i="12" s="1"/>
  <c r="Y19" i="12"/>
  <c r="AA19" i="12"/>
  <c r="W22" i="12"/>
  <c r="Y22" i="12"/>
  <c r="AA22" i="12" s="1"/>
  <c r="W24" i="12"/>
  <c r="Y24" i="12"/>
  <c r="AA24" i="12" s="1"/>
  <c r="W25" i="12"/>
  <c r="X25" i="12" s="1"/>
  <c r="AD25" i="12" s="1"/>
  <c r="Y25" i="12"/>
  <c r="AA25" i="12"/>
  <c r="W27" i="12"/>
  <c r="X27" i="12" s="1"/>
  <c r="AD27" i="12" s="1"/>
  <c r="Y27" i="12"/>
  <c r="AA27" i="12" s="1"/>
  <c r="W29" i="12"/>
  <c r="X29" i="12" s="1"/>
  <c r="AD29" i="12" s="1"/>
  <c r="Y29" i="12"/>
  <c r="AA29" i="12"/>
  <c r="W31" i="12"/>
  <c r="Y31" i="12"/>
  <c r="AA31" i="12" s="1"/>
  <c r="W33" i="12"/>
  <c r="X33" i="12" s="1"/>
  <c r="AD33" i="12" s="1"/>
  <c r="Y33" i="12"/>
  <c r="AA33" i="12"/>
  <c r="W35" i="12"/>
  <c r="X35" i="12" s="1"/>
  <c r="AD35" i="12" s="1"/>
  <c r="Y35" i="12"/>
  <c r="AA35" i="12" s="1"/>
  <c r="W37" i="12"/>
  <c r="X37" i="12" s="1"/>
  <c r="AD37" i="12" s="1"/>
  <c r="Y37" i="12"/>
  <c r="AA37" i="12"/>
  <c r="W40" i="12"/>
  <c r="X40" i="12" s="1"/>
  <c r="AD40" i="12" s="1"/>
  <c r="Y40" i="12"/>
  <c r="AA40" i="12" s="1"/>
  <c r="W42" i="12"/>
  <c r="X42" i="12" s="1"/>
  <c r="AD42" i="12" s="1"/>
  <c r="Y42" i="12"/>
  <c r="AA42" i="12"/>
  <c r="W44" i="12"/>
  <c r="X44" i="12" s="1"/>
  <c r="AD44" i="12" s="1"/>
  <c r="Y44" i="12"/>
  <c r="AA44" i="12" s="1"/>
  <c r="AA46" i="12"/>
  <c r="Y46" i="12"/>
  <c r="W46" i="12"/>
  <c r="V46" i="12"/>
  <c r="V47" i="12"/>
  <c r="X47" i="12" s="1"/>
  <c r="AD47" i="12" s="1"/>
  <c r="Y47" i="12"/>
  <c r="AA47" i="12" s="1"/>
  <c r="W47" i="12"/>
  <c r="AA48" i="12"/>
  <c r="Y48" i="12"/>
  <c r="W48" i="12"/>
  <c r="V48" i="12"/>
  <c r="Y52" i="12"/>
  <c r="AA52" i="12" s="1"/>
  <c r="W52" i="12"/>
  <c r="V52" i="12"/>
  <c r="X52" i="12" s="1"/>
  <c r="Y53" i="12"/>
  <c r="AA53" i="12" s="1"/>
  <c r="W53" i="12"/>
  <c r="V53" i="12"/>
  <c r="X53" i="12" s="1"/>
  <c r="AD53" i="12" s="1"/>
  <c r="V54" i="12"/>
  <c r="AA54" i="12"/>
  <c r="Y54" i="12"/>
  <c r="W54" i="12"/>
  <c r="Y55" i="12"/>
  <c r="AA55" i="12" s="1"/>
  <c r="W55" i="12"/>
  <c r="V55" i="12"/>
  <c r="X55" i="12" s="1"/>
  <c r="AD55" i="12" s="1"/>
  <c r="AA59" i="12"/>
  <c r="Y59" i="12"/>
  <c r="W59" i="12"/>
  <c r="V59" i="12"/>
  <c r="X62" i="12"/>
  <c r="AD62" i="12" s="1"/>
  <c r="Y63" i="12"/>
  <c r="AA63" i="12" s="1"/>
  <c r="W63" i="12"/>
  <c r="V63" i="12"/>
  <c r="X63" i="12" s="1"/>
  <c r="AD63" i="12" s="1"/>
  <c r="Y69" i="12"/>
  <c r="W69" i="12"/>
  <c r="AA69" i="12"/>
  <c r="X69" i="12"/>
  <c r="V94" i="12"/>
  <c r="AA94" i="12"/>
  <c r="Y94" i="12"/>
  <c r="W94" i="12"/>
  <c r="V24" i="12"/>
  <c r="X24" i="12" s="1"/>
  <c r="AD24" i="12" s="1"/>
  <c r="AA45" i="12"/>
  <c r="Y45" i="12"/>
  <c r="W45" i="12"/>
  <c r="X45" i="12" s="1"/>
  <c r="AD45" i="12" s="1"/>
  <c r="AA50" i="12"/>
  <c r="Y50" i="12"/>
  <c r="W50" i="12"/>
  <c r="V50" i="12"/>
  <c r="Y57" i="12"/>
  <c r="AA57" i="12" s="1"/>
  <c r="W57" i="12"/>
  <c r="V57" i="12"/>
  <c r="X57" i="12" s="1"/>
  <c r="AD57" i="12" s="1"/>
  <c r="AA61" i="12"/>
  <c r="Y61" i="12"/>
  <c r="W61" i="12"/>
  <c r="V61" i="12"/>
  <c r="Y70" i="12"/>
  <c r="AA70" i="12" s="1"/>
  <c r="W70" i="12"/>
  <c r="X70" i="12"/>
  <c r="W49" i="12"/>
  <c r="X49" i="12" s="1"/>
  <c r="AD49" i="12" s="1"/>
  <c r="Y49" i="12"/>
  <c r="AA49" i="12"/>
  <c r="W51" i="12"/>
  <c r="X51" i="12" s="1"/>
  <c r="AD51" i="12" s="1"/>
  <c r="Y51" i="12"/>
  <c r="AA51" i="12" s="1"/>
  <c r="W56" i="12"/>
  <c r="X56" i="12" s="1"/>
  <c r="AD56" i="12" s="1"/>
  <c r="Y56" i="12"/>
  <c r="AA56" i="12"/>
  <c r="W58" i="12"/>
  <c r="X58" i="12" s="1"/>
  <c r="AD58" i="12" s="1"/>
  <c r="Y58" i="12"/>
  <c r="AA58" i="12" s="1"/>
  <c r="W60" i="12"/>
  <c r="X60" i="12" s="1"/>
  <c r="AD60" i="12" s="1"/>
  <c r="Y60" i="12"/>
  <c r="AA60" i="12"/>
  <c r="W62" i="12"/>
  <c r="Y62" i="12"/>
  <c r="AA62" i="12" s="1"/>
  <c r="V64" i="12"/>
  <c r="X64" i="12" s="1"/>
  <c r="AA64" i="12"/>
  <c r="W64" i="12"/>
  <c r="AX96" i="8" l="1"/>
  <c r="BD96" i="8" s="1"/>
  <c r="BA73" i="8"/>
  <c r="AO68" i="8"/>
  <c r="AY68" i="8"/>
  <c r="AW68" i="8"/>
  <c r="AW70" i="8" s="1"/>
  <c r="AX66" i="8"/>
  <c r="O66" i="12"/>
  <c r="V7" i="12"/>
  <c r="Y7" i="12"/>
  <c r="Y66" i="12" s="1"/>
  <c r="W7" i="12"/>
  <c r="W66" i="12" s="1"/>
  <c r="W68" i="12" s="1"/>
  <c r="X61" i="12"/>
  <c r="AD61" i="12" s="1"/>
  <c r="X50" i="12"/>
  <c r="AD50" i="12" s="1"/>
  <c r="X94" i="12"/>
  <c r="AD94" i="12" s="1"/>
  <c r="AA71" i="12"/>
  <c r="X59" i="12"/>
  <c r="AD59" i="12" s="1"/>
  <c r="X54" i="12"/>
  <c r="AD54" i="12" s="1"/>
  <c r="X48" i="12"/>
  <c r="AD48" i="12" s="1"/>
  <c r="X46" i="12"/>
  <c r="AD46" i="12" s="1"/>
  <c r="X39" i="12"/>
  <c r="AD39" i="12" s="1"/>
  <c r="X36" i="12"/>
  <c r="AD36" i="12" s="1"/>
  <c r="X28" i="12"/>
  <c r="AD28" i="12" s="1"/>
  <c r="X38" i="12"/>
  <c r="AD38" i="12" s="1"/>
  <c r="X30" i="12"/>
  <c r="AD30" i="12" s="1"/>
  <c r="X10" i="12"/>
  <c r="AD10" i="12" s="1"/>
  <c r="X12" i="12"/>
  <c r="AD12" i="12" s="1"/>
  <c r="AV68" i="8" l="1"/>
  <c r="BA74" i="8"/>
  <c r="BA75" i="8" s="1"/>
  <c r="BA77" i="8" s="1"/>
  <c r="BA68" i="8"/>
  <c r="V66" i="12"/>
  <c r="X7" i="12"/>
  <c r="AA73" i="12"/>
  <c r="AA75" i="12" s="1"/>
  <c r="AA72" i="12"/>
  <c r="AA66" i="12"/>
  <c r="B4" i="2"/>
  <c r="B4" i="4"/>
  <c r="AX68" i="8" l="1"/>
  <c r="X66" i="12"/>
  <c r="AD7" i="12"/>
  <c r="T79" i="8" l="1"/>
  <c r="O2" i="2"/>
  <c r="C66" i="8"/>
  <c r="Q39" i="8" l="1"/>
  <c r="P66" i="8"/>
  <c r="N66" i="8"/>
  <c r="W69" i="8"/>
  <c r="T67" i="8"/>
  <c r="Q66" i="8" l="1"/>
  <c r="Y39" i="8"/>
  <c r="S79" i="8"/>
  <c r="U79" i="8" s="1"/>
  <c r="S66" i="8" l="1"/>
  <c r="R79" i="8" l="1"/>
  <c r="V79" i="8"/>
  <c r="W79" i="8" s="1"/>
  <c r="O66" i="8" l="1"/>
  <c r="T70" i="8" l="1"/>
  <c r="R70" i="8"/>
  <c r="U70" i="8" l="1"/>
  <c r="V70" i="8" s="1"/>
  <c r="W70" i="8" s="1"/>
  <c r="T66" i="8" l="1"/>
  <c r="V68" i="8" s="1"/>
  <c r="C20" i="2" l="1"/>
  <c r="D20" i="2" s="1"/>
  <c r="M20" i="2" s="1"/>
  <c r="U66" i="8"/>
  <c r="W66" i="8"/>
  <c r="V66" i="8"/>
  <c r="C17" i="2" l="1"/>
  <c r="D17" i="2" s="1"/>
  <c r="M17" i="2" s="1"/>
  <c r="C68" i="13" l="1"/>
  <c r="C69" i="13" s="1"/>
  <c r="D10" i="2"/>
  <c r="M10" i="2" s="1"/>
  <c r="X79" i="8" l="1"/>
  <c r="Y79" i="8" s="1"/>
  <c r="U67" i="8" l="1"/>
  <c r="T68" i="8" s="1"/>
  <c r="V67" i="8" l="1"/>
  <c r="U68" i="8"/>
  <c r="V69" i="8" s="1"/>
  <c r="X69" i="8" s="1"/>
  <c r="R67" i="8"/>
  <c r="R68" i="8" s="1"/>
  <c r="X66" i="8" l="1"/>
  <c r="Y66" i="8" l="1"/>
  <c r="Y68" i="8" s="1"/>
</calcChain>
</file>

<file path=xl/comments1.xml><?xml version="1.0" encoding="utf-8"?>
<comments xmlns="http://schemas.openxmlformats.org/spreadsheetml/2006/main">
  <authors>
    <author>lily</author>
  </authors>
  <commentList>
    <comment ref="G12" author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12 HRS . EXTRA DOBLES
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lily:</t>
        </r>
        <r>
          <rPr>
            <sz val="9"/>
            <color indexed="81"/>
            <rFont val="Tahoma"/>
            <family val="2"/>
          </rPr>
          <t xml:space="preserve">
12 HRS . EXTRA DOBLES
</t>
        </r>
      </text>
    </comment>
  </commentList>
</comments>
</file>

<file path=xl/sharedStrings.xml><?xml version="1.0" encoding="utf-8"?>
<sst xmlns="http://schemas.openxmlformats.org/spreadsheetml/2006/main" count="1868" uniqueCount="371">
  <si>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</si>
  <si>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</si>
  <si>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</si>
  <si>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</si>
  <si>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</si>
  <si>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</si>
  <si>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</si>
  <si>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</si>
  <si>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</si>
  <si>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</si>
  <si>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</si>
  <si>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</si>
  <si>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</si>
  <si>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</si>
  <si>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 xml:space="preserve">    Reg. Pat. IMSS:  B4251548102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</si>
  <si>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</si>
  <si>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</si>
  <si>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</si>
  <si>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</si>
  <si>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</si>
  <si>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</si>
  <si>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</si>
  <si>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</si>
  <si>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</si>
  <si>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</si>
  <si>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</si>
  <si>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</si>
  <si>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</si>
  <si>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</si>
  <si>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</si>
  <si>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</si>
  <si>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</si>
  <si>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</si>
  <si>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</si>
  <si>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</si>
  <si>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</si>
  <si>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</si>
  <si>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</si>
  <si>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</si>
  <si>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</si>
  <si>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</si>
  <si>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</si>
  <si>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</si>
  <si>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</si>
  <si>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</si>
  <si>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</si>
  <si>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</si>
  <si>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</si>
  <si>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</si>
  <si>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</si>
  <si>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</si>
  <si>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</si>
  <si>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</si>
  <si>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</si>
  <si>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</si>
  <si>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</si>
  <si>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</si>
  <si>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</si>
  <si>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</si>
  <si>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</si>
  <si>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</si>
  <si>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</si>
  <si>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</si>
  <si>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</si>
  <si>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</si>
  <si>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</si>
  <si>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</si>
  <si>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</si>
  <si>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</si>
  <si>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</si>
  <si>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</si>
  <si>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</si>
  <si>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</si>
  <si>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</si>
  <si>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</si>
  <si>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</si>
  <si>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</si>
  <si>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</si>
  <si>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</si>
  <si>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</si>
  <si>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</si>
  <si>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</si>
  <si>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</si>
  <si>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</si>
  <si>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</si>
  <si>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</si>
  <si>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</si>
  <si>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</si>
  <si>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</si>
  <si>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</si>
  <si>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</si>
  <si>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</si>
  <si>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</si>
  <si>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</si>
  <si>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</si>
  <si>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</si>
  <si>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</si>
  <si>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</si>
  <si>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</si>
  <si>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</si>
  <si>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</si>
  <si>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</si>
  <si>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</si>
  <si>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</si>
  <si>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</si>
  <si>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</si>
  <si>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</si>
  <si>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</si>
  <si>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</si>
  <si>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</si>
  <si>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</si>
  <si>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</si>
  <si>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</si>
  <si>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</si>
  <si>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</si>
  <si>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</si>
  <si>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</si>
  <si>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</si>
  <si>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</si>
  <si>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</si>
  <si>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</si>
  <si>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</si>
  <si>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LAVADOR PREVIADOR</t>
  </si>
  <si>
    <t>LAVADOR</t>
  </si>
  <si>
    <t>Nombre</t>
  </si>
  <si>
    <t>Infonavit</t>
  </si>
  <si>
    <t>JIMENEZ SUAREZ LUDIV</t>
  </si>
  <si>
    <t>ARIAS CORTES RICARDO</t>
  </si>
  <si>
    <t>BALTAZAR CRUZ DESIRE</t>
  </si>
  <si>
    <t>GAYTAN MARTINEZ RAUL</t>
  </si>
  <si>
    <t>MORALES NAIF DIANA</t>
  </si>
  <si>
    <t>MEDINA PUGA SANDRA</t>
  </si>
  <si>
    <t>NAVA AMBRIZ THANIA</t>
  </si>
  <si>
    <t>SANTANA ANAYA GILDAR</t>
  </si>
  <si>
    <t>SANCHEZ VEANA JAVIER</t>
  </si>
  <si>
    <t>RUIZ LAGUNA ANABEL</t>
  </si>
  <si>
    <t>PEREZ SAAVEDRA JULIO</t>
  </si>
  <si>
    <t>HERNANDEZ PEREZ JOSE</t>
  </si>
  <si>
    <t>SALOMON MUñOZ MARTIN</t>
  </si>
  <si>
    <t>TREJO RODRIGUEZ LUIS</t>
  </si>
  <si>
    <t>RODRIGUEZ NUñEZ JOSE</t>
  </si>
  <si>
    <t>TOLEDO MORENO ELIZAB</t>
  </si>
  <si>
    <t>BE22</t>
  </si>
  <si>
    <t>LA02</t>
  </si>
  <si>
    <t>LOYOLA ACOSTA CARLOS</t>
  </si>
  <si>
    <t>IVA</t>
  </si>
  <si>
    <t>INFONAVIT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</si>
  <si>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</si>
  <si>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</si>
  <si>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</si>
  <si>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</si>
  <si>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</si>
  <si>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</si>
  <si>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</si>
  <si>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</si>
  <si>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Herrera Almaraz Blanca Sofia</t>
  </si>
  <si>
    <t>NM17</t>
  </si>
  <si>
    <t>Navarro Macias Jennifer</t>
  </si>
  <si>
    <t>Ramirez Garcia Jaime Emilio</t>
  </si>
  <si>
    <t>Medina Cisneros Iveth de Jesus</t>
  </si>
  <si>
    <t>HA01</t>
  </si>
  <si>
    <t>MC</t>
  </si>
  <si>
    <t>Medina Cisneros Iveth De Jesus</t>
  </si>
  <si>
    <t>RA02</t>
  </si>
  <si>
    <t>APOYO CLAUSULA 23 CC</t>
  </si>
  <si>
    <t>BS022</t>
  </si>
  <si>
    <t>Consultores &amp; Asesores Integrales S.C.</t>
  </si>
  <si>
    <t>Servicios Prestados a :  ALECSA CELAYA S DE RL DE CV</t>
  </si>
  <si>
    <t>devuelto a empresa</t>
  </si>
  <si>
    <t>Area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</si>
  <si>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</si>
  <si>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</si>
  <si>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</si>
  <si>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</si>
  <si>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</si>
  <si>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</si>
  <si>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</si>
  <si>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</si>
  <si>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</si>
  <si>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</si>
  <si>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</si>
  <si>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</si>
  <si>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</si>
  <si>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</si>
  <si>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</si>
  <si>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</si>
  <si>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</si>
  <si>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</si>
  <si>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</si>
  <si>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</si>
  <si>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</si>
  <si>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SERVICIO</t>
  </si>
  <si>
    <t>AGUILLON TORRES JONATHAN</t>
  </si>
  <si>
    <t>ADMINISTRACION</t>
  </si>
  <si>
    <t>ENCARGADO DE SISTEMA</t>
  </si>
  <si>
    <t>FIJO</t>
  </si>
  <si>
    <t>AVENDAñO JAUREGUI MAURICIO</t>
  </si>
  <si>
    <t>VIGILANTE</t>
  </si>
  <si>
    <t>BALBUENA SALAZAR PATRICIA</t>
  </si>
  <si>
    <t>AUX ADMINISTRATIVO</t>
  </si>
  <si>
    <t>CAJERA</t>
  </si>
  <si>
    <t>VENTAS</t>
  </si>
  <si>
    <t>BLANCAS ESTEVEZ JAVIER</t>
  </si>
  <si>
    <t>CAMACHO RIVERA MARTHA</t>
  </si>
  <si>
    <t>AUXILIAR DE PROCESOS</t>
  </si>
  <si>
    <t>AUX CONTABLE</t>
  </si>
  <si>
    <t>CASTILLO GALINDO MARLENE</t>
  </si>
  <si>
    <t>INTENDENCIA</t>
  </si>
  <si>
    <t>DEL ALTO CASTELLANOS XOCHILT</t>
  </si>
  <si>
    <t>VIGILANTE MATUTINO</t>
  </si>
  <si>
    <t>GUARDIAN MARTINEZ MAYRA</t>
  </si>
  <si>
    <t>AUX. ADMINISTRATIVO</t>
  </si>
  <si>
    <t>GUERRA AGUILAR ALEJANDRO</t>
  </si>
  <si>
    <t>HERNANDEZ ESPINOZA VICTOR</t>
  </si>
  <si>
    <t>GERENTE GENERAL</t>
  </si>
  <si>
    <t>TECNICO</t>
  </si>
  <si>
    <t>VDQI</t>
  </si>
  <si>
    <t>JIMENEZ REVILLA VALENTIN</t>
  </si>
  <si>
    <t>AUXILIAR CONTABLE</t>
  </si>
  <si>
    <t xml:space="preserve">FIJO   </t>
  </si>
  <si>
    <t>MENSAJERO</t>
  </si>
  <si>
    <t>MANDUJANO ESTRADA ILSE</t>
  </si>
  <si>
    <t>GREETER</t>
  </si>
  <si>
    <t>MARTINEZ HERRERA CRISTIAN</t>
  </si>
  <si>
    <t>MEDINA CISNEROS IVETH DE JESUS</t>
  </si>
  <si>
    <t>CAJERA AUXILIAR</t>
  </si>
  <si>
    <t>ADMON SERVICIO</t>
  </si>
  <si>
    <t>MEJIA VILLEGAS NALLELY</t>
  </si>
  <si>
    <t>CITAS</t>
  </si>
  <si>
    <t>MEZA MUÑIZ JOSE ANGEL</t>
  </si>
  <si>
    <t>RECEPCIONISTA</t>
  </si>
  <si>
    <t>TRASLADISTA</t>
  </si>
  <si>
    <t>AUXILIAR ADMINISTRAT</t>
  </si>
  <si>
    <t>NAVARRETE RODRIGUEZ MIGUEL ANGEL</t>
  </si>
  <si>
    <t>ADMON VENTAS</t>
  </si>
  <si>
    <t>NAVARRETE RODRIGUEZ MARIA TERESA</t>
  </si>
  <si>
    <t>INTERCAMBIOS</t>
  </si>
  <si>
    <t>COORPORATIVO</t>
  </si>
  <si>
    <t>NAVARRO MACIAS JENIFER</t>
  </si>
  <si>
    <t>NIEVES OSORNIO SILVESTRE</t>
  </si>
  <si>
    <t>ESTETICAS</t>
  </si>
  <si>
    <t>PATIñO GONZALEZ RICARDO</t>
  </si>
  <si>
    <t>F&amp;I</t>
  </si>
  <si>
    <t>PATIÑO MUÑOZ ANA LAURA</t>
  </si>
  <si>
    <t>PEREZ MORON ISAAC OMAR</t>
  </si>
  <si>
    <t>COACH DE VENTAS</t>
  </si>
  <si>
    <t>RAMIREZ GARCIA JAIME EMILIO</t>
  </si>
  <si>
    <t>GERENTE POST-VENTA</t>
  </si>
  <si>
    <t>RAMIREZ ZACARIAS JORGE</t>
  </si>
  <si>
    <t>TECNICO MAESTRO EN D</t>
  </si>
  <si>
    <t>RODRIGUEZ CRUZ FERNANDO</t>
  </si>
  <si>
    <t>PREVIADOR</t>
  </si>
  <si>
    <t>REFACCIONES</t>
  </si>
  <si>
    <t>AUXILIAR DE REFACCIO</t>
  </si>
  <si>
    <t>SALCEDO MORENO JANITZY</t>
  </si>
  <si>
    <t>ATENCION A CLIENTES</t>
  </si>
  <si>
    <t>SAMBRANO VILLARREAL HERNAN</t>
  </si>
  <si>
    <t>LAVADOR NUEVOS</t>
  </si>
  <si>
    <t>SANCHEZ ESCAMILLA ROSALBA</t>
  </si>
  <si>
    <t>GARANTIAS</t>
  </si>
  <si>
    <t>GERENTE DE REFACCION</t>
  </si>
  <si>
    <t>GERENTE DE SISTEMAS</t>
  </si>
  <si>
    <t xml:space="preserve">TIERRABLANCA SANCHEZ VICTOR </t>
  </si>
  <si>
    <t>SEGUROS</t>
  </si>
  <si>
    <t>TOLEDO PEREZ FRANCISCO</t>
  </si>
  <si>
    <t>LAVADOR/PREVIADOR</t>
  </si>
  <si>
    <t>VEGA FERNANDEZ AMALIA</t>
  </si>
  <si>
    <t>YERENA VAZQUEZ ALEJANDRO</t>
  </si>
  <si>
    <t>TOTAL NOMINA</t>
  </si>
  <si>
    <t>INCAPACIDAD</t>
  </si>
  <si>
    <t>PASA A NOMINA SEMANAL</t>
  </si>
  <si>
    <t>BAJAS DURANTE LA QUINCENA</t>
  </si>
  <si>
    <t>700-070 VENTAS</t>
  </si>
  <si>
    <t>701-070 USADOS</t>
  </si>
  <si>
    <t>703-070 ADMON</t>
  </si>
  <si>
    <t>704-070 REFACC</t>
  </si>
  <si>
    <t>705-001-070 SERV</t>
  </si>
  <si>
    <t>683-001-001 COSTO</t>
  </si>
  <si>
    <t>paso a semanal</t>
  </si>
  <si>
    <t>comisión empleado</t>
  </si>
  <si>
    <t>DIA FESTIVO</t>
  </si>
  <si>
    <t>FALTA</t>
  </si>
  <si>
    <t>Reg Pat IMSS: B4251548102</t>
  </si>
  <si>
    <t>UNIFORMES</t>
  </si>
  <si>
    <t>HORAS EXTRAS</t>
  </si>
  <si>
    <t xml:space="preserve">Periodo </t>
  </si>
  <si>
    <t>DIFERENCIA</t>
  </si>
  <si>
    <t>DIF</t>
  </si>
  <si>
    <t>OBSERVACIONES</t>
  </si>
  <si>
    <t>Subsidio</t>
  </si>
  <si>
    <t>RECURSOS HUMANOS</t>
  </si>
  <si>
    <t>ENTREGAS/CITAS</t>
  </si>
  <si>
    <t>CAMPOS SANCEN LUIS FELIPE</t>
  </si>
  <si>
    <t>GUERRERO HERNANDEZ JUAN CARLOS</t>
  </si>
  <si>
    <t>HERRERA ALMARAZ BLANCA SOFIA</t>
  </si>
  <si>
    <t>MUÑIZ RODRIGUEZ JESUS</t>
  </si>
  <si>
    <t>MUÑOZ MACIAS MARCO ALFREDO</t>
  </si>
  <si>
    <t>PROMOTOR KAISEN</t>
  </si>
  <si>
    <t>PIÑA HERNANDEZ CARLOS</t>
  </si>
  <si>
    <t>ASISTENTE DE DIRECCION</t>
  </si>
  <si>
    <t>PASA A QM</t>
  </si>
  <si>
    <t>SALAS CORREA VICTOR EDUARDO</t>
  </si>
  <si>
    <t>INGRESO 29/02/16</t>
  </si>
  <si>
    <t>ESPECIAL</t>
  </si>
  <si>
    <t xml:space="preserve">PRIETO LOPEZ LEOBIGILDO </t>
  </si>
  <si>
    <t>cambio a QM</t>
  </si>
  <si>
    <t>TOTAL DEDUCICONES</t>
  </si>
  <si>
    <t>NETO A RECIBIR EMPLEADO</t>
  </si>
  <si>
    <t>TOTAL</t>
  </si>
  <si>
    <t>FACTURACIÓN</t>
  </si>
  <si>
    <t>Periodo 5 al 5 Quincenal del 01/03/2016 al 15/03/2016</t>
  </si>
  <si>
    <t>Periodo 4 al 4 Quincenal del 16/02/2016 al 29/02/2016</t>
  </si>
  <si>
    <t>2606499058</t>
  </si>
  <si>
    <t>2621332406</t>
  </si>
  <si>
    <t>1473807924</t>
  </si>
  <si>
    <t>1459525653</t>
  </si>
  <si>
    <t>1443382265</t>
  </si>
  <si>
    <t>2618036896</t>
  </si>
  <si>
    <t>2665864283</t>
  </si>
  <si>
    <t>2691096109</t>
  </si>
  <si>
    <t>2650346551</t>
  </si>
  <si>
    <t>2972862034</t>
  </si>
  <si>
    <t>2778669430</t>
  </si>
  <si>
    <t>2774318390</t>
  </si>
  <si>
    <t>2992609762</t>
  </si>
  <si>
    <t>2887403623</t>
  </si>
  <si>
    <t>2774820320</t>
  </si>
  <si>
    <t>2902855143</t>
  </si>
  <si>
    <t>2852539802</t>
  </si>
  <si>
    <t>2903220311</t>
  </si>
  <si>
    <t>2871175246</t>
  </si>
  <si>
    <t>2903153908</t>
  </si>
  <si>
    <t>0174544935</t>
  </si>
  <si>
    <t>2895822750</t>
  </si>
  <si>
    <t>2849681825</t>
  </si>
  <si>
    <t>2984454235</t>
  </si>
  <si>
    <t>2944314115</t>
  </si>
  <si>
    <t>2948180032</t>
  </si>
  <si>
    <t>2700337153</t>
  </si>
  <si>
    <t>2990259950</t>
  </si>
  <si>
    <t>2947717806</t>
  </si>
  <si>
    <t>2981497219</t>
  </si>
  <si>
    <t>2899438874</t>
  </si>
  <si>
    <t>2972030985</t>
  </si>
  <si>
    <t>2898125260</t>
  </si>
  <si>
    <t>2892547139</t>
  </si>
  <si>
    <t>2970227897</t>
  </si>
  <si>
    <t>2694584996</t>
  </si>
  <si>
    <t>2705849497</t>
  </si>
  <si>
    <t>2783762971</t>
  </si>
  <si>
    <t>2796682693</t>
  </si>
  <si>
    <t>2778238030</t>
  </si>
  <si>
    <t>2898118957</t>
  </si>
  <si>
    <t>2696332722</t>
  </si>
  <si>
    <t>2791443291</t>
  </si>
  <si>
    <t>2849178457</t>
  </si>
  <si>
    <t>2968629145</t>
  </si>
  <si>
    <t>2727008961</t>
  </si>
  <si>
    <t>1496058264</t>
  </si>
  <si>
    <t>2728413096</t>
  </si>
  <si>
    <t>2956160948</t>
  </si>
  <si>
    <t>2850265330</t>
  </si>
  <si>
    <t>2923566005</t>
  </si>
  <si>
    <t>2759868704</t>
  </si>
  <si>
    <t>2976521746</t>
  </si>
  <si>
    <t>2841167936</t>
  </si>
  <si>
    <t>GUILLEN AYALA JUAN CARLOS</t>
  </si>
  <si>
    <t>VALUADOR</t>
  </si>
  <si>
    <t>05 CELAYA SIND ASO</t>
  </si>
  <si>
    <t>05 CELAYA C&amp;A</t>
  </si>
  <si>
    <t>2885831555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</si>
</sst>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b/>
      <sz val="8"/>
      <color theme="0" tint="-0.249977111117893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3" fillId="0" borderId="0" applyFill="0" applyBorder="0" applyAlignment="0" applyProtection="0"/>
  </cellStyleXfs>
  <cellXfs count="29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Continuous"/>
    </xf>
    <xf numFmtId="0" fontId="15" fillId="0" borderId="0" xfId="0" applyFont="1"/>
    <xf numFmtId="49" fontId="17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49" fontId="15" fillId="0" borderId="0" xfId="0" applyNumberFormat="1" applyFont="1" applyFill="1"/>
    <xf numFmtId="0" fontId="15" fillId="0" borderId="0" xfId="0" applyFont="1" applyFill="1"/>
    <xf numFmtId="44" fontId="15" fillId="0" borderId="0" xfId="2" applyFont="1" applyFill="1"/>
    <xf numFmtId="0" fontId="21" fillId="0" borderId="0" xfId="0" applyFont="1" applyFill="1"/>
    <xf numFmtId="49" fontId="22" fillId="0" borderId="0" xfId="0" applyNumberFormat="1" applyFont="1" applyFill="1" applyAlignment="1">
      <alignment horizontal="left"/>
    </xf>
    <xf numFmtId="164" fontId="22" fillId="0" borderId="2" xfId="0" applyNumberFormat="1" applyFont="1" applyFill="1" applyBorder="1"/>
    <xf numFmtId="49" fontId="2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/>
    <xf numFmtId="49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3" fontId="16" fillId="0" borderId="0" xfId="1" applyFont="1" applyAlignment="1"/>
    <xf numFmtId="43" fontId="16" fillId="0" borderId="0" xfId="1" applyFont="1" applyAlignment="1">
      <alignment vertical="center"/>
    </xf>
    <xf numFmtId="43" fontId="15" fillId="0" borderId="0" xfId="1" applyFont="1"/>
    <xf numFmtId="43" fontId="20" fillId="2" borderId="1" xfId="1" applyFont="1" applyFill="1" applyBorder="1" applyAlignment="1">
      <alignment horizontal="center" vertical="center" wrapText="1"/>
    </xf>
    <xf numFmtId="43" fontId="15" fillId="0" borderId="0" xfId="1" applyFont="1" applyFill="1"/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8" fontId="15" fillId="0" borderId="0" xfId="0" applyNumberFormat="1" applyFont="1" applyFill="1"/>
    <xf numFmtId="0" fontId="16" fillId="0" borderId="0" xfId="0" applyFont="1" applyAlignment="1"/>
    <xf numFmtId="8" fontId="15" fillId="0" borderId="0" xfId="2" applyNumberFormat="1" applyFont="1" applyFill="1"/>
    <xf numFmtId="49" fontId="1" fillId="3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49" fontId="1" fillId="0" borderId="0" xfId="0" applyNumberFormat="1" applyFont="1" applyFill="1"/>
    <xf numFmtId="0" fontId="1" fillId="0" borderId="0" xfId="0" applyFont="1" applyFill="1"/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24" fillId="0" borderId="0" xfId="3" applyFont="1" applyFill="1" applyAlignment="1" applyProtection="1">
      <alignment horizontal="left"/>
    </xf>
    <xf numFmtId="0" fontId="24" fillId="0" borderId="0" xfId="3" applyFont="1" applyFill="1" applyAlignment="1" applyProtection="1">
      <alignment horizontal="center"/>
    </xf>
    <xf numFmtId="43" fontId="25" fillId="0" borderId="0" xfId="1" applyFont="1" applyFill="1" applyAlignment="1" applyProtection="1">
      <alignment horizontal="center"/>
    </xf>
    <xf numFmtId="43" fontId="26" fillId="0" borderId="0" xfId="1" applyFont="1" applyFill="1" applyAlignment="1" applyProtection="1">
      <alignment horizontal="center"/>
    </xf>
    <xf numFmtId="0" fontId="25" fillId="0" borderId="0" xfId="0" applyFont="1" applyProtection="1"/>
    <xf numFmtId="0" fontId="27" fillId="0" borderId="0" xfId="3" applyFont="1" applyFill="1" applyAlignment="1" applyProtection="1">
      <alignment horizontal="left"/>
    </xf>
    <xf numFmtId="0" fontId="27" fillId="0" borderId="0" xfId="3" applyFont="1" applyFill="1" applyAlignment="1" applyProtection="1">
      <alignment horizontal="center"/>
    </xf>
    <xf numFmtId="15" fontId="24" fillId="0" borderId="0" xfId="3" applyNumberFormat="1" applyFont="1" applyFill="1" applyAlignment="1" applyProtection="1">
      <alignment horizontal="left"/>
    </xf>
    <xf numFmtId="15" fontId="24" fillId="0" borderId="0" xfId="3" applyNumberFormat="1" applyFont="1" applyFill="1" applyAlignment="1" applyProtection="1">
      <alignment horizontal="center"/>
    </xf>
    <xf numFmtId="0" fontId="26" fillId="0" borderId="0" xfId="0" applyFont="1"/>
    <xf numFmtId="43" fontId="25" fillId="0" borderId="0" xfId="1" applyFont="1"/>
    <xf numFmtId="43" fontId="26" fillId="0" borderId="0" xfId="1" applyFont="1"/>
    <xf numFmtId="0" fontId="26" fillId="0" borderId="0" xfId="0" applyFont="1" applyFill="1"/>
    <xf numFmtId="0" fontId="25" fillId="0" borderId="3" xfId="0" applyFont="1" applyBorder="1"/>
    <xf numFmtId="0" fontId="25" fillId="0" borderId="3" xfId="0" applyFont="1" applyBorder="1" applyAlignment="1">
      <alignment horizontal="right"/>
    </xf>
    <xf numFmtId="43" fontId="25" fillId="0" borderId="3" xfId="1" applyFont="1" applyBorder="1"/>
    <xf numFmtId="43" fontId="28" fillId="7" borderId="3" xfId="1" applyFont="1" applyFill="1" applyBorder="1"/>
    <xf numFmtId="43" fontId="26" fillId="8" borderId="3" xfId="1" applyFont="1" applyFill="1" applyBorder="1"/>
    <xf numFmtId="43" fontId="25" fillId="9" borderId="3" xfId="1" applyFont="1" applyFill="1" applyBorder="1"/>
    <xf numFmtId="43" fontId="25" fillId="10" borderId="3" xfId="1" applyFont="1" applyFill="1" applyBorder="1" applyAlignment="1">
      <alignment horizontal="center"/>
    </xf>
    <xf numFmtId="43" fontId="0" fillId="0" borderId="3" xfId="1" applyFont="1" applyBorder="1"/>
    <xf numFmtId="43" fontId="25" fillId="0" borderId="3" xfId="1" applyFont="1" applyFill="1" applyBorder="1" applyAlignment="1">
      <alignment horizontal="center"/>
    </xf>
    <xf numFmtId="43" fontId="25" fillId="5" borderId="3" xfId="1" applyFont="1" applyFill="1" applyBorder="1" applyAlignment="1">
      <alignment horizontal="center"/>
    </xf>
    <xf numFmtId="0" fontId="25" fillId="0" borderId="0" xfId="0" applyFont="1" applyFill="1"/>
    <xf numFmtId="0" fontId="25" fillId="7" borderId="0" xfId="0" applyFont="1" applyFill="1"/>
    <xf numFmtId="0" fontId="25" fillId="0" borderId="0" xfId="0" applyFont="1"/>
    <xf numFmtId="0" fontId="26" fillId="3" borderId="0" xfId="0" applyFont="1" applyFill="1"/>
    <xf numFmtId="0" fontId="25" fillId="7" borderId="3" xfId="0" applyFont="1" applyFill="1" applyBorder="1"/>
    <xf numFmtId="43" fontId="25" fillId="7" borderId="3" xfId="1" applyFont="1" applyFill="1" applyBorder="1"/>
    <xf numFmtId="0" fontId="25" fillId="3" borderId="0" xfId="0" applyFont="1" applyFill="1"/>
    <xf numFmtId="12" fontId="25" fillId="7" borderId="3" xfId="1" applyNumberFormat="1" applyFont="1" applyFill="1" applyBorder="1"/>
    <xf numFmtId="0" fontId="25" fillId="4" borderId="0" xfId="0" applyFont="1" applyFill="1"/>
    <xf numFmtId="8" fontId="25" fillId="0" borderId="0" xfId="0" applyNumberFormat="1" applyFont="1" applyFill="1"/>
    <xf numFmtId="0" fontId="26" fillId="0" borderId="3" xfId="0" applyFont="1" applyFill="1" applyBorder="1"/>
    <xf numFmtId="0" fontId="25" fillId="0" borderId="4" xfId="0" applyFont="1" applyFill="1" applyBorder="1"/>
    <xf numFmtId="43" fontId="25" fillId="0" borderId="4" xfId="1" applyFont="1" applyFill="1" applyBorder="1"/>
    <xf numFmtId="43" fontId="26" fillId="0" borderId="3" xfId="1" applyFont="1" applyFill="1" applyBorder="1"/>
    <xf numFmtId="43" fontId="26" fillId="0" borderId="4" xfId="1" applyFont="1" applyFill="1" applyBorder="1"/>
    <xf numFmtId="0" fontId="26" fillId="0" borderId="6" xfId="0" applyFont="1" applyBorder="1"/>
    <xf numFmtId="43" fontId="26" fillId="0" borderId="6" xfId="1" applyFont="1" applyBorder="1"/>
    <xf numFmtId="0" fontId="29" fillId="0" borderId="0" xfId="0" applyFont="1"/>
    <xf numFmtId="0" fontId="15" fillId="12" borderId="0" xfId="0" applyFont="1" applyFill="1"/>
    <xf numFmtId="164" fontId="1" fillId="12" borderId="0" xfId="0" applyNumberFormat="1" applyFont="1" applyFill="1"/>
    <xf numFmtId="0" fontId="1" fillId="12" borderId="0" xfId="0" applyFont="1" applyFill="1"/>
    <xf numFmtId="0" fontId="20" fillId="13" borderId="1" xfId="0" applyFont="1" applyFill="1" applyBorder="1" applyAlignment="1">
      <alignment horizontal="center" vertical="center" wrapText="1"/>
    </xf>
    <xf numFmtId="49" fontId="20" fillId="0" borderId="0" xfId="0" applyNumberFormat="1" applyFont="1" applyFill="1"/>
    <xf numFmtId="43" fontId="15" fillId="0" borderId="0" xfId="0" applyNumberFormat="1" applyFont="1" applyFill="1"/>
    <xf numFmtId="0" fontId="25" fillId="0" borderId="3" xfId="0" applyFont="1" applyFill="1" applyBorder="1"/>
    <xf numFmtId="0" fontId="25" fillId="0" borderId="3" xfId="0" applyFont="1" applyFill="1" applyBorder="1" applyAlignment="1">
      <alignment horizontal="right"/>
    </xf>
    <xf numFmtId="43" fontId="25" fillId="0" borderId="3" xfId="1" applyFont="1" applyFill="1" applyBorder="1"/>
    <xf numFmtId="43" fontId="28" fillId="0" borderId="3" xfId="1" applyFont="1" applyFill="1" applyBorder="1"/>
    <xf numFmtId="43" fontId="0" fillId="0" borderId="3" xfId="1" applyFont="1" applyFill="1" applyBorder="1"/>
    <xf numFmtId="0" fontId="26" fillId="0" borderId="0" xfId="0" applyFont="1" applyFill="1" applyAlignment="1">
      <alignment horizontal="center"/>
    </xf>
    <xf numFmtId="12" fontId="25" fillId="0" borderId="3" xfId="1" applyNumberFormat="1" applyFont="1" applyFill="1" applyBorder="1"/>
    <xf numFmtId="0" fontId="21" fillId="0" borderId="0" xfId="0" applyFont="1"/>
    <xf numFmtId="49" fontId="32" fillId="0" borderId="0" xfId="0" applyNumberFormat="1" applyFont="1" applyFill="1"/>
    <xf numFmtId="0" fontId="32" fillId="0" borderId="0" xfId="0" applyFont="1" applyFill="1"/>
    <xf numFmtId="43" fontId="32" fillId="0" borderId="0" xfId="1" applyFont="1" applyFill="1"/>
    <xf numFmtId="164" fontId="32" fillId="0" borderId="0" xfId="0" applyNumberFormat="1" applyFont="1" applyFill="1"/>
    <xf numFmtId="164" fontId="33" fillId="0" borderId="2" xfId="0" applyNumberFormat="1" applyFont="1" applyFill="1" applyBorder="1"/>
    <xf numFmtId="0" fontId="34" fillId="0" borderId="0" xfId="0" applyFont="1" applyFill="1"/>
    <xf numFmtId="43" fontId="34" fillId="0" borderId="0" xfId="1" applyFont="1" applyFill="1"/>
    <xf numFmtId="164" fontId="34" fillId="0" borderId="0" xfId="0" applyNumberFormat="1" applyFont="1" applyFill="1"/>
    <xf numFmtId="44" fontId="32" fillId="0" borderId="0" xfId="2" applyFont="1" applyFill="1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43" fontId="26" fillId="6" borderId="4" xfId="1" applyFont="1" applyFill="1" applyBorder="1" applyAlignment="1">
      <alignment horizontal="center" wrapText="1"/>
    </xf>
    <xf numFmtId="43" fontId="26" fillId="6" borderId="5" xfId="1" applyFont="1" applyFill="1" applyBorder="1" applyAlignment="1">
      <alignment horizontal="center" wrapText="1"/>
    </xf>
    <xf numFmtId="0" fontId="16" fillId="0" borderId="0" xfId="0" applyFont="1" applyAlignment="1"/>
    <xf numFmtId="43" fontId="12" fillId="0" borderId="0" xfId="1" applyProtection="1"/>
    <xf numFmtId="43" fontId="12" fillId="0" borderId="0" xfId="1"/>
    <xf numFmtId="43" fontId="26" fillId="6" borderId="10" xfId="1" applyFont="1" applyFill="1" applyBorder="1" applyAlignment="1">
      <alignment horizontal="center" wrapText="1"/>
    </xf>
    <xf numFmtId="43" fontId="12" fillId="6" borderId="4" xfId="1" applyFill="1" applyBorder="1" applyAlignment="1">
      <alignment horizontal="center" wrapText="1"/>
    </xf>
    <xf numFmtId="43" fontId="12" fillId="0" borderId="0" xfId="1" applyFill="1"/>
    <xf numFmtId="43" fontId="25" fillId="0" borderId="0" xfId="0" applyNumberFormat="1" applyFont="1" applyFill="1"/>
    <xf numFmtId="43" fontId="26" fillId="4" borderId="0" xfId="0" applyNumberFormat="1" applyFont="1" applyFill="1"/>
    <xf numFmtId="43" fontId="12" fillId="3" borderId="0" xfId="1" applyFill="1"/>
    <xf numFmtId="43" fontId="13" fillId="0" borderId="3" xfId="1" applyFont="1" applyFill="1" applyBorder="1"/>
    <xf numFmtId="43" fontId="25" fillId="0" borderId="0" xfId="1" applyFont="1" applyFill="1" applyBorder="1"/>
    <xf numFmtId="0" fontId="35" fillId="12" borderId="3" xfId="0" applyFont="1" applyFill="1" applyBorder="1"/>
    <xf numFmtId="0" fontId="35" fillId="12" borderId="3" xfId="0" applyFont="1" applyFill="1" applyBorder="1" applyAlignment="1">
      <alignment horizontal="right"/>
    </xf>
    <xf numFmtId="43" fontId="35" fillId="12" borderId="3" xfId="1" applyFont="1" applyFill="1" applyBorder="1"/>
    <xf numFmtId="43" fontId="35" fillId="12" borderId="3" xfId="1" applyFont="1" applyFill="1" applyBorder="1" applyAlignment="1">
      <alignment horizontal="center"/>
    </xf>
    <xf numFmtId="43" fontId="36" fillId="12" borderId="3" xfId="1" applyFont="1" applyFill="1" applyBorder="1"/>
    <xf numFmtId="43" fontId="36" fillId="12" borderId="0" xfId="1" applyFont="1" applyFill="1"/>
    <xf numFmtId="43" fontId="35" fillId="12" borderId="0" xfId="0" applyNumberFormat="1" applyFont="1" applyFill="1"/>
    <xf numFmtId="0" fontId="35" fillId="12" borderId="0" xfId="0" applyFont="1" applyFill="1"/>
    <xf numFmtId="43" fontId="25" fillId="0" borderId="3" xfId="0" applyNumberFormat="1" applyFont="1" applyBorder="1"/>
    <xf numFmtId="43" fontId="25" fillId="14" borderId="3" xfId="1" applyFont="1" applyFill="1" applyBorder="1" applyAlignment="1">
      <alignment horizontal="center"/>
    </xf>
    <xf numFmtId="43" fontId="25" fillId="7" borderId="3" xfId="0" applyNumberFormat="1" applyFont="1" applyFill="1" applyBorder="1"/>
    <xf numFmtId="43" fontId="25" fillId="3" borderId="0" xfId="0" applyNumberFormat="1" applyFont="1" applyFill="1"/>
    <xf numFmtId="0" fontId="15" fillId="15" borderId="0" xfId="0" applyFont="1" applyFill="1"/>
    <xf numFmtId="44" fontId="15" fillId="15" borderId="0" xfId="2" applyFont="1" applyFill="1"/>
    <xf numFmtId="49" fontId="1" fillId="12" borderId="0" xfId="0" applyNumberFormat="1" applyFont="1" applyFill="1"/>
    <xf numFmtId="164" fontId="11" fillId="12" borderId="0" xfId="0" applyNumberFormat="1" applyFont="1" applyFill="1"/>
    <xf numFmtId="49" fontId="15" fillId="12" borderId="0" xfId="0" applyNumberFormat="1" applyFont="1" applyFill="1"/>
    <xf numFmtId="44" fontId="15" fillId="12" borderId="0" xfId="2" applyFont="1" applyFill="1"/>
    <xf numFmtId="43" fontId="15" fillId="12" borderId="0" xfId="0" applyNumberFormat="1" applyFont="1" applyFill="1"/>
    <xf numFmtId="0" fontId="25" fillId="12" borderId="3" xfId="0" applyFont="1" applyFill="1" applyBorder="1"/>
    <xf numFmtId="0" fontId="25" fillId="12" borderId="3" xfId="0" applyFont="1" applyFill="1" applyBorder="1" applyAlignment="1">
      <alignment horizontal="right"/>
    </xf>
    <xf numFmtId="43" fontId="25" fillId="12" borderId="3" xfId="1" applyFont="1" applyFill="1" applyBorder="1"/>
    <xf numFmtId="43" fontId="28" fillId="12" borderId="3" xfId="1" applyFont="1" applyFill="1" applyBorder="1"/>
    <xf numFmtId="43" fontId="26" fillId="12" borderId="3" xfId="1" applyFont="1" applyFill="1" applyBorder="1"/>
    <xf numFmtId="43" fontId="25" fillId="12" borderId="3" xfId="1" applyFont="1" applyFill="1" applyBorder="1" applyAlignment="1">
      <alignment horizontal="center"/>
    </xf>
    <xf numFmtId="43" fontId="0" fillId="12" borderId="3" xfId="1" applyFont="1" applyFill="1" applyBorder="1"/>
    <xf numFmtId="43" fontId="12" fillId="12" borderId="0" xfId="1" applyFill="1"/>
    <xf numFmtId="43" fontId="25" fillId="12" borderId="0" xfId="0" applyNumberFormat="1" applyFont="1" applyFill="1"/>
    <xf numFmtId="0" fontId="26" fillId="12" borderId="0" xfId="0" applyFont="1" applyFill="1"/>
    <xf numFmtId="0" fontId="25" fillId="12" borderId="0" xfId="0" applyFont="1" applyFill="1"/>
    <xf numFmtId="43" fontId="26" fillId="0" borderId="0" xfId="0" applyNumberFormat="1" applyFont="1" applyFill="1"/>
    <xf numFmtId="43" fontId="25" fillId="0" borderId="3" xfId="0" applyNumberFormat="1" applyFont="1" applyFill="1" applyBorder="1"/>
    <xf numFmtId="0" fontId="26" fillId="0" borderId="6" xfId="0" applyFont="1" applyFill="1" applyBorder="1"/>
    <xf numFmtId="43" fontId="26" fillId="0" borderId="6" xfId="1" applyFont="1" applyFill="1" applyBorder="1"/>
    <xf numFmtId="43" fontId="25" fillId="0" borderId="0" xfId="1" applyFont="1" applyFill="1"/>
    <xf numFmtId="43" fontId="26" fillId="0" borderId="0" xfId="1" applyFont="1" applyFill="1"/>
    <xf numFmtId="0" fontId="29" fillId="0" borderId="0" xfId="0" applyFont="1" applyFill="1"/>
    <xf numFmtId="0" fontId="35" fillId="0" borderId="3" xfId="0" applyFont="1" applyFill="1" applyBorder="1"/>
    <xf numFmtId="0" fontId="35" fillId="0" borderId="3" xfId="0" applyFont="1" applyFill="1" applyBorder="1" applyAlignment="1">
      <alignment horizontal="right"/>
    </xf>
    <xf numFmtId="43" fontId="35" fillId="0" borderId="3" xfId="1" applyFont="1" applyFill="1" applyBorder="1"/>
    <xf numFmtId="43" fontId="35" fillId="0" borderId="3" xfId="1" applyFont="1" applyFill="1" applyBorder="1" applyAlignment="1">
      <alignment horizontal="center"/>
    </xf>
    <xf numFmtId="43" fontId="36" fillId="0" borderId="3" xfId="1" applyFont="1" applyFill="1" applyBorder="1"/>
    <xf numFmtId="43" fontId="36" fillId="0" borderId="0" xfId="1" applyFont="1" applyFill="1"/>
    <xf numFmtId="43" fontId="35" fillId="0" borderId="0" xfId="0" applyNumberFormat="1" applyFont="1" applyFill="1"/>
    <xf numFmtId="0" fontId="35" fillId="0" borderId="0" xfId="0" applyFont="1" applyFill="1"/>
    <xf numFmtId="43" fontId="15" fillId="0" borderId="0" xfId="2" applyNumberFormat="1" applyFont="1" applyFill="1"/>
    <xf numFmtId="43" fontId="20" fillId="13" borderId="1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164" fontId="22" fillId="15" borderId="2" xfId="0" applyNumberFormat="1" applyFont="1" applyFill="1" applyBorder="1"/>
    <xf numFmtId="44" fontId="25" fillId="0" borderId="0" xfId="0" applyNumberFormat="1" applyFont="1" applyFill="1"/>
    <xf numFmtId="43" fontId="15" fillId="12" borderId="0" xfId="2" applyNumberFormat="1" applyFont="1" applyFill="1"/>
    <xf numFmtId="0" fontId="0" fillId="3" borderId="0" xfId="0" applyFill="1"/>
    <xf numFmtId="0" fontId="15" fillId="3" borderId="0" xfId="0" quotePrefix="1" applyFont="1" applyFill="1"/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43" fontId="15" fillId="0" borderId="0" xfId="1" applyFont="1" applyFill="1"/>
    <xf numFmtId="43" fontId="0" fillId="0" borderId="0" xfId="1" applyFont="1"/>
    <xf numFmtId="43" fontId="10" fillId="2" borderId="1" xfId="1" applyFont="1" applyFill="1" applyBorder="1" applyAlignment="1">
      <alignment horizontal="center" wrapText="1"/>
    </xf>
    <xf numFmtId="43" fontId="1" fillId="0" borderId="0" xfId="1" applyFont="1"/>
    <xf numFmtId="43" fontId="8" fillId="0" borderId="0" xfId="1" applyFont="1"/>
    <xf numFmtId="0" fontId="15" fillId="0" borderId="0" xfId="0" quotePrefix="1" applyFont="1" applyFill="1"/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1" fillId="0" borderId="0" xfId="0" applyNumberFormat="1" applyFont="1"/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left"/>
    </xf>
    <xf numFmtId="43" fontId="15" fillId="0" borderId="0" xfId="1" applyFont="1" applyFill="1"/>
    <xf numFmtId="8" fontId="15" fillId="0" borderId="0" xfId="0" applyNumberFormat="1" applyFont="1" applyFill="1"/>
    <xf numFmtId="0" fontId="15" fillId="3" borderId="0" xfId="0" applyFont="1" applyFill="1"/>
    <xf numFmtId="49" fontId="1" fillId="3" borderId="0" xfId="0" applyNumberFormat="1" applyFont="1" applyFill="1"/>
    <xf numFmtId="0" fontId="1" fillId="3" borderId="0" xfId="0" applyFont="1" applyFill="1"/>
    <xf numFmtId="164" fontId="1" fillId="3" borderId="0" xfId="0" applyNumberFormat="1" applyFont="1" applyFill="1"/>
    <xf numFmtId="8" fontId="15" fillId="3" borderId="0" xfId="0" applyNumberFormat="1" applyFont="1" applyFill="1"/>
    <xf numFmtId="0" fontId="1" fillId="12" borderId="0" xfId="0" applyFont="1" applyFill="1"/>
    <xf numFmtId="0" fontId="25" fillId="0" borderId="3" xfId="0" applyFont="1" applyFill="1" applyBorder="1"/>
    <xf numFmtId="43" fontId="0" fillId="0" borderId="0" xfId="1" applyFont="1"/>
    <xf numFmtId="43" fontId="10" fillId="2" borderId="1" xfId="1" applyFont="1" applyFill="1" applyBorder="1" applyAlignment="1">
      <alignment horizontal="center" wrapText="1"/>
    </xf>
    <xf numFmtId="43" fontId="1" fillId="0" borderId="0" xfId="1" applyFont="1"/>
    <xf numFmtId="43" fontId="8" fillId="0" borderId="0" xfId="1" applyFont="1"/>
    <xf numFmtId="0" fontId="15" fillId="0" borderId="0" xfId="0" quotePrefix="1" applyFont="1" applyFill="1"/>
    <xf numFmtId="0" fontId="13" fillId="16" borderId="12" xfId="4" applyFont="1" applyFill="1" applyBorder="1" applyAlignment="1">
      <alignment horizontal="right"/>
    </xf>
    <xf numFmtId="0" fontId="0" fillId="16" borderId="0" xfId="0" applyFont="1" applyFill="1" applyAlignment="1">
      <alignment horizontal="right"/>
    </xf>
    <xf numFmtId="0" fontId="13" fillId="0" borderId="0" xfId="4" applyFill="1"/>
    <xf numFmtId="8" fontId="1" fillId="3" borderId="0" xfId="1" applyNumberFormat="1" applyFont="1" applyFill="1"/>
    <xf numFmtId="164" fontId="1" fillId="3" borderId="0" xfId="1" applyNumberFormat="1" applyFont="1" applyFill="1"/>
    <xf numFmtId="0" fontId="13" fillId="0" borderId="0" xfId="4" applyFill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164" fontId="37" fillId="0" borderId="13" xfId="1" applyNumberFormat="1" applyFont="1" applyBorder="1"/>
    <xf numFmtId="43" fontId="26" fillId="6" borderId="4" xfId="1" applyFont="1" applyFill="1" applyBorder="1" applyAlignment="1">
      <alignment horizontal="center" wrapText="1"/>
    </xf>
    <xf numFmtId="43" fontId="26" fillId="6" borderId="5" xfId="1" applyFont="1" applyFill="1" applyBorder="1" applyAlignment="1">
      <alignment horizontal="center" wrapText="1"/>
    </xf>
    <xf numFmtId="43" fontId="12" fillId="6" borderId="8" xfId="1" applyFill="1" applyBorder="1" applyAlignment="1">
      <alignment horizontal="center" wrapText="1"/>
    </xf>
    <xf numFmtId="43" fontId="12" fillId="6" borderId="9" xfId="1" applyFill="1" applyBorder="1" applyAlignment="1">
      <alignment horizontal="center" wrapText="1"/>
    </xf>
    <xf numFmtId="43" fontId="26" fillId="6" borderId="3" xfId="1" applyFont="1" applyFill="1" applyBorder="1" applyAlignment="1">
      <alignment horizontal="center" wrapText="1"/>
    </xf>
    <xf numFmtId="0" fontId="26" fillId="11" borderId="7" xfId="0" applyFont="1" applyFill="1" applyBorder="1" applyAlignment="1">
      <alignment horizontal="center"/>
    </xf>
    <xf numFmtId="3" fontId="26" fillId="6" borderId="3" xfId="0" applyNumberFormat="1" applyFont="1" applyFill="1" applyBorder="1"/>
    <xf numFmtId="0" fontId="26" fillId="0" borderId="7" xfId="0" applyFont="1" applyFill="1" applyBorder="1" applyAlignment="1">
      <alignment horizontal="center"/>
    </xf>
    <xf numFmtId="0" fontId="15" fillId="15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9" fillId="0" borderId="0" xfId="0" applyFont="1" applyAlignment="1">
      <alignment horizontal="center"/>
    </xf>
    <xf numFmtId="3" fontId="26" fillId="6" borderId="3" xfId="0" applyNumberFormat="1" applyFont="1" applyFill="1" applyBorder="1" applyAlignment="1">
      <alignment vertical="center"/>
    </xf>
    <xf numFmtId="3" fontId="26" fillId="6" borderId="4" xfId="0" applyNumberFormat="1" applyFont="1" applyFill="1" applyBorder="1" applyAlignment="1">
      <alignment horizontal="center" vertical="center"/>
    </xf>
    <xf numFmtId="43" fontId="26" fillId="6" borderId="4" xfId="1" applyFont="1" applyFill="1" applyBorder="1" applyAlignment="1">
      <alignment vertical="center" wrapText="1"/>
    </xf>
    <xf numFmtId="43" fontId="26" fillId="6" borderId="4" xfId="1" applyFont="1" applyFill="1" applyBorder="1" applyAlignment="1">
      <alignment horizontal="center" vertical="center" wrapText="1"/>
    </xf>
    <xf numFmtId="43" fontId="26" fillId="6" borderId="4" xfId="1" applyFont="1" applyFill="1" applyBorder="1" applyAlignment="1">
      <alignment vertical="center" wrapText="1"/>
    </xf>
    <xf numFmtId="43" fontId="12" fillId="6" borderId="8" xfId="1" applyFill="1" applyBorder="1" applyAlignment="1">
      <alignment vertical="center" wrapText="1"/>
    </xf>
    <xf numFmtId="43" fontId="12" fillId="6" borderId="9" xfId="1" applyFill="1" applyBorder="1" applyAlignment="1">
      <alignment vertical="center" wrapText="1"/>
    </xf>
    <xf numFmtId="43" fontId="26" fillId="6" borderId="3" xfId="1" applyFont="1" applyFill="1" applyBorder="1" applyAlignment="1">
      <alignment vertical="center" wrapText="1"/>
    </xf>
    <xf numFmtId="43" fontId="26" fillId="6" borderId="10" xfId="1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3" fontId="26" fillId="6" borderId="5" xfId="0" applyNumberFormat="1" applyFont="1" applyFill="1" applyBorder="1" applyAlignment="1">
      <alignment horizontal="center" vertical="center"/>
    </xf>
    <xf numFmtId="43" fontId="26" fillId="6" borderId="5" xfId="1" applyFont="1" applyFill="1" applyBorder="1" applyAlignment="1">
      <alignment vertical="center" wrapText="1"/>
    </xf>
    <xf numFmtId="43" fontId="26" fillId="6" borderId="5" xfId="1" applyFont="1" applyFill="1" applyBorder="1" applyAlignment="1">
      <alignment horizontal="center" vertical="center" wrapText="1"/>
    </xf>
    <xf numFmtId="43" fontId="26" fillId="6" borderId="5" xfId="1" applyFont="1" applyFill="1" applyBorder="1" applyAlignment="1">
      <alignment vertical="center" wrapText="1"/>
    </xf>
    <xf numFmtId="43" fontId="12" fillId="6" borderId="4" xfId="1" applyFill="1" applyBorder="1" applyAlignment="1">
      <alignment vertical="center" wrapText="1"/>
    </xf>
    <xf numFmtId="43" fontId="12" fillId="0" borderId="3" xfId="1" applyBorder="1"/>
    <xf numFmtId="0" fontId="25" fillId="0" borderId="0" xfId="1" applyNumberFormat="1" applyFont="1"/>
    <xf numFmtId="0" fontId="4" fillId="0" borderId="0" xfId="0" applyFont="1" applyAlignment="1">
      <alignment horizontal="left"/>
    </xf>
    <xf numFmtId="43" fontId="1" fillId="0" borderId="0" xfId="0" applyNumberFormat="1" applyFont="1"/>
    <xf numFmtId="0" fontId="38" fillId="0" borderId="0" xfId="0" applyFont="1"/>
    <xf numFmtId="8" fontId="38" fillId="0" borderId="0" xfId="0" applyNumberFormat="1" applyFont="1"/>
    <xf numFmtId="0" fontId="13" fillId="0" borderId="0" xfId="4" applyFill="1"/>
    <xf numFmtId="0" fontId="13" fillId="0" borderId="0" xfId="4" applyFill="1"/>
  </cellXfs>
  <cellStyles count="16">
    <cellStyle name="Millares" xfId="1" builtinId="3"/>
    <cellStyle name="Moneda" xfId="2" builtinId="4"/>
    <cellStyle name="Moneda 2" xfId="15"/>
    <cellStyle name="Normal" xfId="0" builtinId="0"/>
    <cellStyle name="Normal 10" xfId="5"/>
    <cellStyle name="Normal 11" xfId="6"/>
    <cellStyle name="Normal 13" xfId="7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4"/>
  <sheetViews>
    <sheetView topLeftCell="A13" workbookViewId="0">
      <selection activeCell="A24" sqref="A24"/>
    </sheetView>
  </sheetViews>
  <sheetFormatPr baseColWidth="10" defaultColWidth="19.5703125" defaultRowHeight="15.75" x14ac:dyDescent="0.25"/>
  <cols>
    <col min="1" max="1" width="28.7109375" style="89" customWidth="1"/>
    <col min="2" max="2" width="45.140625" style="89" bestFit="1" customWidth="1"/>
    <col min="3" max="3" width="8.85546875" style="89" customWidth="1"/>
    <col min="4" max="4" width="36" style="89" bestFit="1" customWidth="1"/>
    <col min="5" max="5" width="13" style="89" bestFit="1" customWidth="1"/>
    <col min="6" max="6" width="11.7109375" style="89" customWidth="1"/>
    <col min="7" max="7" width="17.140625" style="89" bestFit="1" customWidth="1"/>
    <col min="8" max="8" width="11.7109375" style="89" customWidth="1"/>
    <col min="9" max="11" width="13.85546875" style="74" customWidth="1"/>
    <col min="12" max="14" width="13.5703125" style="74" customWidth="1"/>
    <col min="15" max="15" width="17" style="75" customWidth="1"/>
    <col min="16" max="21" width="13.5703125" style="74" customWidth="1"/>
    <col min="22" max="22" width="16.7109375" style="75" customWidth="1"/>
    <col min="23" max="23" width="16.7109375" style="74" customWidth="1"/>
    <col min="24" max="24" width="15.42578125" style="75" customWidth="1"/>
    <col min="25" max="26" width="13.5703125" style="74" customWidth="1"/>
    <col min="27" max="27" width="15.42578125" style="75" customWidth="1"/>
    <col min="28" max="29" width="15.140625" style="135" hidden="1" customWidth="1"/>
    <col min="30" max="30" width="15.140625" style="89" hidden="1" customWidth="1"/>
    <col min="31" max="31" width="57" style="89" bestFit="1" customWidth="1"/>
    <col min="32" max="16384" width="19.5703125" style="89"/>
  </cols>
  <sheetData>
    <row r="1" spans="1:44" s="68" customFormat="1" x14ac:dyDescent="0.25">
      <c r="A1" s="64" t="s">
        <v>166</v>
      </c>
      <c r="B1" s="64"/>
      <c r="C1" s="64"/>
      <c r="D1" s="65"/>
      <c r="E1" s="65"/>
      <c r="F1" s="65"/>
      <c r="G1" s="65"/>
      <c r="H1" s="65"/>
      <c r="I1" s="66"/>
      <c r="J1" s="66"/>
      <c r="K1" s="66"/>
      <c r="L1" s="66"/>
      <c r="M1" s="66"/>
      <c r="N1" s="66"/>
      <c r="O1" s="67"/>
      <c r="P1" s="66"/>
      <c r="Q1" s="66"/>
      <c r="R1" s="66"/>
      <c r="S1" s="66"/>
      <c r="T1" s="66"/>
      <c r="U1" s="66"/>
      <c r="V1" s="67"/>
      <c r="W1" s="66"/>
      <c r="X1" s="67"/>
      <c r="Y1" s="66"/>
      <c r="Z1" s="66"/>
      <c r="AA1" s="67"/>
      <c r="AB1" s="134"/>
      <c r="AC1" s="134"/>
    </row>
    <row r="2" spans="1:44" s="68" customFormat="1" x14ac:dyDescent="0.25">
      <c r="A2" s="69" t="s">
        <v>167</v>
      </c>
      <c r="B2" s="69"/>
      <c r="C2" s="69"/>
      <c r="D2" s="70"/>
      <c r="E2" s="70"/>
      <c r="F2" s="70"/>
      <c r="G2" s="70"/>
      <c r="H2" s="70"/>
      <c r="I2" s="66"/>
      <c r="J2" s="66"/>
      <c r="K2" s="66"/>
      <c r="L2" s="66"/>
      <c r="M2" s="66"/>
      <c r="N2" s="66"/>
      <c r="O2" s="67"/>
      <c r="P2" s="66" t="s">
        <v>168</v>
      </c>
      <c r="Q2" s="66"/>
      <c r="R2" s="66"/>
      <c r="S2" s="66"/>
      <c r="T2" s="66"/>
      <c r="U2" s="66"/>
      <c r="V2" s="67"/>
      <c r="W2" s="66"/>
      <c r="X2" s="67"/>
      <c r="Y2" s="66"/>
      <c r="Z2" s="66"/>
      <c r="AA2" s="67"/>
      <c r="AB2" s="134"/>
      <c r="AC2" s="134"/>
    </row>
    <row r="3" spans="1:44" s="68" customFormat="1" x14ac:dyDescent="0.25">
      <c r="A3" s="71" t="s">
        <v>285</v>
      </c>
      <c r="B3" s="71"/>
      <c r="C3" s="71"/>
      <c r="D3" s="72"/>
      <c r="E3" s="72"/>
      <c r="F3" s="72"/>
      <c r="G3" s="72"/>
      <c r="H3" s="72"/>
      <c r="I3" s="66"/>
      <c r="J3" s="66"/>
      <c r="K3" s="66"/>
      <c r="L3" s="66"/>
      <c r="M3" s="66"/>
      <c r="N3" s="66"/>
      <c r="O3" s="67"/>
      <c r="P3" s="66"/>
      <c r="Q3" s="66"/>
      <c r="R3" s="66"/>
      <c r="S3" s="66"/>
      <c r="T3" s="66"/>
      <c r="U3" s="66"/>
      <c r="V3" s="67"/>
      <c r="W3" s="66"/>
      <c r="X3" s="67"/>
      <c r="Y3" s="66"/>
      <c r="Z3" s="66"/>
      <c r="AA3" s="67"/>
      <c r="AB3" s="134"/>
      <c r="AC3" s="134"/>
    </row>
    <row r="4" spans="1:44" s="73" customFormat="1" x14ac:dyDescent="0.25">
      <c r="I4" s="74"/>
      <c r="J4" s="74"/>
      <c r="K4" s="74"/>
      <c r="L4" s="74"/>
      <c r="M4" s="74"/>
      <c r="N4" s="74"/>
      <c r="O4" s="75"/>
      <c r="P4" s="74"/>
      <c r="Q4" s="74"/>
      <c r="R4" s="74"/>
      <c r="S4" s="74"/>
      <c r="T4" s="74"/>
      <c r="U4" s="74"/>
      <c r="V4" s="75"/>
      <c r="W4" s="74"/>
      <c r="X4" s="75"/>
      <c r="Y4" s="74"/>
      <c r="Z4" s="74"/>
      <c r="AA4" s="75"/>
      <c r="AB4" s="135"/>
      <c r="AC4" s="135"/>
    </row>
    <row r="5" spans="1:44" s="73" customFormat="1" ht="15.75" customHeight="1" x14ac:dyDescent="0.25">
      <c r="A5" s="264" t="s">
        <v>169</v>
      </c>
      <c r="B5" s="264" t="s">
        <v>124</v>
      </c>
      <c r="C5" s="264" t="s">
        <v>170</v>
      </c>
      <c r="D5" s="264" t="s">
        <v>171</v>
      </c>
      <c r="E5" s="258" t="s">
        <v>172</v>
      </c>
      <c r="F5" s="258" t="s">
        <v>173</v>
      </c>
      <c r="G5" s="131"/>
      <c r="H5" s="131"/>
      <c r="I5" s="258" t="s">
        <v>174</v>
      </c>
      <c r="J5" s="131"/>
      <c r="K5" s="131"/>
      <c r="L5" s="258" t="s">
        <v>175</v>
      </c>
      <c r="M5" s="258" t="s">
        <v>176</v>
      </c>
      <c r="N5" s="258" t="s">
        <v>177</v>
      </c>
      <c r="O5" s="258" t="s">
        <v>178</v>
      </c>
      <c r="P5" s="258" t="s">
        <v>179</v>
      </c>
      <c r="Q5" s="258" t="s">
        <v>283</v>
      </c>
      <c r="R5" s="258" t="s">
        <v>180</v>
      </c>
      <c r="S5" s="258" t="s">
        <v>181</v>
      </c>
      <c r="T5" s="258" t="s">
        <v>182</v>
      </c>
      <c r="U5" s="258" t="s">
        <v>125</v>
      </c>
      <c r="V5" s="258" t="s">
        <v>183</v>
      </c>
      <c r="W5" s="258" t="s">
        <v>184</v>
      </c>
      <c r="X5" s="258" t="s">
        <v>185</v>
      </c>
      <c r="Y5" s="258" t="s">
        <v>186</v>
      </c>
      <c r="Z5" s="258" t="s">
        <v>187</v>
      </c>
      <c r="AA5" s="258" t="s">
        <v>188</v>
      </c>
      <c r="AB5" s="260" t="s">
        <v>286</v>
      </c>
      <c r="AC5" s="261"/>
      <c r="AD5" s="262" t="s">
        <v>287</v>
      </c>
      <c r="AE5" s="136" t="s">
        <v>288</v>
      </c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</row>
    <row r="6" spans="1:44" s="73" customFormat="1" ht="31.5" x14ac:dyDescent="0.25">
      <c r="A6" s="264"/>
      <c r="B6" s="264"/>
      <c r="C6" s="264"/>
      <c r="D6" s="264"/>
      <c r="E6" s="259"/>
      <c r="F6" s="259"/>
      <c r="G6" s="132" t="s">
        <v>189</v>
      </c>
      <c r="H6" s="132" t="s">
        <v>190</v>
      </c>
      <c r="I6" s="259"/>
      <c r="J6" s="132" t="s">
        <v>149</v>
      </c>
      <c r="K6" s="132" t="s">
        <v>289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137" t="s">
        <v>189</v>
      </c>
      <c r="AC6" s="137" t="s">
        <v>190</v>
      </c>
      <c r="AD6" s="262"/>
      <c r="AE6" s="13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s="88" customFormat="1" x14ac:dyDescent="0.25">
      <c r="A7" s="77" t="s">
        <v>191</v>
      </c>
      <c r="B7" s="77" t="s">
        <v>192</v>
      </c>
      <c r="C7" s="78" t="s">
        <v>15</v>
      </c>
      <c r="D7" s="77" t="s">
        <v>123</v>
      </c>
      <c r="E7" s="77"/>
      <c r="F7" s="77"/>
      <c r="G7" s="79">
        <v>1237.2399999999998</v>
      </c>
      <c r="H7" s="77">
        <v>-37.239999999999782</v>
      </c>
      <c r="I7" s="79">
        <f t="shared" ref="I7:I63" si="0">+G7+H7</f>
        <v>1200</v>
      </c>
      <c r="J7" s="79">
        <v>1641.9</v>
      </c>
      <c r="K7" s="79">
        <v>200.73</v>
      </c>
      <c r="L7" s="79"/>
      <c r="M7" s="79"/>
      <c r="N7" s="80">
        <v>45.15</v>
      </c>
      <c r="O7" s="81">
        <f t="shared" ref="O7:O64" si="1">SUM(I7:M7)-N7</f>
        <v>2997.48</v>
      </c>
      <c r="P7" s="82"/>
      <c r="Q7" s="83"/>
      <c r="R7" s="83"/>
      <c r="S7" s="83"/>
      <c r="T7" s="84"/>
      <c r="U7" s="84">
        <v>0</v>
      </c>
      <c r="V7" s="81">
        <f t="shared" ref="V7:V64" si="2">+O7-SUM(P7:U7)</f>
        <v>2997.48</v>
      </c>
      <c r="W7" s="85">
        <f t="shared" ref="W7:W64" si="3">IF(O7&gt;4500,O7*0.1,0)</f>
        <v>0</v>
      </c>
      <c r="X7" s="81">
        <f t="shared" ref="X7:X64" si="4">+V7-W7</f>
        <v>2997.48</v>
      </c>
      <c r="Y7" s="86">
        <f t="shared" ref="Y7:Y64" si="5">IF(O7&lt;4500,O7*0.1,0)</f>
        <v>299.74799999999999</v>
      </c>
      <c r="Z7" s="85">
        <f t="shared" ref="Z7:Z63" si="6">G7*0.02</f>
        <v>24.744799999999998</v>
      </c>
      <c r="AA7" s="81">
        <f>+O7+Y7+Z7</f>
        <v>3321.9728</v>
      </c>
      <c r="AB7" s="138">
        <v>1237.2</v>
      </c>
      <c r="AC7" s="138">
        <v>526.23</v>
      </c>
      <c r="AD7" s="139">
        <f>+AB7+AC7-X7</f>
        <v>-1234.05</v>
      </c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</row>
    <row r="8" spans="1:44" x14ac:dyDescent="0.25">
      <c r="A8" s="77" t="s">
        <v>193</v>
      </c>
      <c r="B8" s="77" t="s">
        <v>127</v>
      </c>
      <c r="C8" s="78" t="s">
        <v>17</v>
      </c>
      <c r="D8" s="77" t="s">
        <v>194</v>
      </c>
      <c r="E8" s="77" t="s">
        <v>195</v>
      </c>
      <c r="F8" s="77"/>
      <c r="G8" s="79">
        <v>1237.2399999999998</v>
      </c>
      <c r="H8" s="77">
        <v>2262.7600000000002</v>
      </c>
      <c r="I8" s="79">
        <f t="shared" si="0"/>
        <v>3500</v>
      </c>
      <c r="J8" s="79">
        <v>1777.5</v>
      </c>
      <c r="K8" s="79"/>
      <c r="L8" s="79"/>
      <c r="M8" s="79"/>
      <c r="N8" s="80">
        <v>45.15</v>
      </c>
      <c r="O8" s="81">
        <f t="shared" si="1"/>
        <v>5232.3500000000004</v>
      </c>
      <c r="P8" s="82"/>
      <c r="Q8" s="83"/>
      <c r="R8" s="83"/>
      <c r="S8" s="83"/>
      <c r="T8" s="84"/>
      <c r="U8" s="84">
        <v>0</v>
      </c>
      <c r="V8" s="81">
        <f t="shared" si="2"/>
        <v>5232.3500000000004</v>
      </c>
      <c r="W8" s="85">
        <f t="shared" si="3"/>
        <v>523.23500000000001</v>
      </c>
      <c r="X8" s="81">
        <f t="shared" si="4"/>
        <v>4709.1150000000007</v>
      </c>
      <c r="Y8" s="86">
        <f t="shared" si="5"/>
        <v>0</v>
      </c>
      <c r="Z8" s="85">
        <f t="shared" si="6"/>
        <v>24.744799999999998</v>
      </c>
      <c r="AA8" s="81">
        <f t="shared" ref="AA8:AA64" si="7">+O8+Y8+Z8</f>
        <v>5257.0948000000008</v>
      </c>
      <c r="AB8" s="138">
        <v>1237.2</v>
      </c>
      <c r="AC8" s="138">
        <v>3512.55</v>
      </c>
      <c r="AD8" s="139">
        <f t="shared" ref="AD8:AD62" si="8">+AB8+AC8-X8</f>
        <v>40.634999999999309</v>
      </c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</row>
    <row r="9" spans="1:44" x14ac:dyDescent="0.25">
      <c r="A9" s="77" t="s">
        <v>193</v>
      </c>
      <c r="B9" s="77" t="s">
        <v>196</v>
      </c>
      <c r="C9" s="78" t="s">
        <v>19</v>
      </c>
      <c r="D9" s="77" t="s">
        <v>197</v>
      </c>
      <c r="E9" s="77" t="s">
        <v>195</v>
      </c>
      <c r="F9" s="77"/>
      <c r="G9" s="79">
        <v>1237.2399999999998</v>
      </c>
      <c r="H9" s="77">
        <v>12.760000000000218</v>
      </c>
      <c r="I9" s="79">
        <f t="shared" si="0"/>
        <v>1250</v>
      </c>
      <c r="J9" s="79">
        <v>2500</v>
      </c>
      <c r="K9" s="79">
        <v>200.73</v>
      </c>
      <c r="L9" s="79"/>
      <c r="M9" s="79"/>
      <c r="N9" s="80">
        <v>45.15</v>
      </c>
      <c r="O9" s="81">
        <f t="shared" si="1"/>
        <v>3905.58</v>
      </c>
      <c r="P9" s="82"/>
      <c r="Q9" s="83"/>
      <c r="R9" s="83"/>
      <c r="S9" s="83"/>
      <c r="T9" s="84"/>
      <c r="U9" s="84">
        <v>0</v>
      </c>
      <c r="V9" s="81">
        <f t="shared" si="2"/>
        <v>3905.58</v>
      </c>
      <c r="W9" s="85">
        <f t="shared" si="3"/>
        <v>0</v>
      </c>
      <c r="X9" s="81">
        <f t="shared" si="4"/>
        <v>3905.58</v>
      </c>
      <c r="Y9" s="86">
        <f t="shared" si="5"/>
        <v>390.55799999999999</v>
      </c>
      <c r="Z9" s="85">
        <f t="shared" si="6"/>
        <v>24.744799999999998</v>
      </c>
      <c r="AA9" s="81">
        <f t="shared" si="7"/>
        <v>4320.8828000000003</v>
      </c>
      <c r="AB9" s="138">
        <v>1237.2</v>
      </c>
      <c r="AC9" s="138">
        <v>796.87</v>
      </c>
      <c r="AD9" s="139">
        <f t="shared" si="8"/>
        <v>-1871.5099999999998</v>
      </c>
      <c r="AE9" s="76"/>
      <c r="AF9" s="76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</row>
    <row r="10" spans="1:44" x14ac:dyDescent="0.25">
      <c r="A10" s="77" t="s">
        <v>193</v>
      </c>
      <c r="B10" s="77" t="s">
        <v>198</v>
      </c>
      <c r="C10" s="78" t="s">
        <v>21</v>
      </c>
      <c r="D10" s="77" t="s">
        <v>199</v>
      </c>
      <c r="E10" s="77"/>
      <c r="F10" s="77"/>
      <c r="G10" s="79">
        <v>1237.2399999999998</v>
      </c>
      <c r="H10" s="77">
        <v>2262.7600000000002</v>
      </c>
      <c r="I10" s="79">
        <f t="shared" si="0"/>
        <v>3500</v>
      </c>
      <c r="J10" s="79">
        <v>15486.79</v>
      </c>
      <c r="K10" s="79">
        <v>125.12</v>
      </c>
      <c r="L10" s="79"/>
      <c r="M10" s="79"/>
      <c r="N10" s="80">
        <v>45.15</v>
      </c>
      <c r="O10" s="81">
        <f t="shared" si="1"/>
        <v>19066.759999999998</v>
      </c>
      <c r="P10" s="82"/>
      <c r="Q10" s="83"/>
      <c r="R10" s="83"/>
      <c r="S10" s="83"/>
      <c r="T10" s="84"/>
      <c r="U10" s="84">
        <v>2181.2800000000002</v>
      </c>
      <c r="V10" s="81">
        <f t="shared" si="2"/>
        <v>16885.48</v>
      </c>
      <c r="W10" s="85">
        <f t="shared" si="3"/>
        <v>1906.6759999999999</v>
      </c>
      <c r="X10" s="81">
        <f t="shared" si="4"/>
        <v>14978.804</v>
      </c>
      <c r="Y10" s="86">
        <f t="shared" si="5"/>
        <v>0</v>
      </c>
      <c r="Z10" s="85">
        <f t="shared" si="6"/>
        <v>24.744799999999998</v>
      </c>
      <c r="AA10" s="81">
        <f t="shared" si="7"/>
        <v>19091.504799999999</v>
      </c>
      <c r="AB10" s="138">
        <v>1237.2</v>
      </c>
      <c r="AC10" s="138">
        <v>206.64</v>
      </c>
      <c r="AD10" s="139">
        <f t="shared" si="8"/>
        <v>-13534.964</v>
      </c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</row>
    <row r="11" spans="1:44" x14ac:dyDescent="0.25">
      <c r="A11" s="77" t="s">
        <v>193</v>
      </c>
      <c r="B11" s="77" t="s">
        <v>128</v>
      </c>
      <c r="C11" s="78" t="s">
        <v>23</v>
      </c>
      <c r="D11" s="77" t="s">
        <v>200</v>
      </c>
      <c r="E11" s="77"/>
      <c r="F11" s="77"/>
      <c r="G11" s="79">
        <v>1237.2399999999998</v>
      </c>
      <c r="H11" s="77">
        <v>1012.7600000000002</v>
      </c>
      <c r="I11" s="79">
        <f t="shared" si="0"/>
        <v>2250</v>
      </c>
      <c r="J11" s="79">
        <v>2000</v>
      </c>
      <c r="K11" s="79">
        <v>174.78</v>
      </c>
      <c r="L11" s="79"/>
      <c r="M11" s="79"/>
      <c r="N11" s="80">
        <v>45.15</v>
      </c>
      <c r="O11" s="81">
        <f t="shared" si="1"/>
        <v>4379.63</v>
      </c>
      <c r="P11" s="82"/>
      <c r="Q11" s="83"/>
      <c r="R11" s="83"/>
      <c r="S11" s="83"/>
      <c r="T11" s="84"/>
      <c r="U11" s="84">
        <v>902.31</v>
      </c>
      <c r="V11" s="81">
        <f t="shared" si="2"/>
        <v>3477.32</v>
      </c>
      <c r="W11" s="85">
        <f t="shared" si="3"/>
        <v>0</v>
      </c>
      <c r="X11" s="81">
        <f t="shared" si="4"/>
        <v>3477.32</v>
      </c>
      <c r="Y11" s="86">
        <f t="shared" si="5"/>
        <v>437.96300000000002</v>
      </c>
      <c r="Z11" s="85">
        <f t="shared" si="6"/>
        <v>24.744799999999998</v>
      </c>
      <c r="AA11" s="81">
        <f t="shared" si="7"/>
        <v>4842.3378000000002</v>
      </c>
      <c r="AB11" s="138">
        <v>1237.2</v>
      </c>
      <c r="AC11" s="138">
        <v>285.27</v>
      </c>
      <c r="AD11" s="139">
        <f t="shared" si="8"/>
        <v>-1954.8500000000001</v>
      </c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</row>
    <row r="12" spans="1:44" x14ac:dyDescent="0.25">
      <c r="A12" s="77" t="s">
        <v>201</v>
      </c>
      <c r="B12" s="77" t="s">
        <v>202</v>
      </c>
      <c r="C12" s="77" t="s">
        <v>142</v>
      </c>
      <c r="D12" s="77" t="s">
        <v>290</v>
      </c>
      <c r="E12" s="77"/>
      <c r="F12" s="77"/>
      <c r="G12" s="79">
        <v>1237.2399999999998</v>
      </c>
      <c r="H12" s="77">
        <v>1262.7600000000002</v>
      </c>
      <c r="I12" s="79">
        <f t="shared" si="0"/>
        <v>2500</v>
      </c>
      <c r="J12" s="79">
        <v>3750</v>
      </c>
      <c r="K12" s="79">
        <v>160.38</v>
      </c>
      <c r="L12" s="79"/>
      <c r="M12" s="79"/>
      <c r="N12" s="80">
        <v>45.15</v>
      </c>
      <c r="O12" s="81">
        <f t="shared" si="1"/>
        <v>6365.2300000000005</v>
      </c>
      <c r="P12" s="82"/>
      <c r="Q12" s="83"/>
      <c r="R12" s="83"/>
      <c r="S12" s="83"/>
      <c r="T12" s="84"/>
      <c r="U12" s="84">
        <v>0</v>
      </c>
      <c r="V12" s="81">
        <f t="shared" si="2"/>
        <v>6365.2300000000005</v>
      </c>
      <c r="W12" s="85">
        <f t="shared" si="3"/>
        <v>636.52300000000014</v>
      </c>
      <c r="X12" s="81">
        <f t="shared" si="4"/>
        <v>5728.7070000000003</v>
      </c>
      <c r="Y12" s="86">
        <f t="shared" si="5"/>
        <v>0</v>
      </c>
      <c r="Z12" s="85">
        <f t="shared" si="6"/>
        <v>24.744799999999998</v>
      </c>
      <c r="AA12" s="81">
        <f t="shared" si="7"/>
        <v>6389.9748000000009</v>
      </c>
      <c r="AB12" s="138">
        <v>1237.2</v>
      </c>
      <c r="AC12" s="138">
        <v>1423.18</v>
      </c>
      <c r="AD12" s="139">
        <f t="shared" si="8"/>
        <v>-3068.3270000000002</v>
      </c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</row>
    <row r="13" spans="1:44" x14ac:dyDescent="0.25">
      <c r="A13" s="77" t="s">
        <v>193</v>
      </c>
      <c r="B13" s="77" t="s">
        <v>203</v>
      </c>
      <c r="C13" s="78" t="s">
        <v>27</v>
      </c>
      <c r="D13" s="77" t="s">
        <v>291</v>
      </c>
      <c r="E13" s="77" t="s">
        <v>195</v>
      </c>
      <c r="F13" s="77"/>
      <c r="G13" s="79">
        <v>1237.2399999999998</v>
      </c>
      <c r="H13" s="77">
        <v>1262.7600000000002</v>
      </c>
      <c r="I13" s="79">
        <f t="shared" si="0"/>
        <v>2500</v>
      </c>
      <c r="J13" s="79">
        <v>6081.55</v>
      </c>
      <c r="K13" s="79">
        <v>160.38</v>
      </c>
      <c r="L13" s="79"/>
      <c r="M13" s="79"/>
      <c r="N13" s="80">
        <v>45.15</v>
      </c>
      <c r="O13" s="81">
        <f t="shared" si="1"/>
        <v>8696.7799999999988</v>
      </c>
      <c r="P13" s="82"/>
      <c r="Q13" s="83"/>
      <c r="R13" s="83"/>
      <c r="S13" s="83"/>
      <c r="T13" s="84"/>
      <c r="U13" s="84"/>
      <c r="V13" s="81">
        <f t="shared" si="2"/>
        <v>8696.7799999999988</v>
      </c>
      <c r="W13" s="85">
        <f t="shared" si="3"/>
        <v>869.67799999999988</v>
      </c>
      <c r="X13" s="81">
        <f t="shared" si="4"/>
        <v>7827.101999999999</v>
      </c>
      <c r="Y13" s="86">
        <f t="shared" si="5"/>
        <v>0</v>
      </c>
      <c r="Z13" s="85">
        <f t="shared" si="6"/>
        <v>24.744799999999998</v>
      </c>
      <c r="AA13" s="81">
        <f t="shared" si="7"/>
        <v>8721.5247999999992</v>
      </c>
      <c r="AB13" s="138">
        <v>1237.2</v>
      </c>
      <c r="AC13" s="138">
        <v>1423.18</v>
      </c>
      <c r="AD13" s="139">
        <f t="shared" si="8"/>
        <v>-5166.7219999999988</v>
      </c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</row>
    <row r="14" spans="1:44" x14ac:dyDescent="0.25">
      <c r="A14" s="77" t="s">
        <v>193</v>
      </c>
      <c r="B14" s="77" t="s">
        <v>292</v>
      </c>
      <c r="C14" s="78" t="s">
        <v>29</v>
      </c>
      <c r="D14" s="77" t="s">
        <v>205</v>
      </c>
      <c r="E14" s="91"/>
      <c r="F14" s="91"/>
      <c r="G14" s="79">
        <v>1237.2399999999998</v>
      </c>
      <c r="H14" s="91">
        <v>5262.76</v>
      </c>
      <c r="I14" s="79">
        <f t="shared" si="0"/>
        <v>6500</v>
      </c>
      <c r="J14" s="79"/>
      <c r="K14" s="79">
        <v>0</v>
      </c>
      <c r="L14" s="92"/>
      <c r="M14" s="92"/>
      <c r="N14" s="80">
        <v>45.15</v>
      </c>
      <c r="O14" s="81">
        <f t="shared" si="1"/>
        <v>6454.85</v>
      </c>
      <c r="P14" s="82"/>
      <c r="Q14" s="83"/>
      <c r="R14" s="83"/>
      <c r="S14" s="83"/>
      <c r="T14" s="84"/>
      <c r="U14" s="84">
        <v>0</v>
      </c>
      <c r="V14" s="81">
        <f t="shared" si="2"/>
        <v>6454.85</v>
      </c>
      <c r="W14" s="85">
        <f t="shared" si="3"/>
        <v>645.48500000000013</v>
      </c>
      <c r="X14" s="81">
        <f t="shared" si="4"/>
        <v>5809.3649999999998</v>
      </c>
      <c r="Y14" s="86">
        <f t="shared" si="5"/>
        <v>0</v>
      </c>
      <c r="Z14" s="85">
        <f t="shared" si="6"/>
        <v>24.744799999999998</v>
      </c>
      <c r="AA14" s="81">
        <f t="shared" si="7"/>
        <v>6479.5948000000008</v>
      </c>
      <c r="AB14" s="138">
        <v>1237.2</v>
      </c>
      <c r="AC14" s="138">
        <v>4695.3999999999996</v>
      </c>
      <c r="AD14" s="139">
        <f t="shared" si="8"/>
        <v>123.23499999999967</v>
      </c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</row>
    <row r="15" spans="1:44" x14ac:dyDescent="0.25">
      <c r="A15" s="77" t="s">
        <v>191</v>
      </c>
      <c r="B15" s="77" t="s">
        <v>206</v>
      </c>
      <c r="C15" s="78" t="s">
        <v>33</v>
      </c>
      <c r="D15" s="77" t="s">
        <v>207</v>
      </c>
      <c r="E15" s="77" t="s">
        <v>195</v>
      </c>
      <c r="F15" s="77"/>
      <c r="G15" s="79">
        <v>1237.2399999999998</v>
      </c>
      <c r="H15" s="77">
        <v>162.76000000000022</v>
      </c>
      <c r="I15" s="79">
        <f t="shared" si="0"/>
        <v>1400</v>
      </c>
      <c r="J15" s="79">
        <v>1200</v>
      </c>
      <c r="K15" s="79">
        <v>200.73</v>
      </c>
      <c r="L15" s="79"/>
      <c r="M15" s="79"/>
      <c r="N15" s="80">
        <v>45.15</v>
      </c>
      <c r="O15" s="81">
        <f t="shared" si="1"/>
        <v>2755.58</v>
      </c>
      <c r="P15" s="82"/>
      <c r="Q15" s="83"/>
      <c r="R15" s="83"/>
      <c r="S15" s="83"/>
      <c r="T15" s="84"/>
      <c r="U15" s="84">
        <v>0</v>
      </c>
      <c r="V15" s="81">
        <f t="shared" si="2"/>
        <v>2755.58</v>
      </c>
      <c r="W15" s="85">
        <f t="shared" si="3"/>
        <v>0</v>
      </c>
      <c r="X15" s="81">
        <f t="shared" si="4"/>
        <v>2755.58</v>
      </c>
      <c r="Y15" s="86">
        <f t="shared" si="5"/>
        <v>275.55799999999999</v>
      </c>
      <c r="Z15" s="85">
        <f t="shared" si="6"/>
        <v>24.744799999999998</v>
      </c>
      <c r="AA15" s="81">
        <f t="shared" si="7"/>
        <v>3055.8827999999999</v>
      </c>
      <c r="AB15" s="138">
        <v>1237.2</v>
      </c>
      <c r="AC15" s="138">
        <v>363.73</v>
      </c>
      <c r="AD15" s="139">
        <f t="shared" si="8"/>
        <v>-1154.6499999999999</v>
      </c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</row>
    <row r="16" spans="1:44" x14ac:dyDescent="0.25">
      <c r="A16" s="77" t="s">
        <v>193</v>
      </c>
      <c r="B16" s="77" t="s">
        <v>208</v>
      </c>
      <c r="C16" s="78" t="s">
        <v>35</v>
      </c>
      <c r="D16" s="77" t="s">
        <v>207</v>
      </c>
      <c r="E16" s="77"/>
      <c r="F16" s="77"/>
      <c r="G16" s="79">
        <v>1237.2399999999998</v>
      </c>
      <c r="H16" s="77">
        <v>162.76000000000022</v>
      </c>
      <c r="I16" s="79">
        <f t="shared" si="0"/>
        <v>1400</v>
      </c>
      <c r="J16" s="79">
        <v>1200</v>
      </c>
      <c r="K16" s="79">
        <v>200.73</v>
      </c>
      <c r="L16" s="79"/>
      <c r="M16" s="79"/>
      <c r="N16" s="80">
        <v>45.15</v>
      </c>
      <c r="O16" s="81">
        <f t="shared" si="1"/>
        <v>2755.58</v>
      </c>
      <c r="P16" s="82"/>
      <c r="Q16" s="83"/>
      <c r="R16" s="83"/>
      <c r="S16" s="83"/>
      <c r="T16" s="84"/>
      <c r="U16" s="84">
        <v>0</v>
      </c>
      <c r="V16" s="81">
        <f t="shared" si="2"/>
        <v>2755.58</v>
      </c>
      <c r="W16" s="85">
        <f t="shared" si="3"/>
        <v>0</v>
      </c>
      <c r="X16" s="81">
        <f t="shared" si="4"/>
        <v>2755.58</v>
      </c>
      <c r="Y16" s="86">
        <f t="shared" si="5"/>
        <v>275.55799999999999</v>
      </c>
      <c r="Z16" s="85">
        <f t="shared" si="6"/>
        <v>24.744799999999998</v>
      </c>
      <c r="AA16" s="81">
        <f t="shared" si="7"/>
        <v>3055.8827999999999</v>
      </c>
      <c r="AB16" s="138">
        <v>1237.2</v>
      </c>
      <c r="AC16" s="138">
        <v>363.53</v>
      </c>
      <c r="AD16" s="139">
        <f t="shared" si="8"/>
        <v>-1154.8499999999999</v>
      </c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</row>
    <row r="17" spans="1:44" x14ac:dyDescent="0.25">
      <c r="A17" s="77" t="s">
        <v>193</v>
      </c>
      <c r="B17" s="77" t="s">
        <v>129</v>
      </c>
      <c r="C17" s="78" t="s">
        <v>37</v>
      </c>
      <c r="D17" s="77" t="s">
        <v>209</v>
      </c>
      <c r="E17" s="77" t="s">
        <v>195</v>
      </c>
      <c r="F17" s="91"/>
      <c r="G17" s="79">
        <v>1237.2399999999998</v>
      </c>
      <c r="H17" s="91">
        <v>1262.7600000000002</v>
      </c>
      <c r="I17" s="79">
        <f t="shared" si="0"/>
        <v>2500</v>
      </c>
      <c r="J17" s="79">
        <v>1000</v>
      </c>
      <c r="K17" s="79">
        <v>160.38</v>
      </c>
      <c r="L17" s="92"/>
      <c r="M17" s="92"/>
      <c r="N17" s="80">
        <v>45.15</v>
      </c>
      <c r="O17" s="81">
        <f t="shared" si="1"/>
        <v>3615.23</v>
      </c>
      <c r="P17" s="82"/>
      <c r="Q17" s="83"/>
      <c r="R17" s="83"/>
      <c r="S17" s="83"/>
      <c r="T17" s="84"/>
      <c r="U17" s="84">
        <v>1551.8</v>
      </c>
      <c r="V17" s="81">
        <f t="shared" si="2"/>
        <v>2063.4300000000003</v>
      </c>
      <c r="W17" s="85">
        <f t="shared" si="3"/>
        <v>0</v>
      </c>
      <c r="X17" s="81">
        <f t="shared" si="4"/>
        <v>2063.4300000000003</v>
      </c>
      <c r="Y17" s="86">
        <f t="shared" si="5"/>
        <v>361.52300000000002</v>
      </c>
      <c r="Z17" s="85">
        <f t="shared" si="6"/>
        <v>24.744799999999998</v>
      </c>
      <c r="AA17" s="81">
        <f t="shared" si="7"/>
        <v>4001.4978000000001</v>
      </c>
      <c r="AB17" s="138">
        <v>1237.2</v>
      </c>
      <c r="AC17" s="138">
        <v>1532.84</v>
      </c>
      <c r="AD17" s="139">
        <f t="shared" si="8"/>
        <v>706.60999999999967</v>
      </c>
      <c r="AE17" s="76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4" x14ac:dyDescent="0.25">
      <c r="A18" s="77" t="s">
        <v>193</v>
      </c>
      <c r="B18" s="77" t="s">
        <v>210</v>
      </c>
      <c r="C18" s="78" t="s">
        <v>39</v>
      </c>
      <c r="D18" s="77" t="s">
        <v>211</v>
      </c>
      <c r="E18" s="77"/>
      <c r="F18" s="77"/>
      <c r="G18" s="79">
        <v>1237.2399999999998</v>
      </c>
      <c r="H18" s="77">
        <v>1512.7600000000002</v>
      </c>
      <c r="I18" s="79">
        <f t="shared" si="0"/>
        <v>2750</v>
      </c>
      <c r="J18" s="79">
        <v>2250</v>
      </c>
      <c r="K18" s="79">
        <v>145.37</v>
      </c>
      <c r="L18" s="79"/>
      <c r="M18" s="79"/>
      <c r="N18" s="80">
        <v>45.15</v>
      </c>
      <c r="O18" s="81">
        <f t="shared" si="1"/>
        <v>5100.22</v>
      </c>
      <c r="P18" s="82">
        <v>183.33</v>
      </c>
      <c r="Q18" s="83"/>
      <c r="R18" s="83"/>
      <c r="S18" s="83"/>
      <c r="T18" s="84"/>
      <c r="U18" s="84">
        <v>0</v>
      </c>
      <c r="V18" s="81">
        <f t="shared" si="2"/>
        <v>4916.8900000000003</v>
      </c>
      <c r="W18" s="85">
        <f t="shared" si="3"/>
        <v>510.02200000000005</v>
      </c>
      <c r="X18" s="81">
        <f t="shared" si="4"/>
        <v>4406.8680000000004</v>
      </c>
      <c r="Y18" s="86">
        <f t="shared" si="5"/>
        <v>0</v>
      </c>
      <c r="Z18" s="85">
        <f t="shared" si="6"/>
        <v>24.744799999999998</v>
      </c>
      <c r="AA18" s="81">
        <f t="shared" si="7"/>
        <v>5124.9648000000007</v>
      </c>
      <c r="AB18" s="138">
        <v>1237.2</v>
      </c>
      <c r="AC18" s="138">
        <v>1474.84</v>
      </c>
      <c r="AD18" s="139">
        <f t="shared" si="8"/>
        <v>-1694.8280000000004</v>
      </c>
      <c r="AE18" s="116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4" x14ac:dyDescent="0.25">
      <c r="A19" s="77" t="s">
        <v>193</v>
      </c>
      <c r="B19" s="77" t="s">
        <v>212</v>
      </c>
      <c r="C19" s="78" t="s">
        <v>41</v>
      </c>
      <c r="D19" s="77" t="s">
        <v>204</v>
      </c>
      <c r="E19" s="77" t="s">
        <v>195</v>
      </c>
      <c r="F19" s="91"/>
      <c r="G19" s="79">
        <v>1237.2399999999998</v>
      </c>
      <c r="H19" s="91">
        <v>1262.7600000000002</v>
      </c>
      <c r="I19" s="79">
        <f t="shared" si="0"/>
        <v>2500</v>
      </c>
      <c r="J19" s="79">
        <v>3000</v>
      </c>
      <c r="K19" s="79">
        <v>160.38</v>
      </c>
      <c r="L19" s="94"/>
      <c r="M19" s="92"/>
      <c r="N19" s="80">
        <v>45.15</v>
      </c>
      <c r="O19" s="81">
        <f t="shared" si="1"/>
        <v>5615.2300000000005</v>
      </c>
      <c r="P19" s="82"/>
      <c r="Q19" s="83"/>
      <c r="R19" s="83"/>
      <c r="S19" s="83"/>
      <c r="T19" s="84"/>
      <c r="U19" s="84">
        <v>0</v>
      </c>
      <c r="V19" s="81">
        <f t="shared" si="2"/>
        <v>5615.2300000000005</v>
      </c>
      <c r="W19" s="85">
        <f t="shared" si="3"/>
        <v>561.52300000000002</v>
      </c>
      <c r="X19" s="81">
        <f t="shared" si="4"/>
        <v>5053.7070000000003</v>
      </c>
      <c r="Y19" s="86">
        <f t="shared" si="5"/>
        <v>0</v>
      </c>
      <c r="Z19" s="85">
        <f t="shared" si="6"/>
        <v>24.744799999999998</v>
      </c>
      <c r="AA19" s="81">
        <f t="shared" si="7"/>
        <v>5639.9748000000009</v>
      </c>
      <c r="AB19" s="138">
        <v>1237.2</v>
      </c>
      <c r="AC19" s="138">
        <v>1245.27</v>
      </c>
      <c r="AD19" s="140">
        <f t="shared" si="8"/>
        <v>-2571.2370000000001</v>
      </c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4" x14ac:dyDescent="0.25">
      <c r="A20" s="77" t="s">
        <v>191</v>
      </c>
      <c r="B20" s="77" t="s">
        <v>293</v>
      </c>
      <c r="C20" s="78"/>
      <c r="D20" s="77" t="s">
        <v>123</v>
      </c>
      <c r="E20" s="77"/>
      <c r="F20" s="91"/>
      <c r="G20" s="79">
        <v>1237.24</v>
      </c>
      <c r="H20" s="91">
        <v>-37.24</v>
      </c>
      <c r="I20" s="79">
        <f t="shared" si="0"/>
        <v>1200</v>
      </c>
      <c r="J20" s="79">
        <v>1800</v>
      </c>
      <c r="K20" s="79"/>
      <c r="L20" s="94"/>
      <c r="M20" s="92"/>
      <c r="N20" s="80">
        <v>45.15</v>
      </c>
      <c r="O20" s="81">
        <f t="shared" si="1"/>
        <v>2954.85</v>
      </c>
      <c r="P20" s="82"/>
      <c r="Q20" s="83"/>
      <c r="R20" s="83"/>
      <c r="S20" s="83"/>
      <c r="T20" s="84"/>
      <c r="U20" s="84"/>
      <c r="V20" s="81">
        <f t="shared" si="2"/>
        <v>2954.85</v>
      </c>
      <c r="W20" s="85">
        <f t="shared" si="3"/>
        <v>0</v>
      </c>
      <c r="X20" s="81">
        <f t="shared" si="4"/>
        <v>2954.85</v>
      </c>
      <c r="Y20" s="86">
        <f t="shared" si="5"/>
        <v>295.48500000000001</v>
      </c>
      <c r="Z20" s="85">
        <f t="shared" si="6"/>
        <v>24.744800000000001</v>
      </c>
      <c r="AA20" s="81">
        <f t="shared" si="7"/>
        <v>3275.0798</v>
      </c>
      <c r="AB20" s="138"/>
      <c r="AC20" s="138"/>
      <c r="AD20" s="140"/>
      <c r="AE20" s="93"/>
      <c r="AF20" s="93"/>
      <c r="AG20" s="93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4" x14ac:dyDescent="0.25">
      <c r="A21" s="77" t="s">
        <v>201</v>
      </c>
      <c r="B21" s="77" t="s">
        <v>213</v>
      </c>
      <c r="C21" s="77" t="s">
        <v>43</v>
      </c>
      <c r="D21" s="77" t="s">
        <v>214</v>
      </c>
      <c r="E21" s="77"/>
      <c r="F21" s="77"/>
      <c r="G21" s="79">
        <v>1237.2399999999998</v>
      </c>
      <c r="H21" s="77">
        <v>6262.76</v>
      </c>
      <c r="I21" s="79">
        <f t="shared" si="0"/>
        <v>7500</v>
      </c>
      <c r="J21" s="79">
        <v>97564.68</v>
      </c>
      <c r="K21" s="79">
        <v>0</v>
      </c>
      <c r="L21" s="79"/>
      <c r="M21" s="79"/>
      <c r="N21" s="80">
        <v>45.15</v>
      </c>
      <c r="O21" s="81">
        <f t="shared" si="1"/>
        <v>105019.53</v>
      </c>
      <c r="P21" s="82"/>
      <c r="Q21" s="83"/>
      <c r="R21" s="83"/>
      <c r="S21" s="83"/>
      <c r="T21" s="84"/>
      <c r="U21" s="84">
        <v>0</v>
      </c>
      <c r="V21" s="81">
        <f t="shared" si="2"/>
        <v>105019.53</v>
      </c>
      <c r="W21" s="85">
        <f t="shared" si="3"/>
        <v>10501.953000000001</v>
      </c>
      <c r="X21" s="81">
        <f t="shared" si="4"/>
        <v>94517.57699999999</v>
      </c>
      <c r="Y21" s="86">
        <f t="shared" si="5"/>
        <v>0</v>
      </c>
      <c r="Z21" s="85">
        <f>G21*0.02</f>
        <v>24.744799999999998</v>
      </c>
      <c r="AA21" s="81">
        <f>+O21+Y21+Z21</f>
        <v>105044.2748</v>
      </c>
      <c r="AB21" s="138">
        <v>1237.2</v>
      </c>
      <c r="AC21" s="138">
        <v>5512.8</v>
      </c>
      <c r="AD21" s="139">
        <f t="shared" si="8"/>
        <v>-87767.57699999999</v>
      </c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4" x14ac:dyDescent="0.25">
      <c r="A22" s="77" t="s">
        <v>191</v>
      </c>
      <c r="B22" s="77" t="s">
        <v>137</v>
      </c>
      <c r="C22" s="78" t="s">
        <v>45</v>
      </c>
      <c r="D22" s="77" t="s">
        <v>215</v>
      </c>
      <c r="E22" s="77"/>
      <c r="F22" s="77"/>
      <c r="G22" s="79">
        <v>1237.2399999999998</v>
      </c>
      <c r="H22" s="77">
        <v>-37.239999999999782</v>
      </c>
      <c r="I22" s="79">
        <f t="shared" si="0"/>
        <v>1200</v>
      </c>
      <c r="J22" s="79">
        <v>2400.86</v>
      </c>
      <c r="K22" s="79">
        <v>0</v>
      </c>
      <c r="L22" s="79"/>
      <c r="M22" s="79"/>
      <c r="N22" s="80">
        <v>45.15</v>
      </c>
      <c r="O22" s="81">
        <f t="shared" si="1"/>
        <v>3555.71</v>
      </c>
      <c r="P22" s="82"/>
      <c r="Q22" s="83"/>
      <c r="R22" s="83"/>
      <c r="S22" s="83"/>
      <c r="T22" s="84"/>
      <c r="U22" s="84">
        <v>0</v>
      </c>
      <c r="V22" s="81">
        <f t="shared" si="2"/>
        <v>3555.71</v>
      </c>
      <c r="W22" s="85">
        <f t="shared" si="3"/>
        <v>0</v>
      </c>
      <c r="X22" s="81">
        <f t="shared" si="4"/>
        <v>3555.71</v>
      </c>
      <c r="Y22" s="86">
        <f t="shared" si="5"/>
        <v>355.57100000000003</v>
      </c>
      <c r="Z22" s="85">
        <f t="shared" si="6"/>
        <v>24.744799999999998</v>
      </c>
      <c r="AA22" s="81">
        <f t="shared" si="7"/>
        <v>3936.0257999999999</v>
      </c>
      <c r="AB22" s="138">
        <v>1237.2</v>
      </c>
      <c r="AC22" s="138">
        <v>2400.65</v>
      </c>
      <c r="AD22" s="140">
        <f t="shared" si="8"/>
        <v>82.140000000000327</v>
      </c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</row>
    <row r="23" spans="1:44" x14ac:dyDescent="0.25">
      <c r="A23" s="77" t="s">
        <v>201</v>
      </c>
      <c r="B23" s="77" t="s">
        <v>294</v>
      </c>
      <c r="C23" s="78" t="s">
        <v>160</v>
      </c>
      <c r="D23" s="77" t="s">
        <v>216</v>
      </c>
      <c r="E23" s="77"/>
      <c r="F23" s="77"/>
      <c r="G23" s="79">
        <v>1237.24</v>
      </c>
      <c r="H23" s="77">
        <v>1262.76</v>
      </c>
      <c r="I23" s="79">
        <f t="shared" si="0"/>
        <v>2500</v>
      </c>
      <c r="J23" s="79">
        <v>2500</v>
      </c>
      <c r="K23" s="79">
        <v>160.38</v>
      </c>
      <c r="L23" s="79"/>
      <c r="M23" s="79"/>
      <c r="N23" s="80">
        <v>45.15</v>
      </c>
      <c r="O23" s="81">
        <f t="shared" si="1"/>
        <v>5115.2300000000005</v>
      </c>
      <c r="P23" s="82"/>
      <c r="Q23" s="83"/>
      <c r="R23" s="83"/>
      <c r="S23" s="83"/>
      <c r="T23" s="84"/>
      <c r="U23" s="84">
        <v>0</v>
      </c>
      <c r="V23" s="81">
        <f t="shared" si="2"/>
        <v>5115.2300000000005</v>
      </c>
      <c r="W23" s="85">
        <f t="shared" si="3"/>
        <v>511.52300000000008</v>
      </c>
      <c r="X23" s="81">
        <f t="shared" si="4"/>
        <v>4603.7070000000003</v>
      </c>
      <c r="Y23" s="86">
        <f t="shared" si="5"/>
        <v>0</v>
      </c>
      <c r="Z23" s="85">
        <f t="shared" si="6"/>
        <v>24.744800000000001</v>
      </c>
      <c r="AA23" s="81">
        <f t="shared" si="7"/>
        <v>5139.9748000000009</v>
      </c>
      <c r="AB23" s="138">
        <v>1237.2</v>
      </c>
      <c r="AC23" s="138">
        <v>1405.7</v>
      </c>
      <c r="AD23" s="140">
        <f t="shared" si="8"/>
        <v>-1960.8070000000002</v>
      </c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</row>
    <row r="24" spans="1:44" x14ac:dyDescent="0.25">
      <c r="A24" s="77" t="s">
        <v>191</v>
      </c>
      <c r="B24" s="77" t="s">
        <v>217</v>
      </c>
      <c r="C24" s="78" t="s">
        <v>47</v>
      </c>
      <c r="D24" s="77" t="s">
        <v>123</v>
      </c>
      <c r="E24" s="77"/>
      <c r="F24" s="77"/>
      <c r="G24" s="79">
        <v>1237.2399999999998</v>
      </c>
      <c r="H24" s="77">
        <v>-37.239999999999782</v>
      </c>
      <c r="I24" s="79">
        <f t="shared" si="0"/>
        <v>1200</v>
      </c>
      <c r="J24" s="79">
        <v>292.5</v>
      </c>
      <c r="K24" s="79">
        <v>0</v>
      </c>
      <c r="L24" s="79"/>
      <c r="M24" s="79"/>
      <c r="N24" s="80">
        <v>45.15</v>
      </c>
      <c r="O24" s="81">
        <f t="shared" si="1"/>
        <v>1447.35</v>
      </c>
      <c r="P24" s="82"/>
      <c r="Q24" s="83"/>
      <c r="R24" s="83"/>
      <c r="S24" s="83"/>
      <c r="T24" s="84"/>
      <c r="U24" s="84">
        <v>0</v>
      </c>
      <c r="V24" s="81">
        <f t="shared" si="2"/>
        <v>1447.35</v>
      </c>
      <c r="W24" s="85">
        <f t="shared" si="3"/>
        <v>0</v>
      </c>
      <c r="X24" s="81">
        <f t="shared" si="4"/>
        <v>1447.35</v>
      </c>
      <c r="Y24" s="86">
        <f t="shared" si="5"/>
        <v>144.73499999999999</v>
      </c>
      <c r="Z24" s="85">
        <v>0</v>
      </c>
      <c r="AA24" s="81">
        <f t="shared" si="7"/>
        <v>1592.0849999999998</v>
      </c>
      <c r="AB24" s="138">
        <v>0</v>
      </c>
      <c r="AC24" s="138">
        <v>0</v>
      </c>
      <c r="AD24" s="139">
        <f t="shared" si="8"/>
        <v>-1447.35</v>
      </c>
      <c r="AE24" s="90" t="s">
        <v>269</v>
      </c>
      <c r="AF24" s="93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</row>
    <row r="25" spans="1:44" x14ac:dyDescent="0.25">
      <c r="A25" s="77" t="s">
        <v>193</v>
      </c>
      <c r="B25" s="77" t="s">
        <v>126</v>
      </c>
      <c r="C25" s="78">
        <v>3</v>
      </c>
      <c r="D25" s="77" t="s">
        <v>218</v>
      </c>
      <c r="E25" s="77" t="s">
        <v>219</v>
      </c>
      <c r="F25" s="77"/>
      <c r="G25" s="79">
        <v>1237.2399999999998</v>
      </c>
      <c r="H25" s="77">
        <v>21262.76</v>
      </c>
      <c r="I25" s="79">
        <f t="shared" si="0"/>
        <v>22500</v>
      </c>
      <c r="J25" s="79"/>
      <c r="K25" s="79">
        <v>0</v>
      </c>
      <c r="L25" s="79"/>
      <c r="M25" s="79"/>
      <c r="N25" s="80">
        <v>45.15</v>
      </c>
      <c r="O25" s="81">
        <f t="shared" si="1"/>
        <v>22454.85</v>
      </c>
      <c r="P25" s="82"/>
      <c r="Q25" s="83"/>
      <c r="R25" s="83"/>
      <c r="S25" s="83"/>
      <c r="T25" s="84">
        <v>479.28</v>
      </c>
      <c r="U25" s="84">
        <v>323.91000000000003</v>
      </c>
      <c r="V25" s="81">
        <f t="shared" si="2"/>
        <v>21651.66</v>
      </c>
      <c r="W25" s="85">
        <f t="shared" si="3"/>
        <v>2245.4850000000001</v>
      </c>
      <c r="X25" s="81">
        <f t="shared" si="4"/>
        <v>19406.174999999999</v>
      </c>
      <c r="Y25" s="86">
        <f t="shared" si="5"/>
        <v>0</v>
      </c>
      <c r="Z25" s="85">
        <f t="shared" si="6"/>
        <v>24.744799999999998</v>
      </c>
      <c r="AA25" s="81">
        <f t="shared" si="7"/>
        <v>22479.594799999999</v>
      </c>
      <c r="AB25" s="138">
        <v>1237.2</v>
      </c>
      <c r="AC25" s="138">
        <v>15874.12</v>
      </c>
      <c r="AD25" s="140">
        <f t="shared" si="8"/>
        <v>-2294.8549999999996</v>
      </c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</row>
    <row r="26" spans="1:44" s="88" customFormat="1" x14ac:dyDescent="0.25">
      <c r="A26" s="77" t="s">
        <v>201</v>
      </c>
      <c r="B26" s="77" t="s">
        <v>144</v>
      </c>
      <c r="C26" s="77" t="s">
        <v>143</v>
      </c>
      <c r="D26" s="77" t="s">
        <v>220</v>
      </c>
      <c r="E26" s="77"/>
      <c r="F26" s="77"/>
      <c r="G26" s="79">
        <v>1237.2399999999998</v>
      </c>
      <c r="H26" s="77">
        <v>1262.7600000000002</v>
      </c>
      <c r="I26" s="79">
        <f t="shared" si="0"/>
        <v>2500</v>
      </c>
      <c r="J26" s="79">
        <v>1000</v>
      </c>
      <c r="K26" s="79">
        <v>160.38</v>
      </c>
      <c r="L26" s="79"/>
      <c r="M26" s="79"/>
      <c r="N26" s="80">
        <v>45.15</v>
      </c>
      <c r="O26" s="81">
        <f t="shared" si="1"/>
        <v>3615.23</v>
      </c>
      <c r="P26" s="82"/>
      <c r="Q26" s="83"/>
      <c r="R26" s="83"/>
      <c r="S26" s="83"/>
      <c r="T26" s="84"/>
      <c r="U26" s="84">
        <v>0</v>
      </c>
      <c r="V26" s="81">
        <f t="shared" si="2"/>
        <v>3615.23</v>
      </c>
      <c r="W26" s="85">
        <f t="shared" si="3"/>
        <v>0</v>
      </c>
      <c r="X26" s="81">
        <f t="shared" si="4"/>
        <v>3615.23</v>
      </c>
      <c r="Y26" s="86">
        <f t="shared" si="5"/>
        <v>361.52300000000002</v>
      </c>
      <c r="Z26" s="85">
        <f t="shared" si="6"/>
        <v>24.744799999999998</v>
      </c>
      <c r="AA26" s="81">
        <f t="shared" si="7"/>
        <v>4001.4978000000001</v>
      </c>
      <c r="AB26" s="138">
        <v>1237.2</v>
      </c>
      <c r="AC26" s="138">
        <v>1423.18</v>
      </c>
      <c r="AD26" s="139">
        <f t="shared" si="8"/>
        <v>-954.84999999999991</v>
      </c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</row>
    <row r="27" spans="1:44" x14ac:dyDescent="0.25">
      <c r="A27" s="77" t="s">
        <v>193</v>
      </c>
      <c r="B27" s="77" t="s">
        <v>221</v>
      </c>
      <c r="C27" s="78" t="s">
        <v>53</v>
      </c>
      <c r="D27" s="77" t="s">
        <v>222</v>
      </c>
      <c r="E27" s="77"/>
      <c r="F27" s="77"/>
      <c r="G27" s="79">
        <v>1237.2399999999998</v>
      </c>
      <c r="H27" s="77">
        <v>762.76</v>
      </c>
      <c r="I27" s="79">
        <f t="shared" si="0"/>
        <v>1999.9999999999998</v>
      </c>
      <c r="J27" s="79">
        <v>2000</v>
      </c>
      <c r="K27" s="79">
        <v>188.73</v>
      </c>
      <c r="L27" s="92"/>
      <c r="M27" s="92"/>
      <c r="N27" s="80">
        <v>45.15</v>
      </c>
      <c r="O27" s="81">
        <f t="shared" si="1"/>
        <v>4143.58</v>
      </c>
      <c r="P27" s="82"/>
      <c r="Q27" s="83"/>
      <c r="R27" s="83"/>
      <c r="S27" s="83"/>
      <c r="T27" s="84"/>
      <c r="U27" s="84">
        <v>0</v>
      </c>
      <c r="V27" s="81">
        <f t="shared" si="2"/>
        <v>4143.58</v>
      </c>
      <c r="W27" s="85">
        <f t="shared" si="3"/>
        <v>0</v>
      </c>
      <c r="X27" s="81">
        <f t="shared" si="4"/>
        <v>4143.58</v>
      </c>
      <c r="Y27" s="86">
        <f t="shared" si="5"/>
        <v>414.358</v>
      </c>
      <c r="Z27" s="85">
        <f t="shared" si="6"/>
        <v>24.744799999999998</v>
      </c>
      <c r="AA27" s="81">
        <f t="shared" si="7"/>
        <v>4582.6828000000005</v>
      </c>
      <c r="AB27" s="138">
        <v>1237.2</v>
      </c>
      <c r="AC27" s="138">
        <v>951.53</v>
      </c>
      <c r="AD27" s="139">
        <f t="shared" si="8"/>
        <v>-1954.85</v>
      </c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</row>
    <row r="28" spans="1:44" s="95" customFormat="1" x14ac:dyDescent="0.25">
      <c r="A28" s="77" t="s">
        <v>191</v>
      </c>
      <c r="B28" s="77" t="s">
        <v>223</v>
      </c>
      <c r="C28" s="78" t="s">
        <v>55</v>
      </c>
      <c r="D28" s="77" t="s">
        <v>123</v>
      </c>
      <c r="E28" s="77"/>
      <c r="F28" s="77"/>
      <c r="G28" s="79">
        <v>1237.2399999999998</v>
      </c>
      <c r="H28" s="77">
        <v>-37.239999999999782</v>
      </c>
      <c r="I28" s="79">
        <f t="shared" si="0"/>
        <v>1200</v>
      </c>
      <c r="J28" s="79">
        <v>3974</v>
      </c>
      <c r="K28" s="79">
        <v>125.12</v>
      </c>
      <c r="L28" s="79"/>
      <c r="M28" s="79"/>
      <c r="N28" s="80">
        <v>45.15</v>
      </c>
      <c r="O28" s="81">
        <f t="shared" si="1"/>
        <v>5253.97</v>
      </c>
      <c r="P28" s="82"/>
      <c r="Q28" s="83"/>
      <c r="R28" s="83"/>
      <c r="S28" s="83"/>
      <c r="T28" s="84"/>
      <c r="U28" s="84">
        <v>0</v>
      </c>
      <c r="V28" s="81">
        <f t="shared" si="2"/>
        <v>5253.97</v>
      </c>
      <c r="W28" s="85">
        <f t="shared" si="3"/>
        <v>525.39700000000005</v>
      </c>
      <c r="X28" s="81">
        <f t="shared" si="4"/>
        <v>4728.5730000000003</v>
      </c>
      <c r="Y28" s="86">
        <f t="shared" si="5"/>
        <v>0</v>
      </c>
      <c r="Z28" s="85">
        <f t="shared" si="6"/>
        <v>24.744799999999998</v>
      </c>
      <c r="AA28" s="81">
        <f t="shared" si="7"/>
        <v>5278.7148000000007</v>
      </c>
      <c r="AB28" s="141">
        <v>1237.2</v>
      </c>
      <c r="AC28" s="141">
        <v>2033.92</v>
      </c>
      <c r="AD28" s="140">
        <f t="shared" si="8"/>
        <v>-1457.4530000000004</v>
      </c>
      <c r="AE28" s="87"/>
      <c r="AF28" s="87"/>
      <c r="AG28" s="87"/>
      <c r="AH28" s="87"/>
    </row>
    <row r="29" spans="1:44" x14ac:dyDescent="0.25">
      <c r="A29" s="77" t="s">
        <v>193</v>
      </c>
      <c r="B29" s="77" t="s">
        <v>224</v>
      </c>
      <c r="C29" s="78" t="s">
        <v>161</v>
      </c>
      <c r="D29" s="77" t="s">
        <v>222</v>
      </c>
      <c r="E29" s="77"/>
      <c r="F29" s="77"/>
      <c r="G29" s="79">
        <v>1237.24</v>
      </c>
      <c r="H29" s="77">
        <v>762.76</v>
      </c>
      <c r="I29" s="79">
        <f t="shared" si="0"/>
        <v>2000</v>
      </c>
      <c r="J29" s="79">
        <v>2000</v>
      </c>
      <c r="K29" s="79">
        <v>188.73</v>
      </c>
      <c r="L29" s="79"/>
      <c r="M29" s="79"/>
      <c r="N29" s="80">
        <v>45.15</v>
      </c>
      <c r="O29" s="81">
        <f t="shared" si="1"/>
        <v>4143.58</v>
      </c>
      <c r="P29" s="82"/>
      <c r="Q29" s="83"/>
      <c r="R29" s="83"/>
      <c r="S29" s="83"/>
      <c r="T29" s="84"/>
      <c r="U29" s="84">
        <v>0</v>
      </c>
      <c r="V29" s="81">
        <f t="shared" si="2"/>
        <v>4143.58</v>
      </c>
      <c r="W29" s="85">
        <f t="shared" si="3"/>
        <v>0</v>
      </c>
      <c r="X29" s="81">
        <f t="shared" si="4"/>
        <v>4143.58</v>
      </c>
      <c r="Y29" s="86">
        <f t="shared" si="5"/>
        <v>414.358</v>
      </c>
      <c r="Z29" s="85">
        <f t="shared" si="6"/>
        <v>24.744800000000001</v>
      </c>
      <c r="AA29" s="81">
        <f t="shared" si="7"/>
        <v>4582.6828000000005</v>
      </c>
      <c r="AB29" s="138">
        <v>1237.2</v>
      </c>
      <c r="AC29" s="138">
        <v>951.53</v>
      </c>
      <c r="AD29" s="139">
        <f t="shared" si="8"/>
        <v>-1954.85</v>
      </c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</row>
    <row r="30" spans="1:44" x14ac:dyDescent="0.25">
      <c r="A30" s="77" t="s">
        <v>193</v>
      </c>
      <c r="B30" s="77" t="s">
        <v>131</v>
      </c>
      <c r="C30" s="78" t="s">
        <v>57</v>
      </c>
      <c r="D30" s="77" t="s">
        <v>225</v>
      </c>
      <c r="E30" s="77" t="s">
        <v>195</v>
      </c>
      <c r="F30" s="77"/>
      <c r="G30" s="79">
        <v>1237.2399999999998</v>
      </c>
      <c r="H30" s="77">
        <v>1012.7600000000002</v>
      </c>
      <c r="I30" s="79">
        <f t="shared" si="0"/>
        <v>2250</v>
      </c>
      <c r="J30" s="79">
        <v>2000</v>
      </c>
      <c r="K30" s="79">
        <v>174.78</v>
      </c>
      <c r="L30" s="79"/>
      <c r="M30" s="79"/>
      <c r="N30" s="80">
        <v>45.15</v>
      </c>
      <c r="O30" s="81">
        <f t="shared" si="1"/>
        <v>4379.63</v>
      </c>
      <c r="P30" s="82"/>
      <c r="Q30" s="83"/>
      <c r="R30" s="83"/>
      <c r="S30" s="83"/>
      <c r="T30" s="84"/>
      <c r="U30" s="84">
        <v>0</v>
      </c>
      <c r="V30" s="81">
        <f t="shared" si="2"/>
        <v>4379.63</v>
      </c>
      <c r="W30" s="85">
        <f t="shared" si="3"/>
        <v>0</v>
      </c>
      <c r="X30" s="81">
        <f t="shared" si="4"/>
        <v>4379.63</v>
      </c>
      <c r="Y30" s="86">
        <f t="shared" si="5"/>
        <v>437.96300000000002</v>
      </c>
      <c r="Z30" s="85">
        <f t="shared" si="6"/>
        <v>24.744799999999998</v>
      </c>
      <c r="AA30" s="81">
        <f t="shared" si="7"/>
        <v>4842.3378000000002</v>
      </c>
      <c r="AB30" s="138">
        <v>1237.2</v>
      </c>
      <c r="AC30" s="138">
        <v>1187.58</v>
      </c>
      <c r="AD30" s="139">
        <f t="shared" si="8"/>
        <v>-1954.8500000000004</v>
      </c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4" s="88" customFormat="1" x14ac:dyDescent="0.25">
      <c r="A31" s="111" t="s">
        <v>226</v>
      </c>
      <c r="B31" s="111" t="s">
        <v>227</v>
      </c>
      <c r="C31" s="112" t="s">
        <v>59</v>
      </c>
      <c r="D31" s="111" t="s">
        <v>228</v>
      </c>
      <c r="E31" s="111"/>
      <c r="F31" s="111"/>
      <c r="G31" s="113">
        <v>1237.2399999999998</v>
      </c>
      <c r="H31" s="111">
        <v>762.76000000000022</v>
      </c>
      <c r="I31" s="113">
        <f t="shared" si="0"/>
        <v>2000</v>
      </c>
      <c r="J31" s="113">
        <v>1505</v>
      </c>
      <c r="K31" s="113">
        <v>188.73</v>
      </c>
      <c r="L31" s="113"/>
      <c r="M31" s="113"/>
      <c r="N31" s="80">
        <v>45.15</v>
      </c>
      <c r="O31" s="81">
        <f t="shared" si="1"/>
        <v>3648.58</v>
      </c>
      <c r="P31" s="82"/>
      <c r="Q31" s="83"/>
      <c r="R31" s="83"/>
      <c r="S31" s="83"/>
      <c r="T31" s="142"/>
      <c r="U31" s="142">
        <v>0</v>
      </c>
      <c r="V31" s="81">
        <f t="shared" si="2"/>
        <v>3648.58</v>
      </c>
      <c r="W31" s="85">
        <f t="shared" si="3"/>
        <v>0</v>
      </c>
      <c r="X31" s="81">
        <f t="shared" si="4"/>
        <v>3648.58</v>
      </c>
      <c r="Y31" s="86">
        <f t="shared" si="5"/>
        <v>364.858</v>
      </c>
      <c r="Z31" s="85">
        <f t="shared" si="6"/>
        <v>24.744799999999998</v>
      </c>
      <c r="AA31" s="81">
        <f t="shared" si="7"/>
        <v>4038.1828</v>
      </c>
      <c r="AB31" s="138">
        <v>1237.2</v>
      </c>
      <c r="AC31" s="138">
        <v>2191.5300000000002</v>
      </c>
      <c r="AD31" s="139">
        <f t="shared" si="8"/>
        <v>-219.84999999999945</v>
      </c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</row>
    <row r="32" spans="1:44" s="88" customFormat="1" x14ac:dyDescent="0.25">
      <c r="A32" s="77" t="s">
        <v>191</v>
      </c>
      <c r="B32" s="77" t="s">
        <v>229</v>
      </c>
      <c r="C32" s="78" t="s">
        <v>61</v>
      </c>
      <c r="D32" s="77" t="s">
        <v>122</v>
      </c>
      <c r="E32" s="77"/>
      <c r="F32" s="77"/>
      <c r="G32" s="79">
        <v>1200</v>
      </c>
      <c r="H32" s="77"/>
      <c r="I32" s="79">
        <f t="shared" si="0"/>
        <v>1200</v>
      </c>
      <c r="J32" s="79">
        <v>1250.5999999999999</v>
      </c>
      <c r="K32" s="79">
        <v>125.12</v>
      </c>
      <c r="L32" s="79"/>
      <c r="M32" s="79"/>
      <c r="N32" s="80">
        <v>45.15</v>
      </c>
      <c r="O32" s="81">
        <f t="shared" si="1"/>
        <v>2530.5699999999997</v>
      </c>
      <c r="P32" s="82"/>
      <c r="Q32" s="83"/>
      <c r="R32" s="83"/>
      <c r="S32" s="83"/>
      <c r="T32" s="84"/>
      <c r="U32" s="84">
        <v>0</v>
      </c>
      <c r="V32" s="81">
        <f t="shared" si="2"/>
        <v>2530.5699999999997</v>
      </c>
      <c r="W32" s="85">
        <f t="shared" si="3"/>
        <v>0</v>
      </c>
      <c r="X32" s="81">
        <f t="shared" si="4"/>
        <v>2530.5699999999997</v>
      </c>
      <c r="Y32" s="86">
        <f t="shared" si="5"/>
        <v>253.05699999999999</v>
      </c>
      <c r="Z32" s="85">
        <f t="shared" si="6"/>
        <v>24</v>
      </c>
      <c r="AA32" s="81">
        <f t="shared" si="7"/>
        <v>2807.6269999999995</v>
      </c>
      <c r="AB32" s="138">
        <v>1237.2</v>
      </c>
      <c r="AC32" s="138">
        <v>2049.25</v>
      </c>
      <c r="AD32" s="140">
        <f t="shared" si="8"/>
        <v>755.88000000000011</v>
      </c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</row>
    <row r="33" spans="1:44" s="88" customFormat="1" x14ac:dyDescent="0.25">
      <c r="A33" s="77" t="s">
        <v>193</v>
      </c>
      <c r="B33" s="77" t="s">
        <v>130</v>
      </c>
      <c r="C33" s="78" t="s">
        <v>63</v>
      </c>
      <c r="D33" s="77" t="s">
        <v>230</v>
      </c>
      <c r="E33" s="77"/>
      <c r="F33" s="77"/>
      <c r="G33" s="79">
        <v>1237.2399999999998</v>
      </c>
      <c r="H33" s="77">
        <v>762.76000000000022</v>
      </c>
      <c r="I33" s="79">
        <f t="shared" si="0"/>
        <v>2000</v>
      </c>
      <c r="J33" s="79">
        <v>2000</v>
      </c>
      <c r="K33" s="79">
        <v>188.73</v>
      </c>
      <c r="L33" s="92"/>
      <c r="M33" s="92"/>
      <c r="N33" s="80">
        <v>45.15</v>
      </c>
      <c r="O33" s="81">
        <f t="shared" si="1"/>
        <v>4143.58</v>
      </c>
      <c r="P33" s="82"/>
      <c r="Q33" s="83"/>
      <c r="R33" s="83"/>
      <c r="S33" s="83"/>
      <c r="T33" s="84"/>
      <c r="U33" s="84">
        <v>313.89999999999998</v>
      </c>
      <c r="V33" s="81">
        <f t="shared" si="2"/>
        <v>3829.68</v>
      </c>
      <c r="W33" s="85">
        <f t="shared" si="3"/>
        <v>0</v>
      </c>
      <c r="X33" s="81">
        <f t="shared" si="4"/>
        <v>3829.68</v>
      </c>
      <c r="Y33" s="86">
        <f t="shared" si="5"/>
        <v>414.358</v>
      </c>
      <c r="Z33" s="85">
        <f t="shared" si="6"/>
        <v>24.744799999999998</v>
      </c>
      <c r="AA33" s="81">
        <f t="shared" si="7"/>
        <v>4582.6828000000005</v>
      </c>
      <c r="AB33" s="138">
        <v>1237.2</v>
      </c>
      <c r="AC33" s="138">
        <v>637.63</v>
      </c>
      <c r="AD33" s="139">
        <f>+AB33+AC33-X33</f>
        <v>-1954.85</v>
      </c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</row>
    <row r="34" spans="1:44" s="88" customFormat="1" x14ac:dyDescent="0.25">
      <c r="A34" s="77" t="s">
        <v>191</v>
      </c>
      <c r="B34" s="77" t="s">
        <v>295</v>
      </c>
      <c r="C34" s="78" t="s">
        <v>65</v>
      </c>
      <c r="D34" s="77" t="s">
        <v>123</v>
      </c>
      <c r="E34" s="77"/>
      <c r="F34" s="77"/>
      <c r="G34" s="79">
        <v>1237.2399999999998</v>
      </c>
      <c r="H34" s="77">
        <v>-37.239999999999782</v>
      </c>
      <c r="I34" s="79">
        <f t="shared" si="0"/>
        <v>1200</v>
      </c>
      <c r="J34" s="79">
        <v>1731.73</v>
      </c>
      <c r="K34" s="79">
        <v>125.12</v>
      </c>
      <c r="L34" s="79"/>
      <c r="M34" s="79"/>
      <c r="N34" s="80">
        <v>45.15</v>
      </c>
      <c r="O34" s="81">
        <f t="shared" si="1"/>
        <v>3011.7</v>
      </c>
      <c r="P34" s="82"/>
      <c r="Q34" s="83"/>
      <c r="R34" s="83"/>
      <c r="S34" s="83"/>
      <c r="T34" s="84"/>
      <c r="U34" s="84">
        <v>215.92</v>
      </c>
      <c r="V34" s="81">
        <f t="shared" si="2"/>
        <v>2795.7799999999997</v>
      </c>
      <c r="W34" s="85">
        <f t="shared" si="3"/>
        <v>0</v>
      </c>
      <c r="X34" s="81">
        <f t="shared" si="4"/>
        <v>2795.7799999999997</v>
      </c>
      <c r="Y34" s="86">
        <f t="shared" si="5"/>
        <v>301.17</v>
      </c>
      <c r="Z34" s="85">
        <f t="shared" si="6"/>
        <v>24.744799999999998</v>
      </c>
      <c r="AA34" s="81">
        <f t="shared" si="7"/>
        <v>3337.6147999999998</v>
      </c>
      <c r="AB34" s="138">
        <v>1237.2</v>
      </c>
      <c r="AC34" s="138">
        <v>1737.97</v>
      </c>
      <c r="AD34" s="140">
        <f t="shared" si="8"/>
        <v>179.39000000000033</v>
      </c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</row>
    <row r="35" spans="1:44" x14ac:dyDescent="0.25">
      <c r="A35" s="77" t="s">
        <v>193</v>
      </c>
      <c r="B35" s="77" t="s">
        <v>296</v>
      </c>
      <c r="C35" s="78">
        <v>56</v>
      </c>
      <c r="D35" s="77" t="s">
        <v>231</v>
      </c>
      <c r="E35" s="77"/>
      <c r="F35" s="77"/>
      <c r="G35" s="79">
        <v>1237.2399999999998</v>
      </c>
      <c r="H35" s="77">
        <v>512.76000000000022</v>
      </c>
      <c r="I35" s="79">
        <f t="shared" si="0"/>
        <v>1750</v>
      </c>
      <c r="J35" s="79">
        <v>13289.98</v>
      </c>
      <c r="K35" s="79">
        <v>188.73</v>
      </c>
      <c r="L35" s="79"/>
      <c r="M35" s="79"/>
      <c r="N35" s="80">
        <v>45.15</v>
      </c>
      <c r="O35" s="81">
        <f t="shared" si="1"/>
        <v>15183.56</v>
      </c>
      <c r="P35" s="82"/>
      <c r="Q35" s="83"/>
      <c r="R35" s="83"/>
      <c r="S35" s="83"/>
      <c r="T35" s="84"/>
      <c r="U35" s="84">
        <v>0</v>
      </c>
      <c r="V35" s="81">
        <f t="shared" si="2"/>
        <v>15183.56</v>
      </c>
      <c r="W35" s="85">
        <f t="shared" si="3"/>
        <v>1518.356</v>
      </c>
      <c r="X35" s="81">
        <f t="shared" si="4"/>
        <v>13665.204</v>
      </c>
      <c r="Y35" s="86">
        <f t="shared" si="5"/>
        <v>0</v>
      </c>
      <c r="Z35" s="85">
        <f t="shared" si="6"/>
        <v>24.744799999999998</v>
      </c>
      <c r="AA35" s="81">
        <f t="shared" si="7"/>
        <v>15208.3048</v>
      </c>
      <c r="AB35" s="138">
        <v>1237.2</v>
      </c>
      <c r="AC35" s="138">
        <v>701.53</v>
      </c>
      <c r="AD35" s="139">
        <f t="shared" si="8"/>
        <v>-11726.474</v>
      </c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</row>
    <row r="36" spans="1:44" x14ac:dyDescent="0.25">
      <c r="A36" s="77" t="s">
        <v>193</v>
      </c>
      <c r="B36" s="77" t="s">
        <v>132</v>
      </c>
      <c r="C36" s="78" t="s">
        <v>69</v>
      </c>
      <c r="D36" s="77" t="s">
        <v>232</v>
      </c>
      <c r="E36" s="77" t="s">
        <v>195</v>
      </c>
      <c r="F36" s="77"/>
      <c r="G36" s="79">
        <v>1237.2399999999998</v>
      </c>
      <c r="H36" s="77">
        <v>1512.7600000000002</v>
      </c>
      <c r="I36" s="79">
        <f t="shared" si="0"/>
        <v>2750</v>
      </c>
      <c r="J36" s="79">
        <v>3500</v>
      </c>
      <c r="K36" s="79">
        <v>145.37</v>
      </c>
      <c r="L36" s="79"/>
      <c r="M36" s="79"/>
      <c r="N36" s="80">
        <v>45.15</v>
      </c>
      <c r="O36" s="81">
        <f t="shared" si="1"/>
        <v>6350.22</v>
      </c>
      <c r="P36" s="82">
        <v>183.33</v>
      </c>
      <c r="Q36" s="83"/>
      <c r="R36" s="83"/>
      <c r="S36" s="83"/>
      <c r="T36" s="84"/>
      <c r="U36" s="84">
        <v>0</v>
      </c>
      <c r="V36" s="81">
        <f t="shared" si="2"/>
        <v>6166.89</v>
      </c>
      <c r="W36" s="85">
        <f t="shared" si="3"/>
        <v>635.02200000000005</v>
      </c>
      <c r="X36" s="81">
        <f t="shared" si="4"/>
        <v>5531.8680000000004</v>
      </c>
      <c r="Y36" s="86">
        <f t="shared" si="5"/>
        <v>0</v>
      </c>
      <c r="Z36" s="85">
        <f t="shared" si="6"/>
        <v>24.744799999999998</v>
      </c>
      <c r="AA36" s="81">
        <f t="shared" si="7"/>
        <v>6374.9648000000007</v>
      </c>
      <c r="AB36" s="138">
        <v>1237.2</v>
      </c>
      <c r="AC36" s="138">
        <v>1474.84</v>
      </c>
      <c r="AD36" s="139">
        <f>+AB36+AC36-X36</f>
        <v>-2819.8280000000004</v>
      </c>
      <c r="AE36" s="116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</row>
    <row r="37" spans="1:44" s="88" customFormat="1" x14ac:dyDescent="0.25">
      <c r="A37" s="111" t="s">
        <v>191</v>
      </c>
      <c r="B37" s="111" t="s">
        <v>233</v>
      </c>
      <c r="C37" s="112">
        <v>12</v>
      </c>
      <c r="D37" s="111" t="s">
        <v>228</v>
      </c>
      <c r="E37" s="111"/>
      <c r="F37" s="111"/>
      <c r="G37" s="113">
        <v>1237.2399999999998</v>
      </c>
      <c r="H37" s="111">
        <v>762.76000000000022</v>
      </c>
      <c r="I37" s="113">
        <f t="shared" si="0"/>
        <v>2000</v>
      </c>
      <c r="J37" s="113">
        <v>2735</v>
      </c>
      <c r="K37" s="143">
        <v>188.73</v>
      </c>
      <c r="L37" s="87"/>
      <c r="M37" s="113"/>
      <c r="N37" s="80">
        <v>45.15</v>
      </c>
      <c r="O37" s="81">
        <f>SUM(I37:M37)-N37</f>
        <v>4878.58</v>
      </c>
      <c r="P37" s="82"/>
      <c r="Q37" s="83"/>
      <c r="R37" s="83"/>
      <c r="S37" s="83"/>
      <c r="T37" s="142"/>
      <c r="U37" s="142">
        <v>0</v>
      </c>
      <c r="V37" s="81">
        <f t="shared" si="2"/>
        <v>4878.58</v>
      </c>
      <c r="W37" s="85">
        <f t="shared" si="3"/>
        <v>487.858</v>
      </c>
      <c r="X37" s="81">
        <f t="shared" si="4"/>
        <v>4390.7219999999998</v>
      </c>
      <c r="Y37" s="86">
        <f t="shared" si="5"/>
        <v>0</v>
      </c>
      <c r="Z37" s="85">
        <f t="shared" si="6"/>
        <v>24.744799999999998</v>
      </c>
      <c r="AA37" s="81">
        <f t="shared" si="7"/>
        <v>4903.3248000000003</v>
      </c>
      <c r="AB37" s="138">
        <v>1237.2</v>
      </c>
      <c r="AC37" s="138">
        <v>2571.5300000000002</v>
      </c>
      <c r="AD37" s="139">
        <f t="shared" si="8"/>
        <v>-581.99199999999928</v>
      </c>
      <c r="AE37" s="96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</row>
    <row r="38" spans="1:44" x14ac:dyDescent="0.25">
      <c r="A38" s="77" t="s">
        <v>234</v>
      </c>
      <c r="B38" s="77" t="s">
        <v>235</v>
      </c>
      <c r="C38" s="77">
        <v>23</v>
      </c>
      <c r="D38" s="77" t="s">
        <v>236</v>
      </c>
      <c r="E38" s="91"/>
      <c r="F38" s="91"/>
      <c r="G38" s="79">
        <v>1237.2399999999998</v>
      </c>
      <c r="H38" s="91">
        <v>2262.7600000000002</v>
      </c>
      <c r="I38" s="79">
        <f t="shared" si="0"/>
        <v>3500</v>
      </c>
      <c r="J38" s="79">
        <v>25114.12</v>
      </c>
      <c r="K38" s="79">
        <v>125.12</v>
      </c>
      <c r="L38" s="92"/>
      <c r="M38" s="92"/>
      <c r="N38" s="80">
        <v>45.15</v>
      </c>
      <c r="O38" s="81">
        <f t="shared" si="1"/>
        <v>28694.089999999997</v>
      </c>
      <c r="P38" s="82"/>
      <c r="Q38" s="83"/>
      <c r="R38" s="83"/>
      <c r="S38" s="83"/>
      <c r="T38" s="84"/>
      <c r="U38" s="84">
        <v>357.22</v>
      </c>
      <c r="V38" s="81">
        <f t="shared" si="2"/>
        <v>28336.869999999995</v>
      </c>
      <c r="W38" s="85">
        <f t="shared" si="3"/>
        <v>2869.4089999999997</v>
      </c>
      <c r="X38" s="81">
        <f t="shared" si="4"/>
        <v>25467.460999999996</v>
      </c>
      <c r="Y38" s="86">
        <f t="shared" si="5"/>
        <v>0</v>
      </c>
      <c r="Z38" s="85">
        <f t="shared" si="6"/>
        <v>24.744799999999998</v>
      </c>
      <c r="AA38" s="81">
        <f t="shared" si="7"/>
        <v>28718.834799999997</v>
      </c>
      <c r="AB38" s="138">
        <v>1237.2</v>
      </c>
      <c r="AC38" s="138">
        <v>2030.7</v>
      </c>
      <c r="AD38" s="139">
        <f t="shared" si="8"/>
        <v>-22199.560999999994</v>
      </c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</row>
    <row r="39" spans="1:44" x14ac:dyDescent="0.25">
      <c r="A39" s="97" t="s">
        <v>237</v>
      </c>
      <c r="B39" s="77" t="s">
        <v>238</v>
      </c>
      <c r="C39" s="91" t="s">
        <v>156</v>
      </c>
      <c r="D39" s="77" t="s">
        <v>199</v>
      </c>
      <c r="E39" s="77"/>
      <c r="F39" s="77"/>
      <c r="G39" s="79">
        <v>1237.2399999999998</v>
      </c>
      <c r="H39" s="91">
        <f>3762.76+550</f>
        <v>4312.76</v>
      </c>
      <c r="I39" s="79">
        <f t="shared" si="0"/>
        <v>5550</v>
      </c>
      <c r="J39" s="79"/>
      <c r="K39" s="79">
        <v>0</v>
      </c>
      <c r="L39" s="79"/>
      <c r="M39" s="79"/>
      <c r="N39" s="80">
        <v>45.15</v>
      </c>
      <c r="O39" s="81">
        <f t="shared" si="1"/>
        <v>5504.85</v>
      </c>
      <c r="P39" s="82"/>
      <c r="Q39" s="83"/>
      <c r="R39" s="83"/>
      <c r="S39" s="83"/>
      <c r="T39" s="84"/>
      <c r="U39" s="84">
        <v>0</v>
      </c>
      <c r="V39" s="81">
        <f t="shared" si="2"/>
        <v>5504.85</v>
      </c>
      <c r="W39" s="85">
        <f t="shared" si="3"/>
        <v>550.48500000000001</v>
      </c>
      <c r="X39" s="81">
        <f t="shared" si="4"/>
        <v>4954.3650000000007</v>
      </c>
      <c r="Y39" s="86">
        <f t="shared" si="5"/>
        <v>0</v>
      </c>
      <c r="Z39" s="85">
        <f t="shared" si="6"/>
        <v>24.744799999999998</v>
      </c>
      <c r="AA39" s="81">
        <f t="shared" si="7"/>
        <v>5529.5948000000008</v>
      </c>
      <c r="AB39" s="138">
        <v>1237.2</v>
      </c>
      <c r="AC39" s="138">
        <v>3712.8</v>
      </c>
      <c r="AD39" s="140">
        <f t="shared" si="8"/>
        <v>-4.3650000000006912</v>
      </c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</row>
    <row r="40" spans="1:44" x14ac:dyDescent="0.25">
      <c r="A40" s="77" t="s">
        <v>191</v>
      </c>
      <c r="B40" s="77" t="s">
        <v>239</v>
      </c>
      <c r="C40" s="78" t="s">
        <v>75</v>
      </c>
      <c r="D40" s="77" t="s">
        <v>240</v>
      </c>
      <c r="E40" s="77"/>
      <c r="F40" s="77"/>
      <c r="G40" s="79">
        <v>1237.2399999999998</v>
      </c>
      <c r="H40" s="77">
        <v>512.76000000000022</v>
      </c>
      <c r="I40" s="79">
        <f t="shared" si="0"/>
        <v>1750</v>
      </c>
      <c r="J40" s="79">
        <v>2637.8</v>
      </c>
      <c r="K40" s="79">
        <v>0</v>
      </c>
      <c r="L40" s="79"/>
      <c r="M40" s="79"/>
      <c r="N40" s="80">
        <v>45.15</v>
      </c>
      <c r="O40" s="81">
        <f t="shared" si="1"/>
        <v>4342.6500000000005</v>
      </c>
      <c r="P40" s="82"/>
      <c r="Q40" s="83"/>
      <c r="R40" s="83"/>
      <c r="S40" s="83"/>
      <c r="T40" s="84"/>
      <c r="U40" s="84">
        <v>0</v>
      </c>
      <c r="V40" s="81">
        <f t="shared" si="2"/>
        <v>4342.6500000000005</v>
      </c>
      <c r="W40" s="85">
        <f t="shared" si="3"/>
        <v>0</v>
      </c>
      <c r="X40" s="81">
        <f t="shared" si="4"/>
        <v>4342.6500000000005</v>
      </c>
      <c r="Y40" s="86">
        <f t="shared" si="5"/>
        <v>434.2650000000001</v>
      </c>
      <c r="Z40" s="85">
        <f t="shared" si="6"/>
        <v>24.744799999999998</v>
      </c>
      <c r="AA40" s="81">
        <f t="shared" si="7"/>
        <v>4801.6598000000013</v>
      </c>
      <c r="AB40" s="138">
        <v>1237.2</v>
      </c>
      <c r="AC40" s="138">
        <v>2954.63</v>
      </c>
      <c r="AD40" s="139">
        <f t="shared" si="8"/>
        <v>-150.82000000000062</v>
      </c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</row>
    <row r="41" spans="1:44" s="88" customFormat="1" x14ac:dyDescent="0.25">
      <c r="A41" s="77" t="s">
        <v>191</v>
      </c>
      <c r="B41" s="77" t="s">
        <v>241</v>
      </c>
      <c r="C41" s="78" t="s">
        <v>77</v>
      </c>
      <c r="D41" s="77" t="s">
        <v>197</v>
      </c>
      <c r="E41" s="77"/>
      <c r="F41" s="77"/>
      <c r="G41" s="79">
        <v>1000</v>
      </c>
      <c r="H41" s="77"/>
      <c r="I41" s="79">
        <f t="shared" si="0"/>
        <v>1000</v>
      </c>
      <c r="J41" s="79"/>
      <c r="K41" s="79">
        <v>200.73</v>
      </c>
      <c r="L41" s="79"/>
      <c r="M41" s="79"/>
      <c r="N41" s="80">
        <v>45.15</v>
      </c>
      <c r="O41" s="81">
        <f t="shared" si="1"/>
        <v>1155.58</v>
      </c>
      <c r="P41" s="82"/>
      <c r="Q41" s="83"/>
      <c r="R41" s="83"/>
      <c r="S41" s="83"/>
      <c r="T41" s="84"/>
      <c r="U41" s="84">
        <v>0</v>
      </c>
      <c r="V41" s="81">
        <f t="shared" si="2"/>
        <v>1155.58</v>
      </c>
      <c r="W41" s="85">
        <f t="shared" si="3"/>
        <v>0</v>
      </c>
      <c r="X41" s="81">
        <f t="shared" si="4"/>
        <v>1155.58</v>
      </c>
      <c r="Y41" s="86">
        <f t="shared" si="5"/>
        <v>115.55799999999999</v>
      </c>
      <c r="Z41" s="85">
        <f t="shared" si="6"/>
        <v>20</v>
      </c>
      <c r="AA41" s="81">
        <f t="shared" si="7"/>
        <v>1291.1379999999999</v>
      </c>
      <c r="AB41" s="138">
        <v>1062.8</v>
      </c>
      <c r="AC41" s="138">
        <v>1.1100000000000001</v>
      </c>
      <c r="AD41" s="140">
        <f t="shared" si="8"/>
        <v>-91.670000000000073</v>
      </c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</row>
    <row r="42" spans="1:44" s="88" customFormat="1" x14ac:dyDescent="0.25">
      <c r="A42" s="77" t="s">
        <v>242</v>
      </c>
      <c r="B42" s="77" t="s">
        <v>243</v>
      </c>
      <c r="C42" s="78">
        <v>9</v>
      </c>
      <c r="D42" s="77" t="s">
        <v>242</v>
      </c>
      <c r="E42" s="77"/>
      <c r="F42" s="77"/>
      <c r="G42" s="79">
        <v>1237.2399999999998</v>
      </c>
      <c r="H42" s="77">
        <v>2262.7600000000002</v>
      </c>
      <c r="I42" s="79">
        <f t="shared" si="0"/>
        <v>3500</v>
      </c>
      <c r="J42" s="79">
        <v>25445.65</v>
      </c>
      <c r="K42" s="79">
        <v>125.12</v>
      </c>
      <c r="L42" s="79"/>
      <c r="M42" s="79"/>
      <c r="N42" s="80">
        <v>45.15</v>
      </c>
      <c r="O42" s="81">
        <f t="shared" si="1"/>
        <v>29025.62</v>
      </c>
      <c r="P42" s="82"/>
      <c r="Q42" s="83"/>
      <c r="R42" s="83"/>
      <c r="S42" s="83"/>
      <c r="T42" s="84"/>
      <c r="U42" s="84">
        <v>878.82</v>
      </c>
      <c r="V42" s="81">
        <f t="shared" si="2"/>
        <v>28146.799999999999</v>
      </c>
      <c r="W42" s="85">
        <f t="shared" si="3"/>
        <v>2902.5619999999999</v>
      </c>
      <c r="X42" s="81">
        <f t="shared" si="4"/>
        <v>25244.237999999998</v>
      </c>
      <c r="Y42" s="86">
        <f t="shared" si="5"/>
        <v>0</v>
      </c>
      <c r="Z42" s="85">
        <f t="shared" si="6"/>
        <v>24.744799999999998</v>
      </c>
      <c r="AA42" s="81">
        <f t="shared" si="7"/>
        <v>29050.364799999999</v>
      </c>
      <c r="AB42" s="138">
        <v>1237.2</v>
      </c>
      <c r="AC42" s="138">
        <v>1509.1</v>
      </c>
      <c r="AD42" s="139">
        <f t="shared" si="8"/>
        <v>-22497.937999999998</v>
      </c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</row>
    <row r="43" spans="1:44" x14ac:dyDescent="0.25">
      <c r="A43" s="77" t="s">
        <v>201</v>
      </c>
      <c r="B43" s="77" t="s">
        <v>244</v>
      </c>
      <c r="C43" s="77" t="s">
        <v>81</v>
      </c>
      <c r="D43" s="77" t="s">
        <v>245</v>
      </c>
      <c r="E43" s="91"/>
      <c r="F43" s="91"/>
      <c r="G43" s="79">
        <v>1237.2399999999998</v>
      </c>
      <c r="H43" s="91">
        <v>2262.7600000000002</v>
      </c>
      <c r="I43" s="79">
        <f t="shared" si="0"/>
        <v>3500</v>
      </c>
      <c r="J43" s="79">
        <v>51164</v>
      </c>
      <c r="K43" s="79">
        <v>125.12</v>
      </c>
      <c r="L43" s="92"/>
      <c r="M43" s="92"/>
      <c r="N43" s="80">
        <v>45.15</v>
      </c>
      <c r="O43" s="81">
        <f t="shared" si="1"/>
        <v>54743.97</v>
      </c>
      <c r="P43" s="82"/>
      <c r="Q43" s="83"/>
      <c r="R43" s="83"/>
      <c r="S43" s="83"/>
      <c r="T43" s="84"/>
      <c r="U43" s="84"/>
      <c r="V43" s="81">
        <f t="shared" si="2"/>
        <v>54743.97</v>
      </c>
      <c r="W43" s="85">
        <f t="shared" si="3"/>
        <v>5474.3970000000008</v>
      </c>
      <c r="X43" s="81">
        <f t="shared" si="4"/>
        <v>49269.573000000004</v>
      </c>
      <c r="Y43" s="86">
        <f t="shared" si="5"/>
        <v>0</v>
      </c>
      <c r="Z43" s="85">
        <f t="shared" si="6"/>
        <v>24.744799999999998</v>
      </c>
      <c r="AA43" s="81">
        <f t="shared" si="7"/>
        <v>54768.714800000002</v>
      </c>
      <c r="AB43" s="138">
        <v>1237.2</v>
      </c>
      <c r="AC43" s="138">
        <v>2387.92</v>
      </c>
      <c r="AD43" s="139">
        <f t="shared" si="8"/>
        <v>-45644.453000000001</v>
      </c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</row>
    <row r="44" spans="1:44" x14ac:dyDescent="0.25">
      <c r="A44" s="77" t="s">
        <v>226</v>
      </c>
      <c r="B44" s="77" t="s">
        <v>136</v>
      </c>
      <c r="C44" s="78">
        <v>13</v>
      </c>
      <c r="D44" s="77" t="s">
        <v>297</v>
      </c>
      <c r="E44" s="91"/>
      <c r="F44" s="91"/>
      <c r="G44" s="79">
        <v>1237.2399999999998</v>
      </c>
      <c r="H44" s="91">
        <v>3762.76</v>
      </c>
      <c r="I44" s="79">
        <f t="shared" si="0"/>
        <v>5000</v>
      </c>
      <c r="J44" s="79">
        <v>9036.9500000000007</v>
      </c>
      <c r="K44" s="79">
        <v>0</v>
      </c>
      <c r="L44" s="92"/>
      <c r="M44" s="92"/>
      <c r="N44" s="80">
        <v>45.15</v>
      </c>
      <c r="O44" s="81">
        <f t="shared" si="1"/>
        <v>13991.800000000001</v>
      </c>
      <c r="P44" s="82"/>
      <c r="Q44" s="83"/>
      <c r="R44" s="83"/>
      <c r="S44" s="83"/>
      <c r="T44" s="84"/>
      <c r="U44" s="84">
        <v>0</v>
      </c>
      <c r="V44" s="81">
        <f t="shared" si="2"/>
        <v>13991.800000000001</v>
      </c>
      <c r="W44" s="85">
        <f t="shared" si="3"/>
        <v>1399.1800000000003</v>
      </c>
      <c r="X44" s="81">
        <f t="shared" si="4"/>
        <v>12592.62</v>
      </c>
      <c r="Y44" s="86">
        <f t="shared" si="5"/>
        <v>0</v>
      </c>
      <c r="Z44" s="85">
        <f t="shared" si="6"/>
        <v>24.744799999999998</v>
      </c>
      <c r="AA44" s="81">
        <f t="shared" si="7"/>
        <v>14016.544800000001</v>
      </c>
      <c r="AB44" s="138">
        <v>1237.2</v>
      </c>
      <c r="AC44" s="138">
        <v>3226.7</v>
      </c>
      <c r="AD44" s="140">
        <f t="shared" si="8"/>
        <v>-8128.7200000000012</v>
      </c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</row>
    <row r="45" spans="1:44" x14ac:dyDescent="0.25">
      <c r="A45" s="144" t="s">
        <v>237</v>
      </c>
      <c r="B45" s="144" t="s">
        <v>298</v>
      </c>
      <c r="C45" s="145" t="s">
        <v>85</v>
      </c>
      <c r="D45" s="144" t="s">
        <v>299</v>
      </c>
      <c r="E45" s="144" t="s">
        <v>300</v>
      </c>
      <c r="F45" s="144"/>
      <c r="G45" s="146"/>
      <c r="H45" s="144"/>
      <c r="I45" s="146">
        <f t="shared" si="0"/>
        <v>0</v>
      </c>
      <c r="J45" s="146"/>
      <c r="K45" s="146">
        <v>0</v>
      </c>
      <c r="L45" s="146"/>
      <c r="M45" s="146"/>
      <c r="N45" s="146"/>
      <c r="O45" s="146">
        <f t="shared" si="1"/>
        <v>0</v>
      </c>
      <c r="P45" s="146"/>
      <c r="Q45" s="147"/>
      <c r="R45" s="147"/>
      <c r="S45" s="147"/>
      <c r="T45" s="148"/>
      <c r="U45" s="148"/>
      <c r="V45" s="146">
        <f t="shared" si="2"/>
        <v>0</v>
      </c>
      <c r="W45" s="147">
        <f t="shared" si="3"/>
        <v>0</v>
      </c>
      <c r="X45" s="146">
        <f t="shared" si="4"/>
        <v>0</v>
      </c>
      <c r="Y45" s="147">
        <f t="shared" si="5"/>
        <v>0</v>
      </c>
      <c r="Z45" s="147">
        <f t="shared" si="6"/>
        <v>0</v>
      </c>
      <c r="AA45" s="146">
        <f t="shared" si="7"/>
        <v>0</v>
      </c>
      <c r="AB45" s="149">
        <v>1237.2</v>
      </c>
      <c r="AC45" s="149">
        <v>3148.34</v>
      </c>
      <c r="AD45" s="150">
        <f t="shared" si="8"/>
        <v>4385.54</v>
      </c>
      <c r="AE45" s="151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</row>
    <row r="46" spans="1:44" x14ac:dyDescent="0.25">
      <c r="A46" s="77" t="s">
        <v>201</v>
      </c>
      <c r="B46" s="77" t="s">
        <v>246</v>
      </c>
      <c r="C46" s="78"/>
      <c r="D46" s="77" t="s">
        <v>247</v>
      </c>
      <c r="E46" s="77"/>
      <c r="F46" s="77"/>
      <c r="G46" s="79">
        <v>1237.2399999999998</v>
      </c>
      <c r="H46" s="152">
        <f>5000-G46</f>
        <v>3762.76</v>
      </c>
      <c r="I46" s="79">
        <f t="shared" si="0"/>
        <v>5000</v>
      </c>
      <c r="J46" s="79">
        <v>36115.03</v>
      </c>
      <c r="K46" s="79">
        <v>0</v>
      </c>
      <c r="L46" s="79"/>
      <c r="M46" s="79"/>
      <c r="N46" s="80">
        <v>45.15</v>
      </c>
      <c r="O46" s="81">
        <f t="shared" si="1"/>
        <v>41069.879999999997</v>
      </c>
      <c r="P46" s="82"/>
      <c r="Q46" s="83"/>
      <c r="R46" s="83"/>
      <c r="S46" s="83"/>
      <c r="T46" s="84"/>
      <c r="U46" s="84">
        <v>0</v>
      </c>
      <c r="V46" s="81">
        <f t="shared" si="2"/>
        <v>41069.879999999997</v>
      </c>
      <c r="W46" s="85">
        <f t="shared" si="3"/>
        <v>4106.9880000000003</v>
      </c>
      <c r="X46" s="81">
        <f t="shared" si="4"/>
        <v>36962.892</v>
      </c>
      <c r="Y46" s="86">
        <f t="shared" si="5"/>
        <v>0</v>
      </c>
      <c r="Z46" s="85">
        <f t="shared" si="6"/>
        <v>24.744799999999998</v>
      </c>
      <c r="AA46" s="81">
        <f t="shared" si="7"/>
        <v>41094.624799999998</v>
      </c>
      <c r="AB46" s="138">
        <v>1237.2</v>
      </c>
      <c r="AC46" s="138">
        <v>14581.2</v>
      </c>
      <c r="AD46" s="139">
        <f t="shared" si="8"/>
        <v>-21144.491999999998</v>
      </c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</row>
    <row r="47" spans="1:44" x14ac:dyDescent="0.25">
      <c r="A47" s="77" t="s">
        <v>191</v>
      </c>
      <c r="B47" s="77" t="s">
        <v>248</v>
      </c>
      <c r="C47" s="78" t="s">
        <v>87</v>
      </c>
      <c r="D47" s="77" t="s">
        <v>249</v>
      </c>
      <c r="E47" s="91"/>
      <c r="F47" s="91"/>
      <c r="G47" s="79">
        <v>1237.2399999999998</v>
      </c>
      <c r="H47" s="91">
        <v>762.76000000000022</v>
      </c>
      <c r="I47" s="79">
        <f t="shared" si="0"/>
        <v>2000</v>
      </c>
      <c r="J47" s="79">
        <v>8981.98</v>
      </c>
      <c r="K47" s="79">
        <v>188.73</v>
      </c>
      <c r="L47" s="92"/>
      <c r="M47" s="92"/>
      <c r="N47" s="80">
        <v>45.15</v>
      </c>
      <c r="O47" s="81">
        <f t="shared" si="1"/>
        <v>11125.56</v>
      </c>
      <c r="P47" s="82"/>
      <c r="Q47" s="83"/>
      <c r="R47" s="83"/>
      <c r="S47" s="83"/>
      <c r="T47" s="84"/>
      <c r="U47" s="84">
        <v>1280.0899999999999</v>
      </c>
      <c r="V47" s="81">
        <f t="shared" si="2"/>
        <v>9845.4699999999993</v>
      </c>
      <c r="W47" s="85">
        <f t="shared" si="3"/>
        <v>1112.556</v>
      </c>
      <c r="X47" s="81">
        <f t="shared" si="4"/>
        <v>8732.9139999999989</v>
      </c>
      <c r="Y47" s="86">
        <f t="shared" si="5"/>
        <v>0</v>
      </c>
      <c r="Z47" s="85">
        <f t="shared" si="6"/>
        <v>24.744799999999998</v>
      </c>
      <c r="AA47" s="81">
        <f t="shared" si="7"/>
        <v>11150.3048</v>
      </c>
      <c r="AB47" s="138">
        <v>834.2</v>
      </c>
      <c r="AC47" s="138">
        <v>74.44</v>
      </c>
      <c r="AD47" s="139">
        <f t="shared" si="8"/>
        <v>-7824.2739999999985</v>
      </c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</row>
    <row r="48" spans="1:44" x14ac:dyDescent="0.25">
      <c r="A48" s="77" t="s">
        <v>234</v>
      </c>
      <c r="B48" s="77" t="s">
        <v>250</v>
      </c>
      <c r="C48" s="77" t="s">
        <v>89</v>
      </c>
      <c r="D48" s="77" t="s">
        <v>122</v>
      </c>
      <c r="E48" s="91"/>
      <c r="F48" s="91"/>
      <c r="G48" s="79">
        <v>1237.2399999999998</v>
      </c>
      <c r="H48" s="91">
        <v>-37.239999999999782</v>
      </c>
      <c r="I48" s="79">
        <f t="shared" si="0"/>
        <v>1200</v>
      </c>
      <c r="J48" s="79">
        <v>4980.6899999999996</v>
      </c>
      <c r="K48" s="79">
        <v>125.12</v>
      </c>
      <c r="L48" s="92"/>
      <c r="M48" s="92"/>
      <c r="N48" s="80">
        <v>45.15</v>
      </c>
      <c r="O48" s="81">
        <f t="shared" si="1"/>
        <v>6260.66</v>
      </c>
      <c r="P48" s="82"/>
      <c r="Q48" s="83"/>
      <c r="R48" s="83"/>
      <c r="S48" s="83"/>
      <c r="T48" s="84"/>
      <c r="U48" s="84">
        <v>0</v>
      </c>
      <c r="V48" s="81">
        <f t="shared" si="2"/>
        <v>6260.66</v>
      </c>
      <c r="W48" s="85">
        <f t="shared" si="3"/>
        <v>626.06600000000003</v>
      </c>
      <c r="X48" s="81">
        <f t="shared" si="4"/>
        <v>5634.5940000000001</v>
      </c>
      <c r="Y48" s="86">
        <f t="shared" si="5"/>
        <v>0</v>
      </c>
      <c r="Z48" s="85">
        <f t="shared" si="6"/>
        <v>24.744799999999998</v>
      </c>
      <c r="AA48" s="81">
        <f t="shared" si="7"/>
        <v>6285.4048000000003</v>
      </c>
      <c r="AB48" s="138">
        <v>1237.2</v>
      </c>
      <c r="AC48" s="138">
        <v>2181.23</v>
      </c>
      <c r="AD48" s="140">
        <f t="shared" si="8"/>
        <v>-2216.1639999999998</v>
      </c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</row>
    <row r="49" spans="1:44" x14ac:dyDescent="0.25">
      <c r="A49" s="77" t="s">
        <v>234</v>
      </c>
      <c r="B49" s="77" t="s">
        <v>140</v>
      </c>
      <c r="C49" s="77">
        <v>33</v>
      </c>
      <c r="D49" s="77" t="s">
        <v>251</v>
      </c>
      <c r="E49" s="77"/>
      <c r="F49" s="77"/>
      <c r="G49" s="79">
        <v>1237.2399999999998</v>
      </c>
      <c r="H49" s="77">
        <v>-37.239999999999782</v>
      </c>
      <c r="I49" s="79">
        <f t="shared" si="0"/>
        <v>1200</v>
      </c>
      <c r="J49" s="79">
        <v>3107.24</v>
      </c>
      <c r="K49" s="79">
        <v>0</v>
      </c>
      <c r="L49" s="79"/>
      <c r="M49" s="79"/>
      <c r="N49" s="80">
        <v>45.15</v>
      </c>
      <c r="O49" s="81">
        <f t="shared" si="1"/>
        <v>4262.09</v>
      </c>
      <c r="P49" s="82"/>
      <c r="Q49" s="83"/>
      <c r="R49" s="83"/>
      <c r="S49" s="83"/>
      <c r="T49" s="84"/>
      <c r="U49" s="84">
        <v>0</v>
      </c>
      <c r="V49" s="81">
        <f t="shared" si="2"/>
        <v>4262.09</v>
      </c>
      <c r="W49" s="85">
        <f t="shared" si="3"/>
        <v>0</v>
      </c>
      <c r="X49" s="81">
        <f t="shared" si="4"/>
        <v>4262.09</v>
      </c>
      <c r="Y49" s="86">
        <f t="shared" si="5"/>
        <v>426.20900000000006</v>
      </c>
      <c r="Z49" s="85">
        <f t="shared" si="6"/>
        <v>24.744799999999998</v>
      </c>
      <c r="AA49" s="81">
        <f t="shared" si="7"/>
        <v>4713.0438000000004</v>
      </c>
      <c r="AB49" s="138">
        <v>1237.2</v>
      </c>
      <c r="AC49" s="138">
        <v>3991.77</v>
      </c>
      <c r="AD49" s="140">
        <f t="shared" si="8"/>
        <v>966.88000000000011</v>
      </c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</row>
    <row r="50" spans="1:44" x14ac:dyDescent="0.25">
      <c r="A50" s="77" t="s">
        <v>252</v>
      </c>
      <c r="B50" s="77" t="s">
        <v>135</v>
      </c>
      <c r="C50" s="78" t="s">
        <v>93</v>
      </c>
      <c r="D50" s="77" t="s">
        <v>253</v>
      </c>
      <c r="E50" s="77"/>
      <c r="F50" s="77"/>
      <c r="G50" s="79">
        <v>1237.2399999999998</v>
      </c>
      <c r="H50" s="77">
        <v>762.76000000000022</v>
      </c>
      <c r="I50" s="79">
        <f t="shared" si="0"/>
        <v>2000</v>
      </c>
      <c r="J50" s="79">
        <v>5129.58</v>
      </c>
      <c r="K50" s="79">
        <v>188.73</v>
      </c>
      <c r="L50" s="79"/>
      <c r="M50" s="79"/>
      <c r="N50" s="80">
        <v>45.15</v>
      </c>
      <c r="O50" s="81">
        <f t="shared" si="1"/>
        <v>7273.16</v>
      </c>
      <c r="P50" s="82"/>
      <c r="Q50" s="83"/>
      <c r="R50" s="83"/>
      <c r="S50" s="83"/>
      <c r="T50" s="84"/>
      <c r="U50" s="84">
        <v>0</v>
      </c>
      <c r="V50" s="81">
        <f t="shared" si="2"/>
        <v>7273.16</v>
      </c>
      <c r="W50" s="85">
        <f t="shared" si="3"/>
        <v>727.31600000000003</v>
      </c>
      <c r="X50" s="81">
        <f t="shared" si="4"/>
        <v>6545.8440000000001</v>
      </c>
      <c r="Y50" s="86">
        <f t="shared" si="5"/>
        <v>0</v>
      </c>
      <c r="Z50" s="85">
        <f t="shared" si="6"/>
        <v>24.744799999999998</v>
      </c>
      <c r="AA50" s="81">
        <f t="shared" si="7"/>
        <v>7297.9048000000003</v>
      </c>
      <c r="AB50" s="138">
        <v>1237.2</v>
      </c>
      <c r="AC50" s="138">
        <v>734.25</v>
      </c>
      <c r="AD50" s="140">
        <f t="shared" si="8"/>
        <v>-4574.3940000000002</v>
      </c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</row>
    <row r="51" spans="1:44" s="88" customFormat="1" x14ac:dyDescent="0.25">
      <c r="A51" s="77" t="s">
        <v>193</v>
      </c>
      <c r="B51" s="77" t="s">
        <v>254</v>
      </c>
      <c r="C51" s="78" t="s">
        <v>95</v>
      </c>
      <c r="D51" s="77" t="s">
        <v>255</v>
      </c>
      <c r="E51" s="77"/>
      <c r="F51" s="77"/>
      <c r="G51" s="79">
        <v>1237.2399999999998</v>
      </c>
      <c r="H51" s="152">
        <v>1762.76</v>
      </c>
      <c r="I51" s="79">
        <f t="shared" si="0"/>
        <v>3000</v>
      </c>
      <c r="J51" s="79">
        <v>2000</v>
      </c>
      <c r="K51" s="79">
        <v>188.73</v>
      </c>
      <c r="L51" s="79"/>
      <c r="M51" s="79"/>
      <c r="N51" s="80">
        <v>45.15</v>
      </c>
      <c r="O51" s="81">
        <f t="shared" si="1"/>
        <v>5143.58</v>
      </c>
      <c r="P51" s="82"/>
      <c r="Q51" s="83"/>
      <c r="R51" s="83"/>
      <c r="S51" s="83"/>
      <c r="T51" s="84"/>
      <c r="U51" s="84">
        <v>0</v>
      </c>
      <c r="V51" s="81">
        <f t="shared" si="2"/>
        <v>5143.58</v>
      </c>
      <c r="W51" s="85">
        <f t="shared" si="3"/>
        <v>514.35800000000006</v>
      </c>
      <c r="X51" s="81">
        <f t="shared" si="4"/>
        <v>4629.2219999999998</v>
      </c>
      <c r="Y51" s="153">
        <f t="shared" si="5"/>
        <v>0</v>
      </c>
      <c r="Z51" s="85">
        <f t="shared" si="6"/>
        <v>24.744799999999998</v>
      </c>
      <c r="AA51" s="81">
        <f t="shared" si="7"/>
        <v>5168.3248000000003</v>
      </c>
      <c r="AB51" s="138">
        <v>1237.2</v>
      </c>
      <c r="AC51" s="138">
        <v>951.53</v>
      </c>
      <c r="AD51" s="139">
        <f t="shared" si="8"/>
        <v>-2440.4919999999997</v>
      </c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</row>
    <row r="52" spans="1:44" x14ac:dyDescent="0.25">
      <c r="A52" s="111" t="s">
        <v>226</v>
      </c>
      <c r="B52" s="111" t="s">
        <v>301</v>
      </c>
      <c r="C52" s="112"/>
      <c r="D52" s="111" t="s">
        <v>215</v>
      </c>
      <c r="E52" s="111"/>
      <c r="F52" s="111"/>
      <c r="G52" s="79">
        <v>1237.2399999999998</v>
      </c>
      <c r="H52" s="154">
        <v>1762.76</v>
      </c>
      <c r="I52" s="79">
        <f t="shared" si="0"/>
        <v>3000</v>
      </c>
      <c r="J52" s="113"/>
      <c r="K52" s="113"/>
      <c r="L52" s="113"/>
      <c r="M52" s="113"/>
      <c r="N52" s="80">
        <v>45.15</v>
      </c>
      <c r="O52" s="81">
        <f t="shared" si="1"/>
        <v>2954.85</v>
      </c>
      <c r="P52" s="82"/>
      <c r="Q52" s="83"/>
      <c r="R52" s="83"/>
      <c r="S52" s="83"/>
      <c r="T52" s="142"/>
      <c r="U52" s="84">
        <v>0</v>
      </c>
      <c r="V52" s="81">
        <f t="shared" si="2"/>
        <v>2954.85</v>
      </c>
      <c r="W52" s="85">
        <f t="shared" si="3"/>
        <v>0</v>
      </c>
      <c r="X52" s="81">
        <f t="shared" si="4"/>
        <v>2954.85</v>
      </c>
      <c r="Y52" s="153">
        <f t="shared" si="5"/>
        <v>295.48500000000001</v>
      </c>
      <c r="Z52" s="85">
        <f t="shared" si="6"/>
        <v>24.744799999999998</v>
      </c>
      <c r="AA52" s="81">
        <f t="shared" si="7"/>
        <v>3275.0798</v>
      </c>
      <c r="AB52" s="141"/>
      <c r="AC52" s="141"/>
      <c r="AD52" s="155"/>
      <c r="AE52" s="93" t="s">
        <v>302</v>
      </c>
      <c r="AF52" s="93"/>
      <c r="AG52" s="93"/>
      <c r="AH52" s="93"/>
      <c r="AI52" s="87"/>
      <c r="AJ52" s="87"/>
      <c r="AK52" s="87"/>
      <c r="AL52" s="87"/>
      <c r="AM52" s="87"/>
      <c r="AN52" s="87"/>
      <c r="AO52" s="87"/>
      <c r="AP52" s="87"/>
      <c r="AQ52" s="87"/>
      <c r="AR52" s="87"/>
    </row>
    <row r="53" spans="1:44" x14ac:dyDescent="0.25">
      <c r="A53" s="77" t="s">
        <v>191</v>
      </c>
      <c r="B53" s="77" t="s">
        <v>138</v>
      </c>
      <c r="C53" s="78" t="s">
        <v>97</v>
      </c>
      <c r="D53" s="77" t="s">
        <v>123</v>
      </c>
      <c r="E53" s="91"/>
      <c r="F53" s="91"/>
      <c r="G53" s="79">
        <v>1237.2399999999998</v>
      </c>
      <c r="H53" s="91">
        <v>-37.239999999999782</v>
      </c>
      <c r="I53" s="79">
        <f t="shared" si="0"/>
        <v>1200</v>
      </c>
      <c r="J53" s="79">
        <v>4932</v>
      </c>
      <c r="K53" s="79">
        <v>125.12</v>
      </c>
      <c r="L53" s="92"/>
      <c r="M53" s="92"/>
      <c r="N53" s="80">
        <v>45.15</v>
      </c>
      <c r="O53" s="81">
        <f t="shared" si="1"/>
        <v>6211.97</v>
      </c>
      <c r="P53" s="82"/>
      <c r="Q53" s="83"/>
      <c r="R53" s="83"/>
      <c r="S53" s="83"/>
      <c r="T53" s="84"/>
      <c r="U53" s="84">
        <v>0</v>
      </c>
      <c r="V53" s="81">
        <f t="shared" si="2"/>
        <v>6211.97</v>
      </c>
      <c r="W53" s="85">
        <f t="shared" si="3"/>
        <v>621.19700000000012</v>
      </c>
      <c r="X53" s="81">
        <f t="shared" si="4"/>
        <v>5590.7730000000001</v>
      </c>
      <c r="Y53" s="86">
        <f t="shared" si="5"/>
        <v>0</v>
      </c>
      <c r="Z53" s="85">
        <f t="shared" si="6"/>
        <v>24.744799999999998</v>
      </c>
      <c r="AA53" s="81">
        <f t="shared" si="7"/>
        <v>6236.7148000000007</v>
      </c>
      <c r="AB53" s="138">
        <v>1237.2</v>
      </c>
      <c r="AC53" s="138">
        <v>2130.42</v>
      </c>
      <c r="AD53" s="140">
        <f t="shared" si="8"/>
        <v>-2223.1530000000002</v>
      </c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</row>
    <row r="54" spans="1:44" x14ac:dyDescent="0.25">
      <c r="A54" s="77" t="s">
        <v>191</v>
      </c>
      <c r="B54" s="77" t="s">
        <v>256</v>
      </c>
      <c r="C54" s="78" t="s">
        <v>99</v>
      </c>
      <c r="D54" s="77" t="s">
        <v>257</v>
      </c>
      <c r="E54" s="91"/>
      <c r="F54" s="91"/>
      <c r="G54" s="79">
        <v>1237.2399999999998</v>
      </c>
      <c r="H54" s="91">
        <v>-37.239999999999782</v>
      </c>
      <c r="I54" s="79">
        <f t="shared" si="0"/>
        <v>1200</v>
      </c>
      <c r="J54" s="79">
        <v>5117.09</v>
      </c>
      <c r="K54" s="79">
        <v>0</v>
      </c>
      <c r="L54" s="92"/>
      <c r="M54" s="92"/>
      <c r="N54" s="80">
        <v>45.15</v>
      </c>
      <c r="O54" s="81">
        <f t="shared" si="1"/>
        <v>6271.9400000000005</v>
      </c>
      <c r="P54" s="82"/>
      <c r="Q54" s="83"/>
      <c r="R54" s="83"/>
      <c r="S54" s="83"/>
      <c r="T54" s="84"/>
      <c r="U54" s="84">
        <v>340.56</v>
      </c>
      <c r="V54" s="81">
        <f t="shared" si="2"/>
        <v>5931.38</v>
      </c>
      <c r="W54" s="85">
        <f t="shared" si="3"/>
        <v>627.19400000000007</v>
      </c>
      <c r="X54" s="81">
        <f t="shared" si="4"/>
        <v>5304.1859999999997</v>
      </c>
      <c r="Y54" s="86">
        <f t="shared" si="5"/>
        <v>0</v>
      </c>
      <c r="Z54" s="85">
        <f t="shared" si="6"/>
        <v>24.744799999999998</v>
      </c>
      <c r="AA54" s="81">
        <f t="shared" si="7"/>
        <v>6296.6848000000009</v>
      </c>
      <c r="AB54" s="138">
        <v>1237.2</v>
      </c>
      <c r="AC54" s="138">
        <v>4238.57</v>
      </c>
      <c r="AD54" s="140">
        <f t="shared" si="8"/>
        <v>171.58399999999983</v>
      </c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</row>
    <row r="55" spans="1:44" x14ac:dyDescent="0.25">
      <c r="A55" s="77" t="s">
        <v>193</v>
      </c>
      <c r="B55" s="77" t="s">
        <v>258</v>
      </c>
      <c r="C55" s="78" t="s">
        <v>101</v>
      </c>
      <c r="D55" s="77" t="s">
        <v>259</v>
      </c>
      <c r="E55" s="91"/>
      <c r="F55" s="91"/>
      <c r="G55" s="79">
        <v>1237.2399999999998</v>
      </c>
      <c r="H55" s="91">
        <v>762.76000000000022</v>
      </c>
      <c r="I55" s="79">
        <f t="shared" si="0"/>
        <v>2000</v>
      </c>
      <c r="J55" s="79">
        <v>10707.26</v>
      </c>
      <c r="K55" s="79">
        <v>188.73</v>
      </c>
      <c r="L55" s="92"/>
      <c r="M55" s="92"/>
      <c r="N55" s="80">
        <v>45.15</v>
      </c>
      <c r="O55" s="81">
        <f t="shared" si="1"/>
        <v>12850.84</v>
      </c>
      <c r="P55" s="82"/>
      <c r="Q55" s="83"/>
      <c r="R55" s="83"/>
      <c r="S55" s="83"/>
      <c r="T55" s="84"/>
      <c r="U55" s="84">
        <v>0</v>
      </c>
      <c r="V55" s="81">
        <f t="shared" si="2"/>
        <v>12850.84</v>
      </c>
      <c r="W55" s="85">
        <f t="shared" si="3"/>
        <v>1285.0840000000001</v>
      </c>
      <c r="X55" s="81">
        <f t="shared" si="4"/>
        <v>11565.755999999999</v>
      </c>
      <c r="Y55" s="86">
        <f t="shared" si="5"/>
        <v>0</v>
      </c>
      <c r="Z55" s="85">
        <f t="shared" si="6"/>
        <v>24.744799999999998</v>
      </c>
      <c r="AA55" s="81">
        <f t="shared" si="7"/>
        <v>12875.584800000001</v>
      </c>
      <c r="AB55" s="138">
        <v>1237.2</v>
      </c>
      <c r="AC55" s="138">
        <v>951.53</v>
      </c>
      <c r="AD55" s="139">
        <f t="shared" si="8"/>
        <v>-9377.0259999999998</v>
      </c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</row>
    <row r="56" spans="1:44" x14ac:dyDescent="0.25">
      <c r="A56" s="77" t="s">
        <v>252</v>
      </c>
      <c r="B56" s="77" t="s">
        <v>134</v>
      </c>
      <c r="C56" s="78">
        <v>8</v>
      </c>
      <c r="D56" s="77" t="s">
        <v>260</v>
      </c>
      <c r="E56" s="77"/>
      <c r="F56" s="77"/>
      <c r="G56" s="79">
        <v>1237.2399999999998</v>
      </c>
      <c r="H56" s="77">
        <v>2262.7600000000002</v>
      </c>
      <c r="I56" s="79">
        <f t="shared" si="0"/>
        <v>3500</v>
      </c>
      <c r="J56" s="79">
        <v>19908.830000000002</v>
      </c>
      <c r="K56" s="79">
        <v>125.12</v>
      </c>
      <c r="L56" s="79"/>
      <c r="M56" s="79"/>
      <c r="N56" s="80">
        <v>45.15</v>
      </c>
      <c r="O56" s="81">
        <f t="shared" si="1"/>
        <v>23488.799999999999</v>
      </c>
      <c r="P56" s="82"/>
      <c r="Q56" s="83"/>
      <c r="R56" s="83"/>
      <c r="S56" s="83"/>
      <c r="T56" s="84"/>
      <c r="U56" s="84">
        <v>0</v>
      </c>
      <c r="V56" s="81">
        <f t="shared" si="2"/>
        <v>23488.799999999999</v>
      </c>
      <c r="W56" s="85">
        <f t="shared" si="3"/>
        <v>2348.88</v>
      </c>
      <c r="X56" s="81">
        <f t="shared" si="4"/>
        <v>21139.919999999998</v>
      </c>
      <c r="Y56" s="86">
        <f t="shared" si="5"/>
        <v>0</v>
      </c>
      <c r="Z56" s="85">
        <f t="shared" si="6"/>
        <v>24.744799999999998</v>
      </c>
      <c r="AA56" s="81">
        <f t="shared" si="7"/>
        <v>23513.5448</v>
      </c>
      <c r="AB56" s="138">
        <v>1237.2</v>
      </c>
      <c r="AC56" s="138">
        <v>2387.92</v>
      </c>
      <c r="AD56" s="139">
        <f t="shared" si="8"/>
        <v>-17514.8</v>
      </c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</row>
    <row r="57" spans="1:44" x14ac:dyDescent="0.25">
      <c r="A57" s="77" t="s">
        <v>237</v>
      </c>
      <c r="B57" s="77" t="s">
        <v>133</v>
      </c>
      <c r="C57" s="78" t="s">
        <v>105</v>
      </c>
      <c r="D57" s="77" t="s">
        <v>261</v>
      </c>
      <c r="E57" s="77" t="s">
        <v>195</v>
      </c>
      <c r="F57" s="77"/>
      <c r="G57" s="79">
        <v>1237.2399999999998</v>
      </c>
      <c r="H57" s="77">
        <v>11262.76</v>
      </c>
      <c r="I57" s="79">
        <f t="shared" si="0"/>
        <v>12500</v>
      </c>
      <c r="J57" s="79"/>
      <c r="K57" s="79">
        <v>0</v>
      </c>
      <c r="L57" s="79"/>
      <c r="M57" s="79"/>
      <c r="N57" s="80">
        <v>45.15</v>
      </c>
      <c r="O57" s="81">
        <f t="shared" si="1"/>
        <v>12454.85</v>
      </c>
      <c r="P57" s="82"/>
      <c r="Q57" s="83">
        <v>117.81</v>
      </c>
      <c r="R57" s="83"/>
      <c r="S57" s="83"/>
      <c r="T57" s="84"/>
      <c r="U57" s="84">
        <v>0</v>
      </c>
      <c r="V57" s="81">
        <f t="shared" si="2"/>
        <v>12337.04</v>
      </c>
      <c r="W57" s="85">
        <f t="shared" si="3"/>
        <v>1245.4850000000001</v>
      </c>
      <c r="X57" s="81">
        <f t="shared" si="4"/>
        <v>11091.555</v>
      </c>
      <c r="Y57" s="86">
        <f t="shared" si="5"/>
        <v>0</v>
      </c>
      <c r="Z57" s="85">
        <f t="shared" si="6"/>
        <v>24.744799999999998</v>
      </c>
      <c r="AA57" s="81">
        <f t="shared" si="7"/>
        <v>12479.594800000001</v>
      </c>
      <c r="AB57" s="138">
        <v>1237.2</v>
      </c>
      <c r="AC57" s="138">
        <v>9894.99</v>
      </c>
      <c r="AD57" s="139">
        <f t="shared" si="8"/>
        <v>40.635000000000218</v>
      </c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</row>
    <row r="58" spans="1:44" x14ac:dyDescent="0.25">
      <c r="A58" s="77" t="s">
        <v>226</v>
      </c>
      <c r="B58" s="77" t="s">
        <v>262</v>
      </c>
      <c r="C58" s="78">
        <v>18</v>
      </c>
      <c r="D58" s="77" t="s">
        <v>215</v>
      </c>
      <c r="E58" s="77"/>
      <c r="F58" s="77"/>
      <c r="G58" s="79">
        <v>1237.2399999999998</v>
      </c>
      <c r="H58" s="77">
        <v>2262.7600000000002</v>
      </c>
      <c r="I58" s="79">
        <f t="shared" si="0"/>
        <v>3500</v>
      </c>
      <c r="J58" s="79">
        <v>8981.98</v>
      </c>
      <c r="K58" s="79">
        <v>125.12</v>
      </c>
      <c r="L58" s="79"/>
      <c r="M58" s="79"/>
      <c r="N58" s="80">
        <v>45.15</v>
      </c>
      <c r="O58" s="81">
        <f t="shared" si="1"/>
        <v>12561.95</v>
      </c>
      <c r="P58" s="82"/>
      <c r="Q58" s="83"/>
      <c r="R58" s="83"/>
      <c r="S58" s="83"/>
      <c r="T58" s="84"/>
      <c r="U58" s="84">
        <v>741.3</v>
      </c>
      <c r="V58" s="81">
        <f t="shared" si="2"/>
        <v>11820.650000000001</v>
      </c>
      <c r="W58" s="85">
        <f t="shared" si="3"/>
        <v>1256.1950000000002</v>
      </c>
      <c r="X58" s="81">
        <f t="shared" si="4"/>
        <v>10564.455000000002</v>
      </c>
      <c r="Y58" s="86">
        <f t="shared" si="5"/>
        <v>0</v>
      </c>
      <c r="Z58" s="85">
        <f t="shared" si="6"/>
        <v>24.744799999999998</v>
      </c>
      <c r="AA58" s="81">
        <f t="shared" si="7"/>
        <v>12586.694800000001</v>
      </c>
      <c r="AB58" s="138">
        <v>1237.2</v>
      </c>
      <c r="AC58" s="138">
        <v>1646.62</v>
      </c>
      <c r="AD58" s="139">
        <f t="shared" si="8"/>
        <v>-7680.635000000002</v>
      </c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</row>
    <row r="59" spans="1:44" x14ac:dyDescent="0.25">
      <c r="A59" s="77" t="s">
        <v>234</v>
      </c>
      <c r="B59" s="77" t="s">
        <v>141</v>
      </c>
      <c r="C59" s="77" t="s">
        <v>109</v>
      </c>
      <c r="D59" s="77" t="s">
        <v>263</v>
      </c>
      <c r="E59" s="77"/>
      <c r="F59" s="77"/>
      <c r="G59" s="79">
        <v>1237.2399999999998</v>
      </c>
      <c r="H59" s="77">
        <v>1512.7600000000002</v>
      </c>
      <c r="I59" s="79">
        <f t="shared" si="0"/>
        <v>2750</v>
      </c>
      <c r="J59" s="79">
        <v>7127.04</v>
      </c>
      <c r="K59" s="79">
        <v>145.37</v>
      </c>
      <c r="L59" s="79"/>
      <c r="M59" s="79"/>
      <c r="N59" s="80">
        <v>45.15</v>
      </c>
      <c r="O59" s="81">
        <f t="shared" si="1"/>
        <v>9977.260000000002</v>
      </c>
      <c r="P59" s="82"/>
      <c r="Q59" s="83"/>
      <c r="R59" s="83"/>
      <c r="S59" s="83"/>
      <c r="T59" s="84"/>
      <c r="U59" s="84">
        <v>0</v>
      </c>
      <c r="V59" s="81">
        <f t="shared" si="2"/>
        <v>9977.260000000002</v>
      </c>
      <c r="W59" s="85">
        <f t="shared" si="3"/>
        <v>997.72600000000023</v>
      </c>
      <c r="X59" s="81">
        <f t="shared" si="4"/>
        <v>8979.5340000000015</v>
      </c>
      <c r="Y59" s="86">
        <f t="shared" si="5"/>
        <v>0</v>
      </c>
      <c r="Z59" s="85">
        <f t="shared" si="6"/>
        <v>24.744799999999998</v>
      </c>
      <c r="AA59" s="81">
        <f t="shared" si="7"/>
        <v>10002.004800000002</v>
      </c>
      <c r="AB59" s="138">
        <v>1237.2</v>
      </c>
      <c r="AC59" s="138">
        <v>1560.24</v>
      </c>
      <c r="AD59" s="140">
        <f t="shared" si="8"/>
        <v>-6182.094000000001</v>
      </c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</row>
    <row r="60" spans="1:44" x14ac:dyDescent="0.25">
      <c r="A60" s="77" t="s">
        <v>191</v>
      </c>
      <c r="B60" s="77" t="s">
        <v>264</v>
      </c>
      <c r="C60" s="78" t="s">
        <v>111</v>
      </c>
      <c r="D60" s="77" t="s">
        <v>215</v>
      </c>
      <c r="E60" s="91"/>
      <c r="F60" s="91"/>
      <c r="G60" s="79">
        <v>1237.2399999999998</v>
      </c>
      <c r="H60" s="91">
        <v>-37.239999999999782</v>
      </c>
      <c r="I60" s="79">
        <f t="shared" si="0"/>
        <v>1200</v>
      </c>
      <c r="J60" s="79">
        <v>5200</v>
      </c>
      <c r="K60" s="79">
        <v>0</v>
      </c>
      <c r="L60" s="92"/>
      <c r="M60" s="92"/>
      <c r="N60" s="80">
        <v>45.15</v>
      </c>
      <c r="O60" s="81">
        <f t="shared" si="1"/>
        <v>6354.85</v>
      </c>
      <c r="P60" s="82"/>
      <c r="Q60" s="83"/>
      <c r="R60" s="83"/>
      <c r="S60" s="83"/>
      <c r="T60" s="84"/>
      <c r="U60" s="84">
        <v>0</v>
      </c>
      <c r="V60" s="81">
        <f t="shared" si="2"/>
        <v>6354.85</v>
      </c>
      <c r="W60" s="85">
        <f t="shared" si="3"/>
        <v>635.48500000000013</v>
      </c>
      <c r="X60" s="81">
        <f t="shared" si="4"/>
        <v>5719.3649999999998</v>
      </c>
      <c r="Y60" s="86">
        <f t="shared" si="5"/>
        <v>0</v>
      </c>
      <c r="Z60" s="85">
        <f t="shared" si="6"/>
        <v>24.744799999999998</v>
      </c>
      <c r="AA60" s="81">
        <f t="shared" si="7"/>
        <v>6379.5948000000008</v>
      </c>
      <c r="AB60" s="138">
        <v>1237.2</v>
      </c>
      <c r="AC60" s="138">
        <v>3303.71</v>
      </c>
      <c r="AD60" s="139">
        <f t="shared" si="8"/>
        <v>-1178.4549999999999</v>
      </c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</row>
    <row r="61" spans="1:44" s="88" customFormat="1" x14ac:dyDescent="0.25">
      <c r="A61" s="77" t="s">
        <v>191</v>
      </c>
      <c r="B61" s="77" t="s">
        <v>139</v>
      </c>
      <c r="C61" s="78" t="s">
        <v>113</v>
      </c>
      <c r="D61" s="77" t="s">
        <v>265</v>
      </c>
      <c r="E61" s="77"/>
      <c r="F61" s="77"/>
      <c r="G61" s="79">
        <v>1237.2399999999998</v>
      </c>
      <c r="H61" s="77">
        <v>-37.239999999999782</v>
      </c>
      <c r="I61" s="79">
        <f t="shared" si="0"/>
        <v>1200</v>
      </c>
      <c r="J61" s="79">
        <v>1800</v>
      </c>
      <c r="K61" s="79">
        <v>200.73</v>
      </c>
      <c r="L61" s="79"/>
      <c r="M61" s="79"/>
      <c r="N61" s="80">
        <v>45.15</v>
      </c>
      <c r="O61" s="81">
        <f t="shared" si="1"/>
        <v>3155.58</v>
      </c>
      <c r="P61" s="82"/>
      <c r="Q61" s="83"/>
      <c r="R61" s="83"/>
      <c r="S61" s="83"/>
      <c r="T61" s="84"/>
      <c r="U61" s="84">
        <v>0</v>
      </c>
      <c r="V61" s="81">
        <f t="shared" si="2"/>
        <v>3155.58</v>
      </c>
      <c r="W61" s="85">
        <f t="shared" si="3"/>
        <v>0</v>
      </c>
      <c r="X61" s="81">
        <f t="shared" si="4"/>
        <v>3155.58</v>
      </c>
      <c r="Y61" s="86">
        <f t="shared" si="5"/>
        <v>315.55799999999999</v>
      </c>
      <c r="Z61" s="85">
        <f t="shared" si="6"/>
        <v>24.744799999999998</v>
      </c>
      <c r="AA61" s="81">
        <f t="shared" si="7"/>
        <v>3495.8827999999999</v>
      </c>
      <c r="AB61" s="138">
        <v>1237.2</v>
      </c>
      <c r="AC61" s="138">
        <v>109.73</v>
      </c>
      <c r="AD61" s="140">
        <f t="shared" si="8"/>
        <v>-1808.6499999999999</v>
      </c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</row>
    <row r="62" spans="1:44" x14ac:dyDescent="0.25">
      <c r="A62" s="77" t="s">
        <v>234</v>
      </c>
      <c r="B62" s="77" t="s">
        <v>266</v>
      </c>
      <c r="C62" s="77" t="s">
        <v>115</v>
      </c>
      <c r="D62" s="77" t="s">
        <v>230</v>
      </c>
      <c r="E62" s="77"/>
      <c r="F62" s="77"/>
      <c r="G62" s="79">
        <v>1237.2399999999998</v>
      </c>
      <c r="H62" s="77">
        <v>1012.76</v>
      </c>
      <c r="I62" s="79">
        <f t="shared" si="0"/>
        <v>2250</v>
      </c>
      <c r="J62" s="79">
        <v>10108.09</v>
      </c>
      <c r="K62" s="79">
        <v>174.78</v>
      </c>
      <c r="L62" s="79"/>
      <c r="M62" s="79"/>
      <c r="N62" s="80">
        <v>45.15</v>
      </c>
      <c r="O62" s="81">
        <f t="shared" si="1"/>
        <v>12487.720000000001</v>
      </c>
      <c r="P62" s="82"/>
      <c r="Q62" s="83"/>
      <c r="R62" s="83"/>
      <c r="S62" s="83"/>
      <c r="T62" s="84"/>
      <c r="U62" s="84">
        <v>335.19</v>
      </c>
      <c r="V62" s="81">
        <f t="shared" si="2"/>
        <v>12152.53</v>
      </c>
      <c r="W62" s="85">
        <f t="shared" si="3"/>
        <v>1248.7720000000002</v>
      </c>
      <c r="X62" s="81">
        <f t="shared" si="4"/>
        <v>10903.758</v>
      </c>
      <c r="Y62" s="86">
        <f t="shared" si="5"/>
        <v>0</v>
      </c>
      <c r="Z62" s="85">
        <f t="shared" si="6"/>
        <v>24.744799999999998</v>
      </c>
      <c r="AA62" s="81">
        <f t="shared" si="7"/>
        <v>12512.464800000002</v>
      </c>
      <c r="AB62" s="138">
        <v>1237.2</v>
      </c>
      <c r="AC62" s="138">
        <v>852.39</v>
      </c>
      <c r="AD62" s="139">
        <f t="shared" si="8"/>
        <v>-8814.1679999999997</v>
      </c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</row>
    <row r="63" spans="1:44" x14ac:dyDescent="0.25">
      <c r="A63" s="77" t="s">
        <v>193</v>
      </c>
      <c r="B63" s="77" t="s">
        <v>267</v>
      </c>
      <c r="C63" s="78" t="s">
        <v>117</v>
      </c>
      <c r="D63" s="77" t="s">
        <v>123</v>
      </c>
      <c r="E63" s="91"/>
      <c r="F63" s="91"/>
      <c r="G63" s="79">
        <v>1237.2399999999998</v>
      </c>
      <c r="H63" s="91">
        <v>-37.239999999999782</v>
      </c>
      <c r="I63" s="79">
        <f t="shared" si="0"/>
        <v>1200</v>
      </c>
      <c r="J63" s="79">
        <v>1266.2</v>
      </c>
      <c r="K63" s="79">
        <v>174.78</v>
      </c>
      <c r="L63" s="92"/>
      <c r="M63" s="92"/>
      <c r="N63" s="80">
        <v>45.15</v>
      </c>
      <c r="O63" s="81">
        <f t="shared" si="1"/>
        <v>2595.83</v>
      </c>
      <c r="P63" s="82"/>
      <c r="Q63" s="83"/>
      <c r="R63" s="83"/>
      <c r="S63" s="83"/>
      <c r="T63" s="84"/>
      <c r="U63" s="84">
        <v>303.79000000000002</v>
      </c>
      <c r="V63" s="81">
        <f t="shared" si="2"/>
        <v>2292.04</v>
      </c>
      <c r="W63" s="85">
        <f t="shared" si="3"/>
        <v>0</v>
      </c>
      <c r="X63" s="81">
        <f t="shared" si="4"/>
        <v>2292.04</v>
      </c>
      <c r="Y63" s="86">
        <f t="shared" si="5"/>
        <v>259.58300000000003</v>
      </c>
      <c r="Z63" s="85">
        <f t="shared" si="6"/>
        <v>24.744799999999998</v>
      </c>
      <c r="AA63" s="81">
        <f t="shared" si="7"/>
        <v>2880.1578</v>
      </c>
      <c r="AB63" s="138">
        <v>1237.2</v>
      </c>
      <c r="AC63" s="138">
        <v>859.49</v>
      </c>
      <c r="AD63" s="139">
        <f>+AB63+AC63-X63</f>
        <v>-195.34999999999991</v>
      </c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</row>
    <row r="64" spans="1:44" s="87" customFormat="1" x14ac:dyDescent="0.25">
      <c r="A64" s="97"/>
      <c r="B64" s="77"/>
      <c r="C64" s="91"/>
      <c r="D64" s="77"/>
      <c r="E64" s="77"/>
      <c r="F64" s="77"/>
      <c r="G64" s="77"/>
      <c r="H64" s="77"/>
      <c r="I64" s="79"/>
      <c r="J64" s="79"/>
      <c r="K64" s="79"/>
      <c r="L64" s="79"/>
      <c r="M64" s="79"/>
      <c r="N64" s="80"/>
      <c r="O64" s="81">
        <f t="shared" si="1"/>
        <v>0</v>
      </c>
      <c r="P64" s="82"/>
      <c r="Q64" s="83"/>
      <c r="R64" s="83"/>
      <c r="S64" s="83"/>
      <c r="T64" s="85"/>
      <c r="U64" s="85"/>
      <c r="V64" s="81">
        <f t="shared" si="2"/>
        <v>0</v>
      </c>
      <c r="W64" s="85">
        <f t="shared" si="3"/>
        <v>0</v>
      </c>
      <c r="X64" s="81">
        <f t="shared" si="4"/>
        <v>0</v>
      </c>
      <c r="Y64" s="86">
        <f t="shared" si="5"/>
        <v>0</v>
      </c>
      <c r="Z64" s="85"/>
      <c r="AA64" s="81">
        <f t="shared" si="7"/>
        <v>0</v>
      </c>
      <c r="AB64" s="138"/>
      <c r="AC64" s="138"/>
      <c r="AD64" s="139"/>
    </row>
    <row r="65" spans="1:34" x14ac:dyDescent="0.25">
      <c r="A65" s="97"/>
      <c r="B65" s="98"/>
      <c r="C65" s="98"/>
      <c r="D65" s="98"/>
      <c r="E65" s="98"/>
      <c r="F65" s="98"/>
      <c r="G65" s="98"/>
      <c r="H65" s="98"/>
      <c r="I65" s="99"/>
      <c r="J65" s="99"/>
      <c r="K65" s="99"/>
      <c r="L65" s="99"/>
      <c r="M65" s="99"/>
      <c r="N65" s="99"/>
      <c r="O65" s="100"/>
      <c r="P65" s="99"/>
      <c r="Q65" s="85"/>
      <c r="R65" s="85"/>
      <c r="S65" s="85"/>
      <c r="T65" s="85"/>
      <c r="U65" s="85"/>
      <c r="V65" s="101"/>
      <c r="W65" s="85"/>
      <c r="X65" s="100"/>
      <c r="Y65" s="85"/>
      <c r="Z65" s="85"/>
      <c r="AA65" s="100"/>
      <c r="AB65" s="138"/>
      <c r="AC65" s="138"/>
      <c r="AD65" s="87"/>
      <c r="AE65" s="87"/>
      <c r="AF65" s="87"/>
      <c r="AG65" s="87"/>
      <c r="AH65" s="87"/>
    </row>
    <row r="66" spans="1:34" ht="16.5" thickBot="1" x14ac:dyDescent="0.3">
      <c r="B66" s="102" t="s">
        <v>268</v>
      </c>
      <c r="C66" s="102"/>
      <c r="D66" s="102"/>
      <c r="E66" s="102"/>
      <c r="F66" s="102"/>
      <c r="G66" s="102"/>
      <c r="H66" s="102"/>
      <c r="I66" s="103">
        <f>SUM(I7:I63)</f>
        <v>166400</v>
      </c>
      <c r="J66" s="103">
        <f>SUM(J7:J63)</f>
        <v>432293.62000000005</v>
      </c>
      <c r="K66" s="103">
        <f>SUM(K7:K63)</f>
        <v>6565.5099999999966</v>
      </c>
      <c r="L66" s="103">
        <f t="shared" ref="L66:AA66" si="9">SUM(L7:L62)</f>
        <v>0</v>
      </c>
      <c r="M66" s="103">
        <f t="shared" si="9"/>
        <v>0</v>
      </c>
      <c r="N66" s="103">
        <f>SUM(N7:N63)</f>
        <v>2528.4000000000024</v>
      </c>
      <c r="O66" s="103">
        <f t="shared" si="9"/>
        <v>600134.89999999991</v>
      </c>
      <c r="P66" s="103">
        <f t="shared" si="9"/>
        <v>366.66</v>
      </c>
      <c r="Q66" s="103">
        <f>SUM(Q7:Q62)</f>
        <v>117.81</v>
      </c>
      <c r="R66" s="103">
        <f t="shared" si="9"/>
        <v>0</v>
      </c>
      <c r="S66" s="103">
        <f t="shared" si="9"/>
        <v>0</v>
      </c>
      <c r="T66" s="103">
        <f t="shared" si="9"/>
        <v>479.28</v>
      </c>
      <c r="U66" s="103">
        <f>SUM(U7:U63)</f>
        <v>9726.09</v>
      </c>
      <c r="V66" s="103">
        <f t="shared" si="9"/>
        <v>589748.85</v>
      </c>
      <c r="W66" s="103">
        <f t="shared" si="9"/>
        <v>52628.071000000004</v>
      </c>
      <c r="X66" s="103">
        <f t="shared" si="9"/>
        <v>537120.77899999998</v>
      </c>
      <c r="Y66" s="103">
        <f t="shared" si="9"/>
        <v>7385.4190000000008</v>
      </c>
      <c r="Z66" s="103">
        <f t="shared" si="9"/>
        <v>1330.7295999999983</v>
      </c>
      <c r="AA66" s="103">
        <f t="shared" si="9"/>
        <v>608851.0486000001</v>
      </c>
      <c r="AB66" s="138"/>
      <c r="AC66" s="138"/>
      <c r="AD66" s="87"/>
    </row>
    <row r="67" spans="1:34" ht="16.5" thickTop="1" x14ac:dyDescent="0.25">
      <c r="AB67" s="138"/>
      <c r="AC67" s="138"/>
      <c r="AD67" s="87"/>
    </row>
    <row r="68" spans="1:34" x14ac:dyDescent="0.25">
      <c r="A68" s="263" t="s">
        <v>303</v>
      </c>
      <c r="B68" s="263"/>
      <c r="W68" s="74">
        <f>+W66-W67</f>
        <v>52628.071000000004</v>
      </c>
    </row>
    <row r="69" spans="1:34" x14ac:dyDescent="0.25">
      <c r="A69" s="97"/>
      <c r="B69" s="77" t="s">
        <v>304</v>
      </c>
      <c r="C69" s="91"/>
      <c r="D69" s="77"/>
      <c r="E69" s="77"/>
      <c r="F69" s="77"/>
      <c r="G69" s="77"/>
      <c r="H69" s="77"/>
      <c r="I69" s="79">
        <v>1750</v>
      </c>
      <c r="J69" s="79">
        <v>12045.8</v>
      </c>
      <c r="K69" s="79"/>
      <c r="L69" s="79"/>
      <c r="M69" s="79"/>
      <c r="N69" s="79"/>
      <c r="O69" s="81">
        <f>SUM(I69:N69)</f>
        <v>13795.8</v>
      </c>
      <c r="P69" s="82"/>
      <c r="Q69" s="83"/>
      <c r="R69" s="83"/>
      <c r="S69" s="83"/>
      <c r="T69" s="83"/>
      <c r="U69" s="83"/>
      <c r="V69" s="81">
        <f>+O69-P69</f>
        <v>13795.8</v>
      </c>
      <c r="W69" s="85">
        <f>+V69*0.05</f>
        <v>689.79</v>
      </c>
      <c r="X69" s="81">
        <f>+V69-R69-U69</f>
        <v>13795.8</v>
      </c>
      <c r="Y69" s="86">
        <f>IF(V69&lt;3000,V69*0.1,0)</f>
        <v>0</v>
      </c>
      <c r="Z69" s="85">
        <v>0</v>
      </c>
      <c r="AA69" s="81">
        <f>+V69+Y69+Z69</f>
        <v>13795.8</v>
      </c>
    </row>
    <row r="70" spans="1:34" x14ac:dyDescent="0.25">
      <c r="A70" s="97"/>
      <c r="B70" s="91"/>
      <c r="C70" s="91"/>
      <c r="D70" s="91"/>
      <c r="E70" s="91"/>
      <c r="F70" s="91"/>
      <c r="G70" s="91"/>
      <c r="H70" s="91"/>
      <c r="I70" s="92"/>
      <c r="J70" s="92"/>
      <c r="K70" s="92"/>
      <c r="L70" s="92"/>
      <c r="M70" s="92"/>
      <c r="N70" s="92"/>
      <c r="O70" s="81">
        <f>SUM(I70:N70)</f>
        <v>0</v>
      </c>
      <c r="P70" s="82"/>
      <c r="Q70" s="83"/>
      <c r="R70" s="83"/>
      <c r="S70" s="83"/>
      <c r="T70" s="83"/>
      <c r="U70" s="83"/>
      <c r="V70" s="81">
        <f>+O70-P70</f>
        <v>0</v>
      </c>
      <c r="W70" s="85">
        <f>+V70*0.05</f>
        <v>0</v>
      </c>
      <c r="X70" s="81">
        <f>+V70-R70-U70</f>
        <v>0</v>
      </c>
      <c r="Y70" s="86">
        <f>IF(V70&lt;3000,V70*0.1,0)</f>
        <v>0</v>
      </c>
      <c r="Z70" s="85">
        <v>0</v>
      </c>
      <c r="AA70" s="81">
        <f>+V70+Y70+Z70</f>
        <v>0</v>
      </c>
    </row>
    <row r="71" spans="1:34" x14ac:dyDescent="0.25">
      <c r="AA71" s="75">
        <f>SUM(AA69:AA70)</f>
        <v>13795.8</v>
      </c>
    </row>
    <row r="72" spans="1:34" x14ac:dyDescent="0.25">
      <c r="B72" s="104" t="s">
        <v>270</v>
      </c>
      <c r="C72" s="104"/>
      <c r="AA72" s="75">
        <f>+AA71*0.16</f>
        <v>2207.328</v>
      </c>
    </row>
    <row r="73" spans="1:34" x14ac:dyDescent="0.25">
      <c r="B73" s="104"/>
      <c r="C73" s="104"/>
      <c r="AA73" s="75">
        <f>+AA71+AA72</f>
        <v>16003.127999999999</v>
      </c>
    </row>
    <row r="74" spans="1:34" x14ac:dyDescent="0.25">
      <c r="B74" s="104"/>
      <c r="C74" s="104"/>
    </row>
    <row r="75" spans="1:34" x14ac:dyDescent="0.25">
      <c r="B75" s="104" t="s">
        <v>271</v>
      </c>
      <c r="C75" s="104"/>
      <c r="AA75" s="75">
        <f>+AA68+AA73</f>
        <v>16003.127999999999</v>
      </c>
    </row>
    <row r="82" spans="1:32" x14ac:dyDescent="0.25">
      <c r="A82" s="89" t="s">
        <v>272</v>
      </c>
      <c r="B82" s="74"/>
    </row>
    <row r="83" spans="1:32" x14ac:dyDescent="0.25">
      <c r="A83" s="89" t="s">
        <v>273</v>
      </c>
      <c r="B83" s="74"/>
    </row>
    <row r="84" spans="1:32" x14ac:dyDescent="0.25">
      <c r="A84" s="89" t="s">
        <v>274</v>
      </c>
      <c r="B84" s="74"/>
    </row>
    <row r="85" spans="1:32" x14ac:dyDescent="0.25">
      <c r="A85" s="89" t="s">
        <v>275</v>
      </c>
      <c r="B85" s="74"/>
    </row>
    <row r="86" spans="1:32" x14ac:dyDescent="0.25">
      <c r="A86" s="89" t="s">
        <v>276</v>
      </c>
      <c r="B86" s="74"/>
    </row>
    <row r="87" spans="1:32" x14ac:dyDescent="0.25">
      <c r="A87" s="89" t="s">
        <v>277</v>
      </c>
      <c r="B87" s="74"/>
    </row>
    <row r="94" spans="1:32" x14ac:dyDescent="0.25">
      <c r="A94" s="77" t="s">
        <v>237</v>
      </c>
      <c r="B94" s="77" t="s">
        <v>298</v>
      </c>
      <c r="C94" s="78" t="s">
        <v>85</v>
      </c>
      <c r="D94" s="77" t="s">
        <v>299</v>
      </c>
      <c r="E94" s="77" t="s">
        <v>195</v>
      </c>
      <c r="F94" s="77"/>
      <c r="G94" s="79">
        <v>1237.2399999999998</v>
      </c>
      <c r="H94" s="77">
        <v>4762.76</v>
      </c>
      <c r="I94" s="79">
        <f>+G94+H94</f>
        <v>6000</v>
      </c>
      <c r="J94" s="79"/>
      <c r="K94" s="79">
        <v>0</v>
      </c>
      <c r="L94" s="79"/>
      <c r="M94" s="79"/>
      <c r="N94" s="80">
        <v>45.15</v>
      </c>
      <c r="O94" s="81">
        <f>SUM(I94:M94)-N94</f>
        <v>5954.85</v>
      </c>
      <c r="P94" s="82"/>
      <c r="Q94" s="83"/>
      <c r="R94" s="83"/>
      <c r="S94" s="83"/>
      <c r="T94" s="84"/>
      <c r="U94" s="84">
        <v>1014.46</v>
      </c>
      <c r="V94" s="81">
        <f>+O94-SUM(P94:U94)</f>
        <v>4940.3900000000003</v>
      </c>
      <c r="W94" s="85">
        <f>IF(O94&gt;4500,O94*0.1,0)</f>
        <v>595.48500000000001</v>
      </c>
      <c r="X94" s="81">
        <f>+V94-W94</f>
        <v>4344.9050000000007</v>
      </c>
      <c r="Y94" s="86">
        <f>IF(O94&lt;4500,O94*0.1,0)</f>
        <v>0</v>
      </c>
      <c r="Z94" s="85">
        <f>G94*0.02</f>
        <v>24.744799999999998</v>
      </c>
      <c r="AA94" s="81">
        <f>+O94+Y94+Z94</f>
        <v>5979.5948000000008</v>
      </c>
      <c r="AB94" s="138">
        <v>1237.2</v>
      </c>
      <c r="AC94" s="138">
        <v>3148.34</v>
      </c>
      <c r="AD94" s="139">
        <f>+AB94+AC94-X94</f>
        <v>40.634999999999309</v>
      </c>
      <c r="AE94" s="87"/>
      <c r="AF94" s="87"/>
    </row>
    <row r="99" spans="9:27" x14ac:dyDescent="0.25"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</row>
    <row r="100" spans="9:27" x14ac:dyDescent="0.25"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</row>
    <row r="101" spans="9:27" x14ac:dyDescent="0.25"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</row>
    <row r="102" spans="9:27" x14ac:dyDescent="0.25"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</row>
    <row r="103" spans="9:27" x14ac:dyDescent="0.25"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</row>
    <row r="104" spans="9:27" x14ac:dyDescent="0.25"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</row>
    <row r="105" spans="9:27" x14ac:dyDescent="0.25"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</row>
    <row r="106" spans="9:27" x14ac:dyDescent="0.25"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</row>
    <row r="107" spans="9:27" x14ac:dyDescent="0.25"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9:27" x14ac:dyDescent="0.25"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</row>
    <row r="109" spans="9:27" x14ac:dyDescent="0.25"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</row>
    <row r="110" spans="9:27" x14ac:dyDescent="0.25"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</row>
    <row r="111" spans="9:27" x14ac:dyDescent="0.25"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</row>
    <row r="112" spans="9:27" x14ac:dyDescent="0.25"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</row>
    <row r="113" spans="9:27" x14ac:dyDescent="0.25"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</row>
    <row r="114" spans="9:27" x14ac:dyDescent="0.25"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</row>
    <row r="115" spans="9:27" x14ac:dyDescent="0.25"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</row>
    <row r="116" spans="9:27" x14ac:dyDescent="0.25"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</row>
    <row r="117" spans="9:27" x14ac:dyDescent="0.25"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</row>
    <row r="118" spans="9:27" x14ac:dyDescent="0.25"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</row>
    <row r="119" spans="9:27" x14ac:dyDescent="0.25"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</row>
    <row r="120" spans="9:27" x14ac:dyDescent="0.25"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</row>
    <row r="121" spans="9:27" x14ac:dyDescent="0.25"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9:27" x14ac:dyDescent="0.25"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</row>
    <row r="123" spans="9:27" x14ac:dyDescent="0.25"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</row>
    <row r="124" spans="9:27" x14ac:dyDescent="0.25"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</row>
    <row r="125" spans="9:27" x14ac:dyDescent="0.25"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</row>
    <row r="126" spans="9:27" x14ac:dyDescent="0.25"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</row>
    <row r="127" spans="9:27" x14ac:dyDescent="0.25"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</row>
    <row r="128" spans="9:27" x14ac:dyDescent="0.25"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</row>
    <row r="129" spans="9:27" x14ac:dyDescent="0.25"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</row>
    <row r="130" spans="9:27" x14ac:dyDescent="0.25"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</row>
    <row r="131" spans="9:27" x14ac:dyDescent="0.25"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</row>
    <row r="132" spans="9:27" x14ac:dyDescent="0.25"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</row>
    <row r="133" spans="9:27" x14ac:dyDescent="0.25"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</row>
    <row r="134" spans="9:27" x14ac:dyDescent="0.25"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</row>
    <row r="135" spans="9:27" x14ac:dyDescent="0.25"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</row>
    <row r="136" spans="9:27" x14ac:dyDescent="0.25"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</row>
    <row r="137" spans="9:27" x14ac:dyDescent="0.25"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</row>
    <row r="138" spans="9:27" x14ac:dyDescent="0.25"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</row>
    <row r="139" spans="9:27" x14ac:dyDescent="0.25"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</row>
    <row r="140" spans="9:27" x14ac:dyDescent="0.25"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</row>
    <row r="141" spans="9:27" x14ac:dyDescent="0.25"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</row>
    <row r="142" spans="9:27" x14ac:dyDescent="0.25"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</row>
    <row r="143" spans="9:27" x14ac:dyDescent="0.25"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</row>
    <row r="144" spans="9:27" x14ac:dyDescent="0.25"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</row>
    <row r="145" spans="9:27" x14ac:dyDescent="0.25"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</row>
    <row r="146" spans="9:27" x14ac:dyDescent="0.25"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</row>
    <row r="147" spans="9:27" x14ac:dyDescent="0.25"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</row>
    <row r="148" spans="9:27" x14ac:dyDescent="0.25"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</row>
    <row r="149" spans="9:27" x14ac:dyDescent="0.25"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</row>
    <row r="150" spans="9:27" x14ac:dyDescent="0.25"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</row>
    <row r="151" spans="9:27" x14ac:dyDescent="0.25"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</row>
    <row r="152" spans="9:27" x14ac:dyDescent="0.25"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</row>
    <row r="153" spans="9:27" x14ac:dyDescent="0.25"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</row>
    <row r="154" spans="9:27" x14ac:dyDescent="0.25"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</row>
    <row r="155" spans="9:27" x14ac:dyDescent="0.25"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</row>
    <row r="156" spans="9:27" x14ac:dyDescent="0.25"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</row>
    <row r="157" spans="9:27" x14ac:dyDescent="0.25"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</row>
    <row r="158" spans="9:27" x14ac:dyDescent="0.25"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</row>
    <row r="159" spans="9:27" x14ac:dyDescent="0.25"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</row>
    <row r="160" spans="9:27" x14ac:dyDescent="0.25"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</row>
    <row r="161" spans="9:27" x14ac:dyDescent="0.25"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</row>
    <row r="162" spans="9:27" x14ac:dyDescent="0.25"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</row>
    <row r="163" spans="9:27" x14ac:dyDescent="0.25"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</row>
    <row r="164" spans="9:27" x14ac:dyDescent="0.25"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</row>
    <row r="165" spans="9:27" x14ac:dyDescent="0.25"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</row>
    <row r="166" spans="9:27" x14ac:dyDescent="0.25"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</row>
    <row r="167" spans="9:27" x14ac:dyDescent="0.25"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</row>
    <row r="168" spans="9:27" x14ac:dyDescent="0.25"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</row>
    <row r="169" spans="9:27" x14ac:dyDescent="0.25"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</row>
    <row r="170" spans="9:27" x14ac:dyDescent="0.25"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</row>
    <row r="171" spans="9:27" x14ac:dyDescent="0.25"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</row>
    <row r="172" spans="9:27" x14ac:dyDescent="0.25"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</row>
    <row r="173" spans="9:27" x14ac:dyDescent="0.25"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spans="9:27" x14ac:dyDescent="0.25"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</row>
    <row r="175" spans="9:27" x14ac:dyDescent="0.25"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</row>
    <row r="176" spans="9:27" x14ac:dyDescent="0.25"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</row>
    <row r="177" spans="9:27" x14ac:dyDescent="0.25"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</row>
    <row r="178" spans="9:27" x14ac:dyDescent="0.25"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</row>
    <row r="179" spans="9:27" x14ac:dyDescent="0.25"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</row>
    <row r="180" spans="9:27" x14ac:dyDescent="0.25"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</row>
    <row r="181" spans="9:27" x14ac:dyDescent="0.25"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</row>
    <row r="182" spans="9:27" x14ac:dyDescent="0.25"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spans="9:27" x14ac:dyDescent="0.25"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</row>
    <row r="184" spans="9:27" x14ac:dyDescent="0.25"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</row>
    <row r="185" spans="9:27" x14ac:dyDescent="0.25"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</row>
    <row r="186" spans="9:27" x14ac:dyDescent="0.25"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</row>
    <row r="187" spans="9:27" x14ac:dyDescent="0.25"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</row>
    <row r="188" spans="9:27" x14ac:dyDescent="0.25"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</row>
    <row r="189" spans="9:27" x14ac:dyDescent="0.25"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</row>
    <row r="190" spans="9:27" x14ac:dyDescent="0.25"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</row>
    <row r="191" spans="9:27" x14ac:dyDescent="0.25"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</row>
    <row r="192" spans="9:27" x14ac:dyDescent="0.25"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</row>
    <row r="193" spans="9:27" x14ac:dyDescent="0.25"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</row>
    <row r="194" spans="9:27" x14ac:dyDescent="0.25"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</row>
    <row r="195" spans="9:27" x14ac:dyDescent="0.25"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</row>
    <row r="196" spans="9:27" x14ac:dyDescent="0.25"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</row>
    <row r="197" spans="9:27" x14ac:dyDescent="0.25"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</row>
    <row r="198" spans="9:27" x14ac:dyDescent="0.25"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</row>
    <row r="199" spans="9:27" x14ac:dyDescent="0.25"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</row>
    <row r="200" spans="9:27" x14ac:dyDescent="0.25"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</row>
    <row r="201" spans="9:27" x14ac:dyDescent="0.25"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</row>
    <row r="202" spans="9:27" x14ac:dyDescent="0.25"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</row>
    <row r="203" spans="9:27" x14ac:dyDescent="0.25"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</row>
    <row r="204" spans="9:27" x14ac:dyDescent="0.25"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</row>
    <row r="205" spans="9:27" x14ac:dyDescent="0.25"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</row>
    <row r="206" spans="9:27" x14ac:dyDescent="0.25"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</row>
    <row r="207" spans="9:27" x14ac:dyDescent="0.25"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</row>
    <row r="208" spans="9:27" x14ac:dyDescent="0.25"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</row>
    <row r="209" spans="9:27" x14ac:dyDescent="0.25"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</row>
    <row r="210" spans="9:27" x14ac:dyDescent="0.25"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</row>
    <row r="211" spans="9:27" x14ac:dyDescent="0.25"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</row>
    <row r="212" spans="9:27" x14ac:dyDescent="0.25"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</row>
    <row r="213" spans="9:27" x14ac:dyDescent="0.25"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</row>
    <row r="214" spans="9:27" x14ac:dyDescent="0.25"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</row>
    <row r="215" spans="9:27" x14ac:dyDescent="0.25"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</row>
    <row r="216" spans="9:27" x14ac:dyDescent="0.25"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</row>
    <row r="217" spans="9:27" x14ac:dyDescent="0.25"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</row>
    <row r="218" spans="9:27" x14ac:dyDescent="0.25"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</row>
    <row r="219" spans="9:27" x14ac:dyDescent="0.25"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</row>
    <row r="220" spans="9:27" x14ac:dyDescent="0.25"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</row>
    <row r="221" spans="9:27" x14ac:dyDescent="0.25"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</row>
    <row r="222" spans="9:27" x14ac:dyDescent="0.25"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</row>
    <row r="223" spans="9:27" x14ac:dyDescent="0.25"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</row>
    <row r="224" spans="9:27" x14ac:dyDescent="0.25"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</row>
    <row r="225" spans="9:27" x14ac:dyDescent="0.25"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</row>
    <row r="226" spans="9:27" x14ac:dyDescent="0.25"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</row>
    <row r="227" spans="9:27" x14ac:dyDescent="0.25"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</row>
    <row r="228" spans="9:27" x14ac:dyDescent="0.25"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</row>
    <row r="229" spans="9:27" x14ac:dyDescent="0.25"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</row>
    <row r="230" spans="9:27" x14ac:dyDescent="0.25"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</row>
    <row r="231" spans="9:27" x14ac:dyDescent="0.25"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</row>
    <row r="232" spans="9:27" x14ac:dyDescent="0.25"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</row>
    <row r="233" spans="9:27" x14ac:dyDescent="0.25"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</row>
    <row r="234" spans="9:27" x14ac:dyDescent="0.25"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</row>
    <row r="235" spans="9:27" x14ac:dyDescent="0.25"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</row>
    <row r="236" spans="9:27" x14ac:dyDescent="0.25"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</row>
    <row r="237" spans="9:27" x14ac:dyDescent="0.25"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</row>
    <row r="238" spans="9:27" x14ac:dyDescent="0.25"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</row>
    <row r="239" spans="9:27" x14ac:dyDescent="0.25"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</row>
    <row r="240" spans="9:27" x14ac:dyDescent="0.25"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</row>
    <row r="241" spans="9:27" x14ac:dyDescent="0.25"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</row>
    <row r="242" spans="9:27" x14ac:dyDescent="0.25"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</row>
    <row r="243" spans="9:27" x14ac:dyDescent="0.25"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</row>
    <row r="244" spans="9:27" x14ac:dyDescent="0.25"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</row>
    <row r="245" spans="9:27" x14ac:dyDescent="0.25"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</row>
    <row r="246" spans="9:27" x14ac:dyDescent="0.25"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</row>
    <row r="247" spans="9:27" x14ac:dyDescent="0.25"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</row>
    <row r="248" spans="9:27" x14ac:dyDescent="0.25"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</row>
    <row r="249" spans="9:27" x14ac:dyDescent="0.25"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</row>
    <row r="250" spans="9:27" x14ac:dyDescent="0.25"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</row>
    <row r="251" spans="9:27" x14ac:dyDescent="0.25"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</row>
    <row r="252" spans="9:27" x14ac:dyDescent="0.25"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</row>
    <row r="253" spans="9:27" x14ac:dyDescent="0.25"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</row>
    <row r="254" spans="9:27" x14ac:dyDescent="0.25"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</row>
    <row r="255" spans="9:27" x14ac:dyDescent="0.25"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</row>
    <row r="256" spans="9:27" x14ac:dyDescent="0.25"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</row>
    <row r="257" spans="9:27" x14ac:dyDescent="0.25"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  <c r="AA257" s="89"/>
    </row>
    <row r="258" spans="9:27" x14ac:dyDescent="0.25"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  <c r="AA258" s="89"/>
    </row>
    <row r="259" spans="9:27" x14ac:dyDescent="0.25"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</row>
    <row r="260" spans="9:27" x14ac:dyDescent="0.25"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</row>
    <row r="261" spans="9:27" x14ac:dyDescent="0.25"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</row>
    <row r="262" spans="9:27" x14ac:dyDescent="0.25"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</row>
    <row r="263" spans="9:27" x14ac:dyDescent="0.25"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  <c r="AA263" s="89"/>
    </row>
    <row r="264" spans="9:27" x14ac:dyDescent="0.25"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</row>
    <row r="265" spans="9:27" x14ac:dyDescent="0.25"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</row>
    <row r="266" spans="9:27" x14ac:dyDescent="0.25"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</row>
    <row r="267" spans="9:27" x14ac:dyDescent="0.25"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</row>
    <row r="268" spans="9:27" x14ac:dyDescent="0.25"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  <c r="AA268" s="89"/>
    </row>
    <row r="269" spans="9:27" x14ac:dyDescent="0.25"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</row>
    <row r="270" spans="9:27" x14ac:dyDescent="0.25"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  <c r="AA270" s="89"/>
    </row>
    <row r="271" spans="9:27" x14ac:dyDescent="0.25"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</row>
    <row r="272" spans="9:27" x14ac:dyDescent="0.25"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  <c r="AA272" s="89"/>
    </row>
    <row r="273" spans="9:27" x14ac:dyDescent="0.25"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  <c r="AA273" s="89"/>
    </row>
    <row r="274" spans="9:27" x14ac:dyDescent="0.25"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  <c r="AA274" s="89"/>
    </row>
    <row r="275" spans="9:27" x14ac:dyDescent="0.25"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</row>
    <row r="276" spans="9:27" x14ac:dyDescent="0.25"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</row>
    <row r="277" spans="9:27" x14ac:dyDescent="0.25"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</row>
    <row r="278" spans="9:27" x14ac:dyDescent="0.25"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  <c r="AA278" s="89"/>
    </row>
    <row r="279" spans="9:27" x14ac:dyDescent="0.25"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  <c r="AA279" s="89"/>
    </row>
    <row r="280" spans="9:27" x14ac:dyDescent="0.25"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</row>
    <row r="281" spans="9:27" x14ac:dyDescent="0.25"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  <c r="AA281" s="89"/>
    </row>
    <row r="282" spans="9:27" x14ac:dyDescent="0.25"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  <c r="AA282" s="89"/>
    </row>
    <row r="283" spans="9:27" x14ac:dyDescent="0.25"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  <c r="AA283" s="89"/>
    </row>
    <row r="284" spans="9:27" x14ac:dyDescent="0.25"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</row>
    <row r="285" spans="9:27" x14ac:dyDescent="0.25"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</row>
    <row r="286" spans="9:27" x14ac:dyDescent="0.25"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</row>
    <row r="287" spans="9:27" x14ac:dyDescent="0.25"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</row>
    <row r="288" spans="9:27" x14ac:dyDescent="0.25"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</row>
    <row r="289" spans="9:27" x14ac:dyDescent="0.25"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</row>
    <row r="290" spans="9:27" x14ac:dyDescent="0.25"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  <c r="AA290" s="89"/>
    </row>
    <row r="291" spans="9:27" x14ac:dyDescent="0.25"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</row>
    <row r="292" spans="9:27" x14ac:dyDescent="0.25"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</row>
    <row r="293" spans="9:27" x14ac:dyDescent="0.25"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</row>
    <row r="294" spans="9:27" x14ac:dyDescent="0.25"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</row>
    <row r="295" spans="9:27" x14ac:dyDescent="0.25"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</row>
    <row r="296" spans="9:27" x14ac:dyDescent="0.25"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</row>
    <row r="297" spans="9:27" x14ac:dyDescent="0.25"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  <c r="AA297" s="89"/>
    </row>
    <row r="298" spans="9:27" x14ac:dyDescent="0.25"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</row>
    <row r="299" spans="9:27" x14ac:dyDescent="0.25"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</row>
    <row r="300" spans="9:27" x14ac:dyDescent="0.25"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</row>
    <row r="301" spans="9:27" x14ac:dyDescent="0.25"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</row>
    <row r="302" spans="9:27" x14ac:dyDescent="0.25"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</row>
    <row r="303" spans="9:27" x14ac:dyDescent="0.25"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</row>
    <row r="304" spans="9:27" x14ac:dyDescent="0.25"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</row>
    <row r="305" spans="9:27" x14ac:dyDescent="0.25"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</row>
    <row r="306" spans="9:27" x14ac:dyDescent="0.25"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</row>
    <row r="307" spans="9:27" x14ac:dyDescent="0.25"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</row>
    <row r="308" spans="9:27" x14ac:dyDescent="0.25"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</row>
    <row r="309" spans="9:27" x14ac:dyDescent="0.25"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</row>
    <row r="310" spans="9:27" x14ac:dyDescent="0.25"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</row>
    <row r="311" spans="9:27" x14ac:dyDescent="0.25"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</row>
    <row r="312" spans="9:27" x14ac:dyDescent="0.25"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</row>
    <row r="313" spans="9:27" x14ac:dyDescent="0.25"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</row>
    <row r="314" spans="9:27" x14ac:dyDescent="0.25"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</row>
  </sheetData>
  <mergeCells count="26">
    <mergeCell ref="U5:U6"/>
    <mergeCell ref="I5:I6"/>
    <mergeCell ref="L5:L6"/>
    <mergeCell ref="M5:M6"/>
    <mergeCell ref="N5:N6"/>
    <mergeCell ref="P5:P6"/>
    <mergeCell ref="Q5:Q6"/>
    <mergeCell ref="R5:R6"/>
    <mergeCell ref="S5:S6"/>
    <mergeCell ref="T5:T6"/>
    <mergeCell ref="Z5:Z6"/>
    <mergeCell ref="AA5:AA6"/>
    <mergeCell ref="AB5:AC5"/>
    <mergeCell ref="AD5:AD6"/>
    <mergeCell ref="A68:B68"/>
    <mergeCell ref="O5:O6"/>
    <mergeCell ref="A5:A6"/>
    <mergeCell ref="B5:B6"/>
    <mergeCell ref="C5:C6"/>
    <mergeCell ref="D5:D6"/>
    <mergeCell ref="E5:E6"/>
    <mergeCell ref="F5:F6"/>
    <mergeCell ref="V5:V6"/>
    <mergeCell ref="W5:W6"/>
    <mergeCell ref="X5:X6"/>
    <mergeCell ref="Y5:Y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316"/>
  <sheetViews>
    <sheetView workbookViewId="0">
      <pane xSplit="2" ySplit="9" topLeftCell="P20" activePane="bottomRight" state="frozen"/>
      <selection activeCell="B7" sqref="B7"/>
      <selection pane="topRight" activeCell="B7" sqref="B7"/>
      <selection pane="bottomLeft" activeCell="B7" sqref="B7"/>
      <selection pane="bottomRight" activeCell="B27" sqref="B27"/>
    </sheetView>
  </sheetViews>
  <sheetFormatPr baseColWidth="10" defaultRowHeight="15.75" x14ac:dyDescent="0.25"/>
  <cols>
    <col min="1" max="1" width="12.28515625" style="20" customWidth="1"/>
    <col min="2" max="2" width="30.7109375" style="16" customWidth="1"/>
    <col min="3" max="3" width="13" style="16" bestFit="1" customWidth="1"/>
    <col min="4" max="4" width="13" style="16" customWidth="1"/>
    <col min="5" max="5" width="12.42578125" style="16" bestFit="1" customWidth="1"/>
    <col min="6" max="7" width="11.28515625" style="16" customWidth="1"/>
    <col min="8" max="8" width="12.42578125" style="16" bestFit="1" customWidth="1"/>
    <col min="9" max="9" width="12.42578125" style="16" customWidth="1"/>
    <col min="10" max="10" width="8.42578125" style="16" bestFit="1" customWidth="1"/>
    <col min="11" max="11" width="9.7109375" style="16" customWidth="1"/>
    <col min="12" max="12" width="8.42578125" style="16" customWidth="1"/>
    <col min="13" max="13" width="10.140625" style="44" bestFit="1" customWidth="1"/>
    <col min="14" max="17" width="13" style="16" customWidth="1"/>
    <col min="18" max="18" width="14.42578125" style="16" bestFit="1" customWidth="1"/>
    <col min="19" max="19" width="12.85546875" style="16" customWidth="1"/>
    <col min="20" max="20" width="10.140625" style="16" customWidth="1"/>
    <col min="21" max="23" width="13" style="16" customWidth="1"/>
    <col min="24" max="25" width="13" style="16" hidden="1" customWidth="1"/>
    <col min="26" max="26" width="16.140625" style="16" customWidth="1"/>
    <col min="27" max="27" width="28.7109375" style="89" customWidth="1"/>
    <col min="28" max="28" width="45.140625" style="89" bestFit="1" customWidth="1"/>
    <col min="29" max="29" width="8.85546875" style="89" customWidth="1"/>
    <col min="30" max="30" width="36" style="89" bestFit="1" customWidth="1"/>
    <col min="31" max="31" width="13" style="89" bestFit="1" customWidth="1"/>
    <col min="32" max="32" width="11.7109375" style="89" customWidth="1"/>
    <col min="33" max="33" width="17.140625" style="89" bestFit="1" customWidth="1"/>
    <col min="34" max="34" width="11.7109375" style="89" customWidth="1"/>
    <col min="35" max="37" width="13.85546875" style="74" customWidth="1"/>
    <col min="38" max="40" width="13.5703125" style="74" customWidth="1"/>
    <col min="41" max="41" width="17" style="75" customWidth="1"/>
    <col min="42" max="47" width="13.5703125" style="74" customWidth="1"/>
    <col min="48" max="48" width="16.7109375" style="75" customWidth="1"/>
    <col min="49" max="49" width="16.7109375" style="74" customWidth="1"/>
    <col min="50" max="50" width="15.42578125" style="75" customWidth="1"/>
    <col min="51" max="52" width="13.5703125" style="74" customWidth="1"/>
    <col min="53" max="53" width="15.42578125" style="75" customWidth="1"/>
    <col min="54" max="55" width="15.140625" style="135" hidden="1" customWidth="1"/>
    <col min="56" max="56" width="15.140625" style="89" hidden="1" customWidth="1"/>
    <col min="57" max="57" width="57" style="89" bestFit="1" customWidth="1"/>
    <col min="58" max="62" width="19.5703125" style="89"/>
    <col min="63" max="16384" width="11.42578125" style="16"/>
  </cols>
  <sheetData>
    <row r="1" spans="1:62" ht="18" customHeight="1" x14ac:dyDescent="0.25">
      <c r="A1" s="15" t="s">
        <v>0</v>
      </c>
      <c r="B1" s="267" t="s">
        <v>121</v>
      </c>
      <c r="C1" s="268"/>
      <c r="D1" s="51"/>
      <c r="E1" s="51"/>
      <c r="F1" s="58"/>
      <c r="G1" s="58"/>
      <c r="H1" s="133"/>
      <c r="I1" s="133"/>
      <c r="J1" s="58"/>
      <c r="K1" s="58"/>
      <c r="L1" s="58"/>
      <c r="M1" s="42"/>
      <c r="N1" s="51"/>
      <c r="O1" s="58"/>
      <c r="P1" s="133"/>
      <c r="Q1" s="133"/>
    </row>
    <row r="2" spans="1:62" ht="24.95" customHeight="1" x14ac:dyDescent="0.25">
      <c r="A2" s="17" t="s">
        <v>1</v>
      </c>
      <c r="B2" s="18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43"/>
      <c r="N2" s="19"/>
      <c r="O2" s="19"/>
      <c r="P2" s="19"/>
      <c r="Q2" s="19"/>
    </row>
    <row r="3" spans="1:62" x14ac:dyDescent="0.25">
      <c r="B3" s="269" t="s">
        <v>3</v>
      </c>
      <c r="C3" s="268"/>
      <c r="D3" s="51"/>
      <c r="E3" s="51"/>
      <c r="F3" s="58"/>
      <c r="G3" s="58"/>
      <c r="H3" s="133"/>
      <c r="I3" s="133"/>
      <c r="J3" s="58"/>
      <c r="K3" s="58"/>
      <c r="L3" s="58"/>
      <c r="M3" s="42"/>
      <c r="N3" s="51"/>
      <c r="O3" s="58"/>
      <c r="P3" s="133"/>
      <c r="Q3" s="133"/>
    </row>
    <row r="4" spans="1:62" x14ac:dyDescent="0.25">
      <c r="B4" s="118" t="s">
        <v>310</v>
      </c>
      <c r="C4" s="51"/>
      <c r="D4" s="51"/>
      <c r="E4" s="51"/>
      <c r="F4" s="58"/>
      <c r="G4" s="58"/>
      <c r="H4" s="133"/>
      <c r="I4" s="133"/>
      <c r="J4" s="58"/>
      <c r="K4" s="58"/>
      <c r="L4" s="58"/>
      <c r="M4" s="42"/>
      <c r="N4" s="51"/>
      <c r="O4" s="58"/>
      <c r="P4" s="133"/>
      <c r="Q4" s="133"/>
      <c r="AA4" s="64" t="s">
        <v>166</v>
      </c>
      <c r="AB4" s="64"/>
      <c r="AC4" s="64"/>
      <c r="AD4" s="65"/>
      <c r="AE4" s="65"/>
      <c r="AF4" s="65"/>
      <c r="AG4" s="65"/>
      <c r="AH4" s="65"/>
      <c r="AI4" s="66"/>
      <c r="AJ4" s="66"/>
      <c r="AK4" s="66"/>
      <c r="AL4" s="66"/>
      <c r="AM4" s="66"/>
      <c r="AN4" s="66"/>
      <c r="AO4" s="67"/>
      <c r="AP4" s="66"/>
      <c r="AQ4" s="66"/>
      <c r="AR4" s="66"/>
      <c r="AS4" s="66"/>
      <c r="AT4" s="66"/>
      <c r="AU4" s="66"/>
      <c r="AV4" s="67"/>
      <c r="AW4" s="66"/>
      <c r="AX4" s="67"/>
      <c r="AY4" s="66"/>
      <c r="AZ4" s="66"/>
      <c r="BA4" s="67"/>
      <c r="BB4" s="134"/>
      <c r="BC4" s="134"/>
      <c r="BD4" s="68"/>
      <c r="BE4" s="68"/>
      <c r="BF4" s="68"/>
      <c r="BG4" s="68"/>
      <c r="BH4" s="68"/>
      <c r="BI4" s="68"/>
      <c r="BJ4" s="68"/>
    </row>
    <row r="5" spans="1:62" x14ac:dyDescent="0.25">
      <c r="B5" s="21" t="s">
        <v>282</v>
      </c>
      <c r="AA5" s="69" t="s">
        <v>167</v>
      </c>
      <c r="AB5" s="69"/>
      <c r="AC5" s="69"/>
      <c r="AD5" s="70"/>
      <c r="AE5" s="70"/>
      <c r="AF5" s="70"/>
      <c r="AG5" s="70"/>
      <c r="AH5" s="70"/>
      <c r="AI5" s="66"/>
      <c r="AJ5" s="66"/>
      <c r="AK5" s="66"/>
      <c r="AL5" s="66"/>
      <c r="AM5" s="66"/>
      <c r="AN5" s="66"/>
      <c r="AO5" s="67"/>
      <c r="AP5" s="66" t="s">
        <v>168</v>
      </c>
      <c r="AQ5" s="66"/>
      <c r="AR5" s="66"/>
      <c r="AS5" s="66"/>
      <c r="AT5" s="66"/>
      <c r="AU5" s="66"/>
      <c r="AV5" s="67"/>
      <c r="AW5" s="66"/>
      <c r="AX5" s="67"/>
      <c r="AY5" s="66"/>
      <c r="AZ5" s="66"/>
      <c r="BA5" s="67"/>
      <c r="BB5" s="134"/>
      <c r="BC5" s="134"/>
      <c r="BD5" s="68"/>
      <c r="BE5" s="68"/>
      <c r="BF5" s="68"/>
      <c r="BG5" s="68"/>
      <c r="BH5" s="68"/>
      <c r="BI5" s="68"/>
      <c r="BJ5" s="68"/>
    </row>
    <row r="6" spans="1:62" x14ac:dyDescent="0.25">
      <c r="B6" s="21" t="s">
        <v>5</v>
      </c>
      <c r="AA6" s="71" t="s">
        <v>285</v>
      </c>
      <c r="AB6" s="71"/>
      <c r="AC6" s="71"/>
      <c r="AD6" s="72"/>
      <c r="AE6" s="72"/>
      <c r="AF6" s="72"/>
      <c r="AG6" s="72"/>
      <c r="AH6" s="72"/>
      <c r="AI6" s="66"/>
      <c r="AJ6" s="66"/>
      <c r="AK6" s="66"/>
      <c r="AL6" s="66"/>
      <c r="AM6" s="66"/>
      <c r="AN6" s="66"/>
      <c r="AO6" s="67"/>
      <c r="AP6" s="66"/>
      <c r="AQ6" s="66"/>
      <c r="AR6" s="66"/>
      <c r="AS6" s="66"/>
      <c r="AT6" s="66"/>
      <c r="AU6" s="66"/>
      <c r="AV6" s="67"/>
      <c r="AW6" s="66"/>
      <c r="AX6" s="67"/>
      <c r="AY6" s="66"/>
      <c r="AZ6" s="66"/>
      <c r="BA6" s="67"/>
      <c r="BB6" s="134"/>
      <c r="BC6" s="134"/>
      <c r="BD6" s="68"/>
      <c r="BE6" s="68"/>
      <c r="BF6" s="68"/>
      <c r="BG6" s="68"/>
      <c r="BH6" s="68"/>
      <c r="BI6" s="68"/>
      <c r="BJ6" s="68"/>
    </row>
    <row r="7" spans="1:62" x14ac:dyDescent="0.25">
      <c r="C7" s="16" t="s">
        <v>148</v>
      </c>
      <c r="R7" s="266" t="s">
        <v>309</v>
      </c>
      <c r="S7" s="266"/>
      <c r="T7" s="266"/>
      <c r="U7" s="266"/>
      <c r="V7" s="266"/>
      <c r="W7" s="266"/>
      <c r="AA7" s="73"/>
      <c r="AB7" s="73"/>
      <c r="AC7" s="73"/>
      <c r="AD7" s="73"/>
      <c r="AE7" s="73"/>
      <c r="AF7" s="73"/>
      <c r="AG7" s="73"/>
      <c r="AH7" s="73"/>
      <c r="BD7" s="73"/>
      <c r="BE7" s="73"/>
      <c r="BF7" s="73"/>
      <c r="BG7" s="73"/>
      <c r="BH7" s="73"/>
      <c r="BI7" s="73"/>
      <c r="BJ7" s="73"/>
    </row>
    <row r="8" spans="1:62" s="30" customFormat="1" ht="23.25" customHeight="1" thickBot="1" x14ac:dyDescent="0.3">
      <c r="A8" s="29" t="s">
        <v>6</v>
      </c>
      <c r="B8" s="22" t="s">
        <v>7</v>
      </c>
      <c r="C8" s="22" t="s">
        <v>147</v>
      </c>
      <c r="D8" s="22" t="s">
        <v>153</v>
      </c>
      <c r="E8" s="22" t="s">
        <v>149</v>
      </c>
      <c r="F8" s="108" t="s">
        <v>280</v>
      </c>
      <c r="G8" s="108" t="s">
        <v>284</v>
      </c>
      <c r="H8" s="108" t="s">
        <v>147</v>
      </c>
      <c r="I8" s="190" t="str">
        <f>+AP8</f>
        <v>Descuentos Cta 254</v>
      </c>
      <c r="J8" s="22" t="s">
        <v>182</v>
      </c>
      <c r="K8" s="22" t="s">
        <v>283</v>
      </c>
      <c r="L8" s="108" t="s">
        <v>281</v>
      </c>
      <c r="M8" s="45" t="s">
        <v>154</v>
      </c>
      <c r="N8" s="22" t="s">
        <v>146</v>
      </c>
      <c r="O8" s="22" t="s">
        <v>279</v>
      </c>
      <c r="P8" s="22" t="s">
        <v>306</v>
      </c>
      <c r="Q8" s="22" t="s">
        <v>307</v>
      </c>
      <c r="R8" s="191" t="s">
        <v>9</v>
      </c>
      <c r="S8" s="191" t="s">
        <v>150</v>
      </c>
      <c r="T8" s="191" t="s">
        <v>151</v>
      </c>
      <c r="U8" s="191" t="s">
        <v>152</v>
      </c>
      <c r="V8" s="191" t="s">
        <v>145</v>
      </c>
      <c r="W8" s="191" t="s">
        <v>308</v>
      </c>
      <c r="X8" s="49"/>
      <c r="Y8" s="49"/>
      <c r="AA8" s="264" t="s">
        <v>169</v>
      </c>
      <c r="AB8" s="264" t="s">
        <v>124</v>
      </c>
      <c r="AC8" s="264" t="s">
        <v>170</v>
      </c>
      <c r="AD8" s="264" t="s">
        <v>171</v>
      </c>
      <c r="AE8" s="258" t="s">
        <v>172</v>
      </c>
      <c r="AF8" s="258" t="s">
        <v>173</v>
      </c>
      <c r="AG8" s="131"/>
      <c r="AH8" s="131"/>
      <c r="AI8" s="258" t="s">
        <v>174</v>
      </c>
      <c r="AJ8" s="131"/>
      <c r="AK8" s="131"/>
      <c r="AL8" s="258" t="s">
        <v>175</v>
      </c>
      <c r="AM8" s="258" t="s">
        <v>176</v>
      </c>
      <c r="AN8" s="258" t="s">
        <v>177</v>
      </c>
      <c r="AO8" s="258" t="s">
        <v>178</v>
      </c>
      <c r="AP8" s="258" t="s">
        <v>179</v>
      </c>
      <c r="AQ8" s="258" t="s">
        <v>283</v>
      </c>
      <c r="AR8" s="258" t="s">
        <v>180</v>
      </c>
      <c r="AS8" s="258" t="s">
        <v>181</v>
      </c>
      <c r="AT8" s="258" t="s">
        <v>182</v>
      </c>
      <c r="AU8" s="258" t="s">
        <v>125</v>
      </c>
      <c r="AV8" s="258" t="s">
        <v>183</v>
      </c>
      <c r="AW8" s="258" t="s">
        <v>184</v>
      </c>
      <c r="AX8" s="258" t="s">
        <v>185</v>
      </c>
      <c r="AY8" s="258" t="s">
        <v>186</v>
      </c>
      <c r="AZ8" s="258" t="s">
        <v>187</v>
      </c>
      <c r="BA8" s="258" t="s">
        <v>188</v>
      </c>
      <c r="BB8" s="260" t="s">
        <v>286</v>
      </c>
      <c r="BC8" s="261"/>
      <c r="BD8" s="262" t="s">
        <v>287</v>
      </c>
      <c r="BE8" s="136" t="s">
        <v>288</v>
      </c>
      <c r="BF8" s="76"/>
      <c r="BG8" s="76"/>
      <c r="BH8" s="76"/>
      <c r="BI8" s="76"/>
      <c r="BJ8" s="76"/>
    </row>
    <row r="9" spans="1:62" s="24" customFormat="1" ht="15.75" customHeight="1" thickTop="1" x14ac:dyDescent="0.25">
      <c r="A9" s="109" t="s">
        <v>14</v>
      </c>
      <c r="M9" s="46"/>
      <c r="R9" s="156"/>
      <c r="S9" s="156"/>
      <c r="T9" s="156"/>
      <c r="U9" s="156"/>
      <c r="V9" s="156"/>
      <c r="W9" s="156"/>
      <c r="AA9" s="264"/>
      <c r="AB9" s="264"/>
      <c r="AC9" s="264"/>
      <c r="AD9" s="264"/>
      <c r="AE9" s="259"/>
      <c r="AF9" s="259"/>
      <c r="AG9" s="132" t="s">
        <v>189</v>
      </c>
      <c r="AH9" s="132" t="s">
        <v>190</v>
      </c>
      <c r="AI9" s="259"/>
      <c r="AJ9" s="132" t="s">
        <v>149</v>
      </c>
      <c r="AK9" s="132" t="s">
        <v>289</v>
      </c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137" t="s">
        <v>189</v>
      </c>
      <c r="BC9" s="137" t="s">
        <v>190</v>
      </c>
      <c r="BD9" s="262"/>
      <c r="BE9" s="136"/>
      <c r="BF9" s="76"/>
      <c r="BG9" s="76"/>
      <c r="BH9" s="76"/>
      <c r="BI9" s="76"/>
      <c r="BJ9" s="76"/>
    </row>
    <row r="10" spans="1:62" s="24" customFormat="1" x14ac:dyDescent="0.25">
      <c r="A10" s="23" t="s">
        <v>15</v>
      </c>
      <c r="B10" s="24" t="s">
        <v>16</v>
      </c>
      <c r="C10" s="25">
        <f>+AI10</f>
        <v>1200</v>
      </c>
      <c r="D10" s="25">
        <v>145.37389713135775</v>
      </c>
      <c r="E10" s="25">
        <f>+AJ10</f>
        <v>1641.9</v>
      </c>
      <c r="F10" s="25"/>
      <c r="G10" s="25"/>
      <c r="H10" s="25">
        <f>SUM(C10:G10)</f>
        <v>2987.2738971313579</v>
      </c>
      <c r="I10" s="25">
        <f>+AP10</f>
        <v>0</v>
      </c>
      <c r="J10" s="110">
        <f>+AT10</f>
        <v>0</v>
      </c>
      <c r="K10" s="25">
        <f>+AQ10</f>
        <v>0</v>
      </c>
      <c r="L10" s="25">
        <f t="shared" ref="L10:L65" si="0">+AR10</f>
        <v>0</v>
      </c>
      <c r="M10" s="25">
        <f>+AN10</f>
        <v>45.15</v>
      </c>
      <c r="N10" s="25">
        <f>+AU10</f>
        <v>0</v>
      </c>
      <c r="O10" s="25">
        <f>+AW10</f>
        <v>0</v>
      </c>
      <c r="P10" s="25">
        <f>SUM(I10:O10)</f>
        <v>45.15</v>
      </c>
      <c r="Q10" s="25">
        <f>+H10-P10</f>
        <v>2942.1238971313578</v>
      </c>
      <c r="R10" s="157">
        <f>+H10-M10</f>
        <v>2942.1238971313578</v>
      </c>
      <c r="S10" s="157">
        <f>+AY10</f>
        <v>299.74799999999999</v>
      </c>
      <c r="T10" s="157">
        <f>+'C&amp;A'!D10*0.02</f>
        <v>21.911999999999999</v>
      </c>
      <c r="U10" s="157">
        <f>+R10+S10+T10</f>
        <v>3263.7838971313577</v>
      </c>
      <c r="V10" s="157">
        <f>+U10*0.16</f>
        <v>522.20542354101724</v>
      </c>
      <c r="W10" s="157">
        <f>+U10+V10</f>
        <v>3785.989320672375</v>
      </c>
      <c r="X10" s="189">
        <f>+AX10</f>
        <v>2942.1238971313578</v>
      </c>
      <c r="Y10" s="25">
        <f>+X10-Q10</f>
        <v>0</v>
      </c>
      <c r="Z10" s="110">
        <f>+Q10-'C&amp;A'!H10-SINDICATO!M10</f>
        <v>0</v>
      </c>
      <c r="AA10" s="111" t="s">
        <v>191</v>
      </c>
      <c r="AB10" s="111" t="s">
        <v>192</v>
      </c>
      <c r="AC10" s="112" t="s">
        <v>15</v>
      </c>
      <c r="AD10" s="111" t="s">
        <v>123</v>
      </c>
      <c r="AE10" s="111"/>
      <c r="AF10" s="111"/>
      <c r="AG10" s="113">
        <v>1237.2399999999998</v>
      </c>
      <c r="AH10" s="111">
        <v>-37.239999999999782</v>
      </c>
      <c r="AI10" s="113">
        <v>1200</v>
      </c>
      <c r="AJ10" s="113">
        <v>1641.9</v>
      </c>
      <c r="AK10" s="113">
        <f>+D10</f>
        <v>145.37389713135775</v>
      </c>
      <c r="AL10" s="113"/>
      <c r="AM10" s="113"/>
      <c r="AN10" s="114">
        <v>45.15</v>
      </c>
      <c r="AO10" s="100">
        <f>+AI10+AJ10+AK10-AN10</f>
        <v>2942.1238971313578</v>
      </c>
      <c r="AP10" s="113"/>
      <c r="AQ10" s="85"/>
      <c r="AR10" s="85"/>
      <c r="AS10" s="85"/>
      <c r="AT10" s="115"/>
      <c r="AU10" s="115">
        <v>0</v>
      </c>
      <c r="AV10" s="100">
        <v>2997.48</v>
      </c>
      <c r="AW10" s="85">
        <v>0</v>
      </c>
      <c r="AX10" s="100">
        <f>+AO10-AP10-AQ10-AR10-AS10-AT10-AU10-AW10</f>
        <v>2942.1238971313578</v>
      </c>
      <c r="AY10" s="85">
        <v>299.74799999999999</v>
      </c>
      <c r="AZ10" s="85">
        <v>24.744799999999998</v>
      </c>
      <c r="BA10" s="100">
        <v>3321.9728</v>
      </c>
      <c r="BB10" s="138">
        <v>1237.2</v>
      </c>
      <c r="BC10" s="138">
        <v>526.23</v>
      </c>
      <c r="BD10" s="139">
        <v>-1234.05</v>
      </c>
      <c r="BE10" s="139"/>
      <c r="BF10" s="193"/>
      <c r="BG10" s="87"/>
      <c r="BH10" s="87"/>
      <c r="BI10" s="87"/>
      <c r="BJ10" s="87"/>
    </row>
    <row r="11" spans="1:62" s="24" customFormat="1" x14ac:dyDescent="0.25">
      <c r="A11" s="23" t="s">
        <v>17</v>
      </c>
      <c r="B11" s="24" t="s">
        <v>18</v>
      </c>
      <c r="C11" s="25">
        <f t="shared" ref="C11:C65" si="1">+AI11</f>
        <v>3500</v>
      </c>
      <c r="D11" s="25">
        <v>0</v>
      </c>
      <c r="E11" s="25">
        <f t="shared" ref="E11:E65" si="2">+AJ11</f>
        <v>1777.5</v>
      </c>
      <c r="F11" s="25"/>
      <c r="G11" s="25"/>
      <c r="H11" s="25">
        <f t="shared" ref="H11:H65" si="3">SUM(C11:G11)</f>
        <v>5277.5</v>
      </c>
      <c r="I11" s="25">
        <f t="shared" ref="I11:I65" si="4">+AP11</f>
        <v>0</v>
      </c>
      <c r="J11" s="110">
        <f t="shared" ref="J11:J65" si="5">+AT11</f>
        <v>0</v>
      </c>
      <c r="K11" s="25">
        <f t="shared" ref="K11:K65" si="6">+AQ11</f>
        <v>0</v>
      </c>
      <c r="L11" s="25">
        <f t="shared" si="0"/>
        <v>0</v>
      </c>
      <c r="M11" s="25">
        <f t="shared" ref="M11:M65" si="7">+AN11</f>
        <v>45.15</v>
      </c>
      <c r="N11" s="25">
        <f t="shared" ref="N11:N65" si="8">+AU11</f>
        <v>0</v>
      </c>
      <c r="O11" s="25">
        <f t="shared" ref="O11:O65" si="9">+AW11</f>
        <v>523.23500000000001</v>
      </c>
      <c r="P11" s="25">
        <f t="shared" ref="P11:P65" si="10">SUM(I11:O11)</f>
        <v>568.38499999999999</v>
      </c>
      <c r="Q11" s="25">
        <f t="shared" ref="Q11:Q65" si="11">+H11-P11</f>
        <v>4709.1149999999998</v>
      </c>
      <c r="R11" s="157">
        <f t="shared" ref="R11:R65" si="12">+H11-M11</f>
        <v>5232.3500000000004</v>
      </c>
      <c r="S11" s="157">
        <f t="shared" ref="S11:S65" si="13">+AY11</f>
        <v>0</v>
      </c>
      <c r="T11" s="157">
        <f>+'C&amp;A'!D11*0.02</f>
        <v>21.911999999999999</v>
      </c>
      <c r="U11" s="157">
        <f t="shared" ref="U11:U65" si="14">+R11+S11+T11</f>
        <v>5254.2620000000006</v>
      </c>
      <c r="V11" s="157">
        <f t="shared" ref="V11:V65" si="15">+U11*0.16</f>
        <v>840.6819200000001</v>
      </c>
      <c r="W11" s="157">
        <f t="shared" ref="W11:W65" si="16">+U11+V11</f>
        <v>6094.9439200000006</v>
      </c>
      <c r="X11" s="189">
        <f t="shared" ref="X11:X65" si="17">+AX11</f>
        <v>4709.1150000000007</v>
      </c>
      <c r="Y11" s="25">
        <f t="shared" ref="Y11:Y65" si="18">+X11-Q11</f>
        <v>0</v>
      </c>
      <c r="Z11" s="110">
        <f>+Q11-'C&amp;A'!H11-SINDICATO!M11</f>
        <v>0</v>
      </c>
      <c r="AA11" s="111" t="s">
        <v>193</v>
      </c>
      <c r="AB11" s="111" t="s">
        <v>127</v>
      </c>
      <c r="AC11" s="112" t="s">
        <v>17</v>
      </c>
      <c r="AD11" s="111" t="s">
        <v>194</v>
      </c>
      <c r="AE11" s="111" t="s">
        <v>195</v>
      </c>
      <c r="AF11" s="111"/>
      <c r="AG11" s="113">
        <v>1237.2399999999998</v>
      </c>
      <c r="AH11" s="111">
        <v>2262.7600000000002</v>
      </c>
      <c r="AI11" s="113">
        <v>3500</v>
      </c>
      <c r="AJ11" s="113">
        <v>1777.5</v>
      </c>
      <c r="AK11" s="113">
        <f t="shared" ref="AK11:AK65" si="19">+D11</f>
        <v>0</v>
      </c>
      <c r="AL11" s="113"/>
      <c r="AM11" s="113"/>
      <c r="AN11" s="114">
        <v>45.15</v>
      </c>
      <c r="AO11" s="100">
        <f t="shared" ref="AO11:AO65" si="20">+AI11+AJ11+AK11-AN11</f>
        <v>5232.3500000000004</v>
      </c>
      <c r="AP11" s="113"/>
      <c r="AQ11" s="85"/>
      <c r="AR11" s="85"/>
      <c r="AS11" s="85"/>
      <c r="AT11" s="115"/>
      <c r="AU11" s="115">
        <v>0</v>
      </c>
      <c r="AV11" s="100">
        <v>5232.3500000000004</v>
      </c>
      <c r="AW11" s="85">
        <v>523.23500000000001</v>
      </c>
      <c r="AX11" s="100">
        <f t="shared" ref="AX11:AX65" si="21">+AO11-AP11-AQ11-AR11-AS11-AT11-AU11-AW11</f>
        <v>4709.1150000000007</v>
      </c>
      <c r="AY11" s="85">
        <v>0</v>
      </c>
      <c r="AZ11" s="85">
        <v>24.744799999999998</v>
      </c>
      <c r="BA11" s="100">
        <v>5257.0948000000008</v>
      </c>
      <c r="BB11" s="138">
        <v>1237.2</v>
      </c>
      <c r="BC11" s="138">
        <v>3512.55</v>
      </c>
      <c r="BD11" s="139">
        <v>40.634999999999309</v>
      </c>
      <c r="BE11" s="87"/>
      <c r="BF11" s="87"/>
      <c r="BG11" s="87"/>
      <c r="BH11" s="87"/>
      <c r="BI11" s="87"/>
      <c r="BJ11" s="87"/>
    </row>
    <row r="12" spans="1:62" s="24" customFormat="1" x14ac:dyDescent="0.25">
      <c r="A12" s="23" t="s">
        <v>19</v>
      </c>
      <c r="B12" s="24" t="s">
        <v>20</v>
      </c>
      <c r="C12" s="25">
        <f t="shared" si="1"/>
        <v>1250</v>
      </c>
      <c r="D12" s="25">
        <v>0</v>
      </c>
      <c r="E12" s="25">
        <f t="shared" si="2"/>
        <v>2500</v>
      </c>
      <c r="F12" s="25"/>
      <c r="G12" s="25"/>
      <c r="H12" s="25">
        <f t="shared" si="3"/>
        <v>3750</v>
      </c>
      <c r="I12" s="25">
        <f t="shared" si="4"/>
        <v>0</v>
      </c>
      <c r="J12" s="110">
        <f t="shared" si="5"/>
        <v>0</v>
      </c>
      <c r="K12" s="25">
        <f t="shared" si="6"/>
        <v>0</v>
      </c>
      <c r="L12" s="25">
        <f t="shared" si="0"/>
        <v>0</v>
      </c>
      <c r="M12" s="25">
        <f t="shared" si="7"/>
        <v>45.15</v>
      </c>
      <c r="N12" s="25">
        <f t="shared" si="8"/>
        <v>0</v>
      </c>
      <c r="O12" s="25">
        <f t="shared" si="9"/>
        <v>0</v>
      </c>
      <c r="P12" s="25">
        <f t="shared" si="10"/>
        <v>45.15</v>
      </c>
      <c r="Q12" s="25">
        <f t="shared" si="11"/>
        <v>3704.85</v>
      </c>
      <c r="R12" s="157">
        <f t="shared" si="12"/>
        <v>3704.85</v>
      </c>
      <c r="S12" s="157">
        <f t="shared" si="13"/>
        <v>390.55799999999999</v>
      </c>
      <c r="T12" s="157">
        <f>+'C&amp;A'!D12*0.02</f>
        <v>21.911999999999999</v>
      </c>
      <c r="U12" s="157">
        <f t="shared" si="14"/>
        <v>4117.32</v>
      </c>
      <c r="V12" s="157">
        <f t="shared" si="15"/>
        <v>658.77120000000002</v>
      </c>
      <c r="W12" s="157">
        <f t="shared" si="16"/>
        <v>4776.0911999999998</v>
      </c>
      <c r="X12" s="189">
        <f t="shared" si="17"/>
        <v>3704.85</v>
      </c>
      <c r="Y12" s="25">
        <f t="shared" si="18"/>
        <v>0</v>
      </c>
      <c r="Z12" s="110">
        <f>+Q12-'C&amp;A'!H12-SINDICATO!M12</f>
        <v>0</v>
      </c>
      <c r="AA12" s="111" t="s">
        <v>193</v>
      </c>
      <c r="AB12" s="111" t="s">
        <v>196</v>
      </c>
      <c r="AC12" s="112" t="s">
        <v>19</v>
      </c>
      <c r="AD12" s="111" t="s">
        <v>197</v>
      </c>
      <c r="AE12" s="111" t="s">
        <v>195</v>
      </c>
      <c r="AF12" s="111"/>
      <c r="AG12" s="113">
        <v>1237.2399999999998</v>
      </c>
      <c r="AH12" s="111">
        <v>12.760000000000218</v>
      </c>
      <c r="AI12" s="113">
        <v>1250</v>
      </c>
      <c r="AJ12" s="113">
        <v>2500</v>
      </c>
      <c r="AK12" s="113">
        <f t="shared" si="19"/>
        <v>0</v>
      </c>
      <c r="AL12" s="113"/>
      <c r="AM12" s="113"/>
      <c r="AN12" s="114">
        <v>45.15</v>
      </c>
      <c r="AO12" s="100">
        <f t="shared" si="20"/>
        <v>3704.85</v>
      </c>
      <c r="AP12" s="113"/>
      <c r="AQ12" s="85"/>
      <c r="AR12" s="85"/>
      <c r="AS12" s="85"/>
      <c r="AT12" s="115"/>
      <c r="AU12" s="115">
        <v>0</v>
      </c>
      <c r="AV12" s="100">
        <v>3905.58</v>
      </c>
      <c r="AW12" s="85">
        <v>0</v>
      </c>
      <c r="AX12" s="100">
        <f t="shared" si="21"/>
        <v>3704.85</v>
      </c>
      <c r="AY12" s="85">
        <v>390.55799999999999</v>
      </c>
      <c r="AZ12" s="85">
        <v>24.744799999999998</v>
      </c>
      <c r="BA12" s="100">
        <v>4320.8828000000003</v>
      </c>
      <c r="BB12" s="138">
        <v>1237.2</v>
      </c>
      <c r="BC12" s="138">
        <v>796.87</v>
      </c>
      <c r="BD12" s="139">
        <v>-1871.5099999999998</v>
      </c>
      <c r="BE12" s="76"/>
      <c r="BF12" s="76"/>
      <c r="BG12" s="87"/>
      <c r="BH12" s="87"/>
      <c r="BI12" s="87"/>
      <c r="BJ12" s="87"/>
    </row>
    <row r="13" spans="1:62" s="24" customFormat="1" x14ac:dyDescent="0.25">
      <c r="A13" s="23" t="s">
        <v>21</v>
      </c>
      <c r="B13" s="24" t="s">
        <v>22</v>
      </c>
      <c r="C13" s="25">
        <f t="shared" si="1"/>
        <v>3500</v>
      </c>
      <c r="D13" s="25">
        <v>0</v>
      </c>
      <c r="E13" s="25">
        <f t="shared" si="2"/>
        <v>15486.79</v>
      </c>
      <c r="F13" s="25"/>
      <c r="G13" s="25"/>
      <c r="H13" s="25">
        <f t="shared" si="3"/>
        <v>18986.79</v>
      </c>
      <c r="I13" s="25">
        <f t="shared" si="4"/>
        <v>0</v>
      </c>
      <c r="J13" s="110">
        <f t="shared" si="5"/>
        <v>0</v>
      </c>
      <c r="K13" s="25">
        <f t="shared" si="6"/>
        <v>0</v>
      </c>
      <c r="L13" s="25">
        <f t="shared" si="0"/>
        <v>0</v>
      </c>
      <c r="M13" s="25">
        <f t="shared" si="7"/>
        <v>45.15</v>
      </c>
      <c r="N13" s="25">
        <f t="shared" si="8"/>
        <v>2181.2800000000002</v>
      </c>
      <c r="O13" s="25">
        <f t="shared" si="9"/>
        <v>1906.6759999999999</v>
      </c>
      <c r="P13" s="25">
        <f t="shared" si="10"/>
        <v>4133.1059999999998</v>
      </c>
      <c r="Q13" s="25">
        <f t="shared" si="11"/>
        <v>14853.684000000001</v>
      </c>
      <c r="R13" s="157">
        <f t="shared" si="12"/>
        <v>18941.64</v>
      </c>
      <c r="S13" s="157">
        <f t="shared" si="13"/>
        <v>0</v>
      </c>
      <c r="T13" s="157">
        <f>+'C&amp;A'!D13*0.02</f>
        <v>21.911999999999999</v>
      </c>
      <c r="U13" s="157">
        <f t="shared" si="14"/>
        <v>18963.552</v>
      </c>
      <c r="V13" s="157">
        <f t="shared" si="15"/>
        <v>3034.1683200000002</v>
      </c>
      <c r="W13" s="157">
        <f t="shared" si="16"/>
        <v>21997.72032</v>
      </c>
      <c r="X13" s="189">
        <f t="shared" si="17"/>
        <v>14853.684000000001</v>
      </c>
      <c r="Y13" s="25">
        <f t="shared" si="18"/>
        <v>0</v>
      </c>
      <c r="Z13" s="110">
        <f>+Q13-'C&amp;A'!H13-SINDICATO!M13</f>
        <v>0</v>
      </c>
      <c r="AA13" s="111" t="s">
        <v>193</v>
      </c>
      <c r="AB13" s="111" t="s">
        <v>198</v>
      </c>
      <c r="AC13" s="112" t="s">
        <v>21</v>
      </c>
      <c r="AD13" s="111" t="s">
        <v>199</v>
      </c>
      <c r="AE13" s="111"/>
      <c r="AF13" s="111"/>
      <c r="AG13" s="113">
        <v>1237.2399999999998</v>
      </c>
      <c r="AH13" s="111">
        <v>2262.7600000000002</v>
      </c>
      <c r="AI13" s="113">
        <v>3500</v>
      </c>
      <c r="AJ13" s="113">
        <v>15486.79</v>
      </c>
      <c r="AK13" s="113">
        <f t="shared" si="19"/>
        <v>0</v>
      </c>
      <c r="AL13" s="113"/>
      <c r="AM13" s="113"/>
      <c r="AN13" s="114">
        <v>45.15</v>
      </c>
      <c r="AO13" s="100">
        <f t="shared" si="20"/>
        <v>18941.64</v>
      </c>
      <c r="AP13" s="113"/>
      <c r="AQ13" s="85"/>
      <c r="AR13" s="85"/>
      <c r="AS13" s="85"/>
      <c r="AT13" s="115"/>
      <c r="AU13" s="115">
        <v>2181.2800000000002</v>
      </c>
      <c r="AV13" s="100">
        <v>16885.48</v>
      </c>
      <c r="AW13" s="85">
        <v>1906.6759999999999</v>
      </c>
      <c r="AX13" s="100">
        <f t="shared" si="21"/>
        <v>14853.684000000001</v>
      </c>
      <c r="AY13" s="85">
        <v>0</v>
      </c>
      <c r="AZ13" s="85">
        <v>24.744799999999998</v>
      </c>
      <c r="BA13" s="100">
        <v>19091.504799999999</v>
      </c>
      <c r="BB13" s="138">
        <v>1237.2</v>
      </c>
      <c r="BC13" s="138">
        <v>206.64</v>
      </c>
      <c r="BD13" s="139">
        <v>-13534.964</v>
      </c>
      <c r="BE13" s="87"/>
      <c r="BF13" s="87"/>
      <c r="BG13" s="87"/>
      <c r="BH13" s="87"/>
      <c r="BI13" s="87"/>
      <c r="BJ13" s="87"/>
    </row>
    <row r="14" spans="1:62" s="24" customFormat="1" x14ac:dyDescent="0.25">
      <c r="A14" s="23" t="s">
        <v>23</v>
      </c>
      <c r="B14" s="24" t="s">
        <v>24</v>
      </c>
      <c r="C14" s="25">
        <f t="shared" si="1"/>
        <v>2250</v>
      </c>
      <c r="D14" s="25">
        <v>0</v>
      </c>
      <c r="E14" s="25">
        <f t="shared" si="2"/>
        <v>2000</v>
      </c>
      <c r="F14" s="25"/>
      <c r="G14" s="25"/>
      <c r="H14" s="25">
        <f t="shared" si="3"/>
        <v>4250</v>
      </c>
      <c r="I14" s="25">
        <f t="shared" si="4"/>
        <v>0</v>
      </c>
      <c r="J14" s="110">
        <f t="shared" si="5"/>
        <v>0</v>
      </c>
      <c r="K14" s="25">
        <f t="shared" si="6"/>
        <v>0</v>
      </c>
      <c r="L14" s="25">
        <f t="shared" si="0"/>
        <v>0</v>
      </c>
      <c r="M14" s="25">
        <f t="shared" si="7"/>
        <v>45.15</v>
      </c>
      <c r="N14" s="25">
        <f t="shared" si="8"/>
        <v>902.31</v>
      </c>
      <c r="O14" s="25">
        <f t="shared" si="9"/>
        <v>0</v>
      </c>
      <c r="P14" s="25">
        <f t="shared" si="10"/>
        <v>947.45999999999992</v>
      </c>
      <c r="Q14" s="25">
        <f t="shared" si="11"/>
        <v>3302.54</v>
      </c>
      <c r="R14" s="157">
        <f t="shared" si="12"/>
        <v>4204.8500000000004</v>
      </c>
      <c r="S14" s="157">
        <f t="shared" si="13"/>
        <v>437.96300000000002</v>
      </c>
      <c r="T14" s="157">
        <f>+'C&amp;A'!D14*0.02</f>
        <v>21.911999999999999</v>
      </c>
      <c r="U14" s="157">
        <f t="shared" si="14"/>
        <v>4664.7250000000004</v>
      </c>
      <c r="V14" s="157">
        <f t="shared" si="15"/>
        <v>746.35600000000011</v>
      </c>
      <c r="W14" s="157">
        <f t="shared" si="16"/>
        <v>5411.0810000000001</v>
      </c>
      <c r="X14" s="189">
        <f t="shared" si="17"/>
        <v>3302.5400000000004</v>
      </c>
      <c r="Y14" s="25">
        <f t="shared" si="18"/>
        <v>0</v>
      </c>
      <c r="Z14" s="110">
        <f>+Q14-'C&amp;A'!H14-SINDICATO!M14</f>
        <v>0</v>
      </c>
      <c r="AA14" s="111" t="s">
        <v>193</v>
      </c>
      <c r="AB14" s="111" t="s">
        <v>128</v>
      </c>
      <c r="AC14" s="112" t="s">
        <v>23</v>
      </c>
      <c r="AD14" s="111" t="s">
        <v>200</v>
      </c>
      <c r="AE14" s="111"/>
      <c r="AF14" s="111"/>
      <c r="AG14" s="113">
        <v>1237.2399999999998</v>
      </c>
      <c r="AH14" s="111">
        <v>1012.7600000000002</v>
      </c>
      <c r="AI14" s="113">
        <v>2250</v>
      </c>
      <c r="AJ14" s="113">
        <v>2000</v>
      </c>
      <c r="AK14" s="113">
        <f t="shared" si="19"/>
        <v>0</v>
      </c>
      <c r="AL14" s="113"/>
      <c r="AM14" s="113"/>
      <c r="AN14" s="114">
        <v>45.15</v>
      </c>
      <c r="AO14" s="100">
        <f t="shared" si="20"/>
        <v>4204.8500000000004</v>
      </c>
      <c r="AP14" s="113"/>
      <c r="AQ14" s="85"/>
      <c r="AR14" s="85"/>
      <c r="AS14" s="85"/>
      <c r="AT14" s="115"/>
      <c r="AU14" s="115">
        <v>902.31</v>
      </c>
      <c r="AV14" s="100">
        <v>3477.32</v>
      </c>
      <c r="AW14" s="85">
        <v>0</v>
      </c>
      <c r="AX14" s="100">
        <f t="shared" si="21"/>
        <v>3302.5400000000004</v>
      </c>
      <c r="AY14" s="85">
        <v>437.96300000000002</v>
      </c>
      <c r="AZ14" s="85">
        <v>24.744799999999998</v>
      </c>
      <c r="BA14" s="100">
        <v>4842.3378000000002</v>
      </c>
      <c r="BB14" s="138">
        <v>1237.2</v>
      </c>
      <c r="BC14" s="138">
        <v>285.27</v>
      </c>
      <c r="BD14" s="139">
        <v>-1954.8500000000001</v>
      </c>
      <c r="BE14" s="87"/>
      <c r="BF14" s="87"/>
      <c r="BG14" s="87"/>
      <c r="BH14" s="87"/>
      <c r="BI14" s="87"/>
      <c r="BJ14" s="87"/>
    </row>
    <row r="15" spans="1:62" s="24" customFormat="1" x14ac:dyDescent="0.25">
      <c r="A15" s="23" t="s">
        <v>25</v>
      </c>
      <c r="B15" s="24" t="s">
        <v>26</v>
      </c>
      <c r="C15" s="25">
        <f t="shared" si="1"/>
        <v>2500</v>
      </c>
      <c r="D15" s="25">
        <v>0</v>
      </c>
      <c r="E15" s="25">
        <f t="shared" si="2"/>
        <v>3750</v>
      </c>
      <c r="F15" s="25"/>
      <c r="G15" s="25"/>
      <c r="H15" s="25">
        <f t="shared" si="3"/>
        <v>6250</v>
      </c>
      <c r="I15" s="25">
        <f t="shared" si="4"/>
        <v>0</v>
      </c>
      <c r="J15" s="110">
        <f t="shared" si="5"/>
        <v>0</v>
      </c>
      <c r="K15" s="25">
        <f t="shared" si="6"/>
        <v>0</v>
      </c>
      <c r="L15" s="25">
        <f t="shared" si="0"/>
        <v>0</v>
      </c>
      <c r="M15" s="25">
        <f t="shared" si="7"/>
        <v>45.15</v>
      </c>
      <c r="N15" s="25">
        <f t="shared" si="8"/>
        <v>0</v>
      </c>
      <c r="O15" s="25">
        <f t="shared" si="9"/>
        <v>636.52300000000014</v>
      </c>
      <c r="P15" s="25">
        <f t="shared" si="10"/>
        <v>681.67300000000012</v>
      </c>
      <c r="Q15" s="25">
        <f t="shared" si="11"/>
        <v>5568.3270000000002</v>
      </c>
      <c r="R15" s="157">
        <f t="shared" si="12"/>
        <v>6204.85</v>
      </c>
      <c r="S15" s="157">
        <f t="shared" si="13"/>
        <v>0</v>
      </c>
      <c r="T15" s="157">
        <f>+'C&amp;A'!D15*0.02</f>
        <v>21.911999999999999</v>
      </c>
      <c r="U15" s="157">
        <f t="shared" si="14"/>
        <v>6226.7620000000006</v>
      </c>
      <c r="V15" s="157">
        <f t="shared" si="15"/>
        <v>996.28192000000013</v>
      </c>
      <c r="W15" s="157">
        <f t="shared" si="16"/>
        <v>7223.043920000001</v>
      </c>
      <c r="X15" s="189">
        <f t="shared" si="17"/>
        <v>5568.3270000000002</v>
      </c>
      <c r="Y15" s="25">
        <f t="shared" si="18"/>
        <v>0</v>
      </c>
      <c r="Z15" s="110">
        <f>+Q15-'C&amp;A'!H15-SINDICATO!M15</f>
        <v>0</v>
      </c>
      <c r="AA15" s="111" t="s">
        <v>201</v>
      </c>
      <c r="AB15" s="111" t="s">
        <v>202</v>
      </c>
      <c r="AC15" s="111" t="s">
        <v>142</v>
      </c>
      <c r="AD15" s="111" t="s">
        <v>290</v>
      </c>
      <c r="AE15" s="111"/>
      <c r="AF15" s="111"/>
      <c r="AG15" s="113">
        <v>1237.2399999999998</v>
      </c>
      <c r="AH15" s="111">
        <v>1262.7600000000002</v>
      </c>
      <c r="AI15" s="113">
        <v>2500</v>
      </c>
      <c r="AJ15" s="113">
        <v>3750</v>
      </c>
      <c r="AK15" s="113">
        <f t="shared" si="19"/>
        <v>0</v>
      </c>
      <c r="AL15" s="113"/>
      <c r="AM15" s="113"/>
      <c r="AN15" s="114">
        <v>45.15</v>
      </c>
      <c r="AO15" s="100">
        <f t="shared" si="20"/>
        <v>6204.85</v>
      </c>
      <c r="AP15" s="113"/>
      <c r="AQ15" s="85"/>
      <c r="AR15" s="85"/>
      <c r="AS15" s="85"/>
      <c r="AT15" s="115"/>
      <c r="AU15" s="115">
        <v>0</v>
      </c>
      <c r="AV15" s="100">
        <v>6365.2300000000005</v>
      </c>
      <c r="AW15" s="85">
        <v>636.52300000000014</v>
      </c>
      <c r="AX15" s="100">
        <f t="shared" si="21"/>
        <v>5568.3270000000002</v>
      </c>
      <c r="AY15" s="85">
        <v>0</v>
      </c>
      <c r="AZ15" s="85">
        <v>24.744799999999998</v>
      </c>
      <c r="BA15" s="100">
        <v>6389.9748000000009</v>
      </c>
      <c r="BB15" s="138">
        <v>1237.2</v>
      </c>
      <c r="BC15" s="138">
        <v>1423.18</v>
      </c>
      <c r="BD15" s="139">
        <v>-3068.3270000000002</v>
      </c>
      <c r="BE15" s="87"/>
      <c r="BF15" s="87"/>
      <c r="BG15" s="87"/>
      <c r="BH15" s="87"/>
      <c r="BI15" s="87"/>
      <c r="BJ15" s="87"/>
    </row>
    <row r="16" spans="1:62" s="24" customFormat="1" x14ac:dyDescent="0.25">
      <c r="A16" s="23" t="s">
        <v>27</v>
      </c>
      <c r="B16" s="24" t="s">
        <v>28</v>
      </c>
      <c r="C16" s="25">
        <f t="shared" si="1"/>
        <v>2500</v>
      </c>
      <c r="D16" s="25">
        <v>0</v>
      </c>
      <c r="E16" s="25">
        <f t="shared" si="2"/>
        <v>6081.55</v>
      </c>
      <c r="F16" s="25"/>
      <c r="G16" s="25"/>
      <c r="H16" s="25">
        <f t="shared" si="3"/>
        <v>8581.5499999999993</v>
      </c>
      <c r="I16" s="25">
        <f t="shared" si="4"/>
        <v>0</v>
      </c>
      <c r="J16" s="110">
        <f t="shared" si="5"/>
        <v>0</v>
      </c>
      <c r="K16" s="25">
        <f t="shared" si="6"/>
        <v>0</v>
      </c>
      <c r="L16" s="25">
        <f t="shared" si="0"/>
        <v>0</v>
      </c>
      <c r="M16" s="25">
        <f t="shared" si="7"/>
        <v>45.15</v>
      </c>
      <c r="N16" s="25">
        <f t="shared" si="8"/>
        <v>0</v>
      </c>
      <c r="O16" s="25">
        <f t="shared" si="9"/>
        <v>869.67799999999988</v>
      </c>
      <c r="P16" s="25">
        <f t="shared" si="10"/>
        <v>914.82799999999986</v>
      </c>
      <c r="Q16" s="25">
        <f t="shared" si="11"/>
        <v>7666.7219999999998</v>
      </c>
      <c r="R16" s="157">
        <f t="shared" si="12"/>
        <v>8536.4</v>
      </c>
      <c r="S16" s="157">
        <f t="shared" si="13"/>
        <v>0</v>
      </c>
      <c r="T16" s="157">
        <f>+'C&amp;A'!D16*0.02</f>
        <v>21.911999999999999</v>
      </c>
      <c r="U16" s="157">
        <f t="shared" si="14"/>
        <v>8558.3119999999999</v>
      </c>
      <c r="V16" s="157">
        <f t="shared" si="15"/>
        <v>1369.3299199999999</v>
      </c>
      <c r="W16" s="157">
        <f t="shared" si="16"/>
        <v>9927.64192</v>
      </c>
      <c r="X16" s="189">
        <f t="shared" si="17"/>
        <v>7666.7219999999998</v>
      </c>
      <c r="Y16" s="25">
        <f t="shared" si="18"/>
        <v>0</v>
      </c>
      <c r="Z16" s="110">
        <f>+Q16-'C&amp;A'!H16-SINDICATO!M16</f>
        <v>0</v>
      </c>
      <c r="AA16" s="111" t="s">
        <v>193</v>
      </c>
      <c r="AB16" s="111" t="s">
        <v>203</v>
      </c>
      <c r="AC16" s="112" t="s">
        <v>27</v>
      </c>
      <c r="AD16" s="111" t="s">
        <v>291</v>
      </c>
      <c r="AE16" s="111" t="s">
        <v>195</v>
      </c>
      <c r="AF16" s="111"/>
      <c r="AG16" s="113">
        <v>1237.2399999999998</v>
      </c>
      <c r="AH16" s="111">
        <v>1262.7600000000002</v>
      </c>
      <c r="AI16" s="113">
        <v>2500</v>
      </c>
      <c r="AJ16" s="113">
        <v>6081.55</v>
      </c>
      <c r="AK16" s="113">
        <f t="shared" si="19"/>
        <v>0</v>
      </c>
      <c r="AL16" s="113"/>
      <c r="AM16" s="113"/>
      <c r="AN16" s="114">
        <v>45.15</v>
      </c>
      <c r="AO16" s="100">
        <f t="shared" si="20"/>
        <v>8536.4</v>
      </c>
      <c r="AP16" s="113"/>
      <c r="AQ16" s="85"/>
      <c r="AR16" s="85"/>
      <c r="AS16" s="85"/>
      <c r="AT16" s="115"/>
      <c r="AU16" s="115"/>
      <c r="AV16" s="100">
        <v>8696.7799999999988</v>
      </c>
      <c r="AW16" s="85">
        <v>869.67799999999988</v>
      </c>
      <c r="AX16" s="100">
        <f t="shared" si="21"/>
        <v>7666.7219999999998</v>
      </c>
      <c r="AY16" s="85">
        <v>0</v>
      </c>
      <c r="AZ16" s="85">
        <v>24.744799999999998</v>
      </c>
      <c r="BA16" s="100">
        <v>8721.5247999999992</v>
      </c>
      <c r="BB16" s="138">
        <v>1237.2</v>
      </c>
      <c r="BC16" s="138">
        <v>1423.18</v>
      </c>
      <c r="BD16" s="139">
        <v>-5166.7219999999988</v>
      </c>
      <c r="BE16" s="87"/>
      <c r="BF16" s="87"/>
      <c r="BG16" s="87"/>
      <c r="BH16" s="87"/>
      <c r="BI16" s="87"/>
      <c r="BJ16" s="87"/>
    </row>
    <row r="17" spans="1:62" s="24" customFormat="1" x14ac:dyDescent="0.25">
      <c r="A17" s="23" t="s">
        <v>29</v>
      </c>
      <c r="B17" s="24" t="s">
        <v>30</v>
      </c>
      <c r="C17" s="25">
        <f t="shared" si="1"/>
        <v>6500</v>
      </c>
      <c r="D17" s="25">
        <v>0</v>
      </c>
      <c r="E17" s="25">
        <f t="shared" si="2"/>
        <v>0</v>
      </c>
      <c r="F17" s="25"/>
      <c r="G17" s="25"/>
      <c r="H17" s="25">
        <f t="shared" si="3"/>
        <v>6500</v>
      </c>
      <c r="I17" s="25">
        <f t="shared" si="4"/>
        <v>0</v>
      </c>
      <c r="J17" s="110">
        <f t="shared" si="5"/>
        <v>0</v>
      </c>
      <c r="K17" s="25">
        <f t="shared" si="6"/>
        <v>0</v>
      </c>
      <c r="L17" s="25">
        <f t="shared" si="0"/>
        <v>0</v>
      </c>
      <c r="M17" s="25">
        <f t="shared" si="7"/>
        <v>45.15</v>
      </c>
      <c r="N17" s="25">
        <f t="shared" si="8"/>
        <v>0</v>
      </c>
      <c r="O17" s="25">
        <f t="shared" si="9"/>
        <v>645.48500000000013</v>
      </c>
      <c r="P17" s="25">
        <f t="shared" si="10"/>
        <v>690.6350000000001</v>
      </c>
      <c r="Q17" s="25">
        <f t="shared" si="11"/>
        <v>5809.3649999999998</v>
      </c>
      <c r="R17" s="157">
        <f t="shared" si="12"/>
        <v>6454.85</v>
      </c>
      <c r="S17" s="157">
        <f t="shared" si="13"/>
        <v>0</v>
      </c>
      <c r="T17" s="157">
        <f>+'C&amp;A'!D17*0.02</f>
        <v>21.911999999999999</v>
      </c>
      <c r="U17" s="157">
        <f t="shared" si="14"/>
        <v>6476.7620000000006</v>
      </c>
      <c r="V17" s="157">
        <f t="shared" si="15"/>
        <v>1036.2819200000001</v>
      </c>
      <c r="W17" s="157">
        <f t="shared" si="16"/>
        <v>7513.043920000001</v>
      </c>
      <c r="X17" s="189">
        <f t="shared" si="17"/>
        <v>5809.3649999999998</v>
      </c>
      <c r="Y17" s="25">
        <f t="shared" si="18"/>
        <v>0</v>
      </c>
      <c r="Z17" s="110">
        <f>+Q17-'C&amp;A'!H17-SINDICATO!M17</f>
        <v>0</v>
      </c>
      <c r="AA17" s="111" t="s">
        <v>193</v>
      </c>
      <c r="AB17" s="111" t="s">
        <v>292</v>
      </c>
      <c r="AC17" s="112" t="s">
        <v>29</v>
      </c>
      <c r="AD17" s="111" t="s">
        <v>205</v>
      </c>
      <c r="AE17" s="111"/>
      <c r="AF17" s="111"/>
      <c r="AG17" s="113">
        <v>1237.2399999999998</v>
      </c>
      <c r="AH17" s="111">
        <v>5262.76</v>
      </c>
      <c r="AI17" s="113">
        <v>6500</v>
      </c>
      <c r="AJ17" s="113"/>
      <c r="AK17" s="113">
        <f t="shared" si="19"/>
        <v>0</v>
      </c>
      <c r="AL17" s="113"/>
      <c r="AM17" s="113"/>
      <c r="AN17" s="114">
        <v>45.15</v>
      </c>
      <c r="AO17" s="100">
        <f t="shared" si="20"/>
        <v>6454.85</v>
      </c>
      <c r="AP17" s="113"/>
      <c r="AQ17" s="85"/>
      <c r="AR17" s="85"/>
      <c r="AS17" s="85"/>
      <c r="AT17" s="115"/>
      <c r="AU17" s="115">
        <v>0</v>
      </c>
      <c r="AV17" s="100">
        <v>6454.85</v>
      </c>
      <c r="AW17" s="85">
        <v>645.48500000000013</v>
      </c>
      <c r="AX17" s="100">
        <f t="shared" si="21"/>
        <v>5809.3649999999998</v>
      </c>
      <c r="AY17" s="85">
        <v>0</v>
      </c>
      <c r="AZ17" s="85">
        <v>24.744799999999998</v>
      </c>
      <c r="BA17" s="100">
        <v>6479.5948000000008</v>
      </c>
      <c r="BB17" s="138">
        <v>1237.2</v>
      </c>
      <c r="BC17" s="138">
        <v>4695.3999999999996</v>
      </c>
      <c r="BD17" s="139">
        <v>123.23499999999967</v>
      </c>
      <c r="BE17" s="87"/>
      <c r="BF17" s="87"/>
      <c r="BG17" s="87"/>
      <c r="BH17" s="87"/>
      <c r="BI17" s="87"/>
      <c r="BJ17" s="87"/>
    </row>
    <row r="18" spans="1:62" s="24" customFormat="1" x14ac:dyDescent="0.25">
      <c r="A18" s="23" t="s">
        <v>33</v>
      </c>
      <c r="B18" s="24" t="s">
        <v>34</v>
      </c>
      <c r="C18" s="25">
        <f t="shared" si="1"/>
        <v>1400</v>
      </c>
      <c r="D18" s="25">
        <v>160.37636329558455</v>
      </c>
      <c r="E18" s="25">
        <f t="shared" si="2"/>
        <v>1200</v>
      </c>
      <c r="F18" s="25"/>
      <c r="G18" s="25"/>
      <c r="H18" s="25">
        <f t="shared" si="3"/>
        <v>2760.3763632955843</v>
      </c>
      <c r="I18" s="25">
        <f t="shared" si="4"/>
        <v>0</v>
      </c>
      <c r="J18" s="110">
        <f t="shared" si="5"/>
        <v>0</v>
      </c>
      <c r="K18" s="25">
        <f t="shared" si="6"/>
        <v>0</v>
      </c>
      <c r="L18" s="25">
        <f t="shared" si="0"/>
        <v>0</v>
      </c>
      <c r="M18" s="25">
        <f t="shared" si="7"/>
        <v>45.15</v>
      </c>
      <c r="N18" s="25">
        <f t="shared" si="8"/>
        <v>0</v>
      </c>
      <c r="O18" s="25">
        <f t="shared" si="9"/>
        <v>0</v>
      </c>
      <c r="P18" s="25">
        <f t="shared" si="10"/>
        <v>45.15</v>
      </c>
      <c r="Q18" s="25">
        <f t="shared" si="11"/>
        <v>2715.2263632955842</v>
      </c>
      <c r="R18" s="157">
        <f t="shared" si="12"/>
        <v>2715.2263632955842</v>
      </c>
      <c r="S18" s="157">
        <f t="shared" si="13"/>
        <v>275.55799999999999</v>
      </c>
      <c r="T18" s="157">
        <f>+'C&amp;A'!D18*0.02</f>
        <v>21.911999999999999</v>
      </c>
      <c r="U18" s="157">
        <f t="shared" si="14"/>
        <v>3012.696363295584</v>
      </c>
      <c r="V18" s="157">
        <f t="shared" si="15"/>
        <v>482.03141812729342</v>
      </c>
      <c r="W18" s="157">
        <f t="shared" si="16"/>
        <v>3494.7277814228773</v>
      </c>
      <c r="X18" s="189">
        <f t="shared" si="17"/>
        <v>2715.2263632955846</v>
      </c>
      <c r="Y18" s="25">
        <f t="shared" si="18"/>
        <v>0</v>
      </c>
      <c r="Z18" s="110">
        <f>+Q18-'C&amp;A'!H18-SINDICATO!M18</f>
        <v>0</v>
      </c>
      <c r="AA18" s="111" t="s">
        <v>191</v>
      </c>
      <c r="AB18" s="111" t="s">
        <v>206</v>
      </c>
      <c r="AC18" s="112" t="s">
        <v>33</v>
      </c>
      <c r="AD18" s="111" t="s">
        <v>207</v>
      </c>
      <c r="AE18" s="111" t="s">
        <v>195</v>
      </c>
      <c r="AF18" s="111"/>
      <c r="AG18" s="113">
        <v>1237.2399999999998</v>
      </c>
      <c r="AH18" s="111">
        <v>162.76000000000022</v>
      </c>
      <c r="AI18" s="113">
        <v>1400</v>
      </c>
      <c r="AJ18" s="113">
        <v>1200</v>
      </c>
      <c r="AK18" s="113">
        <f t="shared" si="19"/>
        <v>160.37636329558455</v>
      </c>
      <c r="AL18" s="113"/>
      <c r="AM18" s="113"/>
      <c r="AN18" s="114">
        <v>45.15</v>
      </c>
      <c r="AO18" s="100">
        <f t="shared" si="20"/>
        <v>2715.2263632955846</v>
      </c>
      <c r="AP18" s="113"/>
      <c r="AQ18" s="85"/>
      <c r="AR18" s="85"/>
      <c r="AS18" s="85"/>
      <c r="AT18" s="115"/>
      <c r="AU18" s="115">
        <v>0</v>
      </c>
      <c r="AV18" s="100">
        <v>2755.58</v>
      </c>
      <c r="AW18" s="85">
        <v>0</v>
      </c>
      <c r="AX18" s="100">
        <f t="shared" si="21"/>
        <v>2715.2263632955846</v>
      </c>
      <c r="AY18" s="85">
        <v>275.55799999999999</v>
      </c>
      <c r="AZ18" s="85">
        <v>24.744799999999998</v>
      </c>
      <c r="BA18" s="100">
        <v>3055.8827999999999</v>
      </c>
      <c r="BB18" s="138">
        <v>1237.2</v>
      </c>
      <c r="BC18" s="138">
        <v>363.73</v>
      </c>
      <c r="BD18" s="139">
        <v>-1154.6499999999999</v>
      </c>
      <c r="BE18" s="87"/>
      <c r="BF18" s="87"/>
      <c r="BG18" s="87"/>
      <c r="BH18" s="87"/>
      <c r="BI18" s="87"/>
      <c r="BJ18" s="87"/>
    </row>
    <row r="19" spans="1:62" s="24" customFormat="1" x14ac:dyDescent="0.25">
      <c r="A19" s="23" t="s">
        <v>35</v>
      </c>
      <c r="B19" s="24" t="s">
        <v>36</v>
      </c>
      <c r="C19" s="25">
        <f t="shared" si="1"/>
        <v>1400</v>
      </c>
      <c r="D19" s="25">
        <v>160.37636329558455</v>
      </c>
      <c r="E19" s="25">
        <f t="shared" si="2"/>
        <v>1200</v>
      </c>
      <c r="F19" s="25"/>
      <c r="G19" s="25"/>
      <c r="H19" s="25">
        <f t="shared" si="3"/>
        <v>2760.3763632955843</v>
      </c>
      <c r="I19" s="25">
        <f t="shared" si="4"/>
        <v>0</v>
      </c>
      <c r="J19" s="110">
        <f t="shared" si="5"/>
        <v>0</v>
      </c>
      <c r="K19" s="25">
        <f t="shared" si="6"/>
        <v>0</v>
      </c>
      <c r="L19" s="25">
        <f t="shared" si="0"/>
        <v>0</v>
      </c>
      <c r="M19" s="25">
        <f t="shared" si="7"/>
        <v>45.15</v>
      </c>
      <c r="N19" s="25">
        <f t="shared" si="8"/>
        <v>0</v>
      </c>
      <c r="O19" s="25">
        <f t="shared" si="9"/>
        <v>0</v>
      </c>
      <c r="P19" s="25">
        <f t="shared" si="10"/>
        <v>45.15</v>
      </c>
      <c r="Q19" s="25">
        <f t="shared" si="11"/>
        <v>2715.2263632955842</v>
      </c>
      <c r="R19" s="157">
        <f t="shared" si="12"/>
        <v>2715.2263632955842</v>
      </c>
      <c r="S19" s="157">
        <f t="shared" si="13"/>
        <v>275.55799999999999</v>
      </c>
      <c r="T19" s="157">
        <f>+'C&amp;A'!D19*0.02</f>
        <v>21.911999999999999</v>
      </c>
      <c r="U19" s="157">
        <f t="shared" si="14"/>
        <v>3012.696363295584</v>
      </c>
      <c r="V19" s="157">
        <f t="shared" si="15"/>
        <v>482.03141812729342</v>
      </c>
      <c r="W19" s="157">
        <f t="shared" si="16"/>
        <v>3494.7277814228773</v>
      </c>
      <c r="X19" s="189">
        <f t="shared" si="17"/>
        <v>2715.2263632955846</v>
      </c>
      <c r="Y19" s="25">
        <f t="shared" si="18"/>
        <v>0</v>
      </c>
      <c r="Z19" s="110">
        <f>+Q19-'C&amp;A'!H19-SINDICATO!M19</f>
        <v>0</v>
      </c>
      <c r="AA19" s="111" t="s">
        <v>193</v>
      </c>
      <c r="AB19" s="111" t="s">
        <v>208</v>
      </c>
      <c r="AC19" s="112" t="s">
        <v>35</v>
      </c>
      <c r="AD19" s="111" t="s">
        <v>207</v>
      </c>
      <c r="AE19" s="111"/>
      <c r="AF19" s="111"/>
      <c r="AG19" s="113">
        <v>1237.2399999999998</v>
      </c>
      <c r="AH19" s="111">
        <v>162.76000000000022</v>
      </c>
      <c r="AI19" s="113">
        <v>1400</v>
      </c>
      <c r="AJ19" s="113">
        <v>1200</v>
      </c>
      <c r="AK19" s="113">
        <f t="shared" si="19"/>
        <v>160.37636329558455</v>
      </c>
      <c r="AL19" s="113"/>
      <c r="AM19" s="113"/>
      <c r="AN19" s="114">
        <v>45.15</v>
      </c>
      <c r="AO19" s="100">
        <f t="shared" si="20"/>
        <v>2715.2263632955846</v>
      </c>
      <c r="AP19" s="113"/>
      <c r="AQ19" s="85"/>
      <c r="AR19" s="85"/>
      <c r="AS19" s="85"/>
      <c r="AT19" s="115"/>
      <c r="AU19" s="115">
        <v>0</v>
      </c>
      <c r="AV19" s="100">
        <v>2755.58</v>
      </c>
      <c r="AW19" s="85">
        <v>0</v>
      </c>
      <c r="AX19" s="100">
        <f t="shared" si="21"/>
        <v>2715.2263632955846</v>
      </c>
      <c r="AY19" s="85">
        <v>275.55799999999999</v>
      </c>
      <c r="AZ19" s="85">
        <v>24.744799999999998</v>
      </c>
      <c r="BA19" s="100">
        <v>3055.8827999999999</v>
      </c>
      <c r="BB19" s="138">
        <v>1237.2</v>
      </c>
      <c r="BC19" s="138">
        <v>363.53</v>
      </c>
      <c r="BD19" s="139">
        <v>-1154.8499999999999</v>
      </c>
      <c r="BE19" s="87"/>
      <c r="BF19" s="87"/>
      <c r="BG19" s="87"/>
      <c r="BH19" s="87"/>
      <c r="BI19" s="87"/>
      <c r="BJ19" s="87"/>
    </row>
    <row r="20" spans="1:62" s="24" customFormat="1" x14ac:dyDescent="0.25">
      <c r="A20" s="23" t="s">
        <v>37</v>
      </c>
      <c r="B20" s="24" t="s">
        <v>38</v>
      </c>
      <c r="C20" s="25">
        <f t="shared" si="1"/>
        <v>2500</v>
      </c>
      <c r="D20" s="25">
        <v>125.12056780965156</v>
      </c>
      <c r="E20" s="25">
        <f t="shared" si="2"/>
        <v>1000</v>
      </c>
      <c r="F20" s="25"/>
      <c r="G20" s="25"/>
      <c r="H20" s="25">
        <f t="shared" si="3"/>
        <v>3625.1205678096517</v>
      </c>
      <c r="I20" s="25">
        <f t="shared" si="4"/>
        <v>0</v>
      </c>
      <c r="J20" s="110">
        <f t="shared" si="5"/>
        <v>0</v>
      </c>
      <c r="K20" s="25">
        <f t="shared" si="6"/>
        <v>0</v>
      </c>
      <c r="L20" s="25">
        <f t="shared" si="0"/>
        <v>0</v>
      </c>
      <c r="M20" s="25">
        <f t="shared" si="7"/>
        <v>45.15</v>
      </c>
      <c r="N20" s="25">
        <f t="shared" si="8"/>
        <v>1551.8</v>
      </c>
      <c r="O20" s="25">
        <f t="shared" si="9"/>
        <v>0</v>
      </c>
      <c r="P20" s="25">
        <f t="shared" si="10"/>
        <v>1596.95</v>
      </c>
      <c r="Q20" s="25">
        <f t="shared" si="11"/>
        <v>2028.1705678096516</v>
      </c>
      <c r="R20" s="157">
        <f t="shared" si="12"/>
        <v>3579.9705678096516</v>
      </c>
      <c r="S20" s="157">
        <f t="shared" si="13"/>
        <v>361.52300000000002</v>
      </c>
      <c r="T20" s="157">
        <f>+'C&amp;A'!D20*0.02</f>
        <v>21.911999999999999</v>
      </c>
      <c r="U20" s="157">
        <f t="shared" si="14"/>
        <v>3963.4055678096515</v>
      </c>
      <c r="V20" s="157">
        <f t="shared" si="15"/>
        <v>634.14489084954425</v>
      </c>
      <c r="W20" s="157">
        <f t="shared" si="16"/>
        <v>4597.550458659196</v>
      </c>
      <c r="X20" s="189">
        <f t="shared" si="17"/>
        <v>2028.1705678096516</v>
      </c>
      <c r="Y20" s="25">
        <f t="shared" si="18"/>
        <v>0</v>
      </c>
      <c r="Z20" s="110">
        <f>+Q20-'C&amp;A'!H20-SINDICATO!M20</f>
        <v>0</v>
      </c>
      <c r="AA20" s="111" t="s">
        <v>193</v>
      </c>
      <c r="AB20" s="111" t="s">
        <v>129</v>
      </c>
      <c r="AC20" s="112" t="s">
        <v>37</v>
      </c>
      <c r="AD20" s="111" t="s">
        <v>209</v>
      </c>
      <c r="AE20" s="111" t="s">
        <v>195</v>
      </c>
      <c r="AF20" s="111"/>
      <c r="AG20" s="113">
        <v>1237.2399999999998</v>
      </c>
      <c r="AH20" s="111">
        <v>1262.7600000000002</v>
      </c>
      <c r="AI20" s="113">
        <v>2500</v>
      </c>
      <c r="AJ20" s="113">
        <v>1000</v>
      </c>
      <c r="AK20" s="113">
        <f t="shared" si="19"/>
        <v>125.12056780965156</v>
      </c>
      <c r="AL20" s="113"/>
      <c r="AM20" s="113"/>
      <c r="AN20" s="114">
        <v>45.15</v>
      </c>
      <c r="AO20" s="100">
        <f t="shared" si="20"/>
        <v>3579.9705678096516</v>
      </c>
      <c r="AP20" s="113"/>
      <c r="AQ20" s="85"/>
      <c r="AR20" s="85"/>
      <c r="AS20" s="85"/>
      <c r="AT20" s="115"/>
      <c r="AU20" s="115">
        <v>1551.8</v>
      </c>
      <c r="AV20" s="100">
        <v>2063.4300000000003</v>
      </c>
      <c r="AW20" s="85">
        <v>0</v>
      </c>
      <c r="AX20" s="100">
        <f t="shared" si="21"/>
        <v>2028.1705678096516</v>
      </c>
      <c r="AY20" s="85">
        <v>361.52300000000002</v>
      </c>
      <c r="AZ20" s="85">
        <v>24.744799999999998</v>
      </c>
      <c r="BA20" s="100">
        <v>4001.4978000000001</v>
      </c>
      <c r="BB20" s="138">
        <v>1237.2</v>
      </c>
      <c r="BC20" s="138">
        <v>1532.84</v>
      </c>
      <c r="BD20" s="139">
        <v>706.60999999999967</v>
      </c>
      <c r="BE20" s="76"/>
      <c r="BF20" s="87"/>
      <c r="BG20" s="87"/>
      <c r="BH20" s="87"/>
      <c r="BI20" s="87"/>
      <c r="BJ20" s="87"/>
    </row>
    <row r="21" spans="1:62" s="24" customFormat="1" x14ac:dyDescent="0.25">
      <c r="A21" s="23" t="s">
        <v>39</v>
      </c>
      <c r="B21" s="24" t="s">
        <v>40</v>
      </c>
      <c r="C21" s="25">
        <f t="shared" si="1"/>
        <v>2750</v>
      </c>
      <c r="D21" s="25">
        <v>0</v>
      </c>
      <c r="E21" s="25">
        <f t="shared" si="2"/>
        <v>2250</v>
      </c>
      <c r="F21" s="25"/>
      <c r="G21" s="25"/>
      <c r="H21" s="25">
        <f t="shared" si="3"/>
        <v>5000</v>
      </c>
      <c r="I21" s="25">
        <f t="shared" si="4"/>
        <v>183.33</v>
      </c>
      <c r="J21" s="110">
        <f t="shared" si="5"/>
        <v>0</v>
      </c>
      <c r="K21" s="25">
        <f t="shared" si="6"/>
        <v>0</v>
      </c>
      <c r="L21" s="25">
        <f t="shared" si="0"/>
        <v>0</v>
      </c>
      <c r="M21" s="25">
        <f t="shared" si="7"/>
        <v>45.15</v>
      </c>
      <c r="N21" s="25">
        <f t="shared" si="8"/>
        <v>0</v>
      </c>
      <c r="O21" s="25">
        <f t="shared" si="9"/>
        <v>510.02200000000005</v>
      </c>
      <c r="P21" s="25">
        <f t="shared" si="10"/>
        <v>738.50200000000007</v>
      </c>
      <c r="Q21" s="25">
        <f t="shared" si="11"/>
        <v>4261.4979999999996</v>
      </c>
      <c r="R21" s="157">
        <f t="shared" si="12"/>
        <v>4954.8500000000004</v>
      </c>
      <c r="S21" s="157">
        <f t="shared" si="13"/>
        <v>0</v>
      </c>
      <c r="T21" s="157">
        <f>+'C&amp;A'!D21*0.02</f>
        <v>21.911999999999999</v>
      </c>
      <c r="U21" s="157">
        <f t="shared" si="14"/>
        <v>4976.7620000000006</v>
      </c>
      <c r="V21" s="157">
        <f t="shared" si="15"/>
        <v>796.28192000000013</v>
      </c>
      <c r="W21" s="157">
        <f t="shared" si="16"/>
        <v>5773.043920000001</v>
      </c>
      <c r="X21" s="189">
        <f t="shared" si="17"/>
        <v>4261.4980000000005</v>
      </c>
      <c r="Y21" s="25">
        <f t="shared" si="18"/>
        <v>0</v>
      </c>
      <c r="Z21" s="110">
        <f>+Q21-'C&amp;A'!H21-SINDICATO!M21</f>
        <v>0</v>
      </c>
      <c r="AA21" s="111" t="s">
        <v>193</v>
      </c>
      <c r="AB21" s="111" t="s">
        <v>210</v>
      </c>
      <c r="AC21" s="112" t="s">
        <v>39</v>
      </c>
      <c r="AD21" s="111" t="s">
        <v>211</v>
      </c>
      <c r="AE21" s="111"/>
      <c r="AF21" s="111"/>
      <c r="AG21" s="113">
        <v>1237.2399999999998</v>
      </c>
      <c r="AH21" s="111">
        <v>1512.7600000000002</v>
      </c>
      <c r="AI21" s="113">
        <v>2750</v>
      </c>
      <c r="AJ21" s="113">
        <v>2250</v>
      </c>
      <c r="AK21" s="113">
        <f t="shared" si="19"/>
        <v>0</v>
      </c>
      <c r="AL21" s="113"/>
      <c r="AM21" s="113"/>
      <c r="AN21" s="114">
        <v>45.15</v>
      </c>
      <c r="AO21" s="100">
        <f t="shared" si="20"/>
        <v>4954.8500000000004</v>
      </c>
      <c r="AP21" s="113">
        <v>183.33</v>
      </c>
      <c r="AQ21" s="85"/>
      <c r="AR21" s="85"/>
      <c r="AS21" s="85"/>
      <c r="AT21" s="115"/>
      <c r="AU21" s="115">
        <v>0</v>
      </c>
      <c r="AV21" s="100">
        <v>4916.8900000000003</v>
      </c>
      <c r="AW21" s="85">
        <v>510.02200000000005</v>
      </c>
      <c r="AX21" s="100">
        <f>+AO21-AP21-AQ21-AR21-AS21-AT21-AU21-AW21</f>
        <v>4261.4980000000005</v>
      </c>
      <c r="AY21" s="85">
        <v>0</v>
      </c>
      <c r="AZ21" s="85">
        <v>24.744799999999998</v>
      </c>
      <c r="BA21" s="100">
        <v>5124.9648000000007</v>
      </c>
      <c r="BB21" s="138">
        <v>1237.2</v>
      </c>
      <c r="BC21" s="138">
        <v>1474.84</v>
      </c>
      <c r="BD21" s="139">
        <v>-1694.8280000000004</v>
      </c>
      <c r="BE21" s="116"/>
      <c r="BF21" s="87"/>
      <c r="BG21" s="87"/>
      <c r="BH21" s="87"/>
      <c r="BI21" s="87"/>
      <c r="BJ21" s="87"/>
    </row>
    <row r="22" spans="1:62" s="24" customFormat="1" x14ac:dyDescent="0.25">
      <c r="A22" s="23" t="s">
        <v>41</v>
      </c>
      <c r="B22" s="24" t="s">
        <v>42</v>
      </c>
      <c r="C22" s="25">
        <f t="shared" si="1"/>
        <v>2500</v>
      </c>
      <c r="D22" s="25">
        <v>0</v>
      </c>
      <c r="E22" s="25">
        <f t="shared" si="2"/>
        <v>3000</v>
      </c>
      <c r="F22" s="25"/>
      <c r="G22" s="25"/>
      <c r="H22" s="25">
        <f t="shared" si="3"/>
        <v>5500</v>
      </c>
      <c r="I22" s="25">
        <f t="shared" si="4"/>
        <v>0</v>
      </c>
      <c r="J22" s="110">
        <f t="shared" si="5"/>
        <v>0</v>
      </c>
      <c r="K22" s="25">
        <f t="shared" si="6"/>
        <v>0</v>
      </c>
      <c r="L22" s="25">
        <f t="shared" si="0"/>
        <v>0</v>
      </c>
      <c r="M22" s="25">
        <f t="shared" si="7"/>
        <v>45.15</v>
      </c>
      <c r="N22" s="25">
        <f t="shared" si="8"/>
        <v>0</v>
      </c>
      <c r="O22" s="25">
        <f t="shared" si="9"/>
        <v>561.52300000000002</v>
      </c>
      <c r="P22" s="25">
        <f t="shared" si="10"/>
        <v>606.673</v>
      </c>
      <c r="Q22" s="25">
        <f t="shared" si="11"/>
        <v>4893.3270000000002</v>
      </c>
      <c r="R22" s="157">
        <f t="shared" si="12"/>
        <v>5454.85</v>
      </c>
      <c r="S22" s="157">
        <f t="shared" si="13"/>
        <v>0</v>
      </c>
      <c r="T22" s="157">
        <f>+'C&amp;A'!D22*0.02</f>
        <v>21.911999999999999</v>
      </c>
      <c r="U22" s="157">
        <f t="shared" si="14"/>
        <v>5476.7620000000006</v>
      </c>
      <c r="V22" s="157">
        <f t="shared" si="15"/>
        <v>876.28192000000013</v>
      </c>
      <c r="W22" s="157">
        <f t="shared" si="16"/>
        <v>6353.043920000001</v>
      </c>
      <c r="X22" s="189">
        <f t="shared" si="17"/>
        <v>4893.3270000000002</v>
      </c>
      <c r="Y22" s="25">
        <f t="shared" si="18"/>
        <v>0</v>
      </c>
      <c r="Z22" s="110">
        <f>+Q22-'C&amp;A'!H22-SINDICATO!M22</f>
        <v>0</v>
      </c>
      <c r="AA22" s="111" t="s">
        <v>193</v>
      </c>
      <c r="AB22" s="111" t="s">
        <v>212</v>
      </c>
      <c r="AC22" s="112" t="s">
        <v>41</v>
      </c>
      <c r="AD22" s="111" t="s">
        <v>204</v>
      </c>
      <c r="AE22" s="111" t="s">
        <v>195</v>
      </c>
      <c r="AF22" s="111"/>
      <c r="AG22" s="113">
        <v>1237.2399999999998</v>
      </c>
      <c r="AH22" s="111">
        <v>1262.7600000000002</v>
      </c>
      <c r="AI22" s="113">
        <v>2500</v>
      </c>
      <c r="AJ22" s="113">
        <v>3000</v>
      </c>
      <c r="AK22" s="113">
        <f t="shared" si="19"/>
        <v>0</v>
      </c>
      <c r="AL22" s="117"/>
      <c r="AM22" s="113"/>
      <c r="AN22" s="114">
        <v>45.15</v>
      </c>
      <c r="AO22" s="100">
        <f t="shared" si="20"/>
        <v>5454.85</v>
      </c>
      <c r="AP22" s="113"/>
      <c r="AQ22" s="85"/>
      <c r="AR22" s="85"/>
      <c r="AS22" s="85"/>
      <c r="AT22" s="115"/>
      <c r="AU22" s="115">
        <v>0</v>
      </c>
      <c r="AV22" s="100">
        <v>5615.2300000000005</v>
      </c>
      <c r="AW22" s="85">
        <v>561.52300000000002</v>
      </c>
      <c r="AX22" s="100">
        <f t="shared" si="21"/>
        <v>4893.3270000000002</v>
      </c>
      <c r="AY22" s="85">
        <v>0</v>
      </c>
      <c r="AZ22" s="85">
        <v>24.744799999999998</v>
      </c>
      <c r="BA22" s="100">
        <v>5639.9748000000009</v>
      </c>
      <c r="BB22" s="138">
        <v>1237.2</v>
      </c>
      <c r="BC22" s="138">
        <v>1245.27</v>
      </c>
      <c r="BD22" s="174">
        <v>-2571.2370000000001</v>
      </c>
      <c r="BE22" s="87"/>
      <c r="BF22" s="87"/>
      <c r="BG22" s="87"/>
      <c r="BH22" s="87"/>
      <c r="BI22" s="87"/>
      <c r="BJ22" s="87"/>
    </row>
    <row r="23" spans="1:62" s="24" customFormat="1" x14ac:dyDescent="0.25">
      <c r="A23" s="23"/>
      <c r="B23" s="111" t="s">
        <v>293</v>
      </c>
      <c r="C23" s="25">
        <f t="shared" si="1"/>
        <v>1200</v>
      </c>
      <c r="D23" s="25">
        <v>145.37389713135775</v>
      </c>
      <c r="E23" s="25">
        <f t="shared" si="2"/>
        <v>1800</v>
      </c>
      <c r="F23" s="25"/>
      <c r="G23" s="25"/>
      <c r="H23" s="25">
        <f t="shared" si="3"/>
        <v>3145.3738971313578</v>
      </c>
      <c r="I23" s="25">
        <f t="shared" si="4"/>
        <v>0</v>
      </c>
      <c r="J23" s="110">
        <f t="shared" si="5"/>
        <v>0</v>
      </c>
      <c r="K23" s="25">
        <f t="shared" si="6"/>
        <v>0</v>
      </c>
      <c r="L23" s="25">
        <f t="shared" si="0"/>
        <v>0</v>
      </c>
      <c r="M23" s="25">
        <f t="shared" si="7"/>
        <v>45.15</v>
      </c>
      <c r="N23" s="25">
        <f t="shared" si="8"/>
        <v>0</v>
      </c>
      <c r="O23" s="25">
        <f t="shared" si="9"/>
        <v>0</v>
      </c>
      <c r="P23" s="25">
        <f t="shared" si="10"/>
        <v>45.15</v>
      </c>
      <c r="Q23" s="25">
        <f t="shared" si="11"/>
        <v>3100.2238971313577</v>
      </c>
      <c r="R23" s="157">
        <f t="shared" si="12"/>
        <v>3100.2238971313577</v>
      </c>
      <c r="S23" s="157">
        <f t="shared" si="13"/>
        <v>295.48500000000001</v>
      </c>
      <c r="T23" s="157">
        <f>+'C&amp;A'!D23*0.02</f>
        <v>21.911999999999999</v>
      </c>
      <c r="U23" s="157">
        <f t="shared" si="14"/>
        <v>3417.6208971313577</v>
      </c>
      <c r="V23" s="157">
        <f t="shared" si="15"/>
        <v>546.81934354101725</v>
      </c>
      <c r="W23" s="157">
        <f t="shared" si="16"/>
        <v>3964.4402406723748</v>
      </c>
      <c r="X23" s="189">
        <f t="shared" si="17"/>
        <v>3100.2238971313577</v>
      </c>
      <c r="Y23" s="25">
        <f t="shared" si="18"/>
        <v>0</v>
      </c>
      <c r="Z23" s="110">
        <f>+Q23-'C&amp;A'!H23-SINDICATO!M23</f>
        <v>0</v>
      </c>
      <c r="AA23" s="111" t="s">
        <v>191</v>
      </c>
      <c r="AB23" s="111" t="s">
        <v>293</v>
      </c>
      <c r="AC23" s="112"/>
      <c r="AD23" s="111" t="s">
        <v>123</v>
      </c>
      <c r="AE23" s="111"/>
      <c r="AF23" s="111"/>
      <c r="AG23" s="113">
        <v>1237.24</v>
      </c>
      <c r="AH23" s="111">
        <v>-37.24</v>
      </c>
      <c r="AI23" s="113">
        <v>1200</v>
      </c>
      <c r="AJ23" s="113">
        <v>1800</v>
      </c>
      <c r="AK23" s="113">
        <f t="shared" si="19"/>
        <v>145.37389713135775</v>
      </c>
      <c r="AL23" s="117"/>
      <c r="AM23" s="113"/>
      <c r="AN23" s="114">
        <v>45.15</v>
      </c>
      <c r="AO23" s="100">
        <f t="shared" si="20"/>
        <v>3100.2238971313577</v>
      </c>
      <c r="AP23" s="113"/>
      <c r="AQ23" s="85"/>
      <c r="AR23" s="85"/>
      <c r="AS23" s="85"/>
      <c r="AT23" s="115"/>
      <c r="AU23" s="115"/>
      <c r="AV23" s="100">
        <v>2954.85</v>
      </c>
      <c r="AW23" s="85">
        <v>0</v>
      </c>
      <c r="AX23" s="100">
        <f t="shared" si="21"/>
        <v>3100.2238971313577</v>
      </c>
      <c r="AY23" s="85">
        <v>295.48500000000001</v>
      </c>
      <c r="AZ23" s="85">
        <v>24.744800000000001</v>
      </c>
      <c r="BA23" s="100">
        <v>3275.0798</v>
      </c>
      <c r="BB23" s="138"/>
      <c r="BC23" s="138"/>
      <c r="BD23" s="174"/>
      <c r="BE23" s="87"/>
      <c r="BF23" s="87"/>
      <c r="BG23" s="87"/>
      <c r="BH23" s="87"/>
      <c r="BI23" s="87"/>
      <c r="BJ23" s="87"/>
    </row>
    <row r="24" spans="1:62" s="24" customFormat="1" x14ac:dyDescent="0.25">
      <c r="A24" s="23" t="s">
        <v>43</v>
      </c>
      <c r="B24" s="24" t="s">
        <v>44</v>
      </c>
      <c r="C24" s="25">
        <f t="shared" si="1"/>
        <v>7500</v>
      </c>
      <c r="D24" s="25">
        <v>0</v>
      </c>
      <c r="E24" s="25">
        <f t="shared" si="2"/>
        <v>97564.68</v>
      </c>
      <c r="F24" s="25"/>
      <c r="G24" s="25"/>
      <c r="H24" s="25">
        <f t="shared" si="3"/>
        <v>105064.68</v>
      </c>
      <c r="I24" s="25">
        <f t="shared" si="4"/>
        <v>0</v>
      </c>
      <c r="J24" s="110">
        <f t="shared" si="5"/>
        <v>0</v>
      </c>
      <c r="K24" s="25">
        <f t="shared" si="6"/>
        <v>0</v>
      </c>
      <c r="L24" s="25">
        <f t="shared" si="0"/>
        <v>0</v>
      </c>
      <c r="M24" s="25">
        <f t="shared" si="7"/>
        <v>45.15</v>
      </c>
      <c r="N24" s="25">
        <f t="shared" si="8"/>
        <v>0</v>
      </c>
      <c r="O24" s="25">
        <f t="shared" si="9"/>
        <v>10501.953000000001</v>
      </c>
      <c r="P24" s="25">
        <f t="shared" si="10"/>
        <v>10547.103000000001</v>
      </c>
      <c r="Q24" s="25">
        <f t="shared" si="11"/>
        <v>94517.57699999999</v>
      </c>
      <c r="R24" s="157">
        <f t="shared" si="12"/>
        <v>105019.53</v>
      </c>
      <c r="S24" s="157">
        <f t="shared" si="13"/>
        <v>0</v>
      </c>
      <c r="T24" s="157">
        <f>+'C&amp;A'!D24*0.02</f>
        <v>21.911999999999999</v>
      </c>
      <c r="U24" s="157">
        <f t="shared" si="14"/>
        <v>105041.442</v>
      </c>
      <c r="V24" s="157">
        <f t="shared" si="15"/>
        <v>16806.630720000001</v>
      </c>
      <c r="W24" s="157">
        <f t="shared" si="16"/>
        <v>121848.07272</v>
      </c>
      <c r="X24" s="189">
        <f t="shared" si="17"/>
        <v>94517.57699999999</v>
      </c>
      <c r="Y24" s="25">
        <f t="shared" si="18"/>
        <v>0</v>
      </c>
      <c r="Z24" s="110">
        <f>+Q24-'C&amp;A'!H24-SINDICATO!M24</f>
        <v>0</v>
      </c>
      <c r="AA24" s="111" t="s">
        <v>201</v>
      </c>
      <c r="AB24" s="111" t="s">
        <v>213</v>
      </c>
      <c r="AC24" s="111" t="s">
        <v>43</v>
      </c>
      <c r="AD24" s="111" t="s">
        <v>214</v>
      </c>
      <c r="AE24" s="111"/>
      <c r="AF24" s="111"/>
      <c r="AG24" s="113">
        <v>1237.2399999999998</v>
      </c>
      <c r="AH24" s="111">
        <v>6262.76</v>
      </c>
      <c r="AI24" s="113">
        <v>7500</v>
      </c>
      <c r="AJ24" s="113">
        <v>97564.68</v>
      </c>
      <c r="AK24" s="113">
        <f t="shared" si="19"/>
        <v>0</v>
      </c>
      <c r="AL24" s="113"/>
      <c r="AM24" s="113"/>
      <c r="AN24" s="114">
        <v>45.15</v>
      </c>
      <c r="AO24" s="100">
        <f t="shared" si="20"/>
        <v>105019.53</v>
      </c>
      <c r="AP24" s="113"/>
      <c r="AQ24" s="85"/>
      <c r="AR24" s="85"/>
      <c r="AS24" s="85"/>
      <c r="AT24" s="115"/>
      <c r="AU24" s="115">
        <v>0</v>
      </c>
      <c r="AV24" s="100">
        <v>105019.53</v>
      </c>
      <c r="AW24" s="85">
        <v>10501.953000000001</v>
      </c>
      <c r="AX24" s="100">
        <f t="shared" si="21"/>
        <v>94517.57699999999</v>
      </c>
      <c r="AY24" s="85">
        <v>0</v>
      </c>
      <c r="AZ24" s="85">
        <v>24.744799999999998</v>
      </c>
      <c r="BA24" s="100">
        <v>105044.2748</v>
      </c>
      <c r="BB24" s="138">
        <v>1237.2</v>
      </c>
      <c r="BC24" s="138">
        <v>5512.8</v>
      </c>
      <c r="BD24" s="139">
        <v>-87767.57699999999</v>
      </c>
      <c r="BE24" s="87"/>
      <c r="BF24" s="87"/>
      <c r="BG24" s="87"/>
      <c r="BH24" s="87"/>
      <c r="BI24" s="87"/>
      <c r="BJ24" s="87"/>
    </row>
    <row r="25" spans="1:62" s="24" customFormat="1" x14ac:dyDescent="0.25">
      <c r="A25" s="23" t="s">
        <v>45</v>
      </c>
      <c r="B25" s="24" t="s">
        <v>46</v>
      </c>
      <c r="C25" s="25">
        <f t="shared" si="1"/>
        <v>1200</v>
      </c>
      <c r="D25" s="25">
        <v>107.41765773586395</v>
      </c>
      <c r="E25" s="25">
        <f t="shared" si="2"/>
        <v>2400.86</v>
      </c>
      <c r="F25" s="25"/>
      <c r="G25" s="25"/>
      <c r="H25" s="25">
        <f t="shared" si="3"/>
        <v>3708.2776577358641</v>
      </c>
      <c r="I25" s="25">
        <f t="shared" si="4"/>
        <v>0</v>
      </c>
      <c r="J25" s="110">
        <f t="shared" si="5"/>
        <v>0</v>
      </c>
      <c r="K25" s="25">
        <f t="shared" si="6"/>
        <v>0</v>
      </c>
      <c r="L25" s="25">
        <f t="shared" si="0"/>
        <v>0</v>
      </c>
      <c r="M25" s="25">
        <f t="shared" si="7"/>
        <v>45.15</v>
      </c>
      <c r="N25" s="25">
        <f t="shared" si="8"/>
        <v>0</v>
      </c>
      <c r="O25" s="25">
        <f t="shared" si="9"/>
        <v>0</v>
      </c>
      <c r="P25" s="25">
        <f t="shared" si="10"/>
        <v>45.15</v>
      </c>
      <c r="Q25" s="25">
        <f t="shared" si="11"/>
        <v>3663.127657735864</v>
      </c>
      <c r="R25" s="157">
        <f t="shared" si="12"/>
        <v>3663.127657735864</v>
      </c>
      <c r="S25" s="157">
        <f t="shared" si="13"/>
        <v>355.57100000000003</v>
      </c>
      <c r="T25" s="157">
        <f>+'C&amp;A'!D25*0.02</f>
        <v>21.911999999999999</v>
      </c>
      <c r="U25" s="157">
        <f t="shared" si="14"/>
        <v>4040.6106577358637</v>
      </c>
      <c r="V25" s="157">
        <f t="shared" si="15"/>
        <v>646.49770523773816</v>
      </c>
      <c r="W25" s="157">
        <f t="shared" si="16"/>
        <v>4687.1083629736022</v>
      </c>
      <c r="X25" s="189">
        <f t="shared" si="17"/>
        <v>3663.127657735864</v>
      </c>
      <c r="Y25" s="25">
        <f t="shared" si="18"/>
        <v>0</v>
      </c>
      <c r="Z25" s="110">
        <f>+Q25-'C&amp;A'!H25-SINDICATO!M25</f>
        <v>0</v>
      </c>
      <c r="AA25" s="111" t="s">
        <v>191</v>
      </c>
      <c r="AB25" s="111" t="s">
        <v>137</v>
      </c>
      <c r="AC25" s="112" t="s">
        <v>45</v>
      </c>
      <c r="AD25" s="111" t="s">
        <v>215</v>
      </c>
      <c r="AE25" s="111"/>
      <c r="AF25" s="111"/>
      <c r="AG25" s="113">
        <v>1237.2399999999998</v>
      </c>
      <c r="AH25" s="111">
        <v>-37.239999999999782</v>
      </c>
      <c r="AI25" s="113">
        <v>1200</v>
      </c>
      <c r="AJ25" s="113">
        <v>2400.86</v>
      </c>
      <c r="AK25" s="113">
        <f t="shared" si="19"/>
        <v>107.41765773586395</v>
      </c>
      <c r="AL25" s="113"/>
      <c r="AM25" s="113"/>
      <c r="AN25" s="114">
        <v>45.15</v>
      </c>
      <c r="AO25" s="100">
        <f t="shared" si="20"/>
        <v>3663.127657735864</v>
      </c>
      <c r="AP25" s="113"/>
      <c r="AQ25" s="85"/>
      <c r="AR25" s="85"/>
      <c r="AS25" s="85"/>
      <c r="AT25" s="115"/>
      <c r="AU25" s="115">
        <v>0</v>
      </c>
      <c r="AV25" s="100">
        <v>3555.71</v>
      </c>
      <c r="AW25" s="85">
        <v>0</v>
      </c>
      <c r="AX25" s="100">
        <f t="shared" si="21"/>
        <v>3663.127657735864</v>
      </c>
      <c r="AY25" s="85">
        <v>355.57100000000003</v>
      </c>
      <c r="AZ25" s="85">
        <v>24.744799999999998</v>
      </c>
      <c r="BA25" s="100">
        <v>3936.0257999999999</v>
      </c>
      <c r="BB25" s="138">
        <v>1237.2</v>
      </c>
      <c r="BC25" s="138">
        <v>2400.65</v>
      </c>
      <c r="BD25" s="174">
        <v>82.140000000000327</v>
      </c>
      <c r="BE25" s="87"/>
      <c r="BF25" s="87"/>
      <c r="BG25" s="87"/>
      <c r="BH25" s="87"/>
      <c r="BI25" s="87"/>
      <c r="BJ25" s="87"/>
    </row>
    <row r="26" spans="1:62" s="24" customFormat="1" x14ac:dyDescent="0.25">
      <c r="A26" s="56" t="s">
        <v>160</v>
      </c>
      <c r="B26" s="24" t="s">
        <v>155</v>
      </c>
      <c r="C26" s="25">
        <f t="shared" si="1"/>
        <v>2500</v>
      </c>
      <c r="D26" s="25">
        <v>0</v>
      </c>
      <c r="E26" s="25">
        <f t="shared" si="2"/>
        <v>2500</v>
      </c>
      <c r="F26" s="25"/>
      <c r="G26" s="25"/>
      <c r="H26" s="25">
        <f t="shared" si="3"/>
        <v>5000</v>
      </c>
      <c r="I26" s="25">
        <f t="shared" si="4"/>
        <v>0</v>
      </c>
      <c r="J26" s="110">
        <f t="shared" si="5"/>
        <v>0</v>
      </c>
      <c r="K26" s="25">
        <f t="shared" si="6"/>
        <v>0</v>
      </c>
      <c r="L26" s="25">
        <f t="shared" si="0"/>
        <v>0</v>
      </c>
      <c r="M26" s="25">
        <f t="shared" si="7"/>
        <v>45.15</v>
      </c>
      <c r="N26" s="25">
        <f t="shared" si="8"/>
        <v>0</v>
      </c>
      <c r="O26" s="25">
        <f t="shared" si="9"/>
        <v>511.52300000000008</v>
      </c>
      <c r="P26" s="25">
        <f t="shared" si="10"/>
        <v>556.67300000000012</v>
      </c>
      <c r="Q26" s="25">
        <f t="shared" si="11"/>
        <v>4443.3270000000002</v>
      </c>
      <c r="R26" s="157">
        <f t="shared" si="12"/>
        <v>4954.8500000000004</v>
      </c>
      <c r="S26" s="157">
        <f t="shared" si="13"/>
        <v>0</v>
      </c>
      <c r="T26" s="157">
        <f>+'C&amp;A'!D26*0.02</f>
        <v>21.911999999999999</v>
      </c>
      <c r="U26" s="157">
        <f t="shared" si="14"/>
        <v>4976.7620000000006</v>
      </c>
      <c r="V26" s="157">
        <f t="shared" si="15"/>
        <v>796.28192000000013</v>
      </c>
      <c r="W26" s="157">
        <f t="shared" si="16"/>
        <v>5773.043920000001</v>
      </c>
      <c r="X26" s="189">
        <f t="shared" si="17"/>
        <v>4443.3270000000002</v>
      </c>
      <c r="Y26" s="25">
        <f t="shared" si="18"/>
        <v>0</v>
      </c>
      <c r="Z26" s="110">
        <f>+Q26-'C&amp;A'!H26-SINDICATO!M26</f>
        <v>0</v>
      </c>
      <c r="AA26" s="111" t="s">
        <v>201</v>
      </c>
      <c r="AB26" s="111" t="s">
        <v>294</v>
      </c>
      <c r="AC26" s="112" t="s">
        <v>160</v>
      </c>
      <c r="AD26" s="111" t="s">
        <v>216</v>
      </c>
      <c r="AE26" s="111"/>
      <c r="AF26" s="111"/>
      <c r="AG26" s="113">
        <v>1237.24</v>
      </c>
      <c r="AH26" s="111">
        <v>1262.76</v>
      </c>
      <c r="AI26" s="113">
        <v>2500</v>
      </c>
      <c r="AJ26" s="113">
        <v>2500</v>
      </c>
      <c r="AK26" s="113">
        <f t="shared" si="19"/>
        <v>0</v>
      </c>
      <c r="AL26" s="113"/>
      <c r="AM26" s="113"/>
      <c r="AN26" s="114">
        <v>45.15</v>
      </c>
      <c r="AO26" s="100">
        <f t="shared" si="20"/>
        <v>4954.8500000000004</v>
      </c>
      <c r="AP26" s="113"/>
      <c r="AQ26" s="85"/>
      <c r="AR26" s="85"/>
      <c r="AS26" s="85"/>
      <c r="AT26" s="115"/>
      <c r="AU26" s="115">
        <v>0</v>
      </c>
      <c r="AV26" s="100">
        <v>5115.2300000000005</v>
      </c>
      <c r="AW26" s="85">
        <v>511.52300000000008</v>
      </c>
      <c r="AX26" s="100">
        <f t="shared" si="21"/>
        <v>4443.3270000000002</v>
      </c>
      <c r="AY26" s="85">
        <v>0</v>
      </c>
      <c r="AZ26" s="85">
        <v>24.744800000000001</v>
      </c>
      <c r="BA26" s="100">
        <v>5139.9748000000009</v>
      </c>
      <c r="BB26" s="138">
        <v>1237.2</v>
      </c>
      <c r="BC26" s="138">
        <v>1405.7</v>
      </c>
      <c r="BD26" s="174">
        <v>-1960.8070000000002</v>
      </c>
      <c r="BE26" s="87"/>
      <c r="BF26" s="87"/>
      <c r="BG26" s="87"/>
      <c r="BH26" s="87"/>
      <c r="BI26" s="87"/>
      <c r="BJ26" s="87"/>
    </row>
    <row r="27" spans="1:62" s="105" customFormat="1" x14ac:dyDescent="0.25">
      <c r="A27" s="160" t="s">
        <v>47</v>
      </c>
      <c r="B27" s="105" t="s">
        <v>48</v>
      </c>
      <c r="C27" s="161">
        <v>0</v>
      </c>
      <c r="D27" s="161">
        <v>0</v>
      </c>
      <c r="E27" s="161">
        <f t="shared" si="2"/>
        <v>292.5</v>
      </c>
      <c r="F27" s="161"/>
      <c r="G27" s="161"/>
      <c r="H27" s="161">
        <f t="shared" si="3"/>
        <v>292.5</v>
      </c>
      <c r="I27" s="161">
        <f t="shared" si="4"/>
        <v>0</v>
      </c>
      <c r="J27" s="162">
        <f t="shared" si="5"/>
        <v>0</v>
      </c>
      <c r="K27" s="161">
        <f t="shared" si="6"/>
        <v>0</v>
      </c>
      <c r="L27" s="161">
        <f t="shared" si="0"/>
        <v>0</v>
      </c>
      <c r="M27" s="161">
        <f t="shared" si="7"/>
        <v>45.15</v>
      </c>
      <c r="N27" s="161">
        <f t="shared" si="8"/>
        <v>0</v>
      </c>
      <c r="O27" s="161">
        <f t="shared" si="9"/>
        <v>0</v>
      </c>
      <c r="P27" s="161">
        <f t="shared" si="10"/>
        <v>45.15</v>
      </c>
      <c r="Q27" s="161">
        <f t="shared" si="11"/>
        <v>247.35</v>
      </c>
      <c r="R27" s="161">
        <f t="shared" si="12"/>
        <v>247.35</v>
      </c>
      <c r="S27" s="161">
        <f t="shared" si="13"/>
        <v>144.73499999999999</v>
      </c>
      <c r="T27" s="161">
        <f>+'C&amp;A'!D27*0.02</f>
        <v>0</v>
      </c>
      <c r="U27" s="161">
        <f t="shared" si="14"/>
        <v>392.08499999999998</v>
      </c>
      <c r="V27" s="161">
        <f t="shared" si="15"/>
        <v>62.733599999999996</v>
      </c>
      <c r="W27" s="161">
        <f t="shared" si="16"/>
        <v>454.81859999999995</v>
      </c>
      <c r="X27" s="194">
        <f t="shared" si="17"/>
        <v>247.35</v>
      </c>
      <c r="Y27" s="161">
        <f t="shared" si="18"/>
        <v>0</v>
      </c>
      <c r="Z27" s="110">
        <f>+Q27-'C&amp;A'!H27-SINDICATO!M27</f>
        <v>0</v>
      </c>
      <c r="AA27" s="163" t="s">
        <v>191</v>
      </c>
      <c r="AB27" s="163" t="s">
        <v>217</v>
      </c>
      <c r="AC27" s="164" t="s">
        <v>47</v>
      </c>
      <c r="AD27" s="163" t="s">
        <v>123</v>
      </c>
      <c r="AE27" s="163"/>
      <c r="AF27" s="163"/>
      <c r="AG27" s="165">
        <v>0</v>
      </c>
      <c r="AH27" s="163">
        <v>0</v>
      </c>
      <c r="AI27" s="165">
        <v>0</v>
      </c>
      <c r="AJ27" s="165">
        <v>292.5</v>
      </c>
      <c r="AK27" s="165">
        <f t="shared" si="19"/>
        <v>0</v>
      </c>
      <c r="AL27" s="165"/>
      <c r="AM27" s="165"/>
      <c r="AN27" s="166">
        <v>45.15</v>
      </c>
      <c r="AO27" s="167">
        <f t="shared" si="20"/>
        <v>247.35</v>
      </c>
      <c r="AP27" s="165"/>
      <c r="AQ27" s="168"/>
      <c r="AR27" s="168"/>
      <c r="AS27" s="168"/>
      <c r="AT27" s="169"/>
      <c r="AU27" s="169">
        <v>0</v>
      </c>
      <c r="AV27" s="167">
        <v>1447.35</v>
      </c>
      <c r="AW27" s="168">
        <v>0</v>
      </c>
      <c r="AX27" s="167">
        <f t="shared" si="21"/>
        <v>247.35</v>
      </c>
      <c r="AY27" s="168">
        <v>144.73499999999999</v>
      </c>
      <c r="AZ27" s="168">
        <v>0</v>
      </c>
      <c r="BA27" s="167">
        <v>1592.0849999999998</v>
      </c>
      <c r="BB27" s="170">
        <v>0</v>
      </c>
      <c r="BC27" s="170">
        <v>0</v>
      </c>
      <c r="BD27" s="171">
        <v>-1447.35</v>
      </c>
      <c r="BE27" s="172" t="s">
        <v>269</v>
      </c>
      <c r="BF27" s="173"/>
      <c r="BG27" s="173"/>
      <c r="BH27" s="173"/>
      <c r="BI27" s="173"/>
      <c r="BJ27" s="173"/>
    </row>
    <row r="28" spans="1:62" s="24" customFormat="1" x14ac:dyDescent="0.25">
      <c r="A28" s="23" t="s">
        <v>49</v>
      </c>
      <c r="B28" s="24" t="s">
        <v>50</v>
      </c>
      <c r="C28" s="25">
        <f t="shared" si="1"/>
        <v>22500</v>
      </c>
      <c r="D28" s="25">
        <v>0</v>
      </c>
      <c r="E28" s="25">
        <f t="shared" si="2"/>
        <v>0</v>
      </c>
      <c r="F28" s="25"/>
      <c r="G28" s="25"/>
      <c r="H28" s="25">
        <f t="shared" si="3"/>
        <v>22500</v>
      </c>
      <c r="I28" s="25">
        <f t="shared" si="4"/>
        <v>0</v>
      </c>
      <c r="J28" s="110">
        <f t="shared" si="5"/>
        <v>479.28</v>
      </c>
      <c r="K28" s="25">
        <f t="shared" si="6"/>
        <v>0</v>
      </c>
      <c r="L28" s="25">
        <f t="shared" si="0"/>
        <v>0</v>
      </c>
      <c r="M28" s="25">
        <f t="shared" si="7"/>
        <v>45.15</v>
      </c>
      <c r="N28" s="25">
        <f t="shared" si="8"/>
        <v>323.91000000000003</v>
      </c>
      <c r="O28" s="25">
        <f t="shared" si="9"/>
        <v>2245.4850000000001</v>
      </c>
      <c r="P28" s="25">
        <f t="shared" si="10"/>
        <v>3093.8249999999998</v>
      </c>
      <c r="Q28" s="25">
        <f t="shared" si="11"/>
        <v>19406.174999999999</v>
      </c>
      <c r="R28" s="157">
        <f t="shared" si="12"/>
        <v>22454.85</v>
      </c>
      <c r="S28" s="157">
        <f t="shared" si="13"/>
        <v>0</v>
      </c>
      <c r="T28" s="157">
        <f>+'C&amp;A'!D28*0.02</f>
        <v>21.911999999999999</v>
      </c>
      <c r="U28" s="157">
        <f t="shared" si="14"/>
        <v>22476.761999999999</v>
      </c>
      <c r="V28" s="157">
        <f t="shared" si="15"/>
        <v>3596.2819199999999</v>
      </c>
      <c r="W28" s="157">
        <f t="shared" si="16"/>
        <v>26073.04392</v>
      </c>
      <c r="X28" s="189">
        <f t="shared" si="17"/>
        <v>19406.174999999999</v>
      </c>
      <c r="Y28" s="25">
        <f t="shared" si="18"/>
        <v>0</v>
      </c>
      <c r="Z28" s="110">
        <f>+Q28-'C&amp;A'!H28-SINDICATO!M28</f>
        <v>0</v>
      </c>
      <c r="AA28" s="111" t="s">
        <v>193</v>
      </c>
      <c r="AB28" s="111" t="s">
        <v>126</v>
      </c>
      <c r="AC28" s="112">
        <v>3</v>
      </c>
      <c r="AD28" s="111" t="s">
        <v>218</v>
      </c>
      <c r="AE28" s="111" t="s">
        <v>219</v>
      </c>
      <c r="AF28" s="111"/>
      <c r="AG28" s="113">
        <v>1237.2399999999998</v>
      </c>
      <c r="AH28" s="111">
        <v>21262.76</v>
      </c>
      <c r="AI28" s="113">
        <v>22500</v>
      </c>
      <c r="AJ28" s="113"/>
      <c r="AK28" s="113">
        <f t="shared" si="19"/>
        <v>0</v>
      </c>
      <c r="AL28" s="113"/>
      <c r="AM28" s="113"/>
      <c r="AN28" s="114">
        <v>45.15</v>
      </c>
      <c r="AO28" s="100">
        <f t="shared" si="20"/>
        <v>22454.85</v>
      </c>
      <c r="AP28" s="113"/>
      <c r="AQ28" s="85"/>
      <c r="AR28" s="85"/>
      <c r="AS28" s="85"/>
      <c r="AT28" s="115">
        <v>479.28</v>
      </c>
      <c r="AU28" s="115">
        <v>323.91000000000003</v>
      </c>
      <c r="AV28" s="100">
        <v>21651.66</v>
      </c>
      <c r="AW28" s="85">
        <v>2245.4850000000001</v>
      </c>
      <c r="AX28" s="100">
        <f t="shared" si="21"/>
        <v>19406.174999999999</v>
      </c>
      <c r="AY28" s="85">
        <v>0</v>
      </c>
      <c r="AZ28" s="85">
        <v>24.744799999999998</v>
      </c>
      <c r="BA28" s="100">
        <v>22479.594799999999</v>
      </c>
      <c r="BB28" s="138">
        <v>1237.2</v>
      </c>
      <c r="BC28" s="138">
        <v>15874.12</v>
      </c>
      <c r="BD28" s="174">
        <v>-2294.8549999999996</v>
      </c>
      <c r="BE28" s="87"/>
      <c r="BF28" s="87"/>
      <c r="BG28" s="87"/>
      <c r="BH28" s="87"/>
      <c r="BI28" s="87"/>
      <c r="BJ28" s="87"/>
    </row>
    <row r="29" spans="1:62" s="24" customFormat="1" x14ac:dyDescent="0.25">
      <c r="A29" s="23" t="s">
        <v>51</v>
      </c>
      <c r="B29" s="24" t="s">
        <v>52</v>
      </c>
      <c r="C29" s="25">
        <f t="shared" si="1"/>
        <v>2500</v>
      </c>
      <c r="D29" s="25">
        <v>125.12056780965156</v>
      </c>
      <c r="E29" s="25">
        <f t="shared" si="2"/>
        <v>1000</v>
      </c>
      <c r="F29" s="25"/>
      <c r="G29" s="25"/>
      <c r="H29" s="25">
        <f t="shared" si="3"/>
        <v>3625.1205678096517</v>
      </c>
      <c r="I29" s="25">
        <f t="shared" si="4"/>
        <v>0</v>
      </c>
      <c r="J29" s="110">
        <f t="shared" si="5"/>
        <v>0</v>
      </c>
      <c r="K29" s="25">
        <f t="shared" si="6"/>
        <v>0</v>
      </c>
      <c r="L29" s="25">
        <f t="shared" si="0"/>
        <v>0</v>
      </c>
      <c r="M29" s="25">
        <f t="shared" si="7"/>
        <v>45.15</v>
      </c>
      <c r="N29" s="25">
        <f t="shared" si="8"/>
        <v>0</v>
      </c>
      <c r="O29" s="25">
        <f t="shared" si="9"/>
        <v>0</v>
      </c>
      <c r="P29" s="25">
        <f t="shared" si="10"/>
        <v>45.15</v>
      </c>
      <c r="Q29" s="25">
        <f t="shared" si="11"/>
        <v>3579.9705678096516</v>
      </c>
      <c r="R29" s="157">
        <f t="shared" si="12"/>
        <v>3579.9705678096516</v>
      </c>
      <c r="S29" s="157">
        <f t="shared" si="13"/>
        <v>361.52300000000002</v>
      </c>
      <c r="T29" s="157">
        <f>+'C&amp;A'!D29*0.02</f>
        <v>21.911999999999999</v>
      </c>
      <c r="U29" s="157">
        <f t="shared" si="14"/>
        <v>3963.4055678096515</v>
      </c>
      <c r="V29" s="157">
        <f t="shared" si="15"/>
        <v>634.14489084954425</v>
      </c>
      <c r="W29" s="157">
        <f t="shared" si="16"/>
        <v>4597.550458659196</v>
      </c>
      <c r="X29" s="189">
        <f t="shared" si="17"/>
        <v>3579.9705678096516</v>
      </c>
      <c r="Y29" s="25">
        <f t="shared" si="18"/>
        <v>0</v>
      </c>
      <c r="Z29" s="110">
        <f>+Q29-'C&amp;A'!H29-SINDICATO!M29</f>
        <v>0</v>
      </c>
      <c r="AA29" s="111" t="s">
        <v>201</v>
      </c>
      <c r="AB29" s="111" t="s">
        <v>144</v>
      </c>
      <c r="AC29" s="111" t="s">
        <v>143</v>
      </c>
      <c r="AD29" s="111" t="s">
        <v>220</v>
      </c>
      <c r="AE29" s="111"/>
      <c r="AF29" s="111"/>
      <c r="AG29" s="113">
        <v>1237.2399999999998</v>
      </c>
      <c r="AH29" s="111">
        <v>1262.7600000000002</v>
      </c>
      <c r="AI29" s="113">
        <v>2500</v>
      </c>
      <c r="AJ29" s="113">
        <v>1000</v>
      </c>
      <c r="AK29" s="113">
        <f t="shared" si="19"/>
        <v>125.12056780965156</v>
      </c>
      <c r="AL29" s="113"/>
      <c r="AM29" s="113"/>
      <c r="AN29" s="114">
        <v>45.15</v>
      </c>
      <c r="AO29" s="100">
        <f t="shared" si="20"/>
        <v>3579.9705678096516</v>
      </c>
      <c r="AP29" s="113"/>
      <c r="AQ29" s="85"/>
      <c r="AR29" s="85"/>
      <c r="AS29" s="85"/>
      <c r="AT29" s="115"/>
      <c r="AU29" s="115">
        <v>0</v>
      </c>
      <c r="AV29" s="100">
        <v>3615.23</v>
      </c>
      <c r="AW29" s="85">
        <v>0</v>
      </c>
      <c r="AX29" s="100">
        <f t="shared" si="21"/>
        <v>3579.9705678096516</v>
      </c>
      <c r="AY29" s="85">
        <v>361.52300000000002</v>
      </c>
      <c r="AZ29" s="85">
        <v>24.744799999999998</v>
      </c>
      <c r="BA29" s="100">
        <v>4001.4978000000001</v>
      </c>
      <c r="BB29" s="138">
        <v>1237.2</v>
      </c>
      <c r="BC29" s="138">
        <v>1423.18</v>
      </c>
      <c r="BD29" s="139">
        <v>-954.84999999999991</v>
      </c>
      <c r="BE29" s="87"/>
      <c r="BF29" s="87"/>
      <c r="BG29" s="87"/>
      <c r="BH29" s="87"/>
      <c r="BI29" s="87"/>
      <c r="BJ29" s="87"/>
    </row>
    <row r="30" spans="1:62" s="24" customFormat="1" x14ac:dyDescent="0.25">
      <c r="A30" s="23" t="s">
        <v>53</v>
      </c>
      <c r="B30" s="24" t="s">
        <v>54</v>
      </c>
      <c r="C30" s="25">
        <f t="shared" si="1"/>
        <v>1999.9999999999998</v>
      </c>
      <c r="D30" s="25">
        <v>0</v>
      </c>
      <c r="E30" s="25">
        <f t="shared" si="2"/>
        <v>2000</v>
      </c>
      <c r="F30" s="25"/>
      <c r="G30" s="25"/>
      <c r="H30" s="25">
        <f t="shared" si="3"/>
        <v>4000</v>
      </c>
      <c r="I30" s="25">
        <f t="shared" si="4"/>
        <v>0</v>
      </c>
      <c r="J30" s="110">
        <f t="shared" si="5"/>
        <v>0</v>
      </c>
      <c r="K30" s="25">
        <f t="shared" si="6"/>
        <v>0</v>
      </c>
      <c r="L30" s="25">
        <f t="shared" si="0"/>
        <v>0</v>
      </c>
      <c r="M30" s="25">
        <f t="shared" si="7"/>
        <v>45.15</v>
      </c>
      <c r="N30" s="25">
        <f t="shared" si="8"/>
        <v>0</v>
      </c>
      <c r="O30" s="25">
        <f t="shared" si="9"/>
        <v>0</v>
      </c>
      <c r="P30" s="25">
        <f t="shared" si="10"/>
        <v>45.15</v>
      </c>
      <c r="Q30" s="25">
        <f t="shared" si="11"/>
        <v>3954.85</v>
      </c>
      <c r="R30" s="157">
        <f t="shared" si="12"/>
        <v>3954.85</v>
      </c>
      <c r="S30" s="157">
        <f t="shared" si="13"/>
        <v>414.358</v>
      </c>
      <c r="T30" s="157">
        <f>+'C&amp;A'!D30*0.02</f>
        <v>21.911999999999999</v>
      </c>
      <c r="U30" s="157">
        <f t="shared" si="14"/>
        <v>4391.12</v>
      </c>
      <c r="V30" s="157">
        <f t="shared" si="15"/>
        <v>702.57920000000001</v>
      </c>
      <c r="W30" s="157">
        <f t="shared" si="16"/>
        <v>5093.6992</v>
      </c>
      <c r="X30" s="189">
        <f t="shared" si="17"/>
        <v>3954.85</v>
      </c>
      <c r="Y30" s="25">
        <f t="shared" si="18"/>
        <v>0</v>
      </c>
      <c r="Z30" s="110">
        <f>+Q30-'C&amp;A'!H30-SINDICATO!M30</f>
        <v>0</v>
      </c>
      <c r="AA30" s="111" t="s">
        <v>193</v>
      </c>
      <c r="AB30" s="111" t="s">
        <v>221</v>
      </c>
      <c r="AC30" s="112" t="s">
        <v>53</v>
      </c>
      <c r="AD30" s="111" t="s">
        <v>222</v>
      </c>
      <c r="AE30" s="111"/>
      <c r="AF30" s="111"/>
      <c r="AG30" s="113">
        <v>1237.2399999999998</v>
      </c>
      <c r="AH30" s="111">
        <v>762.76</v>
      </c>
      <c r="AI30" s="113">
        <v>1999.9999999999998</v>
      </c>
      <c r="AJ30" s="113">
        <v>2000</v>
      </c>
      <c r="AK30" s="113">
        <f t="shared" si="19"/>
        <v>0</v>
      </c>
      <c r="AL30" s="113"/>
      <c r="AM30" s="113"/>
      <c r="AN30" s="114">
        <v>45.15</v>
      </c>
      <c r="AO30" s="100">
        <f t="shared" si="20"/>
        <v>3954.85</v>
      </c>
      <c r="AP30" s="113"/>
      <c r="AQ30" s="85"/>
      <c r="AR30" s="85"/>
      <c r="AS30" s="85"/>
      <c r="AT30" s="115"/>
      <c r="AU30" s="115">
        <v>0</v>
      </c>
      <c r="AV30" s="100">
        <v>4143.58</v>
      </c>
      <c r="AW30" s="85">
        <v>0</v>
      </c>
      <c r="AX30" s="100">
        <f t="shared" si="21"/>
        <v>3954.85</v>
      </c>
      <c r="AY30" s="85">
        <v>414.358</v>
      </c>
      <c r="AZ30" s="85">
        <v>24.744799999999998</v>
      </c>
      <c r="BA30" s="100">
        <v>4582.6828000000005</v>
      </c>
      <c r="BB30" s="138">
        <v>1237.2</v>
      </c>
      <c r="BC30" s="138">
        <v>951.53</v>
      </c>
      <c r="BD30" s="139">
        <v>-1954.85</v>
      </c>
      <c r="BE30" s="87"/>
      <c r="BF30" s="87"/>
      <c r="BG30" s="87"/>
      <c r="BH30" s="87"/>
      <c r="BI30" s="87"/>
      <c r="BJ30" s="87"/>
    </row>
    <row r="31" spans="1:62" s="24" customFormat="1" x14ac:dyDescent="0.25">
      <c r="A31" s="23" t="s">
        <v>55</v>
      </c>
      <c r="B31" s="24" t="s">
        <v>56</v>
      </c>
      <c r="C31" s="25">
        <f t="shared" si="1"/>
        <v>1200</v>
      </c>
      <c r="D31" s="25">
        <v>0</v>
      </c>
      <c r="E31" s="25">
        <f t="shared" si="2"/>
        <v>3974</v>
      </c>
      <c r="F31" s="25"/>
      <c r="G31" s="25"/>
      <c r="H31" s="25">
        <f t="shared" si="3"/>
        <v>5174</v>
      </c>
      <c r="I31" s="25">
        <f t="shared" si="4"/>
        <v>0</v>
      </c>
      <c r="J31" s="110">
        <f t="shared" si="5"/>
        <v>0</v>
      </c>
      <c r="K31" s="25">
        <f t="shared" si="6"/>
        <v>0</v>
      </c>
      <c r="L31" s="25">
        <f t="shared" si="0"/>
        <v>0</v>
      </c>
      <c r="M31" s="25">
        <f t="shared" si="7"/>
        <v>45.15</v>
      </c>
      <c r="N31" s="25">
        <f t="shared" si="8"/>
        <v>0</v>
      </c>
      <c r="O31" s="25">
        <f t="shared" si="9"/>
        <v>525.39700000000005</v>
      </c>
      <c r="P31" s="25">
        <f t="shared" si="10"/>
        <v>570.54700000000003</v>
      </c>
      <c r="Q31" s="25">
        <f t="shared" si="11"/>
        <v>4603.4529999999995</v>
      </c>
      <c r="R31" s="157">
        <f t="shared" si="12"/>
        <v>5128.8500000000004</v>
      </c>
      <c r="S31" s="157">
        <f t="shared" si="13"/>
        <v>0</v>
      </c>
      <c r="T31" s="157">
        <f>+'C&amp;A'!D31*0.02</f>
        <v>21.911999999999999</v>
      </c>
      <c r="U31" s="157">
        <f t="shared" si="14"/>
        <v>5150.7620000000006</v>
      </c>
      <c r="V31" s="157">
        <f t="shared" si="15"/>
        <v>824.12192000000016</v>
      </c>
      <c r="W31" s="157">
        <f t="shared" si="16"/>
        <v>5974.8839200000011</v>
      </c>
      <c r="X31" s="189">
        <f t="shared" si="17"/>
        <v>4603.4530000000004</v>
      </c>
      <c r="Y31" s="25">
        <f t="shared" si="18"/>
        <v>0</v>
      </c>
      <c r="Z31" s="110">
        <f>+Q31-'C&amp;A'!H31-SINDICATO!M31</f>
        <v>0</v>
      </c>
      <c r="AA31" s="111" t="s">
        <v>191</v>
      </c>
      <c r="AB31" s="111" t="s">
        <v>223</v>
      </c>
      <c r="AC31" s="112" t="s">
        <v>55</v>
      </c>
      <c r="AD31" s="111" t="s">
        <v>123</v>
      </c>
      <c r="AE31" s="111"/>
      <c r="AF31" s="111"/>
      <c r="AG31" s="113">
        <v>1237.2399999999998</v>
      </c>
      <c r="AH31" s="111">
        <v>-37.239999999999782</v>
      </c>
      <c r="AI31" s="113">
        <v>1200</v>
      </c>
      <c r="AJ31" s="113">
        <v>3974</v>
      </c>
      <c r="AK31" s="113">
        <f t="shared" si="19"/>
        <v>0</v>
      </c>
      <c r="AL31" s="113"/>
      <c r="AM31" s="113"/>
      <c r="AN31" s="114">
        <v>45.15</v>
      </c>
      <c r="AO31" s="100">
        <f t="shared" si="20"/>
        <v>5128.8500000000004</v>
      </c>
      <c r="AP31" s="113"/>
      <c r="AQ31" s="85"/>
      <c r="AR31" s="85"/>
      <c r="AS31" s="85"/>
      <c r="AT31" s="115"/>
      <c r="AU31" s="115">
        <v>0</v>
      </c>
      <c r="AV31" s="100">
        <v>5253.97</v>
      </c>
      <c r="AW31" s="85">
        <v>525.39700000000005</v>
      </c>
      <c r="AX31" s="100">
        <f t="shared" si="21"/>
        <v>4603.4530000000004</v>
      </c>
      <c r="AY31" s="85">
        <v>0</v>
      </c>
      <c r="AZ31" s="85">
        <v>24.744799999999998</v>
      </c>
      <c r="BA31" s="100">
        <v>5278.7148000000007</v>
      </c>
      <c r="BB31" s="138">
        <v>1237.2</v>
      </c>
      <c r="BC31" s="138">
        <v>2033.92</v>
      </c>
      <c r="BD31" s="174">
        <v>-1457.4530000000004</v>
      </c>
      <c r="BE31" s="87"/>
      <c r="BF31" s="87"/>
      <c r="BG31" s="87"/>
      <c r="BH31" s="87"/>
      <c r="BI31" s="87"/>
      <c r="BJ31" s="87"/>
    </row>
    <row r="32" spans="1:62" s="24" customFormat="1" x14ac:dyDescent="0.25">
      <c r="A32" s="56" t="s">
        <v>161</v>
      </c>
      <c r="B32" s="24" t="s">
        <v>159</v>
      </c>
      <c r="C32" s="25">
        <f t="shared" si="1"/>
        <v>2000</v>
      </c>
      <c r="D32" s="25">
        <v>0</v>
      </c>
      <c r="E32" s="25">
        <f t="shared" si="2"/>
        <v>2000</v>
      </c>
      <c r="F32" s="25"/>
      <c r="G32" s="25"/>
      <c r="H32" s="25">
        <f t="shared" si="3"/>
        <v>4000</v>
      </c>
      <c r="I32" s="25">
        <f t="shared" si="4"/>
        <v>0</v>
      </c>
      <c r="J32" s="110">
        <f t="shared" si="5"/>
        <v>0</v>
      </c>
      <c r="K32" s="25">
        <f t="shared" si="6"/>
        <v>0</v>
      </c>
      <c r="L32" s="25">
        <f t="shared" si="0"/>
        <v>0</v>
      </c>
      <c r="M32" s="25">
        <f t="shared" si="7"/>
        <v>45.15</v>
      </c>
      <c r="N32" s="25">
        <f t="shared" si="8"/>
        <v>0</v>
      </c>
      <c r="O32" s="25">
        <f t="shared" si="9"/>
        <v>0</v>
      </c>
      <c r="P32" s="25">
        <f t="shared" si="10"/>
        <v>45.15</v>
      </c>
      <c r="Q32" s="25">
        <f t="shared" si="11"/>
        <v>3954.85</v>
      </c>
      <c r="R32" s="157">
        <f t="shared" si="12"/>
        <v>3954.85</v>
      </c>
      <c r="S32" s="157">
        <f t="shared" si="13"/>
        <v>414.358</v>
      </c>
      <c r="T32" s="157">
        <f>+'C&amp;A'!D32*0.02</f>
        <v>21.911999999999999</v>
      </c>
      <c r="U32" s="157">
        <f t="shared" si="14"/>
        <v>4391.12</v>
      </c>
      <c r="V32" s="157">
        <f t="shared" si="15"/>
        <v>702.57920000000001</v>
      </c>
      <c r="W32" s="157">
        <f t="shared" si="16"/>
        <v>5093.6992</v>
      </c>
      <c r="X32" s="189">
        <f t="shared" si="17"/>
        <v>3954.85</v>
      </c>
      <c r="Y32" s="25">
        <f t="shared" si="18"/>
        <v>0</v>
      </c>
      <c r="Z32" s="110">
        <f>+Q32-'C&amp;A'!H32-SINDICATO!M32</f>
        <v>0</v>
      </c>
      <c r="AA32" s="111" t="s">
        <v>193</v>
      </c>
      <c r="AB32" s="111" t="s">
        <v>224</v>
      </c>
      <c r="AC32" s="112" t="s">
        <v>161</v>
      </c>
      <c r="AD32" s="111" t="s">
        <v>222</v>
      </c>
      <c r="AE32" s="111"/>
      <c r="AF32" s="111"/>
      <c r="AG32" s="113">
        <v>1237.24</v>
      </c>
      <c r="AH32" s="111">
        <v>762.76</v>
      </c>
      <c r="AI32" s="113">
        <v>2000</v>
      </c>
      <c r="AJ32" s="113">
        <v>2000</v>
      </c>
      <c r="AK32" s="113">
        <f t="shared" si="19"/>
        <v>0</v>
      </c>
      <c r="AL32" s="113"/>
      <c r="AM32" s="113"/>
      <c r="AN32" s="114">
        <v>45.15</v>
      </c>
      <c r="AO32" s="100">
        <f t="shared" si="20"/>
        <v>3954.85</v>
      </c>
      <c r="AP32" s="113"/>
      <c r="AQ32" s="85"/>
      <c r="AR32" s="85"/>
      <c r="AS32" s="85"/>
      <c r="AT32" s="115"/>
      <c r="AU32" s="115">
        <v>0</v>
      </c>
      <c r="AV32" s="100">
        <v>4143.58</v>
      </c>
      <c r="AW32" s="85">
        <v>0</v>
      </c>
      <c r="AX32" s="100">
        <f t="shared" si="21"/>
        <v>3954.85</v>
      </c>
      <c r="AY32" s="85">
        <v>414.358</v>
      </c>
      <c r="AZ32" s="85">
        <v>24.744800000000001</v>
      </c>
      <c r="BA32" s="100">
        <v>4582.6828000000005</v>
      </c>
      <c r="BB32" s="138">
        <v>1237.2</v>
      </c>
      <c r="BC32" s="138">
        <v>951.53</v>
      </c>
      <c r="BD32" s="139">
        <v>-1954.85</v>
      </c>
      <c r="BE32" s="87"/>
      <c r="BF32" s="87"/>
      <c r="BG32" s="87"/>
      <c r="BH32" s="87"/>
      <c r="BI32" s="87"/>
      <c r="BJ32" s="87"/>
    </row>
    <row r="33" spans="1:62" s="24" customFormat="1" x14ac:dyDescent="0.25">
      <c r="A33" s="23" t="s">
        <v>57</v>
      </c>
      <c r="B33" s="24" t="s">
        <v>58</v>
      </c>
      <c r="C33" s="25">
        <f t="shared" si="1"/>
        <v>2250</v>
      </c>
      <c r="D33" s="25">
        <v>0</v>
      </c>
      <c r="E33" s="25">
        <f t="shared" si="2"/>
        <v>2000</v>
      </c>
      <c r="F33" s="25"/>
      <c r="G33" s="25"/>
      <c r="H33" s="25">
        <f t="shared" si="3"/>
        <v>4250</v>
      </c>
      <c r="I33" s="25">
        <f t="shared" si="4"/>
        <v>0</v>
      </c>
      <c r="J33" s="110">
        <f t="shared" si="5"/>
        <v>0</v>
      </c>
      <c r="K33" s="25">
        <f t="shared" si="6"/>
        <v>0</v>
      </c>
      <c r="L33" s="25">
        <f t="shared" si="0"/>
        <v>0</v>
      </c>
      <c r="M33" s="25">
        <f t="shared" si="7"/>
        <v>45.15</v>
      </c>
      <c r="N33" s="25">
        <f t="shared" si="8"/>
        <v>0</v>
      </c>
      <c r="O33" s="25">
        <f t="shared" si="9"/>
        <v>0</v>
      </c>
      <c r="P33" s="25">
        <f t="shared" si="10"/>
        <v>45.15</v>
      </c>
      <c r="Q33" s="25">
        <f t="shared" si="11"/>
        <v>4204.8500000000004</v>
      </c>
      <c r="R33" s="157">
        <f t="shared" si="12"/>
        <v>4204.8500000000004</v>
      </c>
      <c r="S33" s="157">
        <f t="shared" si="13"/>
        <v>437.96300000000002</v>
      </c>
      <c r="T33" s="157">
        <f>+'C&amp;A'!D33*0.02</f>
        <v>21.911999999999999</v>
      </c>
      <c r="U33" s="157">
        <f t="shared" si="14"/>
        <v>4664.7250000000004</v>
      </c>
      <c r="V33" s="157">
        <f t="shared" si="15"/>
        <v>746.35600000000011</v>
      </c>
      <c r="W33" s="157">
        <f t="shared" si="16"/>
        <v>5411.0810000000001</v>
      </c>
      <c r="X33" s="189">
        <f t="shared" si="17"/>
        <v>4204.8500000000004</v>
      </c>
      <c r="Y33" s="25">
        <f t="shared" si="18"/>
        <v>0</v>
      </c>
      <c r="Z33" s="110">
        <f>+Q33-'C&amp;A'!H33-SINDICATO!M33</f>
        <v>0</v>
      </c>
      <c r="AA33" s="111" t="s">
        <v>193</v>
      </c>
      <c r="AB33" s="111" t="s">
        <v>131</v>
      </c>
      <c r="AC33" s="112" t="s">
        <v>57</v>
      </c>
      <c r="AD33" s="111" t="s">
        <v>225</v>
      </c>
      <c r="AE33" s="111" t="s">
        <v>195</v>
      </c>
      <c r="AF33" s="111"/>
      <c r="AG33" s="113">
        <v>1237.2399999999998</v>
      </c>
      <c r="AH33" s="111">
        <v>1012.7600000000002</v>
      </c>
      <c r="AI33" s="113">
        <v>2250</v>
      </c>
      <c r="AJ33" s="113">
        <v>2000</v>
      </c>
      <c r="AK33" s="113">
        <f t="shared" si="19"/>
        <v>0</v>
      </c>
      <c r="AL33" s="113"/>
      <c r="AM33" s="113"/>
      <c r="AN33" s="114">
        <v>45.15</v>
      </c>
      <c r="AO33" s="100">
        <f t="shared" si="20"/>
        <v>4204.8500000000004</v>
      </c>
      <c r="AP33" s="113"/>
      <c r="AQ33" s="85"/>
      <c r="AR33" s="85"/>
      <c r="AS33" s="85"/>
      <c r="AT33" s="115"/>
      <c r="AU33" s="115">
        <v>0</v>
      </c>
      <c r="AV33" s="100">
        <v>4379.63</v>
      </c>
      <c r="AW33" s="85">
        <v>0</v>
      </c>
      <c r="AX33" s="100">
        <f t="shared" si="21"/>
        <v>4204.8500000000004</v>
      </c>
      <c r="AY33" s="85">
        <v>437.96300000000002</v>
      </c>
      <c r="AZ33" s="85">
        <v>24.744799999999998</v>
      </c>
      <c r="BA33" s="100">
        <v>4842.3378000000002</v>
      </c>
      <c r="BB33" s="138">
        <v>1237.2</v>
      </c>
      <c r="BC33" s="138">
        <v>1187.58</v>
      </c>
      <c r="BD33" s="139">
        <v>-1954.8500000000004</v>
      </c>
      <c r="BE33" s="87"/>
      <c r="BF33" s="87"/>
      <c r="BG33" s="87"/>
      <c r="BH33" s="87"/>
      <c r="BI33" s="87"/>
      <c r="BJ33" s="87"/>
    </row>
    <row r="34" spans="1:62" s="24" customFormat="1" x14ac:dyDescent="0.25">
      <c r="A34" s="23" t="s">
        <v>59</v>
      </c>
      <c r="B34" s="24" t="s">
        <v>60</v>
      </c>
      <c r="C34" s="25">
        <f t="shared" si="1"/>
        <v>2000</v>
      </c>
      <c r="D34" s="25">
        <v>125.12056780965156</v>
      </c>
      <c r="E34" s="25">
        <f t="shared" si="2"/>
        <v>1505</v>
      </c>
      <c r="F34" s="25"/>
      <c r="G34" s="25"/>
      <c r="H34" s="25">
        <f t="shared" si="3"/>
        <v>3630.1205678096517</v>
      </c>
      <c r="I34" s="25">
        <f t="shared" si="4"/>
        <v>0</v>
      </c>
      <c r="J34" s="110">
        <f t="shared" si="5"/>
        <v>0</v>
      </c>
      <c r="K34" s="25">
        <f t="shared" si="6"/>
        <v>0</v>
      </c>
      <c r="L34" s="25">
        <f t="shared" si="0"/>
        <v>0</v>
      </c>
      <c r="M34" s="25">
        <f t="shared" si="7"/>
        <v>45.15</v>
      </c>
      <c r="N34" s="25">
        <f t="shared" si="8"/>
        <v>0</v>
      </c>
      <c r="O34" s="25">
        <f t="shared" si="9"/>
        <v>0</v>
      </c>
      <c r="P34" s="25">
        <f t="shared" si="10"/>
        <v>45.15</v>
      </c>
      <c r="Q34" s="25">
        <f t="shared" si="11"/>
        <v>3584.9705678096516</v>
      </c>
      <c r="R34" s="157">
        <f t="shared" si="12"/>
        <v>3584.9705678096516</v>
      </c>
      <c r="S34" s="157">
        <f t="shared" si="13"/>
        <v>364.858</v>
      </c>
      <c r="T34" s="157">
        <f>+'C&amp;A'!D34*0.02</f>
        <v>21.911999999999999</v>
      </c>
      <c r="U34" s="157">
        <f t="shared" si="14"/>
        <v>3971.7405678096516</v>
      </c>
      <c r="V34" s="157">
        <f t="shared" si="15"/>
        <v>635.4784908495443</v>
      </c>
      <c r="W34" s="157">
        <f t="shared" si="16"/>
        <v>4607.219058659196</v>
      </c>
      <c r="X34" s="189">
        <f t="shared" si="17"/>
        <v>3584.9705678096516</v>
      </c>
      <c r="Y34" s="25">
        <f t="shared" si="18"/>
        <v>0</v>
      </c>
      <c r="Z34" s="110">
        <f>+Q34-'C&amp;A'!H34-SINDICATO!M34</f>
        <v>0</v>
      </c>
      <c r="AA34" s="111" t="s">
        <v>226</v>
      </c>
      <c r="AB34" s="111" t="s">
        <v>227</v>
      </c>
      <c r="AC34" s="112" t="s">
        <v>59</v>
      </c>
      <c r="AD34" s="111" t="s">
        <v>228</v>
      </c>
      <c r="AE34" s="111"/>
      <c r="AF34" s="111"/>
      <c r="AG34" s="113">
        <v>1237.2399999999998</v>
      </c>
      <c r="AH34" s="111">
        <v>762.76000000000022</v>
      </c>
      <c r="AI34" s="113">
        <v>2000</v>
      </c>
      <c r="AJ34" s="113">
        <v>1505</v>
      </c>
      <c r="AK34" s="113">
        <f t="shared" si="19"/>
        <v>125.12056780965156</v>
      </c>
      <c r="AL34" s="113"/>
      <c r="AM34" s="113"/>
      <c r="AN34" s="114">
        <v>45.15</v>
      </c>
      <c r="AO34" s="100">
        <f t="shared" si="20"/>
        <v>3584.9705678096516</v>
      </c>
      <c r="AP34" s="113"/>
      <c r="AQ34" s="85"/>
      <c r="AR34" s="85"/>
      <c r="AS34" s="85"/>
      <c r="AT34" s="142"/>
      <c r="AU34" s="142">
        <v>0</v>
      </c>
      <c r="AV34" s="100">
        <v>3648.58</v>
      </c>
      <c r="AW34" s="85">
        <v>0</v>
      </c>
      <c r="AX34" s="100">
        <f t="shared" si="21"/>
        <v>3584.9705678096516</v>
      </c>
      <c r="AY34" s="85">
        <v>364.858</v>
      </c>
      <c r="AZ34" s="85">
        <v>24.744799999999998</v>
      </c>
      <c r="BA34" s="100">
        <v>4038.1828</v>
      </c>
      <c r="BB34" s="138">
        <v>1237.2</v>
      </c>
      <c r="BC34" s="138">
        <v>2191.5300000000002</v>
      </c>
      <c r="BD34" s="139">
        <v>-219.84999999999945</v>
      </c>
      <c r="BE34" s="87"/>
      <c r="BF34" s="87"/>
      <c r="BG34" s="87"/>
      <c r="BH34" s="87"/>
      <c r="BI34" s="87"/>
      <c r="BJ34" s="87"/>
    </row>
    <row r="35" spans="1:62" s="24" customFormat="1" x14ac:dyDescent="0.25">
      <c r="A35" s="23" t="s">
        <v>61</v>
      </c>
      <c r="B35" s="24" t="s">
        <v>62</v>
      </c>
      <c r="C35" s="25">
        <f t="shared" si="1"/>
        <v>1200</v>
      </c>
      <c r="D35" s="25">
        <v>160.37636329558455</v>
      </c>
      <c r="E35" s="25">
        <f t="shared" si="2"/>
        <v>1250.5999999999999</v>
      </c>
      <c r="F35" s="25"/>
      <c r="G35" s="25"/>
      <c r="H35" s="25">
        <f t="shared" si="3"/>
        <v>2610.9763632955846</v>
      </c>
      <c r="I35" s="25">
        <f t="shared" si="4"/>
        <v>0</v>
      </c>
      <c r="J35" s="110">
        <f t="shared" si="5"/>
        <v>0</v>
      </c>
      <c r="K35" s="25">
        <f t="shared" si="6"/>
        <v>0</v>
      </c>
      <c r="L35" s="25">
        <f t="shared" si="0"/>
        <v>0</v>
      </c>
      <c r="M35" s="25">
        <f t="shared" si="7"/>
        <v>45.15</v>
      </c>
      <c r="N35" s="25">
        <f t="shared" si="8"/>
        <v>0</v>
      </c>
      <c r="O35" s="25">
        <f t="shared" si="9"/>
        <v>0</v>
      </c>
      <c r="P35" s="25">
        <f t="shared" si="10"/>
        <v>45.15</v>
      </c>
      <c r="Q35" s="25">
        <f t="shared" si="11"/>
        <v>2565.8263632955845</v>
      </c>
      <c r="R35" s="157">
        <f t="shared" si="12"/>
        <v>2565.8263632955845</v>
      </c>
      <c r="S35" s="157">
        <f t="shared" si="13"/>
        <v>253.05699999999999</v>
      </c>
      <c r="T35" s="157">
        <f>+'C&amp;A'!D35*0.02</f>
        <v>21.911999999999999</v>
      </c>
      <c r="U35" s="157">
        <f t="shared" si="14"/>
        <v>2840.7953632955841</v>
      </c>
      <c r="V35" s="157">
        <f t="shared" si="15"/>
        <v>454.52725812729346</v>
      </c>
      <c r="W35" s="157">
        <f t="shared" si="16"/>
        <v>3295.3226214228775</v>
      </c>
      <c r="X35" s="189">
        <f t="shared" si="17"/>
        <v>2565.8263632955845</v>
      </c>
      <c r="Y35" s="25">
        <f t="shared" si="18"/>
        <v>0</v>
      </c>
      <c r="Z35" s="110">
        <f>+Q35-'C&amp;A'!H35-SINDICATO!M35</f>
        <v>0</v>
      </c>
      <c r="AA35" s="111" t="s">
        <v>191</v>
      </c>
      <c r="AB35" s="111" t="s">
        <v>229</v>
      </c>
      <c r="AC35" s="112" t="s">
        <v>61</v>
      </c>
      <c r="AD35" s="111" t="s">
        <v>122</v>
      </c>
      <c r="AE35" s="111"/>
      <c r="AF35" s="111"/>
      <c r="AG35" s="113">
        <v>1200</v>
      </c>
      <c r="AH35" s="111"/>
      <c r="AI35" s="113">
        <v>1200</v>
      </c>
      <c r="AJ35" s="113">
        <v>1250.5999999999999</v>
      </c>
      <c r="AK35" s="113">
        <f t="shared" si="19"/>
        <v>160.37636329558455</v>
      </c>
      <c r="AL35" s="113"/>
      <c r="AM35" s="113"/>
      <c r="AN35" s="114">
        <v>45.15</v>
      </c>
      <c r="AO35" s="100">
        <f t="shared" si="20"/>
        <v>2565.8263632955845</v>
      </c>
      <c r="AP35" s="113"/>
      <c r="AQ35" s="85"/>
      <c r="AR35" s="85"/>
      <c r="AS35" s="85"/>
      <c r="AT35" s="115"/>
      <c r="AU35" s="115">
        <v>0</v>
      </c>
      <c r="AV35" s="100">
        <v>2530.5699999999997</v>
      </c>
      <c r="AW35" s="85">
        <v>0</v>
      </c>
      <c r="AX35" s="100">
        <f t="shared" si="21"/>
        <v>2565.8263632955845</v>
      </c>
      <c r="AY35" s="85">
        <v>253.05699999999999</v>
      </c>
      <c r="AZ35" s="85">
        <v>24</v>
      </c>
      <c r="BA35" s="100">
        <v>2807.6269999999995</v>
      </c>
      <c r="BB35" s="138">
        <v>1237.2</v>
      </c>
      <c r="BC35" s="138">
        <v>2049.25</v>
      </c>
      <c r="BD35" s="174">
        <v>755.88000000000011</v>
      </c>
      <c r="BE35" s="87"/>
      <c r="BF35" s="87"/>
      <c r="BG35" s="87"/>
      <c r="BH35" s="87"/>
      <c r="BI35" s="87"/>
      <c r="BJ35" s="87"/>
    </row>
    <row r="36" spans="1:62" s="24" customFormat="1" x14ac:dyDescent="0.25">
      <c r="A36" s="23" t="s">
        <v>63</v>
      </c>
      <c r="B36" s="24" t="s">
        <v>64</v>
      </c>
      <c r="C36" s="25">
        <f t="shared" si="1"/>
        <v>2000</v>
      </c>
      <c r="D36" s="25">
        <v>0</v>
      </c>
      <c r="E36" s="25">
        <f t="shared" si="2"/>
        <v>2000</v>
      </c>
      <c r="F36" s="25"/>
      <c r="G36" s="25"/>
      <c r="H36" s="25">
        <f t="shared" si="3"/>
        <v>4000</v>
      </c>
      <c r="I36" s="25">
        <f t="shared" si="4"/>
        <v>0</v>
      </c>
      <c r="J36" s="110">
        <f t="shared" si="5"/>
        <v>0</v>
      </c>
      <c r="K36" s="25">
        <f t="shared" si="6"/>
        <v>0</v>
      </c>
      <c r="L36" s="25">
        <f t="shared" si="0"/>
        <v>0</v>
      </c>
      <c r="M36" s="25">
        <f t="shared" si="7"/>
        <v>45.15</v>
      </c>
      <c r="N36" s="25">
        <f t="shared" si="8"/>
        <v>313.89999999999998</v>
      </c>
      <c r="O36" s="25">
        <f t="shared" si="9"/>
        <v>0</v>
      </c>
      <c r="P36" s="25">
        <f t="shared" si="10"/>
        <v>359.04999999999995</v>
      </c>
      <c r="Q36" s="25">
        <f t="shared" si="11"/>
        <v>3640.95</v>
      </c>
      <c r="R36" s="157">
        <f t="shared" si="12"/>
        <v>3954.85</v>
      </c>
      <c r="S36" s="157">
        <f t="shared" si="13"/>
        <v>414.358</v>
      </c>
      <c r="T36" s="157">
        <f>+'C&amp;A'!D36*0.02</f>
        <v>21.911999999999999</v>
      </c>
      <c r="U36" s="157">
        <f t="shared" si="14"/>
        <v>4391.12</v>
      </c>
      <c r="V36" s="157">
        <f t="shared" si="15"/>
        <v>702.57920000000001</v>
      </c>
      <c r="W36" s="157">
        <f t="shared" si="16"/>
        <v>5093.6992</v>
      </c>
      <c r="X36" s="189">
        <f t="shared" si="17"/>
        <v>3640.95</v>
      </c>
      <c r="Y36" s="25">
        <f t="shared" si="18"/>
        <v>0</v>
      </c>
      <c r="Z36" s="110">
        <f>+Q36-'C&amp;A'!H36-SINDICATO!M36</f>
        <v>0</v>
      </c>
      <c r="AA36" s="111" t="s">
        <v>193</v>
      </c>
      <c r="AB36" s="111" t="s">
        <v>130</v>
      </c>
      <c r="AC36" s="112" t="s">
        <v>63</v>
      </c>
      <c r="AD36" s="111" t="s">
        <v>230</v>
      </c>
      <c r="AE36" s="111"/>
      <c r="AF36" s="111"/>
      <c r="AG36" s="113">
        <v>1237.2399999999998</v>
      </c>
      <c r="AH36" s="111">
        <v>762.76000000000022</v>
      </c>
      <c r="AI36" s="113">
        <v>2000</v>
      </c>
      <c r="AJ36" s="113">
        <v>2000</v>
      </c>
      <c r="AK36" s="113">
        <f t="shared" si="19"/>
        <v>0</v>
      </c>
      <c r="AL36" s="113"/>
      <c r="AM36" s="113"/>
      <c r="AN36" s="114">
        <v>45.15</v>
      </c>
      <c r="AO36" s="100">
        <f t="shared" si="20"/>
        <v>3954.85</v>
      </c>
      <c r="AP36" s="113"/>
      <c r="AQ36" s="85"/>
      <c r="AR36" s="85"/>
      <c r="AS36" s="85"/>
      <c r="AT36" s="115"/>
      <c r="AU36" s="115">
        <v>313.89999999999998</v>
      </c>
      <c r="AV36" s="100">
        <v>3829.68</v>
      </c>
      <c r="AW36" s="85">
        <v>0</v>
      </c>
      <c r="AX36" s="100">
        <f t="shared" si="21"/>
        <v>3640.95</v>
      </c>
      <c r="AY36" s="85">
        <v>414.358</v>
      </c>
      <c r="AZ36" s="85">
        <v>24.744799999999998</v>
      </c>
      <c r="BA36" s="100">
        <v>4582.6828000000005</v>
      </c>
      <c r="BB36" s="138">
        <v>1237.2</v>
      </c>
      <c r="BC36" s="138">
        <v>637.63</v>
      </c>
      <c r="BD36" s="139">
        <v>-1954.85</v>
      </c>
      <c r="BE36" s="87"/>
      <c r="BF36" s="87"/>
      <c r="BG36" s="87"/>
      <c r="BH36" s="87"/>
      <c r="BI36" s="87"/>
      <c r="BJ36" s="87"/>
    </row>
    <row r="37" spans="1:62" s="24" customFormat="1" x14ac:dyDescent="0.25">
      <c r="A37" s="23" t="s">
        <v>65</v>
      </c>
      <c r="B37" s="24" t="s">
        <v>66</v>
      </c>
      <c r="C37" s="25">
        <f t="shared" si="1"/>
        <v>1200</v>
      </c>
      <c r="D37" s="25">
        <v>145.37389713135775</v>
      </c>
      <c r="E37" s="25">
        <f t="shared" si="2"/>
        <v>1731.73</v>
      </c>
      <c r="F37" s="25"/>
      <c r="G37" s="25"/>
      <c r="H37" s="25">
        <f t="shared" si="3"/>
        <v>3077.1038971313578</v>
      </c>
      <c r="I37" s="25">
        <f t="shared" si="4"/>
        <v>0</v>
      </c>
      <c r="J37" s="110">
        <f t="shared" si="5"/>
        <v>0</v>
      </c>
      <c r="K37" s="25">
        <f t="shared" si="6"/>
        <v>0</v>
      </c>
      <c r="L37" s="25">
        <f t="shared" si="0"/>
        <v>0</v>
      </c>
      <c r="M37" s="25">
        <f t="shared" si="7"/>
        <v>45.15</v>
      </c>
      <c r="N37" s="25">
        <f t="shared" si="8"/>
        <v>215.92</v>
      </c>
      <c r="O37" s="25">
        <f t="shared" si="9"/>
        <v>0</v>
      </c>
      <c r="P37" s="25">
        <f t="shared" si="10"/>
        <v>261.07</v>
      </c>
      <c r="Q37" s="25">
        <f t="shared" si="11"/>
        <v>2816.0338971313577</v>
      </c>
      <c r="R37" s="157">
        <f t="shared" si="12"/>
        <v>3031.9538971313577</v>
      </c>
      <c r="S37" s="157">
        <f t="shared" si="13"/>
        <v>301.17</v>
      </c>
      <c r="T37" s="157">
        <f>+'C&amp;A'!D37*0.02</f>
        <v>21.911999999999999</v>
      </c>
      <c r="U37" s="157">
        <f t="shared" si="14"/>
        <v>3355.0358971313576</v>
      </c>
      <c r="V37" s="157">
        <f t="shared" si="15"/>
        <v>536.80574354101725</v>
      </c>
      <c r="W37" s="157">
        <f t="shared" si="16"/>
        <v>3891.841640672375</v>
      </c>
      <c r="X37" s="189">
        <f t="shared" si="17"/>
        <v>2816.0338971313577</v>
      </c>
      <c r="Y37" s="25">
        <f t="shared" si="18"/>
        <v>0</v>
      </c>
      <c r="Z37" s="110">
        <f>+Q37-'C&amp;A'!H37-SINDICATO!M37</f>
        <v>0</v>
      </c>
      <c r="AA37" s="111" t="s">
        <v>191</v>
      </c>
      <c r="AB37" s="111" t="s">
        <v>295</v>
      </c>
      <c r="AC37" s="112" t="s">
        <v>65</v>
      </c>
      <c r="AD37" s="111" t="s">
        <v>123</v>
      </c>
      <c r="AE37" s="111"/>
      <c r="AF37" s="111"/>
      <c r="AG37" s="113">
        <v>1237.2399999999998</v>
      </c>
      <c r="AH37" s="111">
        <v>-37.239999999999782</v>
      </c>
      <c r="AI37" s="113">
        <v>1200</v>
      </c>
      <c r="AJ37" s="113">
        <v>1731.73</v>
      </c>
      <c r="AK37" s="113">
        <f t="shared" si="19"/>
        <v>145.37389713135775</v>
      </c>
      <c r="AL37" s="113"/>
      <c r="AM37" s="113"/>
      <c r="AN37" s="114">
        <v>45.15</v>
      </c>
      <c r="AO37" s="100">
        <f t="shared" si="20"/>
        <v>3031.9538971313577</v>
      </c>
      <c r="AP37" s="113"/>
      <c r="AQ37" s="85"/>
      <c r="AR37" s="85"/>
      <c r="AS37" s="85"/>
      <c r="AT37" s="115"/>
      <c r="AU37" s="115">
        <v>215.92</v>
      </c>
      <c r="AV37" s="100">
        <v>2795.7799999999997</v>
      </c>
      <c r="AW37" s="85">
        <v>0</v>
      </c>
      <c r="AX37" s="100">
        <f t="shared" si="21"/>
        <v>2816.0338971313577</v>
      </c>
      <c r="AY37" s="85">
        <v>301.17</v>
      </c>
      <c r="AZ37" s="85">
        <v>24.744799999999998</v>
      </c>
      <c r="BA37" s="100">
        <v>3337.6147999999998</v>
      </c>
      <c r="BB37" s="138">
        <v>1237.2</v>
      </c>
      <c r="BC37" s="138">
        <v>1737.97</v>
      </c>
      <c r="BD37" s="174">
        <v>179.39000000000033</v>
      </c>
      <c r="BE37" s="87"/>
      <c r="BF37" s="87"/>
      <c r="BG37" s="87"/>
      <c r="BH37" s="87"/>
      <c r="BI37" s="87"/>
      <c r="BJ37" s="87"/>
    </row>
    <row r="38" spans="1:62" s="24" customFormat="1" x14ac:dyDescent="0.25">
      <c r="A38" s="23" t="s">
        <v>67</v>
      </c>
      <c r="B38" s="24" t="s">
        <v>68</v>
      </c>
      <c r="C38" s="25">
        <f t="shared" si="1"/>
        <v>1750</v>
      </c>
      <c r="D38" s="25">
        <v>0</v>
      </c>
      <c r="E38" s="25">
        <f t="shared" si="2"/>
        <v>13289.98</v>
      </c>
      <c r="F38" s="25"/>
      <c r="G38" s="25"/>
      <c r="H38" s="25">
        <f t="shared" si="3"/>
        <v>15039.98</v>
      </c>
      <c r="I38" s="25">
        <f t="shared" si="4"/>
        <v>0</v>
      </c>
      <c r="J38" s="110">
        <f t="shared" si="5"/>
        <v>0</v>
      </c>
      <c r="K38" s="25">
        <f t="shared" si="6"/>
        <v>0</v>
      </c>
      <c r="L38" s="25">
        <f t="shared" si="0"/>
        <v>0</v>
      </c>
      <c r="M38" s="25">
        <f t="shared" si="7"/>
        <v>45.15</v>
      </c>
      <c r="N38" s="25">
        <f t="shared" si="8"/>
        <v>0</v>
      </c>
      <c r="O38" s="25">
        <f t="shared" si="9"/>
        <v>1518.356</v>
      </c>
      <c r="P38" s="25">
        <f t="shared" si="10"/>
        <v>1563.5060000000001</v>
      </c>
      <c r="Q38" s="25">
        <f t="shared" si="11"/>
        <v>13476.474</v>
      </c>
      <c r="R38" s="157">
        <f t="shared" si="12"/>
        <v>14994.83</v>
      </c>
      <c r="S38" s="157">
        <f t="shared" si="13"/>
        <v>0</v>
      </c>
      <c r="T38" s="157">
        <f>+'C&amp;A'!D38*0.02</f>
        <v>21.911999999999999</v>
      </c>
      <c r="U38" s="157">
        <f t="shared" si="14"/>
        <v>15016.742</v>
      </c>
      <c r="V38" s="157">
        <f t="shared" si="15"/>
        <v>2402.6787199999999</v>
      </c>
      <c r="W38" s="157">
        <f t="shared" si="16"/>
        <v>17419.420720000002</v>
      </c>
      <c r="X38" s="189">
        <f t="shared" si="17"/>
        <v>13476.474</v>
      </c>
      <c r="Y38" s="25">
        <f t="shared" si="18"/>
        <v>0</v>
      </c>
      <c r="Z38" s="110">
        <f>+Q38-'C&amp;A'!H38-SINDICATO!M38</f>
        <v>0</v>
      </c>
      <c r="AA38" s="111" t="s">
        <v>193</v>
      </c>
      <c r="AB38" s="111" t="s">
        <v>296</v>
      </c>
      <c r="AC38" s="112">
        <v>56</v>
      </c>
      <c r="AD38" s="111" t="s">
        <v>231</v>
      </c>
      <c r="AE38" s="111"/>
      <c r="AF38" s="111"/>
      <c r="AG38" s="113">
        <v>1237.2399999999998</v>
      </c>
      <c r="AH38" s="111">
        <v>512.76000000000022</v>
      </c>
      <c r="AI38" s="113">
        <v>1750</v>
      </c>
      <c r="AJ38" s="113">
        <v>13289.98</v>
      </c>
      <c r="AK38" s="113">
        <f t="shared" si="19"/>
        <v>0</v>
      </c>
      <c r="AL38" s="113"/>
      <c r="AM38" s="113"/>
      <c r="AN38" s="114">
        <v>45.15</v>
      </c>
      <c r="AO38" s="100">
        <f t="shared" si="20"/>
        <v>14994.83</v>
      </c>
      <c r="AP38" s="113"/>
      <c r="AQ38" s="85"/>
      <c r="AR38" s="85"/>
      <c r="AS38" s="85"/>
      <c r="AT38" s="115"/>
      <c r="AU38" s="115">
        <v>0</v>
      </c>
      <c r="AV38" s="100">
        <v>15183.56</v>
      </c>
      <c r="AW38" s="85">
        <v>1518.356</v>
      </c>
      <c r="AX38" s="100">
        <f t="shared" si="21"/>
        <v>13476.474</v>
      </c>
      <c r="AY38" s="85">
        <v>0</v>
      </c>
      <c r="AZ38" s="85">
        <v>24.744799999999998</v>
      </c>
      <c r="BA38" s="100">
        <v>15208.3048</v>
      </c>
      <c r="BB38" s="138">
        <v>1237.2</v>
      </c>
      <c r="BC38" s="138">
        <v>701.53</v>
      </c>
      <c r="BD38" s="139">
        <v>-11726.474</v>
      </c>
      <c r="BE38" s="87"/>
      <c r="BF38" s="87"/>
      <c r="BG38" s="87"/>
      <c r="BH38" s="87"/>
      <c r="BI38" s="87"/>
      <c r="BJ38" s="87"/>
    </row>
    <row r="39" spans="1:62" s="24" customFormat="1" x14ac:dyDescent="0.25">
      <c r="A39" s="23" t="s">
        <v>69</v>
      </c>
      <c r="B39" s="24" t="s">
        <v>70</v>
      </c>
      <c r="C39" s="25">
        <f t="shared" si="1"/>
        <v>2750</v>
      </c>
      <c r="D39" s="25">
        <v>0</v>
      </c>
      <c r="E39" s="25">
        <f t="shared" si="2"/>
        <v>3500</v>
      </c>
      <c r="F39" s="25"/>
      <c r="G39" s="25"/>
      <c r="H39" s="25">
        <f t="shared" si="3"/>
        <v>6250</v>
      </c>
      <c r="I39" s="25">
        <f t="shared" si="4"/>
        <v>183.33</v>
      </c>
      <c r="J39" s="110">
        <f t="shared" si="5"/>
        <v>0</v>
      </c>
      <c r="K39" s="25">
        <f t="shared" si="6"/>
        <v>0</v>
      </c>
      <c r="L39" s="25">
        <f t="shared" si="0"/>
        <v>0</v>
      </c>
      <c r="M39" s="25">
        <f t="shared" si="7"/>
        <v>45.15</v>
      </c>
      <c r="N39" s="25">
        <f t="shared" si="8"/>
        <v>0</v>
      </c>
      <c r="O39" s="25">
        <f t="shared" si="9"/>
        <v>635.02200000000005</v>
      </c>
      <c r="P39" s="25">
        <f t="shared" si="10"/>
        <v>863.50200000000007</v>
      </c>
      <c r="Q39" s="25">
        <f t="shared" si="11"/>
        <v>5386.4979999999996</v>
      </c>
      <c r="R39" s="157">
        <f t="shared" si="12"/>
        <v>6204.85</v>
      </c>
      <c r="S39" s="157">
        <f t="shared" si="13"/>
        <v>0</v>
      </c>
      <c r="T39" s="157">
        <f>+'C&amp;A'!D39*0.02</f>
        <v>21.911999999999999</v>
      </c>
      <c r="U39" s="157">
        <f t="shared" si="14"/>
        <v>6226.7620000000006</v>
      </c>
      <c r="V39" s="157">
        <f t="shared" si="15"/>
        <v>996.28192000000013</v>
      </c>
      <c r="W39" s="157">
        <f t="shared" si="16"/>
        <v>7223.043920000001</v>
      </c>
      <c r="X39" s="189">
        <f t="shared" si="17"/>
        <v>5386.4980000000005</v>
      </c>
      <c r="Y39" s="25">
        <f t="shared" si="18"/>
        <v>0</v>
      </c>
      <c r="Z39" s="110">
        <f>+Q39-'C&amp;A'!H39-SINDICATO!M39</f>
        <v>0</v>
      </c>
      <c r="AA39" s="111" t="s">
        <v>193</v>
      </c>
      <c r="AB39" s="111" t="s">
        <v>132</v>
      </c>
      <c r="AC39" s="112" t="s">
        <v>69</v>
      </c>
      <c r="AD39" s="111" t="s">
        <v>232</v>
      </c>
      <c r="AE39" s="111" t="s">
        <v>195</v>
      </c>
      <c r="AF39" s="111"/>
      <c r="AG39" s="113">
        <v>1237.2399999999998</v>
      </c>
      <c r="AH39" s="111">
        <v>1512.7600000000002</v>
      </c>
      <c r="AI39" s="113">
        <v>2750</v>
      </c>
      <c r="AJ39" s="113">
        <v>3500</v>
      </c>
      <c r="AK39" s="113">
        <f t="shared" si="19"/>
        <v>0</v>
      </c>
      <c r="AL39" s="113"/>
      <c r="AM39" s="113"/>
      <c r="AN39" s="114">
        <v>45.15</v>
      </c>
      <c r="AO39" s="100">
        <f t="shared" si="20"/>
        <v>6204.85</v>
      </c>
      <c r="AP39" s="113">
        <v>183.33</v>
      </c>
      <c r="AQ39" s="85"/>
      <c r="AR39" s="85"/>
      <c r="AS39" s="85"/>
      <c r="AT39" s="115"/>
      <c r="AU39" s="115">
        <v>0</v>
      </c>
      <c r="AV39" s="100">
        <v>6166.89</v>
      </c>
      <c r="AW39" s="85">
        <v>635.02200000000005</v>
      </c>
      <c r="AX39" s="100">
        <f t="shared" si="21"/>
        <v>5386.4980000000005</v>
      </c>
      <c r="AY39" s="85">
        <v>0</v>
      </c>
      <c r="AZ39" s="85">
        <v>24.744799999999998</v>
      </c>
      <c r="BA39" s="100">
        <v>6374.9648000000007</v>
      </c>
      <c r="BB39" s="138">
        <v>1237.2</v>
      </c>
      <c r="BC39" s="138">
        <v>1474.84</v>
      </c>
      <c r="BD39" s="139">
        <v>-2819.8280000000004</v>
      </c>
      <c r="BE39" s="116"/>
      <c r="BF39" s="87"/>
      <c r="BG39" s="87"/>
      <c r="BH39" s="87"/>
      <c r="BI39" s="87"/>
      <c r="BJ39" s="87"/>
    </row>
    <row r="40" spans="1:62" s="24" customFormat="1" x14ac:dyDescent="0.25">
      <c r="A40" s="23" t="s">
        <v>71</v>
      </c>
      <c r="B40" s="24" t="s">
        <v>72</v>
      </c>
      <c r="C40" s="25">
        <f t="shared" si="1"/>
        <v>3500</v>
      </c>
      <c r="D40" s="25">
        <v>0</v>
      </c>
      <c r="E40" s="25">
        <f t="shared" si="2"/>
        <v>25114.12</v>
      </c>
      <c r="F40" s="25"/>
      <c r="G40" s="25"/>
      <c r="H40" s="25">
        <f t="shared" si="3"/>
        <v>28614.12</v>
      </c>
      <c r="I40" s="25">
        <f t="shared" si="4"/>
        <v>0</v>
      </c>
      <c r="J40" s="110">
        <f t="shared" si="5"/>
        <v>0</v>
      </c>
      <c r="K40" s="25">
        <f t="shared" si="6"/>
        <v>0</v>
      </c>
      <c r="L40" s="25">
        <f t="shared" si="0"/>
        <v>0</v>
      </c>
      <c r="M40" s="25">
        <f t="shared" si="7"/>
        <v>45.15</v>
      </c>
      <c r="N40" s="25">
        <f t="shared" si="8"/>
        <v>357.22</v>
      </c>
      <c r="O40" s="25">
        <f t="shared" si="9"/>
        <v>2869.4089999999997</v>
      </c>
      <c r="P40" s="25">
        <f t="shared" si="10"/>
        <v>3271.7789999999995</v>
      </c>
      <c r="Q40" s="25">
        <f t="shared" si="11"/>
        <v>25342.341</v>
      </c>
      <c r="R40" s="157">
        <f t="shared" si="12"/>
        <v>28568.969999999998</v>
      </c>
      <c r="S40" s="157">
        <f t="shared" si="13"/>
        <v>0</v>
      </c>
      <c r="T40" s="157">
        <f>+'C&amp;A'!D40*0.02</f>
        <v>21.911999999999999</v>
      </c>
      <c r="U40" s="157">
        <f t="shared" si="14"/>
        <v>28590.881999999998</v>
      </c>
      <c r="V40" s="157">
        <f t="shared" si="15"/>
        <v>4574.5411199999999</v>
      </c>
      <c r="W40" s="157">
        <f t="shared" si="16"/>
        <v>33165.423119999999</v>
      </c>
      <c r="X40" s="189">
        <f t="shared" si="17"/>
        <v>25342.340999999997</v>
      </c>
      <c r="Y40" s="25">
        <f t="shared" si="18"/>
        <v>0</v>
      </c>
      <c r="Z40" s="110">
        <f>+Q40-'C&amp;A'!H40-SINDICATO!M40</f>
        <v>0</v>
      </c>
      <c r="AA40" s="111" t="s">
        <v>234</v>
      </c>
      <c r="AB40" s="111" t="s">
        <v>235</v>
      </c>
      <c r="AC40" s="111">
        <v>23</v>
      </c>
      <c r="AD40" s="111" t="s">
        <v>236</v>
      </c>
      <c r="AE40" s="111"/>
      <c r="AF40" s="111"/>
      <c r="AG40" s="113">
        <v>1237.2399999999998</v>
      </c>
      <c r="AH40" s="111">
        <v>2262.7600000000002</v>
      </c>
      <c r="AI40" s="113">
        <v>3500</v>
      </c>
      <c r="AJ40" s="113">
        <v>25114.12</v>
      </c>
      <c r="AK40" s="113">
        <f t="shared" si="19"/>
        <v>0</v>
      </c>
      <c r="AL40" s="113"/>
      <c r="AM40" s="113"/>
      <c r="AN40" s="114">
        <v>45.15</v>
      </c>
      <c r="AO40" s="100">
        <f t="shared" si="20"/>
        <v>28568.969999999998</v>
      </c>
      <c r="AP40" s="113"/>
      <c r="AQ40" s="85"/>
      <c r="AR40" s="85"/>
      <c r="AS40" s="85"/>
      <c r="AT40" s="115"/>
      <c r="AU40" s="115">
        <v>357.22</v>
      </c>
      <c r="AV40" s="100">
        <v>28336.869999999995</v>
      </c>
      <c r="AW40" s="85">
        <v>2869.4089999999997</v>
      </c>
      <c r="AX40" s="100">
        <f t="shared" si="21"/>
        <v>25342.340999999997</v>
      </c>
      <c r="AY40" s="85">
        <v>0</v>
      </c>
      <c r="AZ40" s="85">
        <v>24.744799999999998</v>
      </c>
      <c r="BA40" s="100">
        <v>28718.834799999997</v>
      </c>
      <c r="BB40" s="138">
        <v>1237.2</v>
      </c>
      <c r="BC40" s="138">
        <v>2030.7</v>
      </c>
      <c r="BD40" s="139">
        <v>-22199.560999999994</v>
      </c>
      <c r="BE40" s="87"/>
      <c r="BF40" s="87"/>
      <c r="BG40" s="87"/>
      <c r="BH40" s="87"/>
    </row>
    <row r="41" spans="1:62" s="24" customFormat="1" x14ac:dyDescent="0.25">
      <c r="A41" s="23" t="s">
        <v>73</v>
      </c>
      <c r="B41" s="24" t="s">
        <v>74</v>
      </c>
      <c r="C41" s="25">
        <f t="shared" si="1"/>
        <v>2000</v>
      </c>
      <c r="D41" s="25">
        <v>0</v>
      </c>
      <c r="E41" s="25">
        <f t="shared" si="2"/>
        <v>2735</v>
      </c>
      <c r="F41" s="25"/>
      <c r="G41" s="25"/>
      <c r="H41" s="25">
        <f t="shared" si="3"/>
        <v>4735</v>
      </c>
      <c r="I41" s="25">
        <f t="shared" si="4"/>
        <v>0</v>
      </c>
      <c r="J41" s="110">
        <f t="shared" si="5"/>
        <v>0</v>
      </c>
      <c r="K41" s="25">
        <f t="shared" si="6"/>
        <v>0</v>
      </c>
      <c r="L41" s="25">
        <f t="shared" si="0"/>
        <v>0</v>
      </c>
      <c r="M41" s="25">
        <f t="shared" si="7"/>
        <v>45.15</v>
      </c>
      <c r="N41" s="25">
        <f t="shared" si="8"/>
        <v>0</v>
      </c>
      <c r="O41" s="25">
        <f t="shared" si="9"/>
        <v>487.858</v>
      </c>
      <c r="P41" s="25">
        <f t="shared" si="10"/>
        <v>533.00800000000004</v>
      </c>
      <c r="Q41" s="25">
        <f t="shared" si="11"/>
        <v>4201.9920000000002</v>
      </c>
      <c r="R41" s="157">
        <f t="shared" si="12"/>
        <v>4689.8500000000004</v>
      </c>
      <c r="S41" s="157">
        <f t="shared" si="13"/>
        <v>0</v>
      </c>
      <c r="T41" s="157">
        <f>+'C&amp;A'!D41*0.02</f>
        <v>21.911999999999999</v>
      </c>
      <c r="U41" s="157">
        <f t="shared" si="14"/>
        <v>4711.7620000000006</v>
      </c>
      <c r="V41" s="157">
        <f t="shared" si="15"/>
        <v>753.88192000000015</v>
      </c>
      <c r="W41" s="157">
        <f t="shared" si="16"/>
        <v>5465.6439200000004</v>
      </c>
      <c r="X41" s="189">
        <f t="shared" si="17"/>
        <v>4201.9920000000002</v>
      </c>
      <c r="Y41" s="25">
        <f t="shared" si="18"/>
        <v>0</v>
      </c>
      <c r="Z41" s="110">
        <f>+Q41-'C&amp;A'!H41-SINDICATO!M41</f>
        <v>0</v>
      </c>
      <c r="AA41" s="111" t="s">
        <v>191</v>
      </c>
      <c r="AB41" s="111" t="s">
        <v>233</v>
      </c>
      <c r="AC41" s="112">
        <v>12</v>
      </c>
      <c r="AD41" s="111" t="s">
        <v>228</v>
      </c>
      <c r="AE41" s="111"/>
      <c r="AF41" s="111"/>
      <c r="AG41" s="113">
        <v>1237.2399999999998</v>
      </c>
      <c r="AH41" s="111">
        <v>762.76000000000022</v>
      </c>
      <c r="AI41" s="113">
        <v>2000</v>
      </c>
      <c r="AJ41" s="113">
        <v>2735</v>
      </c>
      <c r="AK41" s="113">
        <f t="shared" si="19"/>
        <v>0</v>
      </c>
      <c r="AL41" s="87"/>
      <c r="AM41" s="113"/>
      <c r="AN41" s="114">
        <v>45.15</v>
      </c>
      <c r="AO41" s="100">
        <f t="shared" si="20"/>
        <v>4689.8500000000004</v>
      </c>
      <c r="AP41" s="113"/>
      <c r="AQ41" s="85"/>
      <c r="AR41" s="85"/>
      <c r="AS41" s="85"/>
      <c r="AT41" s="142"/>
      <c r="AU41" s="142">
        <v>0</v>
      </c>
      <c r="AV41" s="100">
        <v>4878.58</v>
      </c>
      <c r="AW41" s="85">
        <v>487.858</v>
      </c>
      <c r="AX41" s="100">
        <f t="shared" si="21"/>
        <v>4201.9920000000002</v>
      </c>
      <c r="AY41" s="85">
        <v>0</v>
      </c>
      <c r="AZ41" s="85">
        <v>24.744799999999998</v>
      </c>
      <c r="BA41" s="100">
        <v>4903.3248000000003</v>
      </c>
      <c r="BB41" s="138">
        <v>1237.2</v>
      </c>
      <c r="BC41" s="138">
        <v>2571.5300000000002</v>
      </c>
      <c r="BD41" s="139">
        <v>-581.99199999999928</v>
      </c>
      <c r="BE41" s="96"/>
      <c r="BF41" s="87"/>
      <c r="BG41" s="87"/>
      <c r="BH41" s="87"/>
      <c r="BI41" s="87"/>
      <c r="BJ41" s="87"/>
    </row>
    <row r="42" spans="1:62" s="24" customFormat="1" x14ac:dyDescent="0.25">
      <c r="A42" s="23" t="s">
        <v>156</v>
      </c>
      <c r="B42" s="24" t="s">
        <v>157</v>
      </c>
      <c r="C42" s="25">
        <f t="shared" si="1"/>
        <v>5550</v>
      </c>
      <c r="D42" s="25">
        <v>0</v>
      </c>
      <c r="E42" s="25">
        <f t="shared" si="2"/>
        <v>0</v>
      </c>
      <c r="F42" s="25"/>
      <c r="G42" s="25"/>
      <c r="H42" s="25">
        <f t="shared" si="3"/>
        <v>5550</v>
      </c>
      <c r="I42" s="25">
        <f t="shared" si="4"/>
        <v>0</v>
      </c>
      <c r="J42" s="110">
        <f t="shared" si="5"/>
        <v>0</v>
      </c>
      <c r="K42" s="25">
        <f t="shared" si="6"/>
        <v>0</v>
      </c>
      <c r="L42" s="25">
        <f t="shared" si="0"/>
        <v>0</v>
      </c>
      <c r="M42" s="25">
        <f t="shared" si="7"/>
        <v>45.15</v>
      </c>
      <c r="N42" s="25">
        <f t="shared" si="8"/>
        <v>0</v>
      </c>
      <c r="O42" s="25">
        <f t="shared" si="9"/>
        <v>550.48500000000001</v>
      </c>
      <c r="P42" s="25">
        <f t="shared" si="10"/>
        <v>595.63499999999999</v>
      </c>
      <c r="Q42" s="25">
        <f t="shared" si="11"/>
        <v>4954.3649999999998</v>
      </c>
      <c r="R42" s="157">
        <f t="shared" si="12"/>
        <v>5504.85</v>
      </c>
      <c r="S42" s="157">
        <f t="shared" si="13"/>
        <v>0</v>
      </c>
      <c r="T42" s="157">
        <f>+'C&amp;A'!D42*0.02</f>
        <v>21.911999999999999</v>
      </c>
      <c r="U42" s="157">
        <f t="shared" si="14"/>
        <v>5526.7620000000006</v>
      </c>
      <c r="V42" s="157">
        <f t="shared" si="15"/>
        <v>884.28192000000013</v>
      </c>
      <c r="W42" s="157">
        <f t="shared" si="16"/>
        <v>6411.043920000001</v>
      </c>
      <c r="X42" s="189">
        <f t="shared" si="17"/>
        <v>4954.3650000000007</v>
      </c>
      <c r="Y42" s="25">
        <f t="shared" si="18"/>
        <v>0</v>
      </c>
      <c r="Z42" s="110">
        <f>+Q42-'C&amp;A'!H42-SINDICATO!M42</f>
        <v>0</v>
      </c>
      <c r="AA42" s="97" t="s">
        <v>237</v>
      </c>
      <c r="AB42" s="111" t="s">
        <v>238</v>
      </c>
      <c r="AC42" s="111" t="s">
        <v>156</v>
      </c>
      <c r="AD42" s="111" t="s">
        <v>199</v>
      </c>
      <c r="AE42" s="111"/>
      <c r="AF42" s="111"/>
      <c r="AG42" s="113">
        <v>1237.2399999999998</v>
      </c>
      <c r="AH42" s="111">
        <v>4312.76</v>
      </c>
      <c r="AI42" s="113">
        <v>5550</v>
      </c>
      <c r="AJ42" s="113"/>
      <c r="AK42" s="113">
        <f t="shared" si="19"/>
        <v>0</v>
      </c>
      <c r="AL42" s="113"/>
      <c r="AM42" s="113"/>
      <c r="AN42" s="114">
        <v>45.15</v>
      </c>
      <c r="AO42" s="100">
        <f t="shared" si="20"/>
        <v>5504.85</v>
      </c>
      <c r="AP42" s="113"/>
      <c r="AQ42" s="85"/>
      <c r="AR42" s="85"/>
      <c r="AS42" s="85"/>
      <c r="AT42" s="115"/>
      <c r="AU42" s="115">
        <v>0</v>
      </c>
      <c r="AV42" s="100">
        <v>5504.85</v>
      </c>
      <c r="AW42" s="85">
        <v>550.48500000000001</v>
      </c>
      <c r="AX42" s="100">
        <f t="shared" si="21"/>
        <v>4954.3650000000007</v>
      </c>
      <c r="AY42" s="85">
        <v>0</v>
      </c>
      <c r="AZ42" s="85">
        <v>24.744799999999998</v>
      </c>
      <c r="BA42" s="100">
        <v>5529.5948000000008</v>
      </c>
      <c r="BB42" s="138">
        <v>1237.2</v>
      </c>
      <c r="BC42" s="138">
        <v>3712.8</v>
      </c>
      <c r="BD42" s="174">
        <v>-4.3650000000006912</v>
      </c>
      <c r="BE42" s="87"/>
      <c r="BF42" s="87"/>
      <c r="BG42" s="87"/>
      <c r="BH42" s="87"/>
      <c r="BI42" s="87"/>
      <c r="BJ42" s="87"/>
    </row>
    <row r="43" spans="1:62" s="24" customFormat="1" x14ac:dyDescent="0.25">
      <c r="A43" s="23" t="s">
        <v>75</v>
      </c>
      <c r="B43" s="24" t="s">
        <v>76</v>
      </c>
      <c r="C43" s="25">
        <f t="shared" si="1"/>
        <v>1750</v>
      </c>
      <c r="D43" s="25">
        <v>0</v>
      </c>
      <c r="E43" s="25">
        <f t="shared" si="2"/>
        <v>2637.8</v>
      </c>
      <c r="F43" s="25"/>
      <c r="G43" s="25"/>
      <c r="H43" s="25">
        <f t="shared" si="3"/>
        <v>4387.8</v>
      </c>
      <c r="I43" s="25">
        <f t="shared" si="4"/>
        <v>0</v>
      </c>
      <c r="J43" s="110">
        <f t="shared" si="5"/>
        <v>0</v>
      </c>
      <c r="K43" s="25">
        <f t="shared" si="6"/>
        <v>0</v>
      </c>
      <c r="L43" s="25">
        <f t="shared" si="0"/>
        <v>0</v>
      </c>
      <c r="M43" s="25">
        <f t="shared" si="7"/>
        <v>45.15</v>
      </c>
      <c r="N43" s="25">
        <f t="shared" si="8"/>
        <v>0</v>
      </c>
      <c r="O43" s="25">
        <f t="shared" si="9"/>
        <v>0</v>
      </c>
      <c r="P43" s="25">
        <f t="shared" si="10"/>
        <v>45.15</v>
      </c>
      <c r="Q43" s="25">
        <f t="shared" si="11"/>
        <v>4342.6500000000005</v>
      </c>
      <c r="R43" s="157">
        <f t="shared" si="12"/>
        <v>4342.6500000000005</v>
      </c>
      <c r="S43" s="157">
        <f t="shared" si="13"/>
        <v>434.2650000000001</v>
      </c>
      <c r="T43" s="157">
        <f>+'C&amp;A'!D43*0.02</f>
        <v>21.911999999999999</v>
      </c>
      <c r="U43" s="157">
        <f t="shared" si="14"/>
        <v>4798.8270000000011</v>
      </c>
      <c r="V43" s="157">
        <f t="shared" si="15"/>
        <v>767.81232000000023</v>
      </c>
      <c r="W43" s="157">
        <f t="shared" si="16"/>
        <v>5566.6393200000011</v>
      </c>
      <c r="X43" s="189">
        <f t="shared" si="17"/>
        <v>4342.6500000000005</v>
      </c>
      <c r="Y43" s="25">
        <f t="shared" si="18"/>
        <v>0</v>
      </c>
      <c r="Z43" s="110">
        <f>+Q43-'C&amp;A'!H43-SINDICATO!M43</f>
        <v>0</v>
      </c>
      <c r="AA43" s="111" t="s">
        <v>191</v>
      </c>
      <c r="AB43" s="111" t="s">
        <v>239</v>
      </c>
      <c r="AC43" s="112" t="s">
        <v>75</v>
      </c>
      <c r="AD43" s="111" t="s">
        <v>240</v>
      </c>
      <c r="AE43" s="111"/>
      <c r="AF43" s="111"/>
      <c r="AG43" s="113">
        <v>1237.2399999999998</v>
      </c>
      <c r="AH43" s="111">
        <v>512.76000000000022</v>
      </c>
      <c r="AI43" s="113">
        <v>1750</v>
      </c>
      <c r="AJ43" s="113">
        <v>2637.8</v>
      </c>
      <c r="AK43" s="113">
        <f t="shared" si="19"/>
        <v>0</v>
      </c>
      <c r="AL43" s="113"/>
      <c r="AM43" s="113"/>
      <c r="AN43" s="114">
        <v>45.15</v>
      </c>
      <c r="AO43" s="100">
        <f t="shared" si="20"/>
        <v>4342.6500000000005</v>
      </c>
      <c r="AP43" s="113"/>
      <c r="AQ43" s="85"/>
      <c r="AR43" s="85"/>
      <c r="AS43" s="85"/>
      <c r="AT43" s="115"/>
      <c r="AU43" s="115">
        <v>0</v>
      </c>
      <c r="AV43" s="100">
        <v>4342.6500000000005</v>
      </c>
      <c r="AW43" s="85">
        <v>0</v>
      </c>
      <c r="AX43" s="100">
        <f t="shared" si="21"/>
        <v>4342.6500000000005</v>
      </c>
      <c r="AY43" s="85">
        <v>434.2650000000001</v>
      </c>
      <c r="AZ43" s="85">
        <v>24.744799999999998</v>
      </c>
      <c r="BA43" s="100">
        <v>4801.6598000000013</v>
      </c>
      <c r="BB43" s="138">
        <v>1237.2</v>
      </c>
      <c r="BC43" s="138">
        <v>2954.63</v>
      </c>
      <c r="BD43" s="139">
        <v>-150.82000000000062</v>
      </c>
      <c r="BE43" s="87"/>
      <c r="BF43" s="87"/>
      <c r="BG43" s="87"/>
      <c r="BH43" s="87"/>
      <c r="BI43" s="87"/>
      <c r="BJ43" s="87"/>
    </row>
    <row r="44" spans="1:62" s="24" customFormat="1" x14ac:dyDescent="0.25">
      <c r="A44" s="23" t="s">
        <v>77</v>
      </c>
      <c r="B44" s="24" t="s">
        <v>78</v>
      </c>
      <c r="C44" s="25">
        <f t="shared" si="1"/>
        <v>1000</v>
      </c>
      <c r="D44" s="25">
        <v>200.73299727735468</v>
      </c>
      <c r="E44" s="25">
        <f t="shared" si="2"/>
        <v>0</v>
      </c>
      <c r="F44" s="25"/>
      <c r="G44" s="25"/>
      <c r="H44" s="25">
        <f t="shared" si="3"/>
        <v>1200.7329972773546</v>
      </c>
      <c r="I44" s="25">
        <f t="shared" si="4"/>
        <v>0</v>
      </c>
      <c r="J44" s="110">
        <f t="shared" si="5"/>
        <v>0</v>
      </c>
      <c r="K44" s="25">
        <f t="shared" si="6"/>
        <v>0</v>
      </c>
      <c r="L44" s="25">
        <f t="shared" si="0"/>
        <v>0</v>
      </c>
      <c r="M44" s="25">
        <f t="shared" si="7"/>
        <v>45.15</v>
      </c>
      <c r="N44" s="25">
        <f t="shared" si="8"/>
        <v>0</v>
      </c>
      <c r="O44" s="25">
        <f t="shared" si="9"/>
        <v>0</v>
      </c>
      <c r="P44" s="25">
        <f t="shared" si="10"/>
        <v>45.15</v>
      </c>
      <c r="Q44" s="25">
        <f t="shared" si="11"/>
        <v>1155.5829972773545</v>
      </c>
      <c r="R44" s="157">
        <f t="shared" si="12"/>
        <v>1155.5829972773545</v>
      </c>
      <c r="S44" s="157">
        <f t="shared" si="13"/>
        <v>115.55799999999999</v>
      </c>
      <c r="T44" s="157">
        <f>+'C&amp;A'!D44*0.02</f>
        <v>18.990400000000001</v>
      </c>
      <c r="U44" s="157">
        <f t="shared" si="14"/>
        <v>1290.1313972773544</v>
      </c>
      <c r="V44" s="157">
        <f t="shared" si="15"/>
        <v>206.4210235643767</v>
      </c>
      <c r="W44" s="157">
        <f t="shared" si="16"/>
        <v>1496.552420841731</v>
      </c>
      <c r="X44" s="189">
        <f t="shared" si="17"/>
        <v>1155.5829972773545</v>
      </c>
      <c r="Y44" s="25">
        <f t="shared" si="18"/>
        <v>0</v>
      </c>
      <c r="Z44" s="110">
        <f>+Q44-'C&amp;A'!H44-SINDICATO!M44</f>
        <v>0</v>
      </c>
      <c r="AA44" s="111" t="s">
        <v>191</v>
      </c>
      <c r="AB44" s="111" t="s">
        <v>241</v>
      </c>
      <c r="AC44" s="112" t="s">
        <v>77</v>
      </c>
      <c r="AD44" s="111" t="s">
        <v>197</v>
      </c>
      <c r="AE44" s="111"/>
      <c r="AF44" s="111"/>
      <c r="AG44" s="113">
        <v>1000</v>
      </c>
      <c r="AH44" s="111"/>
      <c r="AI44" s="113">
        <v>1000</v>
      </c>
      <c r="AJ44" s="113"/>
      <c r="AK44" s="113">
        <f t="shared" si="19"/>
        <v>200.73299727735468</v>
      </c>
      <c r="AL44" s="113"/>
      <c r="AM44" s="113"/>
      <c r="AN44" s="114">
        <v>45.15</v>
      </c>
      <c r="AO44" s="100">
        <f t="shared" si="20"/>
        <v>1155.5829972773545</v>
      </c>
      <c r="AP44" s="113"/>
      <c r="AQ44" s="85"/>
      <c r="AR44" s="85"/>
      <c r="AS44" s="85"/>
      <c r="AT44" s="115"/>
      <c r="AU44" s="115">
        <v>0</v>
      </c>
      <c r="AV44" s="100">
        <v>1155.58</v>
      </c>
      <c r="AW44" s="85">
        <v>0</v>
      </c>
      <c r="AX44" s="100">
        <f t="shared" si="21"/>
        <v>1155.5829972773545</v>
      </c>
      <c r="AY44" s="85">
        <v>115.55799999999999</v>
      </c>
      <c r="AZ44" s="85">
        <v>20</v>
      </c>
      <c r="BA44" s="100">
        <v>1291.1379999999999</v>
      </c>
      <c r="BB44" s="138">
        <v>1062.8</v>
      </c>
      <c r="BC44" s="138">
        <v>1.1100000000000001</v>
      </c>
      <c r="BD44" s="174">
        <v>-91.670000000000073</v>
      </c>
      <c r="BE44" s="87"/>
      <c r="BF44" s="87"/>
      <c r="BG44" s="87"/>
      <c r="BH44" s="87"/>
      <c r="BI44" s="87"/>
      <c r="BJ44" s="87"/>
    </row>
    <row r="45" spans="1:62" s="24" customFormat="1" x14ac:dyDescent="0.25">
      <c r="A45" s="23" t="s">
        <v>79</v>
      </c>
      <c r="B45" s="24" t="s">
        <v>80</v>
      </c>
      <c r="C45" s="25">
        <f t="shared" si="1"/>
        <v>3500</v>
      </c>
      <c r="D45" s="25">
        <v>0</v>
      </c>
      <c r="E45" s="25">
        <f t="shared" si="2"/>
        <v>25445.65</v>
      </c>
      <c r="F45" s="25"/>
      <c r="G45" s="25"/>
      <c r="H45" s="25">
        <f t="shared" si="3"/>
        <v>28945.65</v>
      </c>
      <c r="I45" s="25">
        <f t="shared" si="4"/>
        <v>0</v>
      </c>
      <c r="J45" s="110">
        <f t="shared" si="5"/>
        <v>0</v>
      </c>
      <c r="K45" s="25">
        <f t="shared" si="6"/>
        <v>0</v>
      </c>
      <c r="L45" s="25">
        <f t="shared" si="0"/>
        <v>0</v>
      </c>
      <c r="M45" s="25">
        <f t="shared" si="7"/>
        <v>45.15</v>
      </c>
      <c r="N45" s="25">
        <f t="shared" si="8"/>
        <v>878.82</v>
      </c>
      <c r="O45" s="25">
        <f t="shared" si="9"/>
        <v>2902.5619999999999</v>
      </c>
      <c r="P45" s="25">
        <f t="shared" si="10"/>
        <v>3826.5320000000002</v>
      </c>
      <c r="Q45" s="25">
        <f t="shared" si="11"/>
        <v>25119.118000000002</v>
      </c>
      <c r="R45" s="157">
        <f t="shared" si="12"/>
        <v>28900.5</v>
      </c>
      <c r="S45" s="157">
        <f t="shared" si="13"/>
        <v>0</v>
      </c>
      <c r="T45" s="157">
        <f>+'C&amp;A'!D45*0.02</f>
        <v>21.911999999999999</v>
      </c>
      <c r="U45" s="157">
        <f t="shared" si="14"/>
        <v>28922.412</v>
      </c>
      <c r="V45" s="157">
        <f t="shared" si="15"/>
        <v>4627.5859200000004</v>
      </c>
      <c r="W45" s="157">
        <f t="shared" si="16"/>
        <v>33549.997920000002</v>
      </c>
      <c r="X45" s="189">
        <f t="shared" si="17"/>
        <v>25119.118000000002</v>
      </c>
      <c r="Y45" s="25">
        <f t="shared" si="18"/>
        <v>0</v>
      </c>
      <c r="Z45" s="110">
        <f>+Q45-'C&amp;A'!H45-SINDICATO!M45</f>
        <v>0</v>
      </c>
      <c r="AA45" s="111" t="s">
        <v>242</v>
      </c>
      <c r="AB45" s="111" t="s">
        <v>243</v>
      </c>
      <c r="AC45" s="112">
        <v>9</v>
      </c>
      <c r="AD45" s="111" t="s">
        <v>242</v>
      </c>
      <c r="AE45" s="111"/>
      <c r="AF45" s="111"/>
      <c r="AG45" s="113">
        <v>1237.2399999999998</v>
      </c>
      <c r="AH45" s="111">
        <v>2262.7600000000002</v>
      </c>
      <c r="AI45" s="113">
        <v>3500</v>
      </c>
      <c r="AJ45" s="113">
        <v>25445.65</v>
      </c>
      <c r="AK45" s="113">
        <f t="shared" si="19"/>
        <v>0</v>
      </c>
      <c r="AL45" s="113"/>
      <c r="AM45" s="113"/>
      <c r="AN45" s="114">
        <v>45.15</v>
      </c>
      <c r="AO45" s="100">
        <f t="shared" si="20"/>
        <v>28900.5</v>
      </c>
      <c r="AP45" s="113"/>
      <c r="AQ45" s="85"/>
      <c r="AR45" s="85"/>
      <c r="AS45" s="85"/>
      <c r="AT45" s="115"/>
      <c r="AU45" s="115">
        <v>878.82</v>
      </c>
      <c r="AV45" s="100">
        <v>28146.799999999999</v>
      </c>
      <c r="AW45" s="85">
        <v>2902.5619999999999</v>
      </c>
      <c r="AX45" s="100">
        <f t="shared" si="21"/>
        <v>25119.118000000002</v>
      </c>
      <c r="AY45" s="85">
        <v>0</v>
      </c>
      <c r="AZ45" s="85">
        <v>24.744799999999998</v>
      </c>
      <c r="BA45" s="100">
        <v>29050.364799999999</v>
      </c>
      <c r="BB45" s="138">
        <v>1237.2</v>
      </c>
      <c r="BC45" s="138">
        <v>1509.1</v>
      </c>
      <c r="BD45" s="139">
        <v>-22497.937999999998</v>
      </c>
      <c r="BE45" s="87"/>
      <c r="BF45" s="87"/>
      <c r="BG45" s="87"/>
      <c r="BH45" s="87"/>
      <c r="BI45" s="87"/>
      <c r="BJ45" s="87"/>
    </row>
    <row r="46" spans="1:62" s="24" customFormat="1" x14ac:dyDescent="0.25">
      <c r="A46" s="23" t="s">
        <v>81</v>
      </c>
      <c r="B46" s="24" t="s">
        <v>82</v>
      </c>
      <c r="C46" s="25">
        <f t="shared" si="1"/>
        <v>3500</v>
      </c>
      <c r="D46" s="25">
        <v>0</v>
      </c>
      <c r="E46" s="25">
        <f t="shared" si="2"/>
        <v>51164</v>
      </c>
      <c r="F46" s="25"/>
      <c r="G46" s="25"/>
      <c r="H46" s="25">
        <f t="shared" si="3"/>
        <v>54664</v>
      </c>
      <c r="I46" s="25">
        <f t="shared" si="4"/>
        <v>0</v>
      </c>
      <c r="J46" s="110">
        <f t="shared" si="5"/>
        <v>0</v>
      </c>
      <c r="K46" s="25">
        <f t="shared" si="6"/>
        <v>0</v>
      </c>
      <c r="L46" s="25">
        <f t="shared" si="0"/>
        <v>0</v>
      </c>
      <c r="M46" s="25">
        <f t="shared" si="7"/>
        <v>45.15</v>
      </c>
      <c r="N46" s="25">
        <f t="shared" si="8"/>
        <v>0</v>
      </c>
      <c r="O46" s="25">
        <f t="shared" si="9"/>
        <v>5474.3970000000008</v>
      </c>
      <c r="P46" s="25">
        <f t="shared" si="10"/>
        <v>5519.5470000000005</v>
      </c>
      <c r="Q46" s="25">
        <f t="shared" si="11"/>
        <v>49144.453000000001</v>
      </c>
      <c r="R46" s="157">
        <f t="shared" si="12"/>
        <v>54618.85</v>
      </c>
      <c r="S46" s="157">
        <f t="shared" si="13"/>
        <v>0</v>
      </c>
      <c r="T46" s="157">
        <f>+'C&amp;A'!D46*0.02</f>
        <v>21.911999999999999</v>
      </c>
      <c r="U46" s="157">
        <f t="shared" si="14"/>
        <v>54640.761999999995</v>
      </c>
      <c r="V46" s="157">
        <f t="shared" si="15"/>
        <v>8742.5219199999992</v>
      </c>
      <c r="W46" s="157">
        <f t="shared" si="16"/>
        <v>63383.283919999994</v>
      </c>
      <c r="X46" s="189">
        <f t="shared" si="17"/>
        <v>49144.452999999994</v>
      </c>
      <c r="Y46" s="25">
        <f t="shared" si="18"/>
        <v>0</v>
      </c>
      <c r="Z46" s="110">
        <f>+Q46-'C&amp;A'!H46-SINDICATO!M46</f>
        <v>0</v>
      </c>
      <c r="AA46" s="111" t="s">
        <v>201</v>
      </c>
      <c r="AB46" s="111" t="s">
        <v>244</v>
      </c>
      <c r="AC46" s="111" t="s">
        <v>81</v>
      </c>
      <c r="AD46" s="111" t="s">
        <v>245</v>
      </c>
      <c r="AE46" s="111"/>
      <c r="AF46" s="111"/>
      <c r="AG46" s="113">
        <v>1237.2399999999998</v>
      </c>
      <c r="AH46" s="111">
        <v>2262.7600000000002</v>
      </c>
      <c r="AI46" s="113">
        <v>3500</v>
      </c>
      <c r="AJ46" s="113">
        <v>51164</v>
      </c>
      <c r="AK46" s="113">
        <f t="shared" si="19"/>
        <v>0</v>
      </c>
      <c r="AL46" s="113"/>
      <c r="AM46" s="113"/>
      <c r="AN46" s="114">
        <v>45.15</v>
      </c>
      <c r="AO46" s="100">
        <f t="shared" si="20"/>
        <v>54618.85</v>
      </c>
      <c r="AP46" s="113"/>
      <c r="AQ46" s="85"/>
      <c r="AR46" s="85"/>
      <c r="AS46" s="85"/>
      <c r="AT46" s="115"/>
      <c r="AU46" s="115"/>
      <c r="AV46" s="100">
        <v>54743.97</v>
      </c>
      <c r="AW46" s="85">
        <v>5474.3970000000008</v>
      </c>
      <c r="AX46" s="100">
        <f t="shared" si="21"/>
        <v>49144.452999999994</v>
      </c>
      <c r="AY46" s="85">
        <v>0</v>
      </c>
      <c r="AZ46" s="85">
        <v>24.744799999999998</v>
      </c>
      <c r="BA46" s="100">
        <v>54768.714800000002</v>
      </c>
      <c r="BB46" s="138">
        <v>1237.2</v>
      </c>
      <c r="BC46" s="138">
        <v>2387.92</v>
      </c>
      <c r="BD46" s="139">
        <v>-45644.453000000001</v>
      </c>
      <c r="BE46" s="87"/>
      <c r="BF46" s="87"/>
      <c r="BG46" s="87"/>
      <c r="BH46" s="87"/>
      <c r="BI46" s="87"/>
      <c r="BJ46" s="87"/>
    </row>
    <row r="47" spans="1:62" s="24" customFormat="1" x14ac:dyDescent="0.25">
      <c r="A47" s="23" t="s">
        <v>83</v>
      </c>
      <c r="B47" s="24" t="s">
        <v>84</v>
      </c>
      <c r="C47" s="25">
        <f t="shared" si="1"/>
        <v>5000</v>
      </c>
      <c r="D47" s="25">
        <v>0</v>
      </c>
      <c r="E47" s="25">
        <f t="shared" si="2"/>
        <v>9036.9500000000007</v>
      </c>
      <c r="F47" s="25"/>
      <c r="G47" s="25"/>
      <c r="H47" s="25">
        <f t="shared" si="3"/>
        <v>14036.95</v>
      </c>
      <c r="I47" s="25">
        <f t="shared" si="4"/>
        <v>0</v>
      </c>
      <c r="J47" s="110">
        <f t="shared" si="5"/>
        <v>0</v>
      </c>
      <c r="K47" s="25">
        <f t="shared" si="6"/>
        <v>0</v>
      </c>
      <c r="L47" s="25">
        <f t="shared" si="0"/>
        <v>0</v>
      </c>
      <c r="M47" s="25">
        <f t="shared" si="7"/>
        <v>45.15</v>
      </c>
      <c r="N47" s="25">
        <f t="shared" si="8"/>
        <v>0</v>
      </c>
      <c r="O47" s="25">
        <f t="shared" si="9"/>
        <v>1399.1800000000003</v>
      </c>
      <c r="P47" s="25">
        <f t="shared" si="10"/>
        <v>1444.3300000000004</v>
      </c>
      <c r="Q47" s="25">
        <f t="shared" si="11"/>
        <v>12592.62</v>
      </c>
      <c r="R47" s="157">
        <f t="shared" si="12"/>
        <v>13991.800000000001</v>
      </c>
      <c r="S47" s="157">
        <f t="shared" si="13"/>
        <v>0</v>
      </c>
      <c r="T47" s="157">
        <f>+'C&amp;A'!D47*0.02</f>
        <v>21.911999999999999</v>
      </c>
      <c r="U47" s="157">
        <f t="shared" si="14"/>
        <v>14013.712000000001</v>
      </c>
      <c r="V47" s="157">
        <f t="shared" si="15"/>
        <v>2242.1939200000002</v>
      </c>
      <c r="W47" s="157">
        <f t="shared" si="16"/>
        <v>16255.905920000001</v>
      </c>
      <c r="X47" s="189">
        <f t="shared" si="17"/>
        <v>12592.62</v>
      </c>
      <c r="Y47" s="25">
        <f t="shared" si="18"/>
        <v>0</v>
      </c>
      <c r="Z47" s="110">
        <f>+Q47-'C&amp;A'!H47-SINDICATO!M47</f>
        <v>0</v>
      </c>
      <c r="AA47" s="111" t="s">
        <v>226</v>
      </c>
      <c r="AB47" s="111" t="s">
        <v>136</v>
      </c>
      <c r="AC47" s="112">
        <v>13</v>
      </c>
      <c r="AD47" s="111" t="s">
        <v>297</v>
      </c>
      <c r="AE47" s="111"/>
      <c r="AF47" s="111"/>
      <c r="AG47" s="113">
        <v>1237.2399999999998</v>
      </c>
      <c r="AH47" s="111">
        <v>3762.76</v>
      </c>
      <c r="AI47" s="113">
        <v>5000</v>
      </c>
      <c r="AJ47" s="113">
        <v>9036.9500000000007</v>
      </c>
      <c r="AK47" s="113">
        <f t="shared" si="19"/>
        <v>0</v>
      </c>
      <c r="AL47" s="113"/>
      <c r="AM47" s="113"/>
      <c r="AN47" s="114">
        <v>45.15</v>
      </c>
      <c r="AO47" s="100">
        <f t="shared" si="20"/>
        <v>13991.800000000001</v>
      </c>
      <c r="AP47" s="113"/>
      <c r="AQ47" s="85"/>
      <c r="AR47" s="85"/>
      <c r="AS47" s="85"/>
      <c r="AT47" s="115"/>
      <c r="AU47" s="115">
        <v>0</v>
      </c>
      <c r="AV47" s="100">
        <v>13991.800000000001</v>
      </c>
      <c r="AW47" s="85">
        <v>1399.1800000000003</v>
      </c>
      <c r="AX47" s="100">
        <f t="shared" si="21"/>
        <v>12592.62</v>
      </c>
      <c r="AY47" s="85">
        <v>0</v>
      </c>
      <c r="AZ47" s="85">
        <v>24.744799999999998</v>
      </c>
      <c r="BA47" s="100">
        <v>14016.544800000001</v>
      </c>
      <c r="BB47" s="138">
        <v>1237.2</v>
      </c>
      <c r="BC47" s="138">
        <v>3226.7</v>
      </c>
      <c r="BD47" s="174">
        <v>-8128.7200000000012</v>
      </c>
      <c r="BE47" s="87"/>
      <c r="BF47" s="87"/>
      <c r="BG47" s="87"/>
      <c r="BH47" s="87"/>
      <c r="BI47" s="87"/>
      <c r="BJ47" s="87"/>
    </row>
    <row r="48" spans="1:62" s="24" customFormat="1" x14ac:dyDescent="0.25">
      <c r="A48" s="56" t="s">
        <v>163</v>
      </c>
      <c r="B48" s="24" t="s">
        <v>158</v>
      </c>
      <c r="C48" s="25">
        <f t="shared" si="1"/>
        <v>5000</v>
      </c>
      <c r="D48" s="25">
        <v>0</v>
      </c>
      <c r="E48" s="25">
        <f t="shared" si="2"/>
        <v>36115.03</v>
      </c>
      <c r="F48" s="25"/>
      <c r="G48" s="25"/>
      <c r="H48" s="25">
        <f t="shared" si="3"/>
        <v>41115.03</v>
      </c>
      <c r="I48" s="25">
        <f t="shared" si="4"/>
        <v>0</v>
      </c>
      <c r="J48" s="110">
        <f t="shared" si="5"/>
        <v>0</v>
      </c>
      <c r="K48" s="25">
        <f t="shared" si="6"/>
        <v>0</v>
      </c>
      <c r="L48" s="25">
        <f t="shared" si="0"/>
        <v>0</v>
      </c>
      <c r="M48" s="25">
        <f t="shared" si="7"/>
        <v>45.15</v>
      </c>
      <c r="N48" s="25">
        <f t="shared" si="8"/>
        <v>0</v>
      </c>
      <c r="O48" s="25">
        <f t="shared" si="9"/>
        <v>4106.9880000000003</v>
      </c>
      <c r="P48" s="25">
        <f t="shared" si="10"/>
        <v>4152.1379999999999</v>
      </c>
      <c r="Q48" s="25">
        <f t="shared" si="11"/>
        <v>36962.892</v>
      </c>
      <c r="R48" s="157">
        <f t="shared" si="12"/>
        <v>41069.879999999997</v>
      </c>
      <c r="S48" s="157">
        <f t="shared" si="13"/>
        <v>0</v>
      </c>
      <c r="T48" s="157">
        <f>+'C&amp;A'!D48*0.02</f>
        <v>21.911999999999999</v>
      </c>
      <c r="U48" s="157">
        <f t="shared" si="14"/>
        <v>41091.791999999994</v>
      </c>
      <c r="V48" s="157">
        <f t="shared" si="15"/>
        <v>6574.6867199999988</v>
      </c>
      <c r="W48" s="157">
        <f t="shared" si="16"/>
        <v>47666.478719999992</v>
      </c>
      <c r="X48" s="189">
        <f t="shared" si="17"/>
        <v>36962.892</v>
      </c>
      <c r="Y48" s="25">
        <f t="shared" si="18"/>
        <v>0</v>
      </c>
      <c r="Z48" s="110">
        <f>+Q48-'C&amp;A'!H48-SINDICATO!M48</f>
        <v>0</v>
      </c>
      <c r="AA48" s="111" t="s">
        <v>201</v>
      </c>
      <c r="AB48" s="111" t="s">
        <v>246</v>
      </c>
      <c r="AC48" s="112"/>
      <c r="AD48" s="111" t="s">
        <v>247</v>
      </c>
      <c r="AE48" s="111"/>
      <c r="AF48" s="111"/>
      <c r="AG48" s="113">
        <v>1237.2399999999998</v>
      </c>
      <c r="AH48" s="175">
        <v>3762.76</v>
      </c>
      <c r="AI48" s="113">
        <v>5000</v>
      </c>
      <c r="AJ48" s="113">
        <v>36115.03</v>
      </c>
      <c r="AK48" s="113">
        <f t="shared" si="19"/>
        <v>0</v>
      </c>
      <c r="AL48" s="113"/>
      <c r="AM48" s="113"/>
      <c r="AN48" s="114">
        <v>45.15</v>
      </c>
      <c r="AO48" s="100">
        <f t="shared" si="20"/>
        <v>41069.879999999997</v>
      </c>
      <c r="AP48" s="113"/>
      <c r="AQ48" s="85"/>
      <c r="AR48" s="85"/>
      <c r="AS48" s="85"/>
      <c r="AT48" s="115"/>
      <c r="AU48" s="115">
        <v>0</v>
      </c>
      <c r="AV48" s="100">
        <v>41069.879999999997</v>
      </c>
      <c r="AW48" s="85">
        <v>4106.9880000000003</v>
      </c>
      <c r="AX48" s="100">
        <f t="shared" si="21"/>
        <v>36962.892</v>
      </c>
      <c r="AY48" s="85">
        <v>0</v>
      </c>
      <c r="AZ48" s="85">
        <v>24.744799999999998</v>
      </c>
      <c r="BA48" s="100">
        <v>41094.624799999998</v>
      </c>
      <c r="BB48" s="138">
        <v>1237.2</v>
      </c>
      <c r="BC48" s="138">
        <v>14581.2</v>
      </c>
      <c r="BD48" s="139">
        <v>-21144.491999999998</v>
      </c>
      <c r="BE48" s="87"/>
      <c r="BF48" s="87"/>
      <c r="BG48" s="87"/>
      <c r="BH48" s="87"/>
      <c r="BI48" s="87"/>
      <c r="BJ48" s="87"/>
    </row>
    <row r="49" spans="1:67" s="24" customFormat="1" x14ac:dyDescent="0.25">
      <c r="A49" s="23" t="s">
        <v>87</v>
      </c>
      <c r="B49" s="24" t="s">
        <v>88</v>
      </c>
      <c r="C49" s="25">
        <f t="shared" si="1"/>
        <v>2000</v>
      </c>
      <c r="D49" s="25">
        <v>0</v>
      </c>
      <c r="E49" s="25">
        <f t="shared" si="2"/>
        <v>8981.98</v>
      </c>
      <c r="F49" s="25"/>
      <c r="G49" s="25"/>
      <c r="H49" s="25">
        <f t="shared" si="3"/>
        <v>10981.98</v>
      </c>
      <c r="I49" s="25">
        <f t="shared" si="4"/>
        <v>0</v>
      </c>
      <c r="J49" s="110">
        <f t="shared" si="5"/>
        <v>0</v>
      </c>
      <c r="K49" s="25">
        <f t="shared" si="6"/>
        <v>0</v>
      </c>
      <c r="L49" s="25">
        <f t="shared" si="0"/>
        <v>0</v>
      </c>
      <c r="M49" s="25">
        <f t="shared" si="7"/>
        <v>45.15</v>
      </c>
      <c r="N49" s="25">
        <f t="shared" si="8"/>
        <v>1280.0899999999999</v>
      </c>
      <c r="O49" s="25">
        <f t="shared" si="9"/>
        <v>1112.556</v>
      </c>
      <c r="P49" s="25">
        <f t="shared" si="10"/>
        <v>2437.7960000000003</v>
      </c>
      <c r="Q49" s="25">
        <f t="shared" si="11"/>
        <v>8544.1839999999993</v>
      </c>
      <c r="R49" s="157">
        <f t="shared" si="12"/>
        <v>10936.83</v>
      </c>
      <c r="S49" s="157">
        <f t="shared" si="13"/>
        <v>0</v>
      </c>
      <c r="T49" s="157">
        <f>+'C&amp;A'!D49*0.02</f>
        <v>21.911999999999999</v>
      </c>
      <c r="U49" s="157">
        <f t="shared" si="14"/>
        <v>10958.742</v>
      </c>
      <c r="V49" s="157">
        <f t="shared" si="15"/>
        <v>1753.3987200000001</v>
      </c>
      <c r="W49" s="157">
        <f t="shared" si="16"/>
        <v>12712.140719999999</v>
      </c>
      <c r="X49" s="189">
        <f t="shared" si="17"/>
        <v>8544.1839999999993</v>
      </c>
      <c r="Y49" s="25">
        <f t="shared" si="18"/>
        <v>0</v>
      </c>
      <c r="Z49" s="110">
        <f>+Q49-'C&amp;A'!H49-SINDICATO!M49</f>
        <v>0</v>
      </c>
      <c r="AA49" s="111" t="s">
        <v>191</v>
      </c>
      <c r="AB49" s="111" t="s">
        <v>248</v>
      </c>
      <c r="AC49" s="112" t="s">
        <v>87</v>
      </c>
      <c r="AD49" s="111" t="s">
        <v>249</v>
      </c>
      <c r="AE49" s="111"/>
      <c r="AF49" s="111"/>
      <c r="AG49" s="113">
        <v>1237.2399999999998</v>
      </c>
      <c r="AH49" s="111">
        <v>762.76000000000022</v>
      </c>
      <c r="AI49" s="113">
        <v>2000</v>
      </c>
      <c r="AJ49" s="113">
        <v>8981.98</v>
      </c>
      <c r="AK49" s="113">
        <f t="shared" si="19"/>
        <v>0</v>
      </c>
      <c r="AL49" s="113"/>
      <c r="AM49" s="113"/>
      <c r="AN49" s="114">
        <v>45.15</v>
      </c>
      <c r="AO49" s="100">
        <f t="shared" si="20"/>
        <v>10936.83</v>
      </c>
      <c r="AP49" s="113"/>
      <c r="AQ49" s="85"/>
      <c r="AR49" s="85"/>
      <c r="AS49" s="85"/>
      <c r="AT49" s="115"/>
      <c r="AU49" s="115">
        <v>1280.0899999999999</v>
      </c>
      <c r="AV49" s="100">
        <v>9845.4699999999993</v>
      </c>
      <c r="AW49" s="85">
        <v>1112.556</v>
      </c>
      <c r="AX49" s="100">
        <f t="shared" si="21"/>
        <v>8544.1839999999993</v>
      </c>
      <c r="AY49" s="85">
        <v>0</v>
      </c>
      <c r="AZ49" s="85">
        <v>24.744799999999998</v>
      </c>
      <c r="BA49" s="100">
        <v>11150.3048</v>
      </c>
      <c r="BB49" s="138">
        <v>834.2</v>
      </c>
      <c r="BC49" s="138">
        <v>74.44</v>
      </c>
      <c r="BD49" s="139">
        <v>-7824.2739999999985</v>
      </c>
      <c r="BE49" s="87"/>
      <c r="BF49" s="87"/>
      <c r="BG49" s="87"/>
      <c r="BH49" s="87"/>
      <c r="BI49" s="87"/>
      <c r="BJ49" s="87"/>
    </row>
    <row r="50" spans="1:67" s="24" customFormat="1" x14ac:dyDescent="0.25">
      <c r="A50" s="23" t="s">
        <v>89</v>
      </c>
      <c r="B50" s="24" t="s">
        <v>90</v>
      </c>
      <c r="C50" s="25">
        <f t="shared" si="1"/>
        <v>1200</v>
      </c>
      <c r="D50" s="25">
        <v>0</v>
      </c>
      <c r="E50" s="25">
        <f t="shared" si="2"/>
        <v>4980.6899999999996</v>
      </c>
      <c r="F50" s="25"/>
      <c r="G50" s="25"/>
      <c r="H50" s="25">
        <f t="shared" si="3"/>
        <v>6180.69</v>
      </c>
      <c r="I50" s="25">
        <f t="shared" si="4"/>
        <v>0</v>
      </c>
      <c r="J50" s="110">
        <f t="shared" si="5"/>
        <v>0</v>
      </c>
      <c r="K50" s="25">
        <f t="shared" si="6"/>
        <v>0</v>
      </c>
      <c r="L50" s="25">
        <f t="shared" si="0"/>
        <v>0</v>
      </c>
      <c r="M50" s="25">
        <f t="shared" si="7"/>
        <v>45.15</v>
      </c>
      <c r="N50" s="25">
        <f t="shared" si="8"/>
        <v>0</v>
      </c>
      <c r="O50" s="25">
        <f t="shared" si="9"/>
        <v>626.06600000000003</v>
      </c>
      <c r="P50" s="25">
        <f t="shared" si="10"/>
        <v>671.21600000000001</v>
      </c>
      <c r="Q50" s="25">
        <f t="shared" si="11"/>
        <v>5509.4739999999993</v>
      </c>
      <c r="R50" s="157">
        <f t="shared" si="12"/>
        <v>6135.54</v>
      </c>
      <c r="S50" s="157">
        <f t="shared" si="13"/>
        <v>0</v>
      </c>
      <c r="T50" s="157">
        <f>+'C&amp;A'!D50*0.02</f>
        <v>21.911999999999999</v>
      </c>
      <c r="U50" s="157">
        <f t="shared" si="14"/>
        <v>6157.4520000000002</v>
      </c>
      <c r="V50" s="157">
        <f t="shared" si="15"/>
        <v>985.19232000000011</v>
      </c>
      <c r="W50" s="157">
        <f t="shared" si="16"/>
        <v>7142.6443200000003</v>
      </c>
      <c r="X50" s="189">
        <f t="shared" si="17"/>
        <v>5509.4740000000002</v>
      </c>
      <c r="Y50" s="25">
        <f t="shared" si="18"/>
        <v>0</v>
      </c>
      <c r="Z50" s="110">
        <f>+Q50-'C&amp;A'!H50-SINDICATO!M50</f>
        <v>0</v>
      </c>
      <c r="AA50" s="111" t="s">
        <v>234</v>
      </c>
      <c r="AB50" s="111" t="s">
        <v>250</v>
      </c>
      <c r="AC50" s="111" t="s">
        <v>89</v>
      </c>
      <c r="AD50" s="111" t="s">
        <v>122</v>
      </c>
      <c r="AE50" s="111"/>
      <c r="AF50" s="111"/>
      <c r="AG50" s="113">
        <v>1237.2399999999998</v>
      </c>
      <c r="AH50" s="111">
        <v>-37.239999999999782</v>
      </c>
      <c r="AI50" s="113">
        <v>1200</v>
      </c>
      <c r="AJ50" s="113">
        <v>4980.6899999999996</v>
      </c>
      <c r="AK50" s="113">
        <f t="shared" si="19"/>
        <v>0</v>
      </c>
      <c r="AL50" s="113"/>
      <c r="AM50" s="113"/>
      <c r="AN50" s="114">
        <v>45.15</v>
      </c>
      <c r="AO50" s="100">
        <f t="shared" si="20"/>
        <v>6135.54</v>
      </c>
      <c r="AP50" s="113"/>
      <c r="AQ50" s="85"/>
      <c r="AR50" s="85"/>
      <c r="AS50" s="85"/>
      <c r="AT50" s="115"/>
      <c r="AU50" s="115">
        <v>0</v>
      </c>
      <c r="AV50" s="100">
        <v>6260.66</v>
      </c>
      <c r="AW50" s="85">
        <v>626.06600000000003</v>
      </c>
      <c r="AX50" s="100">
        <f t="shared" si="21"/>
        <v>5509.4740000000002</v>
      </c>
      <c r="AY50" s="85">
        <v>0</v>
      </c>
      <c r="AZ50" s="85">
        <v>24.744799999999998</v>
      </c>
      <c r="BA50" s="100">
        <v>6285.4048000000003</v>
      </c>
      <c r="BB50" s="138">
        <v>1237.2</v>
      </c>
      <c r="BC50" s="138">
        <v>2181.23</v>
      </c>
      <c r="BD50" s="174">
        <v>-2216.1639999999998</v>
      </c>
      <c r="BE50" s="87"/>
      <c r="BF50" s="87"/>
      <c r="BG50" s="87"/>
      <c r="BH50" s="87"/>
      <c r="BI50" s="87"/>
      <c r="BJ50" s="87"/>
    </row>
    <row r="51" spans="1:67" s="24" customFormat="1" x14ac:dyDescent="0.25">
      <c r="A51" s="23" t="s">
        <v>91</v>
      </c>
      <c r="B51" s="24" t="s">
        <v>92</v>
      </c>
      <c r="C51" s="25">
        <f t="shared" si="1"/>
        <v>1200</v>
      </c>
      <c r="D51" s="25">
        <v>0</v>
      </c>
      <c r="E51" s="25">
        <f t="shared" si="2"/>
        <v>3107.24</v>
      </c>
      <c r="F51" s="25"/>
      <c r="G51" s="25"/>
      <c r="H51" s="25">
        <f t="shared" si="3"/>
        <v>4307.24</v>
      </c>
      <c r="I51" s="25">
        <f t="shared" si="4"/>
        <v>0</v>
      </c>
      <c r="J51" s="110">
        <f t="shared" si="5"/>
        <v>0</v>
      </c>
      <c r="K51" s="25">
        <f t="shared" si="6"/>
        <v>0</v>
      </c>
      <c r="L51" s="25">
        <f t="shared" si="0"/>
        <v>0</v>
      </c>
      <c r="M51" s="25">
        <f t="shared" si="7"/>
        <v>45.15</v>
      </c>
      <c r="N51" s="25">
        <f t="shared" si="8"/>
        <v>0</v>
      </c>
      <c r="O51" s="25">
        <f t="shared" si="9"/>
        <v>0</v>
      </c>
      <c r="P51" s="25">
        <f t="shared" si="10"/>
        <v>45.15</v>
      </c>
      <c r="Q51" s="25">
        <f t="shared" si="11"/>
        <v>4262.09</v>
      </c>
      <c r="R51" s="157">
        <f t="shared" si="12"/>
        <v>4262.09</v>
      </c>
      <c r="S51" s="157">
        <f t="shared" si="13"/>
        <v>426.20900000000006</v>
      </c>
      <c r="T51" s="157">
        <f>+'C&amp;A'!D51*0.02</f>
        <v>21.911999999999999</v>
      </c>
      <c r="U51" s="157">
        <f t="shared" si="14"/>
        <v>4710.2110000000002</v>
      </c>
      <c r="V51" s="157">
        <f t="shared" si="15"/>
        <v>753.63376000000005</v>
      </c>
      <c r="W51" s="157">
        <f t="shared" si="16"/>
        <v>5463.84476</v>
      </c>
      <c r="X51" s="189">
        <f t="shared" si="17"/>
        <v>4262.09</v>
      </c>
      <c r="Y51" s="25">
        <f t="shared" si="18"/>
        <v>0</v>
      </c>
      <c r="Z51" s="110">
        <f>+Q51-'C&amp;A'!H51-SINDICATO!M51</f>
        <v>0</v>
      </c>
      <c r="AA51" s="111" t="s">
        <v>234</v>
      </c>
      <c r="AB51" s="111" t="s">
        <v>140</v>
      </c>
      <c r="AC51" s="111">
        <v>33</v>
      </c>
      <c r="AD51" s="111" t="s">
        <v>251</v>
      </c>
      <c r="AE51" s="111"/>
      <c r="AF51" s="111"/>
      <c r="AG51" s="113">
        <v>1237.2399999999998</v>
      </c>
      <c r="AH51" s="111">
        <v>-37.239999999999782</v>
      </c>
      <c r="AI51" s="113">
        <v>1200</v>
      </c>
      <c r="AJ51" s="113">
        <v>3107.24</v>
      </c>
      <c r="AK51" s="113">
        <f t="shared" si="19"/>
        <v>0</v>
      </c>
      <c r="AL51" s="113"/>
      <c r="AM51" s="113"/>
      <c r="AN51" s="114">
        <v>45.15</v>
      </c>
      <c r="AO51" s="100">
        <f t="shared" si="20"/>
        <v>4262.09</v>
      </c>
      <c r="AP51" s="113"/>
      <c r="AQ51" s="85"/>
      <c r="AR51" s="85"/>
      <c r="AS51" s="85"/>
      <c r="AT51" s="115"/>
      <c r="AU51" s="115">
        <v>0</v>
      </c>
      <c r="AV51" s="100">
        <v>4262.09</v>
      </c>
      <c r="AW51" s="85">
        <v>0</v>
      </c>
      <c r="AX51" s="100">
        <f t="shared" si="21"/>
        <v>4262.09</v>
      </c>
      <c r="AY51" s="85">
        <v>426.20900000000006</v>
      </c>
      <c r="AZ51" s="85">
        <v>24.744799999999998</v>
      </c>
      <c r="BA51" s="100">
        <v>4713.0438000000004</v>
      </c>
      <c r="BB51" s="138">
        <v>1237.2</v>
      </c>
      <c r="BC51" s="138">
        <v>3991.77</v>
      </c>
      <c r="BD51" s="174">
        <v>966.88000000000011</v>
      </c>
      <c r="BE51" s="87"/>
      <c r="BF51" s="87"/>
      <c r="BG51" s="87"/>
      <c r="BH51" s="87"/>
      <c r="BI51" s="87"/>
      <c r="BJ51" s="87"/>
    </row>
    <row r="52" spans="1:67" s="24" customFormat="1" x14ac:dyDescent="0.25">
      <c r="A52" s="23" t="s">
        <v>93</v>
      </c>
      <c r="B52" s="24" t="s">
        <v>94</v>
      </c>
      <c r="C52" s="25">
        <f t="shared" si="1"/>
        <v>2000</v>
      </c>
      <c r="D52" s="25">
        <v>0</v>
      </c>
      <c r="E52" s="25">
        <f t="shared" si="2"/>
        <v>5129.58</v>
      </c>
      <c r="F52" s="25"/>
      <c r="G52" s="25"/>
      <c r="H52" s="25">
        <f t="shared" si="3"/>
        <v>7129.58</v>
      </c>
      <c r="I52" s="25">
        <f t="shared" si="4"/>
        <v>0</v>
      </c>
      <c r="J52" s="110">
        <f t="shared" si="5"/>
        <v>0</v>
      </c>
      <c r="K52" s="25">
        <f t="shared" si="6"/>
        <v>0</v>
      </c>
      <c r="L52" s="25">
        <f t="shared" si="0"/>
        <v>0</v>
      </c>
      <c r="M52" s="25">
        <f t="shared" si="7"/>
        <v>45.15</v>
      </c>
      <c r="N52" s="25">
        <f t="shared" si="8"/>
        <v>0</v>
      </c>
      <c r="O52" s="25">
        <f t="shared" si="9"/>
        <v>727.31600000000003</v>
      </c>
      <c r="P52" s="25">
        <f t="shared" si="10"/>
        <v>772.46600000000001</v>
      </c>
      <c r="Q52" s="25">
        <f t="shared" si="11"/>
        <v>6357.1139999999996</v>
      </c>
      <c r="R52" s="157">
        <f t="shared" si="12"/>
        <v>7084.43</v>
      </c>
      <c r="S52" s="157">
        <f t="shared" si="13"/>
        <v>0</v>
      </c>
      <c r="T52" s="157">
        <f>+'C&amp;A'!D52*0.02</f>
        <v>21.911999999999999</v>
      </c>
      <c r="U52" s="157">
        <f t="shared" si="14"/>
        <v>7106.3420000000006</v>
      </c>
      <c r="V52" s="157">
        <f t="shared" si="15"/>
        <v>1137.0147200000001</v>
      </c>
      <c r="W52" s="157">
        <f t="shared" si="16"/>
        <v>8243.3567199999998</v>
      </c>
      <c r="X52" s="189">
        <f t="shared" si="17"/>
        <v>6357.1140000000005</v>
      </c>
      <c r="Y52" s="25">
        <f t="shared" si="18"/>
        <v>0</v>
      </c>
      <c r="Z52" s="110">
        <f>+Q52-'C&amp;A'!H52-SINDICATO!M52</f>
        <v>0</v>
      </c>
      <c r="AA52" s="111" t="s">
        <v>252</v>
      </c>
      <c r="AB52" s="111" t="s">
        <v>135</v>
      </c>
      <c r="AC52" s="112" t="s">
        <v>93</v>
      </c>
      <c r="AD52" s="111" t="s">
        <v>253</v>
      </c>
      <c r="AE52" s="111"/>
      <c r="AF52" s="111"/>
      <c r="AG52" s="113">
        <v>1237.2399999999998</v>
      </c>
      <c r="AH52" s="111">
        <v>762.76000000000022</v>
      </c>
      <c r="AI52" s="113">
        <v>2000</v>
      </c>
      <c r="AJ52" s="113">
        <v>5129.58</v>
      </c>
      <c r="AK52" s="113">
        <f t="shared" si="19"/>
        <v>0</v>
      </c>
      <c r="AL52" s="113"/>
      <c r="AM52" s="113"/>
      <c r="AN52" s="114">
        <v>45.15</v>
      </c>
      <c r="AO52" s="100">
        <f t="shared" si="20"/>
        <v>7084.43</v>
      </c>
      <c r="AP52" s="113"/>
      <c r="AQ52" s="85"/>
      <c r="AR52" s="85"/>
      <c r="AS52" s="85"/>
      <c r="AT52" s="115"/>
      <c r="AU52" s="115">
        <v>0</v>
      </c>
      <c r="AV52" s="100">
        <v>7273.16</v>
      </c>
      <c r="AW52" s="85">
        <v>727.31600000000003</v>
      </c>
      <c r="AX52" s="100">
        <f t="shared" si="21"/>
        <v>6357.1140000000005</v>
      </c>
      <c r="AY52" s="85">
        <v>0</v>
      </c>
      <c r="AZ52" s="85">
        <v>24.744799999999998</v>
      </c>
      <c r="BA52" s="100">
        <v>7297.9048000000003</v>
      </c>
      <c r="BB52" s="138">
        <v>1237.2</v>
      </c>
      <c r="BC52" s="138">
        <v>734.25</v>
      </c>
      <c r="BD52" s="174">
        <v>-4574.3940000000002</v>
      </c>
      <c r="BE52" s="87"/>
      <c r="BF52" s="87"/>
      <c r="BG52" s="87"/>
      <c r="BH52" s="87"/>
      <c r="BI52" s="87"/>
      <c r="BJ52" s="87"/>
    </row>
    <row r="53" spans="1:67" s="24" customFormat="1" x14ac:dyDescent="0.25">
      <c r="A53" s="23" t="s">
        <v>95</v>
      </c>
      <c r="B53" s="24" t="s">
        <v>96</v>
      </c>
      <c r="C53" s="25">
        <f t="shared" si="1"/>
        <v>3000</v>
      </c>
      <c r="D53" s="25">
        <v>0</v>
      </c>
      <c r="E53" s="25">
        <f t="shared" si="2"/>
        <v>2000</v>
      </c>
      <c r="F53" s="25"/>
      <c r="G53" s="25"/>
      <c r="H53" s="25">
        <f t="shared" si="3"/>
        <v>5000</v>
      </c>
      <c r="I53" s="25">
        <f t="shared" si="4"/>
        <v>0</v>
      </c>
      <c r="J53" s="110">
        <f t="shared" si="5"/>
        <v>0</v>
      </c>
      <c r="K53" s="25">
        <f t="shared" si="6"/>
        <v>0</v>
      </c>
      <c r="L53" s="25">
        <f t="shared" si="0"/>
        <v>0</v>
      </c>
      <c r="M53" s="25">
        <f t="shared" si="7"/>
        <v>45.15</v>
      </c>
      <c r="N53" s="25">
        <f t="shared" si="8"/>
        <v>0</v>
      </c>
      <c r="O53" s="25">
        <f t="shared" si="9"/>
        <v>514.35800000000006</v>
      </c>
      <c r="P53" s="25">
        <f t="shared" si="10"/>
        <v>559.50800000000004</v>
      </c>
      <c r="Q53" s="25">
        <f t="shared" si="11"/>
        <v>4440.4920000000002</v>
      </c>
      <c r="R53" s="157">
        <f t="shared" si="12"/>
        <v>4954.8500000000004</v>
      </c>
      <c r="S53" s="157">
        <f t="shared" si="13"/>
        <v>0</v>
      </c>
      <c r="T53" s="157">
        <f>+'C&amp;A'!D53*0.02</f>
        <v>21.911999999999999</v>
      </c>
      <c r="U53" s="157">
        <f t="shared" si="14"/>
        <v>4976.7620000000006</v>
      </c>
      <c r="V53" s="157">
        <f t="shared" si="15"/>
        <v>796.28192000000013</v>
      </c>
      <c r="W53" s="157">
        <f t="shared" si="16"/>
        <v>5773.043920000001</v>
      </c>
      <c r="X53" s="189">
        <f t="shared" si="17"/>
        <v>4440.4920000000002</v>
      </c>
      <c r="Y53" s="25">
        <f t="shared" si="18"/>
        <v>0</v>
      </c>
      <c r="Z53" s="110">
        <f>+Q53-'C&amp;A'!H53-SINDICATO!M53</f>
        <v>0</v>
      </c>
      <c r="AA53" s="111" t="s">
        <v>193</v>
      </c>
      <c r="AB53" s="111" t="s">
        <v>254</v>
      </c>
      <c r="AC53" s="112" t="s">
        <v>95</v>
      </c>
      <c r="AD53" s="111" t="s">
        <v>255</v>
      </c>
      <c r="AE53" s="111"/>
      <c r="AF53" s="111"/>
      <c r="AG53" s="113">
        <v>1237.2399999999998</v>
      </c>
      <c r="AH53" s="175">
        <v>1762.76</v>
      </c>
      <c r="AI53" s="113">
        <v>3000</v>
      </c>
      <c r="AJ53" s="113">
        <v>2000</v>
      </c>
      <c r="AK53" s="113">
        <f t="shared" si="19"/>
        <v>0</v>
      </c>
      <c r="AL53" s="113"/>
      <c r="AM53" s="113"/>
      <c r="AN53" s="114">
        <v>45.15</v>
      </c>
      <c r="AO53" s="100">
        <f t="shared" si="20"/>
        <v>4954.8500000000004</v>
      </c>
      <c r="AP53" s="113"/>
      <c r="AQ53" s="85"/>
      <c r="AR53" s="85"/>
      <c r="AS53" s="85"/>
      <c r="AT53" s="115"/>
      <c r="AU53" s="115">
        <v>0</v>
      </c>
      <c r="AV53" s="100">
        <v>5143.58</v>
      </c>
      <c r="AW53" s="85">
        <v>514.35800000000006</v>
      </c>
      <c r="AX53" s="100">
        <f t="shared" si="21"/>
        <v>4440.4920000000002</v>
      </c>
      <c r="AY53" s="85">
        <v>0</v>
      </c>
      <c r="AZ53" s="85">
        <v>24.744799999999998</v>
      </c>
      <c r="BA53" s="100">
        <v>5168.3248000000003</v>
      </c>
      <c r="BB53" s="138">
        <v>1237.2</v>
      </c>
      <c r="BC53" s="138">
        <v>951.53</v>
      </c>
      <c r="BD53" s="139">
        <v>-2440.4919999999997</v>
      </c>
      <c r="BE53" s="87"/>
      <c r="BF53" s="87"/>
      <c r="BG53" s="87"/>
      <c r="BH53" s="87"/>
      <c r="BI53" s="87"/>
      <c r="BJ53" s="87"/>
    </row>
    <row r="54" spans="1:67" s="24" customFormat="1" x14ac:dyDescent="0.25">
      <c r="A54" s="23"/>
      <c r="B54" s="111" t="s">
        <v>301</v>
      </c>
      <c r="C54" s="25">
        <f t="shared" si="1"/>
        <v>3000</v>
      </c>
      <c r="D54" s="25">
        <v>145.37389713135775</v>
      </c>
      <c r="E54" s="25">
        <f t="shared" si="2"/>
        <v>0</v>
      </c>
      <c r="F54" s="25"/>
      <c r="G54" s="25"/>
      <c r="H54" s="25">
        <f t="shared" si="3"/>
        <v>3145.3738971313578</v>
      </c>
      <c r="I54" s="25">
        <f t="shared" si="4"/>
        <v>0</v>
      </c>
      <c r="J54" s="110">
        <f t="shared" si="5"/>
        <v>0</v>
      </c>
      <c r="K54" s="25">
        <f t="shared" si="6"/>
        <v>0</v>
      </c>
      <c r="L54" s="25">
        <f t="shared" si="0"/>
        <v>0</v>
      </c>
      <c r="M54" s="25">
        <f t="shared" si="7"/>
        <v>45.15</v>
      </c>
      <c r="N54" s="25">
        <f t="shared" si="8"/>
        <v>0</v>
      </c>
      <c r="O54" s="25">
        <f t="shared" si="9"/>
        <v>0</v>
      </c>
      <c r="P54" s="25">
        <f t="shared" si="10"/>
        <v>45.15</v>
      </c>
      <c r="Q54" s="25">
        <f t="shared" si="11"/>
        <v>3100.2238971313577</v>
      </c>
      <c r="R54" s="157">
        <f t="shared" si="12"/>
        <v>3100.2238971313577</v>
      </c>
      <c r="S54" s="157">
        <f t="shared" si="13"/>
        <v>295.48500000000001</v>
      </c>
      <c r="T54" s="157">
        <f>+'C&amp;A'!D54*0.02</f>
        <v>21.911999999999999</v>
      </c>
      <c r="U54" s="157">
        <f t="shared" si="14"/>
        <v>3417.6208971313577</v>
      </c>
      <c r="V54" s="157">
        <f t="shared" si="15"/>
        <v>546.81934354101725</v>
      </c>
      <c r="W54" s="157">
        <f t="shared" si="16"/>
        <v>3964.4402406723748</v>
      </c>
      <c r="X54" s="189">
        <f t="shared" si="17"/>
        <v>3100.2238971313577</v>
      </c>
      <c r="Y54" s="25">
        <f t="shared" si="18"/>
        <v>0</v>
      </c>
      <c r="Z54" s="110">
        <f>+Q54-'C&amp;A'!H54-SINDICATO!M54</f>
        <v>0</v>
      </c>
      <c r="AA54" s="111" t="s">
        <v>226</v>
      </c>
      <c r="AB54" s="111" t="s">
        <v>301</v>
      </c>
      <c r="AC54" s="112"/>
      <c r="AD54" s="111" t="s">
        <v>215</v>
      </c>
      <c r="AE54" s="111"/>
      <c r="AF54" s="111"/>
      <c r="AG54" s="113">
        <v>1237.2399999999998</v>
      </c>
      <c r="AH54" s="175">
        <v>1762.76</v>
      </c>
      <c r="AI54" s="113">
        <v>3000</v>
      </c>
      <c r="AJ54" s="113"/>
      <c r="AK54" s="113">
        <f t="shared" si="19"/>
        <v>145.37389713135775</v>
      </c>
      <c r="AL54" s="113"/>
      <c r="AM54" s="113"/>
      <c r="AN54" s="114">
        <v>45.15</v>
      </c>
      <c r="AO54" s="100">
        <f t="shared" si="20"/>
        <v>3100.2238971313577</v>
      </c>
      <c r="AP54" s="113"/>
      <c r="AQ54" s="85"/>
      <c r="AR54" s="85"/>
      <c r="AS54" s="85"/>
      <c r="AT54" s="142"/>
      <c r="AU54" s="115">
        <v>0</v>
      </c>
      <c r="AV54" s="100">
        <v>2954.85</v>
      </c>
      <c r="AW54" s="85">
        <v>0</v>
      </c>
      <c r="AX54" s="100">
        <f t="shared" si="21"/>
        <v>3100.2238971313577</v>
      </c>
      <c r="AY54" s="85">
        <v>295.48500000000001</v>
      </c>
      <c r="AZ54" s="85">
        <v>24.744799999999998</v>
      </c>
      <c r="BA54" s="100">
        <v>3275.0798</v>
      </c>
      <c r="BB54" s="138"/>
      <c r="BC54" s="138"/>
      <c r="BD54" s="139"/>
      <c r="BE54" s="87" t="s">
        <v>302</v>
      </c>
      <c r="BF54" s="87"/>
      <c r="BG54" s="87"/>
      <c r="BH54" s="87"/>
      <c r="BI54" s="87"/>
      <c r="BJ54" s="87"/>
    </row>
    <row r="55" spans="1:67" s="24" customFormat="1" x14ac:dyDescent="0.25">
      <c r="A55" s="23" t="s">
        <v>97</v>
      </c>
      <c r="B55" s="24" t="s">
        <v>98</v>
      </c>
      <c r="C55" s="25">
        <f t="shared" si="1"/>
        <v>1200</v>
      </c>
      <c r="D55" s="25">
        <v>0</v>
      </c>
      <c r="E55" s="25">
        <f t="shared" si="2"/>
        <v>4932</v>
      </c>
      <c r="F55" s="25"/>
      <c r="G55" s="25"/>
      <c r="H55" s="25">
        <f t="shared" si="3"/>
        <v>6132</v>
      </c>
      <c r="I55" s="25">
        <f t="shared" si="4"/>
        <v>0</v>
      </c>
      <c r="J55" s="110">
        <f t="shared" si="5"/>
        <v>0</v>
      </c>
      <c r="K55" s="25">
        <f t="shared" si="6"/>
        <v>0</v>
      </c>
      <c r="L55" s="25">
        <f t="shared" si="0"/>
        <v>0</v>
      </c>
      <c r="M55" s="25">
        <f t="shared" si="7"/>
        <v>45.15</v>
      </c>
      <c r="N55" s="25">
        <f t="shared" si="8"/>
        <v>0</v>
      </c>
      <c r="O55" s="25">
        <f t="shared" si="9"/>
        <v>621.19700000000012</v>
      </c>
      <c r="P55" s="25">
        <f t="shared" si="10"/>
        <v>666.34700000000009</v>
      </c>
      <c r="Q55" s="25">
        <f t="shared" si="11"/>
        <v>5465.6530000000002</v>
      </c>
      <c r="R55" s="157">
        <f t="shared" si="12"/>
        <v>6086.85</v>
      </c>
      <c r="S55" s="157">
        <f t="shared" si="13"/>
        <v>0</v>
      </c>
      <c r="T55" s="157">
        <f>+'C&amp;A'!D55*0.02</f>
        <v>21.911999999999999</v>
      </c>
      <c r="U55" s="157">
        <f t="shared" si="14"/>
        <v>6108.7620000000006</v>
      </c>
      <c r="V55" s="157">
        <f t="shared" si="15"/>
        <v>977.40192000000013</v>
      </c>
      <c r="W55" s="157">
        <f t="shared" si="16"/>
        <v>7086.1639200000009</v>
      </c>
      <c r="X55" s="189">
        <f t="shared" si="17"/>
        <v>5465.6530000000002</v>
      </c>
      <c r="Y55" s="25">
        <f t="shared" si="18"/>
        <v>0</v>
      </c>
      <c r="Z55" s="110">
        <f>+Q55-'C&amp;A'!H55-SINDICATO!M55</f>
        <v>0</v>
      </c>
      <c r="AA55" s="111" t="s">
        <v>191</v>
      </c>
      <c r="AB55" s="111" t="s">
        <v>138</v>
      </c>
      <c r="AC55" s="112" t="s">
        <v>97</v>
      </c>
      <c r="AD55" s="111" t="s">
        <v>123</v>
      </c>
      <c r="AE55" s="111"/>
      <c r="AF55" s="111"/>
      <c r="AG55" s="113">
        <v>1237.2399999999998</v>
      </c>
      <c r="AH55" s="111">
        <v>-37.239999999999782</v>
      </c>
      <c r="AI55" s="113">
        <v>1200</v>
      </c>
      <c r="AJ55" s="113">
        <v>4932</v>
      </c>
      <c r="AK55" s="113">
        <f t="shared" si="19"/>
        <v>0</v>
      </c>
      <c r="AL55" s="113"/>
      <c r="AM55" s="113"/>
      <c r="AN55" s="114">
        <v>45.15</v>
      </c>
      <c r="AO55" s="100">
        <f t="shared" si="20"/>
        <v>6086.85</v>
      </c>
      <c r="AP55" s="113"/>
      <c r="AQ55" s="85"/>
      <c r="AR55" s="85"/>
      <c r="AS55" s="85"/>
      <c r="AT55" s="115"/>
      <c r="AU55" s="115">
        <v>0</v>
      </c>
      <c r="AV55" s="100">
        <v>6211.97</v>
      </c>
      <c r="AW55" s="85">
        <v>621.19700000000012</v>
      </c>
      <c r="AX55" s="100">
        <f t="shared" si="21"/>
        <v>5465.6530000000002</v>
      </c>
      <c r="AY55" s="85">
        <v>0</v>
      </c>
      <c r="AZ55" s="85">
        <v>24.744799999999998</v>
      </c>
      <c r="BA55" s="100">
        <v>6236.7148000000007</v>
      </c>
      <c r="BB55" s="138">
        <v>1237.2</v>
      </c>
      <c r="BC55" s="138">
        <v>2130.42</v>
      </c>
      <c r="BD55" s="174">
        <v>-2223.1530000000002</v>
      </c>
      <c r="BE55" s="87"/>
      <c r="BF55" s="87"/>
      <c r="BG55" s="87"/>
      <c r="BH55" s="87"/>
      <c r="BI55" s="87"/>
      <c r="BJ55" s="87"/>
    </row>
    <row r="56" spans="1:67" s="24" customFormat="1" x14ac:dyDescent="0.25">
      <c r="A56" s="23" t="s">
        <v>99</v>
      </c>
      <c r="B56" s="24" t="s">
        <v>100</v>
      </c>
      <c r="C56" s="25">
        <f t="shared" si="1"/>
        <v>1200</v>
      </c>
      <c r="D56" s="25">
        <v>0</v>
      </c>
      <c r="E56" s="25">
        <f t="shared" si="2"/>
        <v>5117.09</v>
      </c>
      <c r="F56" s="25"/>
      <c r="G56" s="25"/>
      <c r="H56" s="25">
        <f t="shared" si="3"/>
        <v>6317.09</v>
      </c>
      <c r="I56" s="25">
        <f t="shared" si="4"/>
        <v>0</v>
      </c>
      <c r="J56" s="110">
        <f t="shared" si="5"/>
        <v>0</v>
      </c>
      <c r="K56" s="25">
        <f t="shared" si="6"/>
        <v>0</v>
      </c>
      <c r="L56" s="25">
        <f t="shared" si="0"/>
        <v>0</v>
      </c>
      <c r="M56" s="25">
        <f t="shared" si="7"/>
        <v>45.15</v>
      </c>
      <c r="N56" s="25">
        <f t="shared" si="8"/>
        <v>340.56</v>
      </c>
      <c r="O56" s="25">
        <f t="shared" si="9"/>
        <v>627.19400000000007</v>
      </c>
      <c r="P56" s="25">
        <f t="shared" si="10"/>
        <v>1012.904</v>
      </c>
      <c r="Q56" s="25">
        <f t="shared" si="11"/>
        <v>5304.1859999999997</v>
      </c>
      <c r="R56" s="157">
        <f t="shared" si="12"/>
        <v>6271.9400000000005</v>
      </c>
      <c r="S56" s="157">
        <f t="shared" si="13"/>
        <v>0</v>
      </c>
      <c r="T56" s="157">
        <f>+'C&amp;A'!D56*0.02</f>
        <v>21.911999999999999</v>
      </c>
      <c r="U56" s="157">
        <f t="shared" si="14"/>
        <v>6293.8520000000008</v>
      </c>
      <c r="V56" s="157">
        <f t="shared" si="15"/>
        <v>1007.0163200000002</v>
      </c>
      <c r="W56" s="157">
        <f t="shared" si="16"/>
        <v>7300.8683200000014</v>
      </c>
      <c r="X56" s="189">
        <f t="shared" si="17"/>
        <v>5304.1859999999997</v>
      </c>
      <c r="Y56" s="25">
        <f t="shared" si="18"/>
        <v>0</v>
      </c>
      <c r="Z56" s="110">
        <f>+Q56-'C&amp;A'!H56-SINDICATO!M56</f>
        <v>0</v>
      </c>
      <c r="AA56" s="111" t="s">
        <v>191</v>
      </c>
      <c r="AB56" s="111" t="s">
        <v>256</v>
      </c>
      <c r="AC56" s="112" t="s">
        <v>99</v>
      </c>
      <c r="AD56" s="111" t="s">
        <v>257</v>
      </c>
      <c r="AE56" s="111"/>
      <c r="AF56" s="111"/>
      <c r="AG56" s="113">
        <v>1237.2399999999998</v>
      </c>
      <c r="AH56" s="111">
        <v>-37.239999999999782</v>
      </c>
      <c r="AI56" s="113">
        <v>1200</v>
      </c>
      <c r="AJ56" s="113">
        <v>5117.09</v>
      </c>
      <c r="AK56" s="113">
        <f t="shared" si="19"/>
        <v>0</v>
      </c>
      <c r="AL56" s="113"/>
      <c r="AM56" s="113"/>
      <c r="AN56" s="114">
        <v>45.15</v>
      </c>
      <c r="AO56" s="100">
        <f t="shared" si="20"/>
        <v>6271.9400000000005</v>
      </c>
      <c r="AP56" s="113"/>
      <c r="AQ56" s="85"/>
      <c r="AR56" s="85"/>
      <c r="AS56" s="85"/>
      <c r="AT56" s="115"/>
      <c r="AU56" s="115">
        <v>340.56</v>
      </c>
      <c r="AV56" s="100">
        <v>5931.38</v>
      </c>
      <c r="AW56" s="85">
        <v>627.19400000000007</v>
      </c>
      <c r="AX56" s="100">
        <f t="shared" si="21"/>
        <v>5304.1859999999997</v>
      </c>
      <c r="AY56" s="85">
        <v>0</v>
      </c>
      <c r="AZ56" s="85">
        <v>24.744799999999998</v>
      </c>
      <c r="BA56" s="100">
        <v>6296.6848000000009</v>
      </c>
      <c r="BB56" s="138">
        <v>1237.2</v>
      </c>
      <c r="BC56" s="138">
        <v>4238.57</v>
      </c>
      <c r="BD56" s="174">
        <v>171.58399999999983</v>
      </c>
      <c r="BE56" s="87"/>
      <c r="BF56" s="87"/>
      <c r="BG56" s="87"/>
      <c r="BH56" s="87"/>
      <c r="BI56" s="87"/>
      <c r="BJ56" s="87"/>
    </row>
    <row r="57" spans="1:67" s="24" customFormat="1" x14ac:dyDescent="0.25">
      <c r="A57" s="23" t="s">
        <v>101</v>
      </c>
      <c r="B57" s="24" t="s">
        <v>102</v>
      </c>
      <c r="C57" s="25">
        <f t="shared" si="1"/>
        <v>2000</v>
      </c>
      <c r="D57" s="25">
        <v>0</v>
      </c>
      <c r="E57" s="25">
        <f t="shared" si="2"/>
        <v>10707.26</v>
      </c>
      <c r="F57" s="25"/>
      <c r="G57" s="25"/>
      <c r="H57" s="25">
        <f t="shared" si="3"/>
        <v>12707.26</v>
      </c>
      <c r="I57" s="25">
        <f t="shared" si="4"/>
        <v>0</v>
      </c>
      <c r="J57" s="110">
        <f t="shared" si="5"/>
        <v>0</v>
      </c>
      <c r="K57" s="25">
        <f t="shared" si="6"/>
        <v>0</v>
      </c>
      <c r="L57" s="25">
        <f t="shared" si="0"/>
        <v>0</v>
      </c>
      <c r="M57" s="25">
        <f t="shared" si="7"/>
        <v>45.15</v>
      </c>
      <c r="N57" s="25">
        <f t="shared" si="8"/>
        <v>0</v>
      </c>
      <c r="O57" s="25">
        <f t="shared" si="9"/>
        <v>1285.0840000000001</v>
      </c>
      <c r="P57" s="25">
        <f t="shared" si="10"/>
        <v>1330.2340000000002</v>
      </c>
      <c r="Q57" s="25">
        <f t="shared" si="11"/>
        <v>11377.026</v>
      </c>
      <c r="R57" s="157">
        <f t="shared" si="12"/>
        <v>12662.11</v>
      </c>
      <c r="S57" s="157">
        <f t="shared" si="13"/>
        <v>0</v>
      </c>
      <c r="T57" s="157">
        <f>+'C&amp;A'!D57*0.02</f>
        <v>21.911999999999999</v>
      </c>
      <c r="U57" s="157">
        <f t="shared" si="14"/>
        <v>12684.022000000001</v>
      </c>
      <c r="V57" s="157">
        <f t="shared" si="15"/>
        <v>2029.4435200000003</v>
      </c>
      <c r="W57" s="157">
        <f t="shared" si="16"/>
        <v>14713.465520000002</v>
      </c>
      <c r="X57" s="189">
        <f t="shared" si="17"/>
        <v>11377.026</v>
      </c>
      <c r="Y57" s="25">
        <f t="shared" si="18"/>
        <v>0</v>
      </c>
      <c r="Z57" s="110">
        <f>+Q57-'C&amp;A'!H57-SINDICATO!M57</f>
        <v>0</v>
      </c>
      <c r="AA57" s="111" t="s">
        <v>193</v>
      </c>
      <c r="AB57" s="111" t="s">
        <v>258</v>
      </c>
      <c r="AC57" s="112" t="s">
        <v>101</v>
      </c>
      <c r="AD57" s="111" t="s">
        <v>259</v>
      </c>
      <c r="AE57" s="111"/>
      <c r="AF57" s="111"/>
      <c r="AG57" s="113">
        <v>1237.2399999999998</v>
      </c>
      <c r="AH57" s="111">
        <v>762.76000000000022</v>
      </c>
      <c r="AI57" s="113">
        <v>2000</v>
      </c>
      <c r="AJ57" s="113">
        <v>10707.26</v>
      </c>
      <c r="AK57" s="113">
        <f t="shared" si="19"/>
        <v>0</v>
      </c>
      <c r="AL57" s="113"/>
      <c r="AM57" s="113"/>
      <c r="AN57" s="114">
        <v>45.15</v>
      </c>
      <c r="AO57" s="100">
        <f t="shared" si="20"/>
        <v>12662.11</v>
      </c>
      <c r="AP57" s="113"/>
      <c r="AQ57" s="85"/>
      <c r="AR57" s="85"/>
      <c r="AS57" s="85"/>
      <c r="AT57" s="115"/>
      <c r="AU57" s="115">
        <v>0</v>
      </c>
      <c r="AV57" s="100">
        <v>12850.84</v>
      </c>
      <c r="AW57" s="85">
        <v>1285.0840000000001</v>
      </c>
      <c r="AX57" s="100">
        <f t="shared" si="21"/>
        <v>11377.026</v>
      </c>
      <c r="AY57" s="85">
        <v>0</v>
      </c>
      <c r="AZ57" s="85">
        <v>24.744799999999998</v>
      </c>
      <c r="BA57" s="100">
        <v>12875.584800000001</v>
      </c>
      <c r="BB57" s="138">
        <v>1237.2</v>
      </c>
      <c r="BC57" s="138">
        <v>951.53</v>
      </c>
      <c r="BD57" s="139">
        <v>-9377.0259999999998</v>
      </c>
      <c r="BE57" s="87"/>
      <c r="BF57" s="87"/>
      <c r="BG57" s="87"/>
      <c r="BH57" s="87"/>
      <c r="BI57" s="87"/>
      <c r="BJ57" s="87"/>
    </row>
    <row r="58" spans="1:67" s="24" customFormat="1" x14ac:dyDescent="0.25">
      <c r="A58" s="23" t="s">
        <v>103</v>
      </c>
      <c r="B58" s="24" t="s">
        <v>104</v>
      </c>
      <c r="C58" s="25">
        <f t="shared" si="1"/>
        <v>3500</v>
      </c>
      <c r="D58" s="25">
        <v>0</v>
      </c>
      <c r="E58" s="25">
        <f t="shared" si="2"/>
        <v>19908.830000000002</v>
      </c>
      <c r="F58" s="25"/>
      <c r="G58" s="25"/>
      <c r="H58" s="25">
        <f t="shared" si="3"/>
        <v>23408.83</v>
      </c>
      <c r="I58" s="25">
        <f t="shared" si="4"/>
        <v>0</v>
      </c>
      <c r="J58" s="110">
        <f t="shared" si="5"/>
        <v>0</v>
      </c>
      <c r="K58" s="25">
        <f t="shared" si="6"/>
        <v>0</v>
      </c>
      <c r="L58" s="25">
        <f t="shared" si="0"/>
        <v>0</v>
      </c>
      <c r="M58" s="25">
        <f t="shared" si="7"/>
        <v>45.15</v>
      </c>
      <c r="N58" s="25">
        <f t="shared" si="8"/>
        <v>0</v>
      </c>
      <c r="O58" s="25">
        <f t="shared" si="9"/>
        <v>2348.88</v>
      </c>
      <c r="P58" s="25">
        <f t="shared" si="10"/>
        <v>2394.0300000000002</v>
      </c>
      <c r="Q58" s="25">
        <f t="shared" si="11"/>
        <v>21014.800000000003</v>
      </c>
      <c r="R58" s="157">
        <f t="shared" si="12"/>
        <v>23363.68</v>
      </c>
      <c r="S58" s="157">
        <f t="shared" si="13"/>
        <v>0</v>
      </c>
      <c r="T58" s="157">
        <f>+'C&amp;A'!D58*0.02</f>
        <v>21.911999999999999</v>
      </c>
      <c r="U58" s="157">
        <f t="shared" si="14"/>
        <v>23385.592000000001</v>
      </c>
      <c r="V58" s="157">
        <f t="shared" si="15"/>
        <v>3741.69472</v>
      </c>
      <c r="W58" s="157">
        <f t="shared" si="16"/>
        <v>27127.28672</v>
      </c>
      <c r="X58" s="189">
        <f t="shared" si="17"/>
        <v>21014.799999999999</v>
      </c>
      <c r="Y58" s="25">
        <f t="shared" si="18"/>
        <v>0</v>
      </c>
      <c r="Z58" s="110">
        <f>+Q58-'C&amp;A'!H58-SINDICATO!M58</f>
        <v>0</v>
      </c>
      <c r="AA58" s="111" t="s">
        <v>252</v>
      </c>
      <c r="AB58" s="111" t="s">
        <v>134</v>
      </c>
      <c r="AC58" s="112">
        <v>8</v>
      </c>
      <c r="AD58" s="111" t="s">
        <v>260</v>
      </c>
      <c r="AE58" s="111"/>
      <c r="AF58" s="111"/>
      <c r="AG58" s="113">
        <v>1237.2399999999998</v>
      </c>
      <c r="AH58" s="111">
        <v>2262.7600000000002</v>
      </c>
      <c r="AI58" s="113">
        <v>3500</v>
      </c>
      <c r="AJ58" s="113">
        <v>19908.830000000002</v>
      </c>
      <c r="AK58" s="113">
        <f t="shared" si="19"/>
        <v>0</v>
      </c>
      <c r="AL58" s="113"/>
      <c r="AM58" s="113"/>
      <c r="AN58" s="114">
        <v>45.15</v>
      </c>
      <c r="AO58" s="100">
        <f t="shared" si="20"/>
        <v>23363.68</v>
      </c>
      <c r="AP58" s="113"/>
      <c r="AQ58" s="85"/>
      <c r="AR58" s="85"/>
      <c r="AS58" s="85"/>
      <c r="AT58" s="115"/>
      <c r="AU58" s="115">
        <v>0</v>
      </c>
      <c r="AV58" s="100">
        <v>23488.799999999999</v>
      </c>
      <c r="AW58" s="85">
        <v>2348.88</v>
      </c>
      <c r="AX58" s="100">
        <f t="shared" si="21"/>
        <v>21014.799999999999</v>
      </c>
      <c r="AY58" s="85">
        <v>0</v>
      </c>
      <c r="AZ58" s="85">
        <v>24.744799999999998</v>
      </c>
      <c r="BA58" s="100">
        <v>23513.5448</v>
      </c>
      <c r="BB58" s="138">
        <v>1237.2</v>
      </c>
      <c r="BC58" s="138">
        <v>2387.92</v>
      </c>
      <c r="BD58" s="139">
        <v>-17514.8</v>
      </c>
      <c r="BE58" s="87"/>
      <c r="BF58" s="87"/>
      <c r="BG58" s="87"/>
      <c r="BH58" s="87"/>
      <c r="BI58" s="87"/>
      <c r="BJ58" s="87"/>
    </row>
    <row r="59" spans="1:67" s="24" customFormat="1" x14ac:dyDescent="0.25">
      <c r="A59" s="23" t="s">
        <v>105</v>
      </c>
      <c r="B59" s="24" t="s">
        <v>106</v>
      </c>
      <c r="C59" s="25">
        <f t="shared" si="1"/>
        <v>12500</v>
      </c>
      <c r="D59" s="25">
        <v>0</v>
      </c>
      <c r="E59" s="25">
        <f t="shared" si="2"/>
        <v>0</v>
      </c>
      <c r="F59" s="25"/>
      <c r="G59" s="25"/>
      <c r="H59" s="25">
        <f t="shared" si="3"/>
        <v>12500</v>
      </c>
      <c r="I59" s="25">
        <f t="shared" si="4"/>
        <v>0</v>
      </c>
      <c r="J59" s="110">
        <f t="shared" si="5"/>
        <v>0</v>
      </c>
      <c r="K59" s="25">
        <f t="shared" si="6"/>
        <v>117.81</v>
      </c>
      <c r="L59" s="25">
        <f t="shared" si="0"/>
        <v>0</v>
      </c>
      <c r="M59" s="25">
        <f t="shared" si="7"/>
        <v>45.15</v>
      </c>
      <c r="N59" s="25">
        <f t="shared" si="8"/>
        <v>0</v>
      </c>
      <c r="O59" s="25">
        <f t="shared" si="9"/>
        <v>1245.4850000000001</v>
      </c>
      <c r="P59" s="25">
        <f t="shared" si="10"/>
        <v>1408.4450000000002</v>
      </c>
      <c r="Q59" s="25">
        <f t="shared" si="11"/>
        <v>11091.555</v>
      </c>
      <c r="R59" s="157">
        <f t="shared" si="12"/>
        <v>12454.85</v>
      </c>
      <c r="S59" s="157">
        <f t="shared" si="13"/>
        <v>0</v>
      </c>
      <c r="T59" s="157">
        <f>+'C&amp;A'!D59*0.02</f>
        <v>21.911999999999999</v>
      </c>
      <c r="U59" s="157">
        <f t="shared" si="14"/>
        <v>12476.762000000001</v>
      </c>
      <c r="V59" s="157">
        <f t="shared" si="15"/>
        <v>1996.2819200000001</v>
      </c>
      <c r="W59" s="157">
        <f t="shared" si="16"/>
        <v>14473.04392</v>
      </c>
      <c r="X59" s="189">
        <f t="shared" si="17"/>
        <v>11091.555</v>
      </c>
      <c r="Y59" s="25">
        <f t="shared" si="18"/>
        <v>0</v>
      </c>
      <c r="Z59" s="110">
        <f>+Q59-'C&amp;A'!H59-SINDICATO!M59</f>
        <v>0</v>
      </c>
      <c r="AA59" s="111" t="s">
        <v>237</v>
      </c>
      <c r="AB59" s="111" t="s">
        <v>133</v>
      </c>
      <c r="AC59" s="112" t="s">
        <v>105</v>
      </c>
      <c r="AD59" s="111" t="s">
        <v>261</v>
      </c>
      <c r="AE59" s="111" t="s">
        <v>195</v>
      </c>
      <c r="AF59" s="111"/>
      <c r="AG59" s="113">
        <v>1237.2399999999998</v>
      </c>
      <c r="AH59" s="111">
        <v>11262.76</v>
      </c>
      <c r="AI59" s="113">
        <v>12500</v>
      </c>
      <c r="AJ59" s="113"/>
      <c r="AK59" s="113">
        <f t="shared" si="19"/>
        <v>0</v>
      </c>
      <c r="AL59" s="113"/>
      <c r="AM59" s="113"/>
      <c r="AN59" s="114">
        <v>45.15</v>
      </c>
      <c r="AO59" s="100">
        <f t="shared" si="20"/>
        <v>12454.85</v>
      </c>
      <c r="AP59" s="113"/>
      <c r="AQ59" s="85">
        <v>117.81</v>
      </c>
      <c r="AR59" s="85"/>
      <c r="AS59" s="85"/>
      <c r="AT59" s="115"/>
      <c r="AU59" s="115">
        <v>0</v>
      </c>
      <c r="AV59" s="100">
        <v>12337.04</v>
      </c>
      <c r="AW59" s="85">
        <v>1245.4850000000001</v>
      </c>
      <c r="AX59" s="100">
        <f t="shared" si="21"/>
        <v>11091.555</v>
      </c>
      <c r="AY59" s="85">
        <v>0</v>
      </c>
      <c r="AZ59" s="85">
        <v>24.744799999999998</v>
      </c>
      <c r="BA59" s="100">
        <v>12479.594800000001</v>
      </c>
      <c r="BB59" s="138">
        <v>1237.2</v>
      </c>
      <c r="BC59" s="138">
        <v>9894.99</v>
      </c>
      <c r="BD59" s="139">
        <v>40.635000000000218</v>
      </c>
      <c r="BE59" s="87"/>
      <c r="BF59" s="87"/>
      <c r="BG59" s="87"/>
      <c r="BH59" s="87"/>
      <c r="BI59" s="87"/>
      <c r="BJ59" s="87"/>
    </row>
    <row r="60" spans="1:67" s="24" customFormat="1" x14ac:dyDescent="0.25">
      <c r="A60" s="23" t="s">
        <v>107</v>
      </c>
      <c r="B60" s="24" t="s">
        <v>108</v>
      </c>
      <c r="C60" s="25">
        <f t="shared" si="1"/>
        <v>3500</v>
      </c>
      <c r="D60" s="25">
        <v>0</v>
      </c>
      <c r="E60" s="25">
        <f t="shared" si="2"/>
        <v>8981.98</v>
      </c>
      <c r="F60" s="25"/>
      <c r="G60" s="25"/>
      <c r="H60" s="25">
        <f t="shared" si="3"/>
        <v>12481.98</v>
      </c>
      <c r="I60" s="25">
        <f t="shared" si="4"/>
        <v>0</v>
      </c>
      <c r="J60" s="110">
        <f t="shared" si="5"/>
        <v>0</v>
      </c>
      <c r="K60" s="25">
        <f t="shared" si="6"/>
        <v>0</v>
      </c>
      <c r="L60" s="25">
        <f t="shared" si="0"/>
        <v>0</v>
      </c>
      <c r="M60" s="25">
        <f t="shared" si="7"/>
        <v>45.15</v>
      </c>
      <c r="N60" s="25">
        <f t="shared" si="8"/>
        <v>741.3</v>
      </c>
      <c r="O60" s="25">
        <f t="shared" si="9"/>
        <v>1256.1950000000002</v>
      </c>
      <c r="P60" s="25">
        <f t="shared" si="10"/>
        <v>2042.645</v>
      </c>
      <c r="Q60" s="25">
        <f t="shared" si="11"/>
        <v>10439.334999999999</v>
      </c>
      <c r="R60" s="157">
        <f t="shared" si="12"/>
        <v>12436.83</v>
      </c>
      <c r="S60" s="157">
        <f t="shared" si="13"/>
        <v>0</v>
      </c>
      <c r="T60" s="157">
        <f>+'C&amp;A'!D60*0.02</f>
        <v>21.911999999999999</v>
      </c>
      <c r="U60" s="157">
        <f t="shared" si="14"/>
        <v>12458.742</v>
      </c>
      <c r="V60" s="157">
        <f t="shared" si="15"/>
        <v>1993.3987200000001</v>
      </c>
      <c r="W60" s="157">
        <f t="shared" si="16"/>
        <v>14452.140719999999</v>
      </c>
      <c r="X60" s="189">
        <f t="shared" si="17"/>
        <v>10439.335000000001</v>
      </c>
      <c r="Y60" s="25">
        <f t="shared" si="18"/>
        <v>0</v>
      </c>
      <c r="Z60" s="110">
        <f>+Q60-'C&amp;A'!H60-SINDICATO!M60</f>
        <v>0</v>
      </c>
      <c r="AA60" s="111" t="s">
        <v>226</v>
      </c>
      <c r="AB60" s="111" t="s">
        <v>262</v>
      </c>
      <c r="AC60" s="112">
        <v>18</v>
      </c>
      <c r="AD60" s="111" t="s">
        <v>215</v>
      </c>
      <c r="AE60" s="111"/>
      <c r="AF60" s="111"/>
      <c r="AG60" s="113">
        <v>1237.2399999999998</v>
      </c>
      <c r="AH60" s="111">
        <v>2262.7600000000002</v>
      </c>
      <c r="AI60" s="113">
        <v>3500</v>
      </c>
      <c r="AJ60" s="113">
        <v>8981.98</v>
      </c>
      <c r="AK60" s="113">
        <f t="shared" si="19"/>
        <v>0</v>
      </c>
      <c r="AL60" s="113"/>
      <c r="AM60" s="113"/>
      <c r="AN60" s="114">
        <v>45.15</v>
      </c>
      <c r="AO60" s="100">
        <f t="shared" si="20"/>
        <v>12436.83</v>
      </c>
      <c r="AP60" s="113"/>
      <c r="AQ60" s="85"/>
      <c r="AR60" s="85"/>
      <c r="AS60" s="85"/>
      <c r="AT60" s="115"/>
      <c r="AU60" s="115">
        <v>741.3</v>
      </c>
      <c r="AV60" s="100">
        <v>11820.650000000001</v>
      </c>
      <c r="AW60" s="85">
        <v>1256.1950000000002</v>
      </c>
      <c r="AX60" s="100">
        <f t="shared" si="21"/>
        <v>10439.335000000001</v>
      </c>
      <c r="AY60" s="85">
        <v>0</v>
      </c>
      <c r="AZ60" s="85">
        <v>24.744799999999998</v>
      </c>
      <c r="BA60" s="100">
        <v>12586.694800000001</v>
      </c>
      <c r="BB60" s="138">
        <v>1237.2</v>
      </c>
      <c r="BC60" s="138">
        <v>1646.62</v>
      </c>
      <c r="BD60" s="139">
        <v>-7680.635000000002</v>
      </c>
      <c r="BE60" s="87"/>
      <c r="BF60" s="87"/>
      <c r="BG60" s="87"/>
      <c r="BH60" s="87"/>
      <c r="BI60" s="87"/>
      <c r="BJ60" s="87"/>
    </row>
    <row r="61" spans="1:67" s="24" customFormat="1" x14ac:dyDescent="0.25">
      <c r="A61" s="23" t="s">
        <v>109</v>
      </c>
      <c r="B61" s="24" t="s">
        <v>110</v>
      </c>
      <c r="C61" s="25">
        <f t="shared" si="1"/>
        <v>2750</v>
      </c>
      <c r="D61" s="25">
        <v>0</v>
      </c>
      <c r="E61" s="25">
        <f t="shared" si="2"/>
        <v>7127.04</v>
      </c>
      <c r="F61" s="25"/>
      <c r="G61" s="25"/>
      <c r="H61" s="25">
        <f t="shared" si="3"/>
        <v>9877.0400000000009</v>
      </c>
      <c r="I61" s="25">
        <f t="shared" si="4"/>
        <v>0</v>
      </c>
      <c r="J61" s="110">
        <f t="shared" si="5"/>
        <v>0</v>
      </c>
      <c r="K61" s="25">
        <f t="shared" si="6"/>
        <v>0</v>
      </c>
      <c r="L61" s="25">
        <f t="shared" si="0"/>
        <v>0</v>
      </c>
      <c r="M61" s="25">
        <f t="shared" si="7"/>
        <v>45.15</v>
      </c>
      <c r="N61" s="25">
        <f t="shared" si="8"/>
        <v>0</v>
      </c>
      <c r="O61" s="25">
        <f t="shared" si="9"/>
        <v>997.72600000000023</v>
      </c>
      <c r="P61" s="25">
        <f t="shared" si="10"/>
        <v>1042.8760000000002</v>
      </c>
      <c r="Q61" s="25">
        <f t="shared" si="11"/>
        <v>8834.1640000000007</v>
      </c>
      <c r="R61" s="157">
        <f t="shared" si="12"/>
        <v>9831.8900000000012</v>
      </c>
      <c r="S61" s="157">
        <f t="shared" si="13"/>
        <v>0</v>
      </c>
      <c r="T61" s="157">
        <f>+'C&amp;A'!D61*0.02</f>
        <v>21.911999999999999</v>
      </c>
      <c r="U61" s="157">
        <f t="shared" si="14"/>
        <v>9853.8020000000015</v>
      </c>
      <c r="V61" s="157">
        <f t="shared" si="15"/>
        <v>1576.6083200000003</v>
      </c>
      <c r="W61" s="157">
        <f t="shared" si="16"/>
        <v>11430.410320000003</v>
      </c>
      <c r="X61" s="189">
        <f t="shared" si="17"/>
        <v>8834.1640000000007</v>
      </c>
      <c r="Y61" s="25">
        <f t="shared" si="18"/>
        <v>0</v>
      </c>
      <c r="Z61" s="110">
        <f>+Q61-'C&amp;A'!H61-SINDICATO!M61</f>
        <v>0</v>
      </c>
      <c r="AA61" s="111" t="s">
        <v>234</v>
      </c>
      <c r="AB61" s="111" t="s">
        <v>141</v>
      </c>
      <c r="AC61" s="111" t="s">
        <v>109</v>
      </c>
      <c r="AD61" s="111" t="s">
        <v>263</v>
      </c>
      <c r="AE61" s="111"/>
      <c r="AF61" s="111"/>
      <c r="AG61" s="113">
        <v>1237.2399999999998</v>
      </c>
      <c r="AH61" s="111">
        <v>1512.7600000000002</v>
      </c>
      <c r="AI61" s="113">
        <v>2750</v>
      </c>
      <c r="AJ61" s="113">
        <v>7127.04</v>
      </c>
      <c r="AK61" s="113">
        <f t="shared" si="19"/>
        <v>0</v>
      </c>
      <c r="AL61" s="113"/>
      <c r="AM61" s="113"/>
      <c r="AN61" s="114">
        <v>45.15</v>
      </c>
      <c r="AO61" s="100">
        <f t="shared" si="20"/>
        <v>9831.8900000000012</v>
      </c>
      <c r="AP61" s="113"/>
      <c r="AQ61" s="85"/>
      <c r="AR61" s="85"/>
      <c r="AS61" s="85"/>
      <c r="AT61" s="115"/>
      <c r="AU61" s="115">
        <v>0</v>
      </c>
      <c r="AV61" s="100">
        <v>9977.260000000002</v>
      </c>
      <c r="AW61" s="85">
        <v>997.72600000000023</v>
      </c>
      <c r="AX61" s="100">
        <f t="shared" si="21"/>
        <v>8834.1640000000007</v>
      </c>
      <c r="AY61" s="85">
        <v>0</v>
      </c>
      <c r="AZ61" s="85">
        <v>24.744799999999998</v>
      </c>
      <c r="BA61" s="100">
        <v>10002.004800000002</v>
      </c>
      <c r="BB61" s="138">
        <v>1237.2</v>
      </c>
      <c r="BC61" s="138">
        <v>1560.24</v>
      </c>
      <c r="BD61" s="174">
        <v>-6182.094000000001</v>
      </c>
      <c r="BE61" s="87"/>
      <c r="BF61" s="87"/>
      <c r="BG61" s="87"/>
      <c r="BH61" s="87"/>
      <c r="BI61" s="87"/>
      <c r="BJ61" s="87"/>
    </row>
    <row r="62" spans="1:67" s="24" customFormat="1" x14ac:dyDescent="0.25">
      <c r="A62" s="23" t="s">
        <v>111</v>
      </c>
      <c r="B62" s="24" t="s">
        <v>112</v>
      </c>
      <c r="C62" s="25">
        <f t="shared" si="1"/>
        <v>1200</v>
      </c>
      <c r="D62" s="25">
        <v>0</v>
      </c>
      <c r="E62" s="25">
        <f t="shared" si="2"/>
        <v>5200</v>
      </c>
      <c r="F62" s="25"/>
      <c r="G62" s="25"/>
      <c r="H62" s="25">
        <f t="shared" si="3"/>
        <v>6400</v>
      </c>
      <c r="I62" s="25">
        <f t="shared" si="4"/>
        <v>0</v>
      </c>
      <c r="J62" s="110">
        <f t="shared" si="5"/>
        <v>0</v>
      </c>
      <c r="K62" s="25">
        <f t="shared" si="6"/>
        <v>0</v>
      </c>
      <c r="L62" s="25">
        <f t="shared" si="0"/>
        <v>0</v>
      </c>
      <c r="M62" s="25">
        <f t="shared" si="7"/>
        <v>45.15</v>
      </c>
      <c r="N62" s="25">
        <f t="shared" si="8"/>
        <v>0</v>
      </c>
      <c r="O62" s="25">
        <f t="shared" si="9"/>
        <v>635.48500000000013</v>
      </c>
      <c r="P62" s="25">
        <f t="shared" si="10"/>
        <v>680.6350000000001</v>
      </c>
      <c r="Q62" s="25">
        <f t="shared" si="11"/>
        <v>5719.3649999999998</v>
      </c>
      <c r="R62" s="157">
        <f t="shared" si="12"/>
        <v>6354.85</v>
      </c>
      <c r="S62" s="157">
        <f t="shared" si="13"/>
        <v>0</v>
      </c>
      <c r="T62" s="157">
        <f>+'C&amp;A'!D62*0.02</f>
        <v>21.911999999999999</v>
      </c>
      <c r="U62" s="157">
        <f t="shared" si="14"/>
        <v>6376.7620000000006</v>
      </c>
      <c r="V62" s="157">
        <f t="shared" si="15"/>
        <v>1020.2819200000001</v>
      </c>
      <c r="W62" s="157">
        <f t="shared" si="16"/>
        <v>7397.043920000001</v>
      </c>
      <c r="X62" s="189">
        <f t="shared" si="17"/>
        <v>5719.3649999999998</v>
      </c>
      <c r="Y62" s="25">
        <f t="shared" si="18"/>
        <v>0</v>
      </c>
      <c r="Z62" s="110">
        <f>+Q62-'C&amp;A'!H62-SINDICATO!M62</f>
        <v>0</v>
      </c>
      <c r="AA62" s="111" t="s">
        <v>191</v>
      </c>
      <c r="AB62" s="111" t="s">
        <v>264</v>
      </c>
      <c r="AC62" s="112" t="s">
        <v>111</v>
      </c>
      <c r="AD62" s="111" t="s">
        <v>215</v>
      </c>
      <c r="AE62" s="111"/>
      <c r="AF62" s="111"/>
      <c r="AG62" s="113">
        <v>1237.2399999999998</v>
      </c>
      <c r="AH62" s="111">
        <v>-37.239999999999782</v>
      </c>
      <c r="AI62" s="113">
        <v>1200</v>
      </c>
      <c r="AJ62" s="113">
        <v>5200</v>
      </c>
      <c r="AK62" s="113">
        <f t="shared" si="19"/>
        <v>0</v>
      </c>
      <c r="AL62" s="113"/>
      <c r="AM62" s="113"/>
      <c r="AN62" s="114">
        <v>45.15</v>
      </c>
      <c r="AO62" s="100">
        <f t="shared" si="20"/>
        <v>6354.85</v>
      </c>
      <c r="AP62" s="113"/>
      <c r="AQ62" s="85"/>
      <c r="AR62" s="85"/>
      <c r="AS62" s="85"/>
      <c r="AT62" s="115"/>
      <c r="AU62" s="115">
        <v>0</v>
      </c>
      <c r="AV62" s="100">
        <v>6354.85</v>
      </c>
      <c r="AW62" s="85">
        <v>635.48500000000013</v>
      </c>
      <c r="AX62" s="100">
        <f t="shared" si="21"/>
        <v>5719.3649999999998</v>
      </c>
      <c r="AY62" s="85">
        <v>0</v>
      </c>
      <c r="AZ62" s="85">
        <v>24.744799999999998</v>
      </c>
      <c r="BA62" s="100">
        <v>6379.5948000000008</v>
      </c>
      <c r="BB62" s="138">
        <v>1237.2</v>
      </c>
      <c r="BC62" s="138">
        <v>3303.71</v>
      </c>
      <c r="BD62" s="139">
        <v>-1178.4549999999999</v>
      </c>
      <c r="BE62" s="87"/>
      <c r="BF62" s="87"/>
      <c r="BG62" s="87"/>
      <c r="BH62" s="87"/>
      <c r="BI62" s="87"/>
      <c r="BJ62" s="87"/>
      <c r="BK62" s="26"/>
      <c r="BL62" s="26"/>
      <c r="BM62" s="26"/>
      <c r="BN62" s="26"/>
      <c r="BO62" s="26"/>
    </row>
    <row r="63" spans="1:67" s="26" customFormat="1" x14ac:dyDescent="0.25">
      <c r="A63" s="23" t="s">
        <v>113</v>
      </c>
      <c r="B63" s="24" t="s">
        <v>114</v>
      </c>
      <c r="C63" s="25">
        <f t="shared" si="1"/>
        <v>1200</v>
      </c>
      <c r="D63" s="25">
        <v>145.37389713135775</v>
      </c>
      <c r="E63" s="25">
        <f t="shared" si="2"/>
        <v>1800</v>
      </c>
      <c r="F63" s="25"/>
      <c r="G63" s="25"/>
      <c r="H63" s="25">
        <f t="shared" si="3"/>
        <v>3145.3738971313578</v>
      </c>
      <c r="I63" s="25">
        <f t="shared" si="4"/>
        <v>0</v>
      </c>
      <c r="J63" s="110">
        <f t="shared" si="5"/>
        <v>0</v>
      </c>
      <c r="K63" s="25">
        <f t="shared" si="6"/>
        <v>0</v>
      </c>
      <c r="L63" s="25">
        <f t="shared" si="0"/>
        <v>0</v>
      </c>
      <c r="M63" s="25">
        <f t="shared" si="7"/>
        <v>45.15</v>
      </c>
      <c r="N63" s="25">
        <f t="shared" si="8"/>
        <v>0</v>
      </c>
      <c r="O63" s="25">
        <f t="shared" si="9"/>
        <v>0</v>
      </c>
      <c r="P63" s="25">
        <f t="shared" si="10"/>
        <v>45.15</v>
      </c>
      <c r="Q63" s="25">
        <f t="shared" si="11"/>
        <v>3100.2238971313577</v>
      </c>
      <c r="R63" s="157">
        <f t="shared" si="12"/>
        <v>3100.2238971313577</v>
      </c>
      <c r="S63" s="157">
        <f t="shared" si="13"/>
        <v>315.55799999999999</v>
      </c>
      <c r="T63" s="157">
        <f>+'C&amp;A'!D63*0.02</f>
        <v>21.911999999999999</v>
      </c>
      <c r="U63" s="157">
        <f t="shared" si="14"/>
        <v>3437.6938971313575</v>
      </c>
      <c r="V63" s="157">
        <f t="shared" si="15"/>
        <v>550.03102354101725</v>
      </c>
      <c r="W63" s="157">
        <f t="shared" si="16"/>
        <v>3987.7249206723745</v>
      </c>
      <c r="X63" s="189">
        <f t="shared" si="17"/>
        <v>3100.2238971313577</v>
      </c>
      <c r="Y63" s="25">
        <f t="shared" si="18"/>
        <v>0</v>
      </c>
      <c r="Z63" s="110">
        <f>+Q63-'C&amp;A'!H63-SINDICATO!M63</f>
        <v>0</v>
      </c>
      <c r="AA63" s="111" t="s">
        <v>191</v>
      </c>
      <c r="AB63" s="111" t="s">
        <v>139</v>
      </c>
      <c r="AC63" s="112" t="s">
        <v>113</v>
      </c>
      <c r="AD63" s="111" t="s">
        <v>265</v>
      </c>
      <c r="AE63" s="111"/>
      <c r="AF63" s="111"/>
      <c r="AG63" s="113">
        <v>1237.2399999999998</v>
      </c>
      <c r="AH63" s="111">
        <v>-37.239999999999782</v>
      </c>
      <c r="AI63" s="113">
        <v>1200</v>
      </c>
      <c r="AJ63" s="113">
        <v>1800</v>
      </c>
      <c r="AK63" s="113">
        <f t="shared" si="19"/>
        <v>145.37389713135775</v>
      </c>
      <c r="AL63" s="113"/>
      <c r="AM63" s="113"/>
      <c r="AN63" s="114">
        <v>45.15</v>
      </c>
      <c r="AO63" s="100">
        <f t="shared" si="20"/>
        <v>3100.2238971313577</v>
      </c>
      <c r="AP63" s="113"/>
      <c r="AQ63" s="85"/>
      <c r="AR63" s="85"/>
      <c r="AS63" s="85"/>
      <c r="AT63" s="115"/>
      <c r="AU63" s="115">
        <v>0</v>
      </c>
      <c r="AV63" s="100">
        <v>3155.58</v>
      </c>
      <c r="AW63" s="85">
        <v>0</v>
      </c>
      <c r="AX63" s="100">
        <f t="shared" si="21"/>
        <v>3100.2238971313577</v>
      </c>
      <c r="AY63" s="85">
        <v>315.55799999999999</v>
      </c>
      <c r="AZ63" s="85">
        <v>24.744799999999998</v>
      </c>
      <c r="BA63" s="100">
        <v>3495.8827999999999</v>
      </c>
      <c r="BB63" s="138">
        <v>1237.2</v>
      </c>
      <c r="BC63" s="138">
        <v>109.73</v>
      </c>
      <c r="BD63" s="174">
        <v>-1808.6499999999999</v>
      </c>
      <c r="BE63" s="87"/>
      <c r="BF63" s="87"/>
      <c r="BG63" s="87"/>
      <c r="BH63" s="87"/>
      <c r="BI63" s="87"/>
      <c r="BJ63" s="87"/>
      <c r="BK63" s="24"/>
      <c r="BL63" s="24"/>
      <c r="BM63" s="24"/>
      <c r="BN63" s="24"/>
      <c r="BO63" s="24"/>
    </row>
    <row r="64" spans="1:67" s="24" customFormat="1" x14ac:dyDescent="0.25">
      <c r="A64" s="23" t="s">
        <v>115</v>
      </c>
      <c r="B64" s="24" t="s">
        <v>116</v>
      </c>
      <c r="C64" s="25">
        <f t="shared" si="1"/>
        <v>2250</v>
      </c>
      <c r="D64" s="25">
        <v>0</v>
      </c>
      <c r="E64" s="25">
        <f t="shared" si="2"/>
        <v>10108.09</v>
      </c>
      <c r="F64" s="25"/>
      <c r="G64" s="25"/>
      <c r="H64" s="25">
        <f t="shared" si="3"/>
        <v>12358.09</v>
      </c>
      <c r="I64" s="25">
        <f t="shared" si="4"/>
        <v>0</v>
      </c>
      <c r="J64" s="110">
        <f t="shared" si="5"/>
        <v>0</v>
      </c>
      <c r="K64" s="25">
        <f t="shared" si="6"/>
        <v>0</v>
      </c>
      <c r="L64" s="25">
        <f t="shared" si="0"/>
        <v>0</v>
      </c>
      <c r="M64" s="25">
        <f t="shared" si="7"/>
        <v>45.15</v>
      </c>
      <c r="N64" s="25">
        <f t="shared" si="8"/>
        <v>335.19</v>
      </c>
      <c r="O64" s="25">
        <f t="shared" si="9"/>
        <v>1248.7720000000002</v>
      </c>
      <c r="P64" s="25">
        <f t="shared" si="10"/>
        <v>1629.1120000000001</v>
      </c>
      <c r="Q64" s="25">
        <f t="shared" si="11"/>
        <v>10728.977999999999</v>
      </c>
      <c r="R64" s="157">
        <f t="shared" si="12"/>
        <v>12312.94</v>
      </c>
      <c r="S64" s="157">
        <f t="shared" si="13"/>
        <v>0</v>
      </c>
      <c r="T64" s="157">
        <f>+'C&amp;A'!D64*0.02</f>
        <v>21.911999999999999</v>
      </c>
      <c r="U64" s="157">
        <f t="shared" si="14"/>
        <v>12334.852000000001</v>
      </c>
      <c r="V64" s="157">
        <f t="shared" si="15"/>
        <v>1973.5763200000001</v>
      </c>
      <c r="W64" s="157">
        <f t="shared" si="16"/>
        <v>14308.428320000001</v>
      </c>
      <c r="X64" s="189">
        <f t="shared" si="17"/>
        <v>10728.977999999999</v>
      </c>
      <c r="Y64" s="25">
        <f t="shared" si="18"/>
        <v>0</v>
      </c>
      <c r="Z64" s="110">
        <f>+Q64-'C&amp;A'!H64-SINDICATO!M64</f>
        <v>0</v>
      </c>
      <c r="AA64" s="111" t="s">
        <v>234</v>
      </c>
      <c r="AB64" s="111" t="s">
        <v>266</v>
      </c>
      <c r="AC64" s="111" t="s">
        <v>115</v>
      </c>
      <c r="AD64" s="111" t="s">
        <v>230</v>
      </c>
      <c r="AE64" s="111"/>
      <c r="AF64" s="111"/>
      <c r="AG64" s="113">
        <v>1237.2399999999998</v>
      </c>
      <c r="AH64" s="111">
        <v>1012.76</v>
      </c>
      <c r="AI64" s="113">
        <v>2250</v>
      </c>
      <c r="AJ64" s="113">
        <v>10108.09</v>
      </c>
      <c r="AK64" s="113">
        <f t="shared" si="19"/>
        <v>0</v>
      </c>
      <c r="AL64" s="113"/>
      <c r="AM64" s="113"/>
      <c r="AN64" s="114">
        <v>45.15</v>
      </c>
      <c r="AO64" s="100">
        <f t="shared" si="20"/>
        <v>12312.94</v>
      </c>
      <c r="AP64" s="113"/>
      <c r="AQ64" s="85"/>
      <c r="AR64" s="85"/>
      <c r="AS64" s="85"/>
      <c r="AT64" s="115"/>
      <c r="AU64" s="115">
        <v>335.19</v>
      </c>
      <c r="AV64" s="100">
        <v>12152.53</v>
      </c>
      <c r="AW64" s="85">
        <v>1248.7720000000002</v>
      </c>
      <c r="AX64" s="100">
        <f t="shared" si="21"/>
        <v>10728.977999999999</v>
      </c>
      <c r="AY64" s="85">
        <v>0</v>
      </c>
      <c r="AZ64" s="85">
        <v>24.744799999999998</v>
      </c>
      <c r="BA64" s="100">
        <v>12512.464800000002</v>
      </c>
      <c r="BB64" s="138">
        <v>1237.2</v>
      </c>
      <c r="BC64" s="138">
        <v>852.39</v>
      </c>
      <c r="BD64" s="139">
        <v>-8814.1679999999997</v>
      </c>
      <c r="BE64" s="87"/>
      <c r="BF64" s="87"/>
      <c r="BG64" s="87"/>
      <c r="BH64" s="87"/>
      <c r="BI64" s="87"/>
      <c r="BJ64" s="87"/>
      <c r="BK64" s="120"/>
      <c r="BL64" s="120"/>
      <c r="BM64" s="120"/>
      <c r="BN64" s="120"/>
      <c r="BO64" s="120"/>
    </row>
    <row r="65" spans="1:67" s="120" customFormat="1" x14ac:dyDescent="0.25">
      <c r="A65" s="23" t="s">
        <v>117</v>
      </c>
      <c r="B65" s="24" t="s">
        <v>118</v>
      </c>
      <c r="C65" s="25">
        <f t="shared" si="1"/>
        <v>1200</v>
      </c>
      <c r="D65" s="25"/>
      <c r="E65" s="25">
        <f t="shared" si="2"/>
        <v>1266.2</v>
      </c>
      <c r="F65" s="25"/>
      <c r="G65" s="25"/>
      <c r="H65" s="25">
        <f t="shared" si="3"/>
        <v>2466.1999999999998</v>
      </c>
      <c r="I65" s="25">
        <f t="shared" si="4"/>
        <v>0</v>
      </c>
      <c r="J65" s="110">
        <f t="shared" si="5"/>
        <v>0</v>
      </c>
      <c r="K65" s="25">
        <f t="shared" si="6"/>
        <v>0</v>
      </c>
      <c r="L65" s="25">
        <f t="shared" si="0"/>
        <v>0</v>
      </c>
      <c r="M65" s="25">
        <f t="shared" si="7"/>
        <v>45.15</v>
      </c>
      <c r="N65" s="25">
        <f t="shared" si="8"/>
        <v>303.79000000000002</v>
      </c>
      <c r="O65" s="25">
        <f t="shared" si="9"/>
        <v>0</v>
      </c>
      <c r="P65" s="25">
        <f t="shared" si="10"/>
        <v>348.94</v>
      </c>
      <c r="Q65" s="25">
        <f t="shared" si="11"/>
        <v>2117.2599999999998</v>
      </c>
      <c r="R65" s="157">
        <f t="shared" si="12"/>
        <v>2421.0499999999997</v>
      </c>
      <c r="S65" s="157">
        <f t="shared" si="13"/>
        <v>259.58300000000003</v>
      </c>
      <c r="T65" s="157">
        <f>+'C&amp;A'!D65*0.02</f>
        <v>21.911999999999999</v>
      </c>
      <c r="U65" s="157">
        <f t="shared" si="14"/>
        <v>2702.5449999999996</v>
      </c>
      <c r="V65" s="157">
        <f t="shared" si="15"/>
        <v>432.40719999999993</v>
      </c>
      <c r="W65" s="157">
        <f t="shared" si="16"/>
        <v>3134.9521999999997</v>
      </c>
      <c r="X65" s="189">
        <f t="shared" si="17"/>
        <v>2117.2599999999998</v>
      </c>
      <c r="Y65" s="25">
        <f t="shared" si="18"/>
        <v>0</v>
      </c>
      <c r="Z65" s="110">
        <f>+Q65-'C&amp;A'!H65-SINDICATO!M65</f>
        <v>0</v>
      </c>
      <c r="AA65" s="111" t="s">
        <v>193</v>
      </c>
      <c r="AB65" s="111" t="s">
        <v>267</v>
      </c>
      <c r="AC65" s="112" t="s">
        <v>117</v>
      </c>
      <c r="AD65" s="111" t="s">
        <v>123</v>
      </c>
      <c r="AE65" s="111"/>
      <c r="AF65" s="111"/>
      <c r="AG65" s="113">
        <v>1237.2399999999998</v>
      </c>
      <c r="AH65" s="111">
        <v>-37.239999999999782</v>
      </c>
      <c r="AI65" s="113">
        <v>1200</v>
      </c>
      <c r="AJ65" s="113">
        <v>1266.2</v>
      </c>
      <c r="AK65" s="113">
        <f t="shared" si="19"/>
        <v>0</v>
      </c>
      <c r="AL65" s="113"/>
      <c r="AM65" s="113"/>
      <c r="AN65" s="114">
        <v>45.15</v>
      </c>
      <c r="AO65" s="100">
        <f t="shared" si="20"/>
        <v>2421.0499999999997</v>
      </c>
      <c r="AP65" s="113"/>
      <c r="AQ65" s="85"/>
      <c r="AR65" s="85"/>
      <c r="AS65" s="85"/>
      <c r="AT65" s="115"/>
      <c r="AU65" s="115">
        <v>303.79000000000002</v>
      </c>
      <c r="AV65" s="100">
        <v>2292.04</v>
      </c>
      <c r="AW65" s="85">
        <v>0</v>
      </c>
      <c r="AX65" s="100">
        <f t="shared" si="21"/>
        <v>2117.2599999999998</v>
      </c>
      <c r="AY65" s="85">
        <v>259.58300000000003</v>
      </c>
      <c r="AZ65" s="85">
        <v>24.744799999999998</v>
      </c>
      <c r="BA65" s="100">
        <v>2880.1578</v>
      </c>
      <c r="BB65" s="138">
        <v>1237.2</v>
      </c>
      <c r="BC65" s="138">
        <v>859.49</v>
      </c>
      <c r="BD65" s="139">
        <v>-195.34999999999991</v>
      </c>
      <c r="BE65" s="87"/>
      <c r="BF65" s="87"/>
      <c r="BG65" s="87"/>
      <c r="BH65" s="87"/>
      <c r="BI65" s="87"/>
      <c r="BJ65" s="87"/>
    </row>
    <row r="66" spans="1:67" s="120" customFormat="1" ht="16.5" thickBot="1" x14ac:dyDescent="0.3">
      <c r="A66" s="27" t="s">
        <v>120</v>
      </c>
      <c r="B66" s="26" t="s">
        <v>121</v>
      </c>
      <c r="C66" s="28">
        <f>SUM(C10:C65)</f>
        <v>165200</v>
      </c>
      <c r="D66" s="28">
        <f t="shared" ref="D66:G66" si="22">SUM(D10:D65)</f>
        <v>1891.5109339857158</v>
      </c>
      <c r="E66" s="28">
        <f t="shared" si="22"/>
        <v>432293.62000000005</v>
      </c>
      <c r="F66" s="28">
        <f t="shared" si="22"/>
        <v>0</v>
      </c>
      <c r="G66" s="28">
        <f t="shared" si="22"/>
        <v>0</v>
      </c>
      <c r="H66" s="28">
        <f>SUM(H10:H65)</f>
        <v>599385.1309339857</v>
      </c>
      <c r="I66" s="28">
        <f t="shared" ref="I66:M66" si="23">SUM(I10:I65)</f>
        <v>366.66</v>
      </c>
      <c r="J66" s="28">
        <f t="shared" si="23"/>
        <v>479.28</v>
      </c>
      <c r="K66" s="28">
        <f t="shared" si="23"/>
        <v>117.81</v>
      </c>
      <c r="L66" s="28">
        <f t="shared" si="23"/>
        <v>0</v>
      </c>
      <c r="M66" s="28">
        <f t="shared" si="23"/>
        <v>2528.4000000000024</v>
      </c>
      <c r="N66" s="28">
        <f>SUM(N10:N65)</f>
        <v>9726.09</v>
      </c>
      <c r="O66" s="28">
        <f>SUM(O10:O65)</f>
        <v>52628.071000000004</v>
      </c>
      <c r="P66" s="28">
        <f t="shared" ref="P66:R66" si="24">SUM(P10:P65)</f>
        <v>65846.311000000016</v>
      </c>
      <c r="Q66" s="28">
        <f t="shared" si="24"/>
        <v>533538.81993398571</v>
      </c>
      <c r="R66" s="192">
        <f t="shared" si="24"/>
        <v>596856.73093398556</v>
      </c>
      <c r="S66" s="192">
        <f t="shared" ref="S66:Z66" si="25">SUM(S10:S65)</f>
        <v>7645.0020000000004</v>
      </c>
      <c r="T66" s="192">
        <f t="shared" si="25"/>
        <v>1202.2384000000009</v>
      </c>
      <c r="U66" s="192">
        <f t="shared" si="25"/>
        <v>605703.97133398557</v>
      </c>
      <c r="V66" s="192">
        <f t="shared" si="25"/>
        <v>96912.635413437689</v>
      </c>
      <c r="W66" s="192">
        <f t="shared" si="25"/>
        <v>702616.60674742307</v>
      </c>
      <c r="X66" s="28">
        <f t="shared" si="25"/>
        <v>533538.81993398571</v>
      </c>
      <c r="Y66" s="28">
        <f t="shared" si="25"/>
        <v>0</v>
      </c>
      <c r="Z66" s="28">
        <f t="shared" si="25"/>
        <v>0</v>
      </c>
      <c r="AA66" s="97"/>
      <c r="AB66" s="111"/>
      <c r="AC66" s="111"/>
      <c r="AD66" s="111"/>
      <c r="AE66" s="111"/>
      <c r="AF66" s="111"/>
      <c r="AG66" s="111"/>
      <c r="AH66" s="111"/>
      <c r="AI66" s="113"/>
      <c r="AJ66" s="113"/>
      <c r="AK66" s="113"/>
      <c r="AL66" s="113"/>
      <c r="AM66" s="113"/>
      <c r="AN66" s="114"/>
      <c r="AO66" s="100">
        <f t="shared" ref="AO66" si="26">SUM(AI66:AM66)-AN66</f>
        <v>0</v>
      </c>
      <c r="AP66" s="113"/>
      <c r="AQ66" s="85"/>
      <c r="AR66" s="85"/>
      <c r="AS66" s="85"/>
      <c r="AT66" s="85"/>
      <c r="AU66" s="85"/>
      <c r="AV66" s="100">
        <f t="shared" ref="AV66" si="27">+AO66-SUM(AP66:AU66)</f>
        <v>0</v>
      </c>
      <c r="AW66" s="85">
        <f t="shared" ref="AW66" si="28">IF(AO66&gt;4500,AO66*0.1,0)</f>
        <v>0</v>
      </c>
      <c r="AX66" s="100">
        <f t="shared" ref="AX66" si="29">+AV66-AW66</f>
        <v>0</v>
      </c>
      <c r="AY66" s="85">
        <f t="shared" ref="AY66" si="30">IF(AO66&lt;4500,AO66*0.1,0)</f>
        <v>0</v>
      </c>
      <c r="AZ66" s="85"/>
      <c r="BA66" s="100">
        <f t="shared" ref="BA66" si="31">+AO66+AY66+AZ66</f>
        <v>0</v>
      </c>
      <c r="BB66" s="138"/>
      <c r="BC66" s="138"/>
      <c r="BD66" s="139"/>
      <c r="BE66" s="87"/>
      <c r="BF66" s="87"/>
      <c r="BG66" s="87"/>
      <c r="BH66" s="87"/>
      <c r="BI66" s="87"/>
      <c r="BJ66" s="87"/>
    </row>
    <row r="67" spans="1:67" s="120" customFormat="1" ht="17.25" thickTop="1" thickBot="1" x14ac:dyDescent="0.3">
      <c r="A67" s="119"/>
      <c r="M67" s="121"/>
      <c r="R67" s="121">
        <f>+'C&amp;A'!H69+SINDICATO!M69</f>
        <v>534776.01993398555</v>
      </c>
      <c r="T67" s="122">
        <f>+C66+D66+E66+F66+G66</f>
        <v>599385.13093398581</v>
      </c>
      <c r="U67" s="121">
        <f>+'C&amp;A'!H69+SINDICATO!D69</f>
        <v>600622.33093398553</v>
      </c>
      <c r="V67" s="122">
        <f>+U67+T66+S66-J66-K66-L66</f>
        <v>608872.48133398546</v>
      </c>
      <c r="X67" s="123"/>
      <c r="Y67" s="120" t="e">
        <f>+SINDICATO!#REF!</f>
        <v>#REF!</v>
      </c>
      <c r="AA67" s="97"/>
      <c r="AB67" s="98"/>
      <c r="AC67" s="98"/>
      <c r="AD67" s="98"/>
      <c r="AE67" s="98"/>
      <c r="AF67" s="98"/>
      <c r="AG67" s="98"/>
      <c r="AH67" s="98"/>
      <c r="AI67" s="99"/>
      <c r="AJ67" s="99"/>
      <c r="AK67" s="99"/>
      <c r="AL67" s="99"/>
      <c r="AM67" s="99"/>
      <c r="AN67" s="99"/>
      <c r="AO67" s="100"/>
      <c r="AP67" s="99"/>
      <c r="AQ67" s="85"/>
      <c r="AR67" s="85"/>
      <c r="AS67" s="85"/>
      <c r="AT67" s="85"/>
      <c r="AU67" s="85"/>
      <c r="AV67" s="101"/>
      <c r="AW67" s="85"/>
      <c r="AX67" s="100"/>
      <c r="AY67" s="85"/>
      <c r="AZ67" s="85"/>
      <c r="BA67" s="100"/>
      <c r="BB67" s="138"/>
      <c r="BC67" s="138"/>
      <c r="BD67" s="87"/>
      <c r="BE67" s="87"/>
      <c r="BF67" s="87"/>
      <c r="BG67" s="87"/>
      <c r="BH67" s="87"/>
      <c r="BI67" s="87"/>
      <c r="BJ67" s="87"/>
    </row>
    <row r="68" spans="1:67" s="120" customFormat="1" ht="17.25" thickTop="1" thickBot="1" x14ac:dyDescent="0.3">
      <c r="A68" s="119"/>
      <c r="C68" s="120" t="s">
        <v>121</v>
      </c>
      <c r="M68" s="121"/>
      <c r="R68" s="122">
        <f>+R66-R67</f>
        <v>62080.71100000001</v>
      </c>
      <c r="S68" s="120" t="s">
        <v>121</v>
      </c>
      <c r="T68" s="122">
        <f>+T67-U67</f>
        <v>-1237.1999999997206</v>
      </c>
      <c r="U68" s="122">
        <f>+U66-U67</f>
        <v>5081.640400000033</v>
      </c>
      <c r="V68" s="122">
        <f>+T66+S66</f>
        <v>8847.2404000000006</v>
      </c>
      <c r="W68" s="120" t="s">
        <v>121</v>
      </c>
      <c r="Y68" s="122" t="e">
        <f>+Y66+Y67</f>
        <v>#REF!</v>
      </c>
      <c r="AA68" s="87"/>
      <c r="AB68" s="176" t="s">
        <v>268</v>
      </c>
      <c r="AC68" s="176"/>
      <c r="AD68" s="176"/>
      <c r="AE68" s="176"/>
      <c r="AF68" s="176"/>
      <c r="AG68" s="176"/>
      <c r="AH68" s="176"/>
      <c r="AI68" s="177">
        <f>SUM(AI10:AI65)</f>
        <v>165200</v>
      </c>
      <c r="AJ68" s="177">
        <f>SUM(AJ10:AJ65)</f>
        <v>432293.62000000005</v>
      </c>
      <c r="AK68" s="177">
        <f>SUM(AK10:AK65)</f>
        <v>1891.5109339857158</v>
      </c>
      <c r="AL68" s="177">
        <f>SUM(AL10:AL64)</f>
        <v>0</v>
      </c>
      <c r="AM68" s="177">
        <f>SUM(AM10:AM64)</f>
        <v>0</v>
      </c>
      <c r="AN68" s="177">
        <f>SUM(AN10:AN65)</f>
        <v>2528.4000000000024</v>
      </c>
      <c r="AO68" s="177">
        <f t="shared" ref="AO68:AT68" si="32">SUM(AO10:AO64)</f>
        <v>594435.68093398551</v>
      </c>
      <c r="AP68" s="177">
        <f t="shared" si="32"/>
        <v>366.66</v>
      </c>
      <c r="AQ68" s="177">
        <f t="shared" si="32"/>
        <v>117.81</v>
      </c>
      <c r="AR68" s="177">
        <f t="shared" si="32"/>
        <v>0</v>
      </c>
      <c r="AS68" s="177">
        <f t="shared" si="32"/>
        <v>0</v>
      </c>
      <c r="AT68" s="177">
        <f t="shared" si="32"/>
        <v>479.28</v>
      </c>
      <c r="AU68" s="177">
        <f>SUM(AU10:AU65)</f>
        <v>9726.09</v>
      </c>
      <c r="AV68" s="177">
        <f t="shared" ref="AV68:BA68" si="33">SUM(AV10:AV64)</f>
        <v>589748.85</v>
      </c>
      <c r="AW68" s="177">
        <f t="shared" si="33"/>
        <v>52628.071000000004</v>
      </c>
      <c r="AX68" s="177">
        <f t="shared" si="33"/>
        <v>531421.5599339857</v>
      </c>
      <c r="AY68" s="177">
        <f t="shared" si="33"/>
        <v>7385.4190000000008</v>
      </c>
      <c r="AZ68" s="177">
        <f t="shared" si="33"/>
        <v>1330.7295999999983</v>
      </c>
      <c r="BA68" s="177">
        <f t="shared" si="33"/>
        <v>608851.0486000001</v>
      </c>
      <c r="BB68" s="138"/>
      <c r="BC68" s="138"/>
      <c r="BD68" s="87"/>
      <c r="BE68" s="87"/>
      <c r="BF68" s="87"/>
      <c r="BG68" s="87"/>
      <c r="BH68" s="87"/>
      <c r="BI68" s="87"/>
      <c r="BJ68" s="87"/>
    </row>
    <row r="69" spans="1:67" s="120" customFormat="1" ht="16.5" thickTop="1" x14ac:dyDescent="0.25">
      <c r="A69" s="119" t="s">
        <v>121</v>
      </c>
      <c r="B69" s="120" t="s">
        <v>278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  <c r="N69" s="124"/>
      <c r="O69" s="124"/>
      <c r="P69" s="124"/>
      <c r="Q69" s="124"/>
      <c r="R69" s="124"/>
      <c r="S69" s="124"/>
      <c r="T69" s="124"/>
      <c r="U69" s="124"/>
      <c r="V69" s="126">
        <f>+U68-V68</f>
        <v>-3765.5999999999676</v>
      </c>
      <c r="W69" s="126">
        <f>+J66+K66+L66</f>
        <v>597.08999999999992</v>
      </c>
      <c r="X69" s="126">
        <f>+W69+V69</f>
        <v>-3168.5099999999675</v>
      </c>
      <c r="Y69" s="124"/>
      <c r="AA69" s="87"/>
      <c r="AB69" s="87"/>
      <c r="AC69" s="87"/>
      <c r="AD69" s="87"/>
      <c r="AE69" s="87"/>
      <c r="AF69" s="87"/>
      <c r="AG69" s="87"/>
      <c r="AH69" s="87"/>
      <c r="AI69" s="178"/>
      <c r="AJ69" s="178"/>
      <c r="AK69" s="178"/>
      <c r="AL69" s="178"/>
      <c r="AM69" s="178"/>
      <c r="AN69" s="178"/>
      <c r="AO69" s="179"/>
      <c r="AP69" s="178"/>
      <c r="AQ69" s="178"/>
      <c r="AR69" s="178"/>
      <c r="AS69" s="178"/>
      <c r="AT69" s="178"/>
      <c r="AU69" s="178"/>
      <c r="AV69" s="179"/>
      <c r="AW69" s="178"/>
      <c r="AX69" s="179"/>
      <c r="AY69" s="178"/>
      <c r="AZ69" s="178"/>
      <c r="BA69" s="179"/>
      <c r="BB69" s="138"/>
      <c r="BC69" s="138"/>
      <c r="BD69" s="87"/>
      <c r="BE69" s="87"/>
      <c r="BF69" s="87"/>
      <c r="BG69" s="87"/>
      <c r="BH69" s="87"/>
      <c r="BI69" s="87"/>
      <c r="BJ69" s="87"/>
      <c r="BK69" s="24"/>
      <c r="BL69" s="24"/>
      <c r="BM69" s="24"/>
      <c r="BN69" s="24"/>
      <c r="BO69" s="24"/>
    </row>
    <row r="70" spans="1:67" s="24" customFormat="1" x14ac:dyDescent="0.25">
      <c r="A70" s="119" t="s">
        <v>31</v>
      </c>
      <c r="B70" s="120" t="s">
        <v>32</v>
      </c>
      <c r="C70" s="127">
        <v>2250</v>
      </c>
      <c r="D70" s="127">
        <v>174.78</v>
      </c>
      <c r="E70" s="127">
        <v>0</v>
      </c>
      <c r="F70" s="127"/>
      <c r="G70" s="127"/>
      <c r="H70" s="127"/>
      <c r="I70" s="127"/>
      <c r="J70" s="127"/>
      <c r="K70" s="127"/>
      <c r="L70" s="127"/>
      <c r="M70" s="121">
        <v>0</v>
      </c>
      <c r="N70" s="127">
        <v>0</v>
      </c>
      <c r="O70" s="127"/>
      <c r="P70" s="127"/>
      <c r="Q70" s="127"/>
      <c r="R70" s="127">
        <f>SUM(C70:M70)</f>
        <v>2424.7800000000002</v>
      </c>
      <c r="S70" s="127">
        <v>138.27799999999999</v>
      </c>
      <c r="T70" s="127" t="e">
        <f>+'C&amp;A'!#REF!*0.02</f>
        <v>#REF!</v>
      </c>
      <c r="U70" s="127" t="e">
        <f>SUM(R70:T70)</f>
        <v>#REF!</v>
      </c>
      <c r="V70" s="127" t="e">
        <f>+U70*0.16</f>
        <v>#REF!</v>
      </c>
      <c r="W70" s="127" t="e">
        <f>+U70+V70</f>
        <v>#REF!</v>
      </c>
      <c r="X70" s="127"/>
      <c r="Y70" s="127"/>
      <c r="Z70" s="120"/>
      <c r="AA70" s="265" t="s">
        <v>303</v>
      </c>
      <c r="AB70" s="265"/>
      <c r="AC70" s="87"/>
      <c r="AD70" s="87"/>
      <c r="AE70" s="87"/>
      <c r="AF70" s="87"/>
      <c r="AG70" s="87"/>
      <c r="AH70" s="87"/>
      <c r="AI70" s="178"/>
      <c r="AJ70" s="178"/>
      <c r="AK70" s="178"/>
      <c r="AL70" s="178"/>
      <c r="AM70" s="178"/>
      <c r="AN70" s="178"/>
      <c r="AO70" s="179"/>
      <c r="AP70" s="178"/>
      <c r="AQ70" s="178"/>
      <c r="AR70" s="178"/>
      <c r="AS70" s="178"/>
      <c r="AT70" s="178"/>
      <c r="AU70" s="178"/>
      <c r="AV70" s="179"/>
      <c r="AW70" s="178">
        <f>+AW68-AW69</f>
        <v>52628.071000000004</v>
      </c>
      <c r="AX70" s="179"/>
      <c r="AY70" s="178"/>
      <c r="AZ70" s="178"/>
      <c r="BA70" s="179"/>
      <c r="BB70" s="138"/>
      <c r="BC70" s="138"/>
      <c r="BD70" s="87"/>
      <c r="BE70" s="87"/>
      <c r="BF70" s="87"/>
      <c r="BG70" s="87"/>
      <c r="BH70" s="87"/>
      <c r="BI70" s="87"/>
      <c r="BJ70" s="87"/>
    </row>
    <row r="71" spans="1:67" s="24" customFormat="1" x14ac:dyDescent="0.25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1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97"/>
      <c r="AB71" s="111" t="s">
        <v>304</v>
      </c>
      <c r="AC71" s="111"/>
      <c r="AD71" s="111"/>
      <c r="AE71" s="111"/>
      <c r="AF71" s="111"/>
      <c r="AG71" s="111"/>
      <c r="AH71" s="111"/>
      <c r="AI71" s="113">
        <v>1750</v>
      </c>
      <c r="AJ71" s="113">
        <v>12045.8</v>
      </c>
      <c r="AK71" s="113"/>
      <c r="AL71" s="113"/>
      <c r="AM71" s="113"/>
      <c r="AN71" s="113"/>
      <c r="AO71" s="100">
        <f>SUM(AI71:AN71)</f>
        <v>13795.8</v>
      </c>
      <c r="AP71" s="113"/>
      <c r="AQ71" s="85"/>
      <c r="AR71" s="85"/>
      <c r="AS71" s="85"/>
      <c r="AT71" s="85"/>
      <c r="AU71" s="85"/>
      <c r="AV71" s="100">
        <f>+AO71-AP71</f>
        <v>13795.8</v>
      </c>
      <c r="AW71" s="85">
        <f>+AV71*0.05</f>
        <v>689.79</v>
      </c>
      <c r="AX71" s="100">
        <f>+AV71-AR71-AU71</f>
        <v>13795.8</v>
      </c>
      <c r="AY71" s="85">
        <f>IF(AV71&lt;3000,AV71*0.1,0)</f>
        <v>0</v>
      </c>
      <c r="AZ71" s="85">
        <v>0</v>
      </c>
      <c r="BA71" s="100">
        <f>+AV71+AY71+AZ71</f>
        <v>13795.8</v>
      </c>
      <c r="BB71" s="138"/>
      <c r="BC71" s="138"/>
      <c r="BD71" s="87"/>
      <c r="BE71" s="87"/>
      <c r="BF71" s="87"/>
      <c r="BG71" s="87"/>
      <c r="BH71" s="87"/>
      <c r="BI71" s="87"/>
      <c r="BJ71" s="87"/>
    </row>
    <row r="72" spans="1:67" s="24" customFormat="1" x14ac:dyDescent="0.25">
      <c r="A72" s="23"/>
      <c r="M72" s="46"/>
      <c r="AA72" s="97"/>
      <c r="AB72" s="111"/>
      <c r="AC72" s="111"/>
      <c r="AD72" s="111"/>
      <c r="AE72" s="111"/>
      <c r="AF72" s="111"/>
      <c r="AG72" s="111"/>
      <c r="AH72" s="111"/>
      <c r="AI72" s="113"/>
      <c r="AJ72" s="113"/>
      <c r="AK72" s="113"/>
      <c r="AL72" s="113"/>
      <c r="AM72" s="113"/>
      <c r="AN72" s="113"/>
      <c r="AO72" s="100">
        <f>SUM(AI72:AN72)</f>
        <v>0</v>
      </c>
      <c r="AP72" s="113"/>
      <c r="AQ72" s="85"/>
      <c r="AR72" s="85"/>
      <c r="AS72" s="85"/>
      <c r="AT72" s="85"/>
      <c r="AU72" s="85"/>
      <c r="AV72" s="100">
        <f>+AO72-AP72</f>
        <v>0</v>
      </c>
      <c r="AW72" s="85">
        <f>+AV72*0.05</f>
        <v>0</v>
      </c>
      <c r="AX72" s="100">
        <f>+AV72-AR72-AU72</f>
        <v>0</v>
      </c>
      <c r="AY72" s="85">
        <f>IF(AV72&lt;3000,AV72*0.1,0)</f>
        <v>0</v>
      </c>
      <c r="AZ72" s="85">
        <v>0</v>
      </c>
      <c r="BA72" s="100">
        <f>+AV72+AY72+AZ72</f>
        <v>0</v>
      </c>
      <c r="BB72" s="138"/>
      <c r="BC72" s="138"/>
      <c r="BD72" s="87"/>
      <c r="BE72" s="87"/>
      <c r="BF72" s="87"/>
      <c r="BG72" s="87"/>
      <c r="BH72" s="87"/>
      <c r="BI72" s="87"/>
      <c r="BJ72" s="87"/>
    </row>
    <row r="73" spans="1:67" s="24" customFormat="1" x14ac:dyDescent="0.25">
      <c r="A73" s="23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46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AA73" s="87"/>
      <c r="AB73" s="87"/>
      <c r="AC73" s="87"/>
      <c r="AD73" s="87"/>
      <c r="AE73" s="87"/>
      <c r="AF73" s="87"/>
      <c r="AG73" s="87"/>
      <c r="AH73" s="87"/>
      <c r="AI73" s="178"/>
      <c r="AJ73" s="178"/>
      <c r="AK73" s="178"/>
      <c r="AL73" s="178"/>
      <c r="AM73" s="178"/>
      <c r="AN73" s="178"/>
      <c r="AO73" s="179"/>
      <c r="AP73" s="178"/>
      <c r="AQ73" s="178"/>
      <c r="AR73" s="178"/>
      <c r="AS73" s="178"/>
      <c r="AT73" s="178"/>
      <c r="AU73" s="178"/>
      <c r="AV73" s="179"/>
      <c r="AW73" s="178"/>
      <c r="AX73" s="179"/>
      <c r="AY73" s="178"/>
      <c r="AZ73" s="178"/>
      <c r="BA73" s="179">
        <f>SUM(BA71:BA72)</f>
        <v>13795.8</v>
      </c>
      <c r="BB73" s="138"/>
      <c r="BC73" s="138"/>
      <c r="BD73" s="87"/>
      <c r="BE73" s="87"/>
      <c r="BF73" s="87"/>
      <c r="BG73" s="87"/>
      <c r="BH73" s="87"/>
      <c r="BI73" s="87"/>
      <c r="BJ73" s="87"/>
    </row>
    <row r="74" spans="1:67" s="24" customFormat="1" x14ac:dyDescent="0.25">
      <c r="A74" s="23"/>
      <c r="M74" s="46"/>
      <c r="R74" s="25"/>
      <c r="AA74" s="87"/>
      <c r="AB74" s="180" t="s">
        <v>270</v>
      </c>
      <c r="AC74" s="180"/>
      <c r="AD74" s="87"/>
      <c r="AE74" s="87"/>
      <c r="AF74" s="87"/>
      <c r="AG74" s="87"/>
      <c r="AH74" s="87"/>
      <c r="AI74" s="178"/>
      <c r="AJ74" s="178"/>
      <c r="AK74" s="178"/>
      <c r="AL74" s="178"/>
      <c r="AM74" s="178"/>
      <c r="AN74" s="178"/>
      <c r="AO74" s="179"/>
      <c r="AP74" s="178"/>
      <c r="AQ74" s="178"/>
      <c r="AR74" s="178"/>
      <c r="AS74" s="178"/>
      <c r="AT74" s="178"/>
      <c r="AU74" s="178"/>
      <c r="AV74" s="179"/>
      <c r="AW74" s="178"/>
      <c r="AX74" s="179"/>
      <c r="AY74" s="178"/>
      <c r="AZ74" s="178"/>
      <c r="BA74" s="179">
        <f>+BA73*0.16</f>
        <v>2207.328</v>
      </c>
      <c r="BB74" s="138"/>
      <c r="BC74" s="138"/>
      <c r="BD74" s="87"/>
      <c r="BE74" s="87"/>
      <c r="BF74" s="87"/>
      <c r="BG74" s="87"/>
      <c r="BH74" s="87"/>
      <c r="BI74" s="87"/>
      <c r="BJ74" s="87"/>
    </row>
    <row r="75" spans="1:67" s="24" customFormat="1" x14ac:dyDescent="0.25">
      <c r="A75" s="23"/>
      <c r="M75" s="46"/>
      <c r="R75" s="25"/>
      <c r="AA75" s="87"/>
      <c r="AB75" s="180"/>
      <c r="AC75" s="180"/>
      <c r="AD75" s="87"/>
      <c r="AE75" s="87"/>
      <c r="AF75" s="87"/>
      <c r="AG75" s="87"/>
      <c r="AH75" s="87"/>
      <c r="AI75" s="178"/>
      <c r="AJ75" s="178"/>
      <c r="AK75" s="178"/>
      <c r="AL75" s="178"/>
      <c r="AM75" s="178"/>
      <c r="AN75" s="178"/>
      <c r="AO75" s="179"/>
      <c r="AP75" s="178"/>
      <c r="AQ75" s="178"/>
      <c r="AR75" s="178"/>
      <c r="AS75" s="178"/>
      <c r="AT75" s="178"/>
      <c r="AU75" s="178"/>
      <c r="AV75" s="179"/>
      <c r="AW75" s="178"/>
      <c r="AX75" s="179"/>
      <c r="AY75" s="178"/>
      <c r="AZ75" s="178"/>
      <c r="BA75" s="179">
        <f>+BA73+BA74</f>
        <v>16003.127999999999</v>
      </c>
      <c r="BB75" s="138"/>
      <c r="BC75" s="138"/>
      <c r="BD75" s="87"/>
      <c r="BE75" s="87"/>
      <c r="BF75" s="87"/>
      <c r="BG75" s="87"/>
      <c r="BH75" s="87"/>
      <c r="BI75" s="87"/>
      <c r="BJ75" s="87"/>
    </row>
    <row r="76" spans="1:67" s="24" customFormat="1" x14ac:dyDescent="0.25">
      <c r="A76" s="23"/>
      <c r="M76" s="46"/>
      <c r="AA76" s="87"/>
      <c r="AB76" s="180"/>
      <c r="AC76" s="180"/>
      <c r="AD76" s="87"/>
      <c r="AE76" s="87"/>
      <c r="AF76" s="87"/>
      <c r="AG76" s="87"/>
      <c r="AH76" s="87"/>
      <c r="AI76" s="178"/>
      <c r="AJ76" s="178"/>
      <c r="AK76" s="178"/>
      <c r="AL76" s="178"/>
      <c r="AM76" s="178"/>
      <c r="AN76" s="178"/>
      <c r="AO76" s="179"/>
      <c r="AP76" s="178"/>
      <c r="AQ76" s="178"/>
      <c r="AR76" s="178"/>
      <c r="AS76" s="178"/>
      <c r="AT76" s="178"/>
      <c r="AU76" s="178"/>
      <c r="AV76" s="179"/>
      <c r="AW76" s="178"/>
      <c r="AX76" s="179"/>
      <c r="AY76" s="178"/>
      <c r="AZ76" s="178"/>
      <c r="BA76" s="179"/>
      <c r="BB76" s="138"/>
      <c r="BC76" s="138"/>
      <c r="BD76" s="87"/>
      <c r="BE76" s="87"/>
      <c r="BF76" s="87"/>
      <c r="BG76" s="87"/>
      <c r="BH76" s="87"/>
      <c r="BI76" s="87"/>
      <c r="BJ76" s="87"/>
    </row>
    <row r="77" spans="1:67" s="24" customFormat="1" x14ac:dyDescent="0.25">
      <c r="A77" s="23"/>
      <c r="M77" s="46"/>
      <c r="AA77" s="87"/>
      <c r="AB77" s="180" t="s">
        <v>271</v>
      </c>
      <c r="AC77" s="180"/>
      <c r="AD77" s="87"/>
      <c r="AE77" s="87"/>
      <c r="AF77" s="87"/>
      <c r="AG77" s="87"/>
      <c r="AH77" s="87"/>
      <c r="AI77" s="178"/>
      <c r="AJ77" s="178"/>
      <c r="AK77" s="178"/>
      <c r="AL77" s="178"/>
      <c r="AM77" s="178"/>
      <c r="AN77" s="178"/>
      <c r="AO77" s="179"/>
      <c r="AP77" s="178"/>
      <c r="AQ77" s="178"/>
      <c r="AR77" s="178"/>
      <c r="AS77" s="178"/>
      <c r="AT77" s="178"/>
      <c r="AU77" s="178"/>
      <c r="AV77" s="179"/>
      <c r="AW77" s="178"/>
      <c r="AX77" s="179"/>
      <c r="AY77" s="178"/>
      <c r="AZ77" s="178"/>
      <c r="BA77" s="179">
        <f>+BA70+BA75</f>
        <v>16003.127999999999</v>
      </c>
      <c r="BB77" s="138"/>
      <c r="BC77" s="138"/>
      <c r="BD77" s="87"/>
      <c r="BE77" s="87"/>
      <c r="BF77" s="87"/>
      <c r="BG77" s="87"/>
      <c r="BH77" s="87"/>
      <c r="BI77" s="87"/>
      <c r="BJ77" s="87"/>
    </row>
    <row r="78" spans="1:67" s="24" customFormat="1" x14ac:dyDescent="0.25">
      <c r="A78" s="23" t="s">
        <v>305</v>
      </c>
      <c r="M78" s="46"/>
      <c r="AA78" s="87"/>
      <c r="AB78" s="87"/>
      <c r="AC78" s="87"/>
      <c r="AD78" s="87"/>
      <c r="AE78" s="87"/>
      <c r="AF78" s="87"/>
      <c r="AG78" s="87"/>
      <c r="AH78" s="87"/>
      <c r="AI78" s="178"/>
      <c r="AJ78" s="178"/>
      <c r="AK78" s="178"/>
      <c r="AL78" s="178"/>
      <c r="AM78" s="178"/>
      <c r="AN78" s="178"/>
      <c r="AO78" s="179"/>
      <c r="AP78" s="178"/>
      <c r="AQ78" s="178"/>
      <c r="AR78" s="178"/>
      <c r="AS78" s="178"/>
      <c r="AT78" s="178"/>
      <c r="AU78" s="178"/>
      <c r="AV78" s="179"/>
      <c r="AW78" s="178"/>
      <c r="AX78" s="179"/>
      <c r="AY78" s="178"/>
      <c r="AZ78" s="178"/>
      <c r="BA78" s="179"/>
      <c r="BB78" s="138"/>
      <c r="BC78" s="138"/>
      <c r="BD78" s="87"/>
      <c r="BE78" s="87"/>
      <c r="BF78" s="87"/>
      <c r="BG78" s="87"/>
      <c r="BH78" s="87"/>
      <c r="BI78" s="87"/>
      <c r="BJ78" s="87"/>
    </row>
    <row r="79" spans="1:67" s="24" customFormat="1" x14ac:dyDescent="0.25">
      <c r="A79" s="23" t="s">
        <v>85</v>
      </c>
      <c r="B79" s="24" t="s">
        <v>86</v>
      </c>
      <c r="C79" s="25">
        <f>+AI79</f>
        <v>0</v>
      </c>
      <c r="D79" s="25"/>
      <c r="E79" s="25">
        <f>+AJ79</f>
        <v>0</v>
      </c>
      <c r="F79" s="25"/>
      <c r="G79" s="25"/>
      <c r="H79" s="25"/>
      <c r="I79" s="25"/>
      <c r="J79" s="110">
        <f>+AP79</f>
        <v>0</v>
      </c>
      <c r="K79" s="25">
        <f>+AQ79</f>
        <v>0</v>
      </c>
      <c r="L79" s="25"/>
      <c r="M79" s="25">
        <f>+AN79</f>
        <v>0</v>
      </c>
      <c r="N79" s="25">
        <f>+AU79</f>
        <v>0</v>
      </c>
      <c r="O79" s="25">
        <f>+AW79</f>
        <v>0</v>
      </c>
      <c r="P79" s="25"/>
      <c r="Q79" s="25"/>
      <c r="R79" s="25">
        <f>+C79+D79+E79+F79-J79-L79+M79-N79-O79+G79-K79</f>
        <v>0</v>
      </c>
      <c r="S79" s="25" t="e">
        <f>+#REF!</f>
        <v>#REF!</v>
      </c>
      <c r="T79" s="25">
        <f>+'C&amp;A'!D78*0.02</f>
        <v>21.911999999999999</v>
      </c>
      <c r="U79" s="25" t="e">
        <f>+C79+D79+E79-J79-L79+F79+M79+S79+T79+G79-K79</f>
        <v>#REF!</v>
      </c>
      <c r="V79" s="25" t="e">
        <f>+U79*0.16</f>
        <v>#REF!</v>
      </c>
      <c r="W79" s="25" t="e">
        <f>+U79+V79</f>
        <v>#REF!</v>
      </c>
      <c r="X79" s="52" t="e">
        <f>+'C&amp;A'!H78+SINDICATO!#REF!</f>
        <v>#REF!</v>
      </c>
      <c r="Y79" s="25" t="e">
        <f>+X79-R79</f>
        <v>#REF!</v>
      </c>
      <c r="Z79" s="110"/>
      <c r="AA79" s="181" t="s">
        <v>237</v>
      </c>
      <c r="AB79" s="181" t="s">
        <v>298</v>
      </c>
      <c r="AC79" s="182" t="s">
        <v>85</v>
      </c>
      <c r="AD79" s="181" t="s">
        <v>299</v>
      </c>
      <c r="AE79" s="181" t="s">
        <v>300</v>
      </c>
      <c r="AF79" s="181"/>
      <c r="AG79" s="183"/>
      <c r="AH79" s="181"/>
      <c r="AI79" s="183">
        <v>0</v>
      </c>
      <c r="AJ79" s="183"/>
      <c r="AK79" s="183">
        <v>0</v>
      </c>
      <c r="AL79" s="183"/>
      <c r="AM79" s="183"/>
      <c r="AN79" s="183"/>
      <c r="AO79" s="183">
        <v>0</v>
      </c>
      <c r="AP79" s="183"/>
      <c r="AQ79" s="184"/>
      <c r="AR79" s="184"/>
      <c r="AS79" s="184"/>
      <c r="AT79" s="185"/>
      <c r="AU79" s="185"/>
      <c r="AV79" s="183">
        <v>0</v>
      </c>
      <c r="AW79" s="184">
        <v>0</v>
      </c>
      <c r="AX79" s="183">
        <v>0</v>
      </c>
      <c r="AY79" s="184">
        <v>0</v>
      </c>
      <c r="AZ79" s="184">
        <v>0</v>
      </c>
      <c r="BA79" s="183">
        <v>0</v>
      </c>
      <c r="BB79" s="186">
        <v>1237.2</v>
      </c>
      <c r="BC79" s="186">
        <v>3148.34</v>
      </c>
      <c r="BD79" s="187">
        <v>4385.54</v>
      </c>
      <c r="BE79" s="188"/>
      <c r="BF79" s="87"/>
      <c r="BG79" s="87"/>
      <c r="BH79" s="87"/>
      <c r="BI79" s="87"/>
      <c r="BJ79" s="87"/>
    </row>
    <row r="80" spans="1:67" s="24" customFormat="1" x14ac:dyDescent="0.25">
      <c r="A80" s="23"/>
      <c r="M80" s="46"/>
      <c r="AA80" s="87"/>
      <c r="AB80" s="87"/>
      <c r="AC80" s="87"/>
      <c r="AD80" s="87"/>
      <c r="AE80" s="87"/>
      <c r="AF80" s="87"/>
      <c r="AG80" s="87"/>
      <c r="AH80" s="87"/>
      <c r="AI80" s="178"/>
      <c r="AJ80" s="178"/>
      <c r="AK80" s="178"/>
      <c r="AL80" s="178"/>
      <c r="AM80" s="178"/>
      <c r="AN80" s="178"/>
      <c r="AO80" s="179"/>
      <c r="AP80" s="178"/>
      <c r="AQ80" s="178"/>
      <c r="AR80" s="178"/>
      <c r="AS80" s="178"/>
      <c r="AT80" s="178"/>
      <c r="AU80" s="178"/>
      <c r="AV80" s="179"/>
      <c r="AW80" s="178"/>
      <c r="AX80" s="179"/>
      <c r="AY80" s="178"/>
      <c r="AZ80" s="178"/>
      <c r="BA80" s="179"/>
      <c r="BB80" s="138"/>
      <c r="BC80" s="138"/>
      <c r="BD80" s="87"/>
      <c r="BE80" s="87"/>
      <c r="BF80" s="87"/>
      <c r="BG80" s="87"/>
      <c r="BH80" s="87"/>
      <c r="BI80" s="87"/>
      <c r="BJ80" s="87"/>
    </row>
    <row r="81" spans="1:62" s="24" customFormat="1" x14ac:dyDescent="0.25">
      <c r="A81" s="23"/>
      <c r="M81" s="46"/>
      <c r="AA81" s="87"/>
      <c r="AB81" s="87"/>
      <c r="AC81" s="87"/>
      <c r="AD81" s="87"/>
      <c r="AE81" s="87"/>
      <c r="AF81" s="87"/>
      <c r="AG81" s="87"/>
      <c r="AH81" s="87"/>
      <c r="AI81" s="178"/>
      <c r="AJ81" s="178"/>
      <c r="AK81" s="178"/>
      <c r="AL81" s="178"/>
      <c r="AM81" s="178"/>
      <c r="AN81" s="178"/>
      <c r="AO81" s="179"/>
      <c r="AP81" s="178"/>
      <c r="AQ81" s="178"/>
      <c r="AR81" s="178"/>
      <c r="AS81" s="178"/>
      <c r="AT81" s="178"/>
      <c r="AU81" s="178"/>
      <c r="AV81" s="179"/>
      <c r="AW81" s="178"/>
      <c r="AX81" s="179"/>
      <c r="AY81" s="178"/>
      <c r="AZ81" s="178"/>
      <c r="BA81" s="179"/>
      <c r="BB81" s="138"/>
      <c r="BC81" s="138"/>
      <c r="BD81" s="87"/>
      <c r="BE81" s="87"/>
      <c r="BF81" s="87"/>
      <c r="BG81" s="87"/>
      <c r="BH81" s="87"/>
      <c r="BI81" s="87"/>
      <c r="BJ81" s="87"/>
    </row>
    <row r="84" spans="1:62" x14ac:dyDescent="0.25">
      <c r="AA84" s="89" t="s">
        <v>272</v>
      </c>
      <c r="AB84" s="74"/>
    </row>
    <row r="85" spans="1:62" x14ac:dyDescent="0.25">
      <c r="AA85" s="89" t="s">
        <v>273</v>
      </c>
      <c r="AB85" s="74"/>
    </row>
    <row r="86" spans="1:62" x14ac:dyDescent="0.25">
      <c r="AA86" s="89" t="s">
        <v>274</v>
      </c>
      <c r="AB86" s="74"/>
    </row>
    <row r="87" spans="1:62" x14ac:dyDescent="0.25">
      <c r="AA87" s="89" t="s">
        <v>275</v>
      </c>
      <c r="AB87" s="74"/>
    </row>
    <row r="88" spans="1:62" x14ac:dyDescent="0.25">
      <c r="AA88" s="89" t="s">
        <v>276</v>
      </c>
      <c r="AB88" s="74"/>
    </row>
    <row r="89" spans="1:62" x14ac:dyDescent="0.25">
      <c r="AA89" s="89" t="s">
        <v>277</v>
      </c>
      <c r="AB89" s="74"/>
    </row>
    <row r="96" spans="1:62" x14ac:dyDescent="0.25">
      <c r="AA96" s="77" t="s">
        <v>237</v>
      </c>
      <c r="AB96" s="77" t="s">
        <v>298</v>
      </c>
      <c r="AC96" s="78" t="s">
        <v>85</v>
      </c>
      <c r="AD96" s="77" t="s">
        <v>299</v>
      </c>
      <c r="AE96" s="77" t="s">
        <v>195</v>
      </c>
      <c r="AF96" s="77"/>
      <c r="AG96" s="79">
        <v>1237.2399999999998</v>
      </c>
      <c r="AH96" s="77">
        <v>4762.76</v>
      </c>
      <c r="AI96" s="79">
        <f>+AG96+AH96</f>
        <v>6000</v>
      </c>
      <c r="AJ96" s="79"/>
      <c r="AK96" s="79">
        <v>0</v>
      </c>
      <c r="AL96" s="79"/>
      <c r="AM96" s="79"/>
      <c r="AN96" s="80">
        <v>45.15</v>
      </c>
      <c r="AO96" s="81">
        <f>SUM(AI96:AM96)-AN96</f>
        <v>5954.85</v>
      </c>
      <c r="AP96" s="82"/>
      <c r="AQ96" s="83"/>
      <c r="AR96" s="83"/>
      <c r="AS96" s="83"/>
      <c r="AT96" s="84"/>
      <c r="AU96" s="84">
        <v>1014.46</v>
      </c>
      <c r="AV96" s="81">
        <f>+AO96-SUM(AP96:AU96)</f>
        <v>4940.3900000000003</v>
      </c>
      <c r="AW96" s="85">
        <f>IF(AO96&gt;4500,AO96*0.1,0)</f>
        <v>595.48500000000001</v>
      </c>
      <c r="AX96" s="81">
        <f>+AV96-AW96</f>
        <v>4344.9050000000007</v>
      </c>
      <c r="AY96" s="86">
        <f>IF(AO96&lt;4500,AO96*0.1,0)</f>
        <v>0</v>
      </c>
      <c r="AZ96" s="85">
        <f>AG96*0.02</f>
        <v>24.744799999999998</v>
      </c>
      <c r="BA96" s="81">
        <f>+AO96+AY96+AZ96</f>
        <v>5979.5948000000008</v>
      </c>
      <c r="BB96" s="138">
        <v>1237.2</v>
      </c>
      <c r="BC96" s="138">
        <v>3148.34</v>
      </c>
      <c r="BD96" s="139">
        <f>+BB96+BC96-AX96</f>
        <v>40.634999999999309</v>
      </c>
      <c r="BE96" s="87"/>
      <c r="BF96" s="87"/>
    </row>
    <row r="101" spans="35:53" x14ac:dyDescent="0.25"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</row>
    <row r="102" spans="35:53" x14ac:dyDescent="0.25"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  <c r="AX102" s="89"/>
      <c r="AY102" s="89"/>
      <c r="AZ102" s="89"/>
      <c r="BA102" s="89"/>
    </row>
    <row r="103" spans="35:53" x14ac:dyDescent="0.25"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</row>
    <row r="104" spans="35:53" x14ac:dyDescent="0.25"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</row>
    <row r="105" spans="35:53" x14ac:dyDescent="0.25"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</row>
    <row r="106" spans="35:53" x14ac:dyDescent="0.25"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</row>
    <row r="107" spans="35:53" x14ac:dyDescent="0.25"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</row>
    <row r="108" spans="35:53" x14ac:dyDescent="0.25"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</row>
    <row r="109" spans="35:53" x14ac:dyDescent="0.25"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</row>
    <row r="110" spans="35:53" x14ac:dyDescent="0.25"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</row>
    <row r="111" spans="35:53" x14ac:dyDescent="0.25"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89"/>
      <c r="AY111" s="89"/>
      <c r="AZ111" s="89"/>
      <c r="BA111" s="89"/>
    </row>
    <row r="112" spans="35:53" x14ac:dyDescent="0.25"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</row>
    <row r="113" spans="35:53" x14ac:dyDescent="0.25"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</row>
    <row r="114" spans="35:53" x14ac:dyDescent="0.25"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</row>
    <row r="115" spans="35:53" x14ac:dyDescent="0.25"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</row>
    <row r="116" spans="35:53" x14ac:dyDescent="0.25"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</row>
    <row r="117" spans="35:53" x14ac:dyDescent="0.25"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</row>
    <row r="118" spans="35:53" x14ac:dyDescent="0.25"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</row>
    <row r="119" spans="35:53" x14ac:dyDescent="0.25"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  <c r="AX119" s="89"/>
      <c r="AY119" s="89"/>
      <c r="AZ119" s="89"/>
      <c r="BA119" s="89"/>
    </row>
    <row r="120" spans="35:53" x14ac:dyDescent="0.25"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  <c r="AX120" s="89"/>
      <c r="AY120" s="89"/>
      <c r="AZ120" s="89"/>
      <c r="BA120" s="89"/>
    </row>
    <row r="121" spans="35:53" x14ac:dyDescent="0.25"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</row>
    <row r="122" spans="35:53" x14ac:dyDescent="0.25"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</row>
    <row r="123" spans="35:53" x14ac:dyDescent="0.25"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</row>
    <row r="124" spans="35:53" x14ac:dyDescent="0.25"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  <c r="AX124" s="89"/>
      <c r="AY124" s="89"/>
      <c r="AZ124" s="89"/>
      <c r="BA124" s="89"/>
    </row>
    <row r="125" spans="35:53" x14ac:dyDescent="0.25"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  <c r="AX125" s="89"/>
      <c r="AY125" s="89"/>
      <c r="AZ125" s="89"/>
      <c r="BA125" s="89"/>
    </row>
    <row r="126" spans="35:53" x14ac:dyDescent="0.25"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  <c r="AX126" s="89"/>
      <c r="AY126" s="89"/>
      <c r="AZ126" s="89"/>
      <c r="BA126" s="89"/>
    </row>
    <row r="127" spans="35:53" x14ac:dyDescent="0.25"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</row>
    <row r="128" spans="35:53" x14ac:dyDescent="0.25"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  <c r="AX128" s="89"/>
      <c r="AY128" s="89"/>
      <c r="AZ128" s="89"/>
      <c r="BA128" s="89"/>
    </row>
    <row r="129" spans="35:53" x14ac:dyDescent="0.25"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  <c r="AX129" s="89"/>
      <c r="AY129" s="89"/>
      <c r="AZ129" s="89"/>
      <c r="BA129" s="89"/>
    </row>
    <row r="130" spans="35:53" x14ac:dyDescent="0.25"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  <c r="AX130" s="89"/>
      <c r="AY130" s="89"/>
      <c r="AZ130" s="89"/>
      <c r="BA130" s="89"/>
    </row>
    <row r="131" spans="35:53" x14ac:dyDescent="0.25"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  <c r="AX131" s="89"/>
      <c r="AY131" s="89"/>
      <c r="AZ131" s="89"/>
      <c r="BA131" s="89"/>
    </row>
    <row r="132" spans="35:53" x14ac:dyDescent="0.25"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89"/>
      <c r="AZ132" s="89"/>
      <c r="BA132" s="89"/>
    </row>
    <row r="133" spans="35:53" x14ac:dyDescent="0.25"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  <c r="AX133" s="89"/>
      <c r="AY133" s="89"/>
      <c r="AZ133" s="89"/>
      <c r="BA133" s="89"/>
    </row>
    <row r="134" spans="35:53" x14ac:dyDescent="0.25"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  <c r="AX134" s="89"/>
      <c r="AY134" s="89"/>
      <c r="AZ134" s="89"/>
      <c r="BA134" s="89"/>
    </row>
    <row r="135" spans="35:53" x14ac:dyDescent="0.25"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  <c r="AX135" s="89"/>
      <c r="AY135" s="89"/>
      <c r="AZ135" s="89"/>
      <c r="BA135" s="89"/>
    </row>
    <row r="136" spans="35:53" x14ac:dyDescent="0.25"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</row>
    <row r="137" spans="35:53" x14ac:dyDescent="0.25"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</row>
    <row r="138" spans="35:53" x14ac:dyDescent="0.25"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</row>
    <row r="139" spans="35:53" x14ac:dyDescent="0.25"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</row>
    <row r="140" spans="35:53" x14ac:dyDescent="0.25"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</row>
    <row r="141" spans="35:53" x14ac:dyDescent="0.25"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</row>
    <row r="142" spans="35:53" x14ac:dyDescent="0.25"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</row>
    <row r="143" spans="35:53" x14ac:dyDescent="0.25"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89"/>
    </row>
    <row r="144" spans="35:53" x14ac:dyDescent="0.25"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  <c r="AX144" s="89"/>
      <c r="AY144" s="89"/>
      <c r="AZ144" s="89"/>
      <c r="BA144" s="89"/>
    </row>
    <row r="145" spans="35:53" x14ac:dyDescent="0.25"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</row>
    <row r="146" spans="35:53" x14ac:dyDescent="0.25"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  <c r="AX146" s="89"/>
      <c r="AY146" s="89"/>
      <c r="AZ146" s="89"/>
      <c r="BA146" s="89"/>
    </row>
    <row r="147" spans="35:53" x14ac:dyDescent="0.25"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  <c r="AX147" s="89"/>
      <c r="AY147" s="89"/>
      <c r="AZ147" s="89"/>
      <c r="BA147" s="89"/>
    </row>
    <row r="148" spans="35:53" x14ac:dyDescent="0.25"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  <c r="AX148" s="89"/>
      <c r="AY148" s="89"/>
      <c r="AZ148" s="89"/>
      <c r="BA148" s="89"/>
    </row>
    <row r="149" spans="35:53" x14ac:dyDescent="0.25"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  <c r="AX149" s="89"/>
      <c r="AY149" s="89"/>
      <c r="AZ149" s="89"/>
      <c r="BA149" s="89"/>
    </row>
    <row r="150" spans="35:53" x14ac:dyDescent="0.25"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  <c r="AX150" s="89"/>
      <c r="AY150" s="89"/>
      <c r="AZ150" s="89"/>
      <c r="BA150" s="89"/>
    </row>
    <row r="151" spans="35:53" x14ac:dyDescent="0.25"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  <c r="AX151" s="89"/>
      <c r="AY151" s="89"/>
      <c r="AZ151" s="89"/>
      <c r="BA151" s="89"/>
    </row>
    <row r="152" spans="35:53" x14ac:dyDescent="0.25"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</row>
    <row r="153" spans="35:53" x14ac:dyDescent="0.25"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  <c r="AX153" s="89"/>
      <c r="AY153" s="89"/>
      <c r="AZ153" s="89"/>
      <c r="BA153" s="89"/>
    </row>
    <row r="154" spans="35:53" x14ac:dyDescent="0.25"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  <c r="AX154" s="89"/>
      <c r="AY154" s="89"/>
      <c r="AZ154" s="89"/>
      <c r="BA154" s="89"/>
    </row>
    <row r="155" spans="35:53" x14ac:dyDescent="0.25"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  <c r="AX155" s="89"/>
      <c r="AY155" s="89"/>
      <c r="AZ155" s="89"/>
      <c r="BA155" s="89"/>
    </row>
    <row r="156" spans="35:53" x14ac:dyDescent="0.25"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</row>
    <row r="157" spans="35:53" x14ac:dyDescent="0.25"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</row>
    <row r="158" spans="35:53" x14ac:dyDescent="0.25"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</row>
    <row r="159" spans="35:53" x14ac:dyDescent="0.25"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  <c r="AX159" s="89"/>
      <c r="AY159" s="89"/>
      <c r="AZ159" s="89"/>
      <c r="BA159" s="89"/>
    </row>
    <row r="160" spans="35:53" x14ac:dyDescent="0.25"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  <c r="AX160" s="89"/>
      <c r="AY160" s="89"/>
      <c r="AZ160" s="89"/>
      <c r="BA160" s="89"/>
    </row>
    <row r="161" spans="35:53" x14ac:dyDescent="0.25"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  <c r="AX161" s="89"/>
      <c r="AY161" s="89"/>
      <c r="AZ161" s="89"/>
      <c r="BA161" s="89"/>
    </row>
    <row r="162" spans="35:53" x14ac:dyDescent="0.25"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</row>
    <row r="163" spans="35:53" x14ac:dyDescent="0.25"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</row>
    <row r="164" spans="35:53" x14ac:dyDescent="0.25"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</row>
    <row r="165" spans="35:53" x14ac:dyDescent="0.25"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</row>
    <row r="166" spans="35:53" x14ac:dyDescent="0.25"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</row>
    <row r="167" spans="35:53" x14ac:dyDescent="0.25"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</row>
    <row r="168" spans="35:53" x14ac:dyDescent="0.25"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</row>
    <row r="169" spans="35:53" x14ac:dyDescent="0.25"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</row>
    <row r="170" spans="35:53" x14ac:dyDescent="0.25"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</row>
    <row r="171" spans="35:53" x14ac:dyDescent="0.25"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</row>
    <row r="172" spans="35:53" x14ac:dyDescent="0.25"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  <c r="AX172" s="89"/>
      <c r="AY172" s="89"/>
      <c r="AZ172" s="89"/>
      <c r="BA172" s="89"/>
    </row>
    <row r="173" spans="35:53" x14ac:dyDescent="0.25"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  <c r="AX173" s="89"/>
      <c r="AY173" s="89"/>
      <c r="AZ173" s="89"/>
      <c r="BA173" s="89"/>
    </row>
    <row r="174" spans="35:53" x14ac:dyDescent="0.25"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</row>
    <row r="175" spans="35:53" x14ac:dyDescent="0.25"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</row>
    <row r="176" spans="35:53" x14ac:dyDescent="0.25"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</row>
    <row r="177" spans="35:53" x14ac:dyDescent="0.25"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</row>
    <row r="178" spans="35:53" x14ac:dyDescent="0.25"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</row>
    <row r="179" spans="35:53" x14ac:dyDescent="0.25"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  <c r="AX179" s="89"/>
      <c r="AY179" s="89"/>
      <c r="AZ179" s="89"/>
      <c r="BA179" s="89"/>
    </row>
    <row r="180" spans="35:53" x14ac:dyDescent="0.25"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</row>
    <row r="181" spans="35:53" x14ac:dyDescent="0.25"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</row>
    <row r="182" spans="35:53" x14ac:dyDescent="0.25"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</row>
    <row r="183" spans="35:53" x14ac:dyDescent="0.25"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</row>
    <row r="184" spans="35:53" x14ac:dyDescent="0.25"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</row>
    <row r="185" spans="35:53" x14ac:dyDescent="0.25"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</row>
    <row r="186" spans="35:53" x14ac:dyDescent="0.25"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</row>
    <row r="187" spans="35:53" x14ac:dyDescent="0.25"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</row>
    <row r="188" spans="35:53" x14ac:dyDescent="0.25"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  <c r="AX188" s="89"/>
      <c r="AY188" s="89"/>
      <c r="AZ188" s="89"/>
      <c r="BA188" s="89"/>
    </row>
    <row r="189" spans="35:53" x14ac:dyDescent="0.25"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  <c r="AX189" s="89"/>
      <c r="AY189" s="89"/>
      <c r="AZ189" s="89"/>
      <c r="BA189" s="89"/>
    </row>
    <row r="190" spans="35:53" x14ac:dyDescent="0.25"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  <c r="AX190" s="89"/>
      <c r="AY190" s="89"/>
      <c r="AZ190" s="89"/>
      <c r="BA190" s="89"/>
    </row>
    <row r="191" spans="35:53" x14ac:dyDescent="0.25"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  <c r="AX191" s="89"/>
      <c r="AY191" s="89"/>
      <c r="AZ191" s="89"/>
      <c r="BA191" s="89"/>
    </row>
    <row r="192" spans="35:53" x14ac:dyDescent="0.25"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  <c r="AX192" s="89"/>
      <c r="AY192" s="89"/>
      <c r="AZ192" s="89"/>
      <c r="BA192" s="89"/>
    </row>
    <row r="193" spans="35:53" x14ac:dyDescent="0.25"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  <c r="AX193" s="89"/>
      <c r="AY193" s="89"/>
      <c r="AZ193" s="89"/>
      <c r="BA193" s="89"/>
    </row>
    <row r="194" spans="35:53" x14ac:dyDescent="0.25"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  <c r="AX194" s="89"/>
      <c r="AY194" s="89"/>
      <c r="AZ194" s="89"/>
      <c r="BA194" s="89"/>
    </row>
    <row r="195" spans="35:53" x14ac:dyDescent="0.25"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  <c r="AX195" s="89"/>
      <c r="AY195" s="89"/>
      <c r="AZ195" s="89"/>
      <c r="BA195" s="89"/>
    </row>
    <row r="196" spans="35:53" x14ac:dyDescent="0.25"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</row>
    <row r="197" spans="35:53" x14ac:dyDescent="0.25"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</row>
    <row r="198" spans="35:53" x14ac:dyDescent="0.25"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</row>
    <row r="199" spans="35:53" x14ac:dyDescent="0.25"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  <c r="AX199" s="89"/>
      <c r="AY199" s="89"/>
      <c r="AZ199" s="89"/>
      <c r="BA199" s="89"/>
    </row>
    <row r="200" spans="35:53" x14ac:dyDescent="0.25"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  <c r="AX200" s="89"/>
      <c r="AY200" s="89"/>
      <c r="AZ200" s="89"/>
      <c r="BA200" s="89"/>
    </row>
    <row r="201" spans="35:53" x14ac:dyDescent="0.25"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</row>
    <row r="202" spans="35:53" x14ac:dyDescent="0.25"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  <c r="AX202" s="89"/>
      <c r="AY202" s="89"/>
      <c r="AZ202" s="89"/>
      <c r="BA202" s="89"/>
    </row>
    <row r="203" spans="35:53" x14ac:dyDescent="0.25"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  <c r="AX203" s="89"/>
      <c r="AY203" s="89"/>
      <c r="AZ203" s="89"/>
      <c r="BA203" s="89"/>
    </row>
    <row r="204" spans="35:53" x14ac:dyDescent="0.25"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  <c r="AX204" s="89"/>
      <c r="AY204" s="89"/>
      <c r="AZ204" s="89"/>
      <c r="BA204" s="89"/>
    </row>
    <row r="205" spans="35:53" x14ac:dyDescent="0.25"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  <c r="AX205" s="89"/>
      <c r="AY205" s="89"/>
      <c r="AZ205" s="89"/>
      <c r="BA205" s="89"/>
    </row>
    <row r="206" spans="35:53" x14ac:dyDescent="0.25"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</row>
    <row r="207" spans="35:53" x14ac:dyDescent="0.25"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</row>
    <row r="208" spans="35:53" x14ac:dyDescent="0.25"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  <c r="AX208" s="89"/>
      <c r="AY208" s="89"/>
      <c r="AZ208" s="89"/>
      <c r="BA208" s="89"/>
    </row>
    <row r="209" spans="35:53" x14ac:dyDescent="0.25"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  <c r="AX209" s="89"/>
      <c r="AY209" s="89"/>
      <c r="AZ209" s="89"/>
      <c r="BA209" s="89"/>
    </row>
    <row r="210" spans="35:53" x14ac:dyDescent="0.25"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  <c r="AX210" s="89"/>
      <c r="AY210" s="89"/>
      <c r="AZ210" s="89"/>
      <c r="BA210" s="89"/>
    </row>
    <row r="211" spans="35:53" x14ac:dyDescent="0.25"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  <c r="AX211" s="89"/>
      <c r="AY211" s="89"/>
      <c r="AZ211" s="89"/>
      <c r="BA211" s="89"/>
    </row>
    <row r="212" spans="35:53" x14ac:dyDescent="0.25"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  <c r="AX212" s="89"/>
      <c r="AY212" s="89"/>
      <c r="AZ212" s="89"/>
      <c r="BA212" s="89"/>
    </row>
    <row r="213" spans="35:53" x14ac:dyDescent="0.25"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  <c r="AX213" s="89"/>
      <c r="AY213" s="89"/>
      <c r="AZ213" s="89"/>
      <c r="BA213" s="89"/>
    </row>
    <row r="214" spans="35:53" x14ac:dyDescent="0.25"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  <c r="AX214" s="89"/>
      <c r="AY214" s="89"/>
      <c r="AZ214" s="89"/>
      <c r="BA214" s="89"/>
    </row>
    <row r="215" spans="35:53" x14ac:dyDescent="0.25"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  <c r="AX215" s="89"/>
      <c r="AY215" s="89"/>
      <c r="AZ215" s="89"/>
      <c r="BA215" s="89"/>
    </row>
    <row r="216" spans="35:53" x14ac:dyDescent="0.25"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  <c r="AX216" s="89"/>
      <c r="AY216" s="89"/>
      <c r="AZ216" s="89"/>
      <c r="BA216" s="89"/>
    </row>
    <row r="217" spans="35:53" x14ac:dyDescent="0.25"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  <c r="AX217" s="89"/>
      <c r="AY217" s="89"/>
      <c r="AZ217" s="89"/>
      <c r="BA217" s="89"/>
    </row>
    <row r="218" spans="35:53" x14ac:dyDescent="0.25"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  <c r="AX218" s="89"/>
      <c r="AY218" s="89"/>
      <c r="AZ218" s="89"/>
      <c r="BA218" s="89"/>
    </row>
    <row r="219" spans="35:53" x14ac:dyDescent="0.25"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</row>
    <row r="220" spans="35:53" x14ac:dyDescent="0.25"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  <c r="AX220" s="89"/>
      <c r="AY220" s="89"/>
      <c r="AZ220" s="89"/>
      <c r="BA220" s="89"/>
    </row>
    <row r="221" spans="35:53" x14ac:dyDescent="0.25"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  <c r="AX221" s="89"/>
      <c r="AY221" s="89"/>
      <c r="AZ221" s="89"/>
      <c r="BA221" s="89"/>
    </row>
    <row r="222" spans="35:53" x14ac:dyDescent="0.25"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  <c r="AX222" s="89"/>
      <c r="AY222" s="89"/>
      <c r="AZ222" s="89"/>
      <c r="BA222" s="89"/>
    </row>
    <row r="223" spans="35:53" x14ac:dyDescent="0.25"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  <c r="AX223" s="89"/>
      <c r="AY223" s="89"/>
      <c r="AZ223" s="89"/>
      <c r="BA223" s="89"/>
    </row>
    <row r="224" spans="35:53" x14ac:dyDescent="0.25"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  <c r="AX224" s="89"/>
      <c r="AY224" s="89"/>
      <c r="AZ224" s="89"/>
      <c r="BA224" s="89"/>
    </row>
    <row r="225" spans="35:53" x14ac:dyDescent="0.25"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  <c r="AX225" s="89"/>
      <c r="AY225" s="89"/>
      <c r="AZ225" s="89"/>
      <c r="BA225" s="89"/>
    </row>
    <row r="226" spans="35:53" x14ac:dyDescent="0.25"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  <c r="AX226" s="89"/>
      <c r="AY226" s="89"/>
      <c r="AZ226" s="89"/>
      <c r="BA226" s="89"/>
    </row>
    <row r="227" spans="35:53" x14ac:dyDescent="0.25"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</row>
    <row r="228" spans="35:53" x14ac:dyDescent="0.25"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  <c r="AX228" s="89"/>
      <c r="AY228" s="89"/>
      <c r="AZ228" s="89"/>
      <c r="BA228" s="89"/>
    </row>
    <row r="229" spans="35:53" x14ac:dyDescent="0.25"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  <c r="AX229" s="89"/>
      <c r="AY229" s="89"/>
      <c r="AZ229" s="89"/>
      <c r="BA229" s="89"/>
    </row>
    <row r="230" spans="35:53" x14ac:dyDescent="0.25"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  <c r="AX230" s="89"/>
      <c r="AY230" s="89"/>
      <c r="AZ230" s="89"/>
      <c r="BA230" s="89"/>
    </row>
    <row r="231" spans="35:53" x14ac:dyDescent="0.25"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  <c r="AX231" s="89"/>
      <c r="AY231" s="89"/>
      <c r="AZ231" s="89"/>
      <c r="BA231" s="89"/>
    </row>
    <row r="232" spans="35:53" x14ac:dyDescent="0.25"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  <c r="AX232" s="89"/>
      <c r="AY232" s="89"/>
      <c r="AZ232" s="89"/>
      <c r="BA232" s="89"/>
    </row>
    <row r="233" spans="35:53" x14ac:dyDescent="0.25"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  <c r="AX233" s="89"/>
      <c r="AY233" s="89"/>
      <c r="AZ233" s="89"/>
      <c r="BA233" s="89"/>
    </row>
    <row r="234" spans="35:53" x14ac:dyDescent="0.25"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  <c r="AX234" s="89"/>
      <c r="AY234" s="89"/>
      <c r="AZ234" s="89"/>
      <c r="BA234" s="89"/>
    </row>
    <row r="235" spans="35:53" x14ac:dyDescent="0.25"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  <c r="AX235" s="89"/>
      <c r="AY235" s="89"/>
      <c r="AZ235" s="89"/>
      <c r="BA235" s="89"/>
    </row>
    <row r="236" spans="35:53" x14ac:dyDescent="0.25"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  <c r="AX236" s="89"/>
      <c r="AY236" s="89"/>
      <c r="AZ236" s="89"/>
      <c r="BA236" s="89"/>
    </row>
    <row r="237" spans="35:53" x14ac:dyDescent="0.25"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</row>
    <row r="238" spans="35:53" x14ac:dyDescent="0.25"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</row>
    <row r="239" spans="35:53" x14ac:dyDescent="0.25"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</row>
    <row r="240" spans="35:53" x14ac:dyDescent="0.25"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</row>
    <row r="241" spans="35:53" x14ac:dyDescent="0.25"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  <c r="AX241" s="89"/>
      <c r="AY241" s="89"/>
      <c r="AZ241" s="89"/>
      <c r="BA241" s="89"/>
    </row>
    <row r="242" spans="35:53" x14ac:dyDescent="0.25"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  <c r="AX242" s="89"/>
      <c r="AY242" s="89"/>
      <c r="AZ242" s="89"/>
      <c r="BA242" s="89"/>
    </row>
    <row r="243" spans="35:53" x14ac:dyDescent="0.25"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  <c r="AX243" s="89"/>
      <c r="AY243" s="89"/>
      <c r="AZ243" s="89"/>
      <c r="BA243" s="89"/>
    </row>
    <row r="244" spans="35:53" x14ac:dyDescent="0.25"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  <c r="AX244" s="89"/>
      <c r="AY244" s="89"/>
      <c r="AZ244" s="89"/>
      <c r="BA244" s="89"/>
    </row>
    <row r="245" spans="35:53" x14ac:dyDescent="0.25"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</row>
    <row r="246" spans="35:53" x14ac:dyDescent="0.25"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  <c r="AX246" s="89"/>
      <c r="AY246" s="89"/>
      <c r="AZ246" s="89"/>
      <c r="BA246" s="89"/>
    </row>
    <row r="247" spans="35:53" x14ac:dyDescent="0.25"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  <c r="AX247" s="89"/>
      <c r="AY247" s="89"/>
      <c r="AZ247" s="89"/>
      <c r="BA247" s="89"/>
    </row>
    <row r="248" spans="35:53" x14ac:dyDescent="0.25"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  <c r="AX248" s="89"/>
      <c r="AY248" s="89"/>
      <c r="AZ248" s="89"/>
      <c r="BA248" s="89"/>
    </row>
    <row r="249" spans="35:53" x14ac:dyDescent="0.25"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  <c r="AX249" s="89"/>
      <c r="AY249" s="89"/>
      <c r="AZ249" s="89"/>
      <c r="BA249" s="89"/>
    </row>
    <row r="250" spans="35:53" x14ac:dyDescent="0.25"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A250" s="89"/>
    </row>
    <row r="251" spans="35:53" x14ac:dyDescent="0.25"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  <c r="AX251" s="89"/>
      <c r="AY251" s="89"/>
      <c r="AZ251" s="89"/>
      <c r="BA251" s="89"/>
    </row>
    <row r="252" spans="35:53" x14ac:dyDescent="0.25"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  <c r="AX252" s="89"/>
      <c r="AY252" s="89"/>
      <c r="AZ252" s="89"/>
      <c r="BA252" s="89"/>
    </row>
    <row r="253" spans="35:53" x14ac:dyDescent="0.25"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  <c r="AX253" s="89"/>
      <c r="AY253" s="89"/>
      <c r="AZ253" s="89"/>
      <c r="BA253" s="89"/>
    </row>
    <row r="254" spans="35:53" x14ac:dyDescent="0.25"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  <c r="AX254" s="89"/>
      <c r="AY254" s="89"/>
      <c r="AZ254" s="89"/>
      <c r="BA254" s="89"/>
    </row>
    <row r="255" spans="35:53" x14ac:dyDescent="0.25"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  <c r="AX255" s="89"/>
      <c r="AY255" s="89"/>
      <c r="AZ255" s="89"/>
      <c r="BA255" s="89"/>
    </row>
    <row r="256" spans="35:53" x14ac:dyDescent="0.25"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  <c r="AX256" s="89"/>
      <c r="AY256" s="89"/>
      <c r="AZ256" s="89"/>
      <c r="BA256" s="89"/>
    </row>
    <row r="257" spans="35:53" x14ac:dyDescent="0.25">
      <c r="AI257" s="89"/>
      <c r="AJ257" s="89"/>
      <c r="AK257" s="89"/>
      <c r="AL257" s="89"/>
      <c r="AM257" s="89"/>
      <c r="AN257" s="89"/>
      <c r="AO257" s="89"/>
      <c r="AP257" s="89"/>
      <c r="AQ257" s="89"/>
      <c r="AR257" s="89"/>
      <c r="AS257" s="89"/>
      <c r="AT257" s="89"/>
      <c r="AU257" s="89"/>
      <c r="AV257" s="89"/>
      <c r="AW257" s="89"/>
      <c r="AX257" s="89"/>
      <c r="AY257" s="89"/>
      <c r="AZ257" s="89"/>
      <c r="BA257" s="89"/>
    </row>
    <row r="258" spans="35:53" x14ac:dyDescent="0.25"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</row>
    <row r="259" spans="35:53" x14ac:dyDescent="0.25"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</row>
    <row r="260" spans="35:53" x14ac:dyDescent="0.25"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</row>
    <row r="261" spans="35:53" x14ac:dyDescent="0.25"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</row>
    <row r="262" spans="35:53" x14ac:dyDescent="0.25"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</row>
    <row r="263" spans="35:53" x14ac:dyDescent="0.25"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</row>
    <row r="264" spans="35:53" x14ac:dyDescent="0.25"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</row>
    <row r="265" spans="35:53" x14ac:dyDescent="0.25"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</row>
    <row r="266" spans="35:53" x14ac:dyDescent="0.25"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</row>
    <row r="267" spans="35:53" x14ac:dyDescent="0.25"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</row>
    <row r="268" spans="35:53" x14ac:dyDescent="0.25">
      <c r="AI268" s="89"/>
      <c r="AJ268" s="89"/>
      <c r="AK268" s="89"/>
      <c r="AL268" s="89"/>
      <c r="AM268" s="89"/>
      <c r="AN268" s="89"/>
      <c r="AO268" s="89"/>
      <c r="AP268" s="89"/>
      <c r="AQ268" s="89"/>
      <c r="AR268" s="89"/>
      <c r="AS268" s="89"/>
      <c r="AT268" s="89"/>
      <c r="AU268" s="89"/>
      <c r="AV268" s="89"/>
      <c r="AW268" s="89"/>
      <c r="AX268" s="89"/>
      <c r="AY268" s="89"/>
      <c r="AZ268" s="89"/>
      <c r="BA268" s="89"/>
    </row>
    <row r="269" spans="35:53" x14ac:dyDescent="0.25">
      <c r="AI269" s="89"/>
      <c r="AJ269" s="89"/>
      <c r="AK269" s="89"/>
      <c r="AL269" s="89"/>
      <c r="AM269" s="89"/>
      <c r="AN269" s="89"/>
      <c r="AO269" s="89"/>
      <c r="AP269" s="89"/>
      <c r="AQ269" s="89"/>
      <c r="AR269" s="89"/>
      <c r="AS269" s="89"/>
      <c r="AT269" s="89"/>
      <c r="AU269" s="89"/>
      <c r="AV269" s="89"/>
      <c r="AW269" s="89"/>
      <c r="AX269" s="89"/>
      <c r="AY269" s="89"/>
      <c r="AZ269" s="89"/>
      <c r="BA269" s="89"/>
    </row>
    <row r="270" spans="35:53" x14ac:dyDescent="0.25">
      <c r="AI270" s="89"/>
      <c r="AJ270" s="89"/>
      <c r="AK270" s="89"/>
      <c r="AL270" s="89"/>
      <c r="AM270" s="89"/>
      <c r="AN270" s="89"/>
      <c r="AO270" s="89"/>
      <c r="AP270" s="89"/>
      <c r="AQ270" s="89"/>
      <c r="AR270" s="89"/>
      <c r="AS270" s="89"/>
      <c r="AT270" s="89"/>
      <c r="AU270" s="89"/>
      <c r="AV270" s="89"/>
      <c r="AW270" s="89"/>
      <c r="AX270" s="89"/>
      <c r="AY270" s="89"/>
      <c r="AZ270" s="89"/>
      <c r="BA270" s="89"/>
    </row>
    <row r="271" spans="35:53" x14ac:dyDescent="0.25"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89"/>
      <c r="AV271" s="89"/>
      <c r="AW271" s="89"/>
      <c r="AX271" s="89"/>
      <c r="AY271" s="89"/>
      <c r="AZ271" s="89"/>
      <c r="BA271" s="89"/>
    </row>
    <row r="272" spans="35:53" x14ac:dyDescent="0.25">
      <c r="AI272" s="89"/>
      <c r="AJ272" s="89"/>
      <c r="AK272" s="89"/>
      <c r="AL272" s="89"/>
      <c r="AM272" s="89"/>
      <c r="AN272" s="89"/>
      <c r="AO272" s="89"/>
      <c r="AP272" s="89"/>
      <c r="AQ272" s="89"/>
      <c r="AR272" s="89"/>
      <c r="AS272" s="89"/>
      <c r="AT272" s="89"/>
      <c r="AU272" s="89"/>
      <c r="AV272" s="89"/>
      <c r="AW272" s="89"/>
      <c r="AX272" s="89"/>
      <c r="AY272" s="89"/>
      <c r="AZ272" s="89"/>
      <c r="BA272" s="89"/>
    </row>
    <row r="273" spans="35:53" x14ac:dyDescent="0.25">
      <c r="AI273" s="89"/>
      <c r="AJ273" s="89"/>
      <c r="AK273" s="89"/>
      <c r="AL273" s="89"/>
      <c r="AM273" s="89"/>
      <c r="AN273" s="89"/>
      <c r="AO273" s="89"/>
      <c r="AP273" s="89"/>
      <c r="AQ273" s="89"/>
      <c r="AR273" s="89"/>
      <c r="AS273" s="89"/>
      <c r="AT273" s="89"/>
      <c r="AU273" s="89"/>
      <c r="AV273" s="89"/>
      <c r="AW273" s="89"/>
      <c r="AX273" s="89"/>
      <c r="AY273" s="89"/>
      <c r="AZ273" s="89"/>
      <c r="BA273" s="89"/>
    </row>
    <row r="274" spans="35:53" x14ac:dyDescent="0.25">
      <c r="AI274" s="89"/>
      <c r="AJ274" s="89"/>
      <c r="AK274" s="89"/>
      <c r="AL274" s="89"/>
      <c r="AM274" s="89"/>
      <c r="AN274" s="89"/>
      <c r="AO274" s="89"/>
      <c r="AP274" s="89"/>
      <c r="AQ274" s="89"/>
      <c r="AR274" s="89"/>
      <c r="AS274" s="89"/>
      <c r="AT274" s="89"/>
      <c r="AU274" s="89"/>
      <c r="AV274" s="89"/>
      <c r="AW274" s="89"/>
      <c r="AX274" s="89"/>
      <c r="AY274" s="89"/>
      <c r="AZ274" s="89"/>
      <c r="BA274" s="89"/>
    </row>
    <row r="275" spans="35:53" x14ac:dyDescent="0.25">
      <c r="AI275" s="89"/>
      <c r="AJ275" s="89"/>
      <c r="AK275" s="89"/>
      <c r="AL275" s="89"/>
      <c r="AM275" s="89"/>
      <c r="AN275" s="89"/>
      <c r="AO275" s="89"/>
      <c r="AP275" s="89"/>
      <c r="AQ275" s="89"/>
      <c r="AR275" s="89"/>
      <c r="AS275" s="89"/>
      <c r="AT275" s="89"/>
      <c r="AU275" s="89"/>
      <c r="AV275" s="89"/>
      <c r="AW275" s="89"/>
      <c r="AX275" s="89"/>
      <c r="AY275" s="89"/>
      <c r="AZ275" s="89"/>
      <c r="BA275" s="89"/>
    </row>
    <row r="276" spans="35:53" x14ac:dyDescent="0.25">
      <c r="AI276" s="89"/>
      <c r="AJ276" s="89"/>
      <c r="AK276" s="89"/>
      <c r="AL276" s="89"/>
      <c r="AM276" s="89"/>
      <c r="AN276" s="89"/>
      <c r="AO276" s="89"/>
      <c r="AP276" s="89"/>
      <c r="AQ276" s="89"/>
      <c r="AR276" s="89"/>
      <c r="AS276" s="89"/>
      <c r="AT276" s="89"/>
      <c r="AU276" s="89"/>
      <c r="AV276" s="89"/>
      <c r="AW276" s="89"/>
      <c r="AX276" s="89"/>
      <c r="AY276" s="89"/>
      <c r="AZ276" s="89"/>
      <c r="BA276" s="89"/>
    </row>
    <row r="277" spans="35:53" x14ac:dyDescent="0.25">
      <c r="AI277" s="89"/>
      <c r="AJ277" s="89"/>
      <c r="AK277" s="89"/>
      <c r="AL277" s="89"/>
      <c r="AM277" s="89"/>
      <c r="AN277" s="89"/>
      <c r="AO277" s="89"/>
      <c r="AP277" s="89"/>
      <c r="AQ277" s="89"/>
      <c r="AR277" s="89"/>
      <c r="AS277" s="89"/>
      <c r="AT277" s="89"/>
      <c r="AU277" s="89"/>
      <c r="AV277" s="89"/>
      <c r="AW277" s="89"/>
      <c r="AX277" s="89"/>
      <c r="AY277" s="89"/>
      <c r="AZ277" s="89"/>
      <c r="BA277" s="89"/>
    </row>
    <row r="278" spans="35:53" x14ac:dyDescent="0.25">
      <c r="AI278" s="89"/>
      <c r="AJ278" s="89"/>
      <c r="AK278" s="89"/>
      <c r="AL278" s="89"/>
      <c r="AM278" s="89"/>
      <c r="AN278" s="89"/>
      <c r="AO278" s="89"/>
      <c r="AP278" s="89"/>
      <c r="AQ278" s="89"/>
      <c r="AR278" s="89"/>
      <c r="AS278" s="89"/>
      <c r="AT278" s="89"/>
      <c r="AU278" s="89"/>
      <c r="AV278" s="89"/>
      <c r="AW278" s="89"/>
      <c r="AX278" s="89"/>
      <c r="AY278" s="89"/>
      <c r="AZ278" s="89"/>
      <c r="BA278" s="89"/>
    </row>
    <row r="279" spans="35:53" x14ac:dyDescent="0.25">
      <c r="AI279" s="89"/>
      <c r="AJ279" s="89"/>
      <c r="AK279" s="89"/>
      <c r="AL279" s="89"/>
      <c r="AM279" s="89"/>
      <c r="AN279" s="89"/>
      <c r="AO279" s="89"/>
      <c r="AP279" s="89"/>
      <c r="AQ279" s="89"/>
      <c r="AR279" s="89"/>
      <c r="AS279" s="89"/>
      <c r="AT279" s="89"/>
      <c r="AU279" s="89"/>
      <c r="AV279" s="89"/>
      <c r="AW279" s="89"/>
      <c r="AX279" s="89"/>
      <c r="AY279" s="89"/>
      <c r="AZ279" s="89"/>
      <c r="BA279" s="89"/>
    </row>
    <row r="280" spans="35:53" x14ac:dyDescent="0.25">
      <c r="AI280" s="89"/>
      <c r="AJ280" s="89"/>
      <c r="AK280" s="89"/>
      <c r="AL280" s="89"/>
      <c r="AM280" s="89"/>
      <c r="AN280" s="89"/>
      <c r="AO280" s="89"/>
      <c r="AP280" s="89"/>
      <c r="AQ280" s="89"/>
      <c r="AR280" s="89"/>
      <c r="AS280" s="89"/>
      <c r="AT280" s="89"/>
      <c r="AU280" s="89"/>
      <c r="AV280" s="89"/>
      <c r="AW280" s="89"/>
      <c r="AX280" s="89"/>
      <c r="AY280" s="89"/>
      <c r="AZ280" s="89"/>
      <c r="BA280" s="89"/>
    </row>
    <row r="281" spans="35:53" x14ac:dyDescent="0.25">
      <c r="AI281" s="89"/>
      <c r="AJ281" s="89"/>
      <c r="AK281" s="89"/>
      <c r="AL281" s="89"/>
      <c r="AM281" s="89"/>
      <c r="AN281" s="89"/>
      <c r="AO281" s="89"/>
      <c r="AP281" s="89"/>
      <c r="AQ281" s="89"/>
      <c r="AR281" s="89"/>
      <c r="AS281" s="89"/>
      <c r="AT281" s="89"/>
      <c r="AU281" s="89"/>
      <c r="AV281" s="89"/>
      <c r="AW281" s="89"/>
      <c r="AX281" s="89"/>
      <c r="AY281" s="89"/>
      <c r="AZ281" s="89"/>
      <c r="BA281" s="89"/>
    </row>
    <row r="282" spans="35:53" x14ac:dyDescent="0.25">
      <c r="AI282" s="89"/>
      <c r="AJ282" s="89"/>
      <c r="AK282" s="89"/>
      <c r="AL282" s="89"/>
      <c r="AM282" s="89"/>
      <c r="AN282" s="89"/>
      <c r="AO282" s="89"/>
      <c r="AP282" s="89"/>
      <c r="AQ282" s="89"/>
      <c r="AR282" s="89"/>
      <c r="AS282" s="89"/>
      <c r="AT282" s="89"/>
      <c r="AU282" s="89"/>
      <c r="AV282" s="89"/>
      <c r="AW282" s="89"/>
      <c r="AX282" s="89"/>
      <c r="AY282" s="89"/>
      <c r="AZ282" s="89"/>
      <c r="BA282" s="89"/>
    </row>
    <row r="283" spans="35:53" x14ac:dyDescent="0.25">
      <c r="AI283" s="89"/>
      <c r="AJ283" s="89"/>
      <c r="AK283" s="89"/>
      <c r="AL283" s="89"/>
      <c r="AM283" s="89"/>
      <c r="AN283" s="89"/>
      <c r="AO283" s="89"/>
      <c r="AP283" s="89"/>
      <c r="AQ283" s="89"/>
      <c r="AR283" s="89"/>
      <c r="AS283" s="89"/>
      <c r="AT283" s="89"/>
      <c r="AU283" s="89"/>
      <c r="AV283" s="89"/>
      <c r="AW283" s="89"/>
      <c r="AX283" s="89"/>
      <c r="AY283" s="89"/>
      <c r="AZ283" s="89"/>
      <c r="BA283" s="89"/>
    </row>
    <row r="284" spans="35:53" x14ac:dyDescent="0.25"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</row>
    <row r="285" spans="35:53" x14ac:dyDescent="0.25"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</row>
    <row r="286" spans="35:53" x14ac:dyDescent="0.25"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</row>
    <row r="287" spans="35:53" x14ac:dyDescent="0.25"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</row>
    <row r="288" spans="35:53" x14ac:dyDescent="0.25"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</row>
    <row r="289" spans="35:53" x14ac:dyDescent="0.25"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</row>
    <row r="290" spans="35:53" x14ac:dyDescent="0.25">
      <c r="AI290" s="89"/>
      <c r="AJ290" s="89"/>
      <c r="AK290" s="89"/>
      <c r="AL290" s="89"/>
      <c r="AM290" s="89"/>
      <c r="AN290" s="89"/>
      <c r="AO290" s="89"/>
      <c r="AP290" s="89"/>
      <c r="AQ290" s="89"/>
      <c r="AR290" s="89"/>
      <c r="AS290" s="89"/>
      <c r="AT290" s="89"/>
      <c r="AU290" s="89"/>
      <c r="AV290" s="89"/>
      <c r="AW290" s="89"/>
      <c r="AX290" s="89"/>
      <c r="AY290" s="89"/>
      <c r="AZ290" s="89"/>
      <c r="BA290" s="89"/>
    </row>
    <row r="291" spans="35:53" x14ac:dyDescent="0.25"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</row>
    <row r="292" spans="35:53" x14ac:dyDescent="0.25"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</row>
    <row r="293" spans="35:53" x14ac:dyDescent="0.25"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</row>
    <row r="294" spans="35:53" x14ac:dyDescent="0.25"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</row>
    <row r="295" spans="35:53" x14ac:dyDescent="0.25"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</row>
    <row r="296" spans="35:53" x14ac:dyDescent="0.25"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</row>
    <row r="297" spans="35:53" x14ac:dyDescent="0.25">
      <c r="AI297" s="89"/>
      <c r="AJ297" s="89"/>
      <c r="AK297" s="89"/>
      <c r="AL297" s="89"/>
      <c r="AM297" s="89"/>
      <c r="AN297" s="89"/>
      <c r="AO297" s="89"/>
      <c r="AP297" s="89"/>
      <c r="AQ297" s="89"/>
      <c r="AR297" s="89"/>
      <c r="AS297" s="89"/>
      <c r="AT297" s="89"/>
      <c r="AU297" s="89"/>
      <c r="AV297" s="89"/>
      <c r="AW297" s="89"/>
      <c r="AX297" s="89"/>
      <c r="AY297" s="89"/>
      <c r="AZ297" s="89"/>
      <c r="BA297" s="89"/>
    </row>
    <row r="298" spans="35:53" x14ac:dyDescent="0.25"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</row>
    <row r="299" spans="35:53" x14ac:dyDescent="0.25"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</row>
    <row r="300" spans="35:53" x14ac:dyDescent="0.25"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</row>
    <row r="301" spans="35:53" x14ac:dyDescent="0.25"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</row>
    <row r="302" spans="35:53" x14ac:dyDescent="0.25"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</row>
    <row r="303" spans="35:53" x14ac:dyDescent="0.25"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</row>
    <row r="304" spans="35:53" x14ac:dyDescent="0.25">
      <c r="AI304" s="89"/>
      <c r="AJ304" s="89"/>
      <c r="AK304" s="89"/>
      <c r="AL304" s="89"/>
      <c r="AM304" s="89"/>
      <c r="AN304" s="89"/>
      <c r="AO304" s="89"/>
      <c r="AP304" s="89"/>
      <c r="AQ304" s="89"/>
      <c r="AR304" s="89"/>
      <c r="AS304" s="89"/>
      <c r="AT304" s="89"/>
      <c r="AU304" s="89"/>
      <c r="AV304" s="89"/>
      <c r="AW304" s="89"/>
      <c r="AX304" s="89"/>
      <c r="AY304" s="89"/>
      <c r="AZ304" s="89"/>
      <c r="BA304" s="89"/>
    </row>
    <row r="305" spans="35:53" x14ac:dyDescent="0.25"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</row>
    <row r="306" spans="35:53" x14ac:dyDescent="0.25"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</row>
    <row r="307" spans="35:53" x14ac:dyDescent="0.25"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</row>
    <row r="308" spans="35:53" x14ac:dyDescent="0.25"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</row>
    <row r="309" spans="35:53" x14ac:dyDescent="0.25"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</row>
    <row r="310" spans="35:53" x14ac:dyDescent="0.25"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</row>
    <row r="311" spans="35:53" x14ac:dyDescent="0.25"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</row>
    <row r="312" spans="35:53" x14ac:dyDescent="0.25"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</row>
    <row r="313" spans="35:53" x14ac:dyDescent="0.25"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</row>
    <row r="314" spans="35:53" x14ac:dyDescent="0.25"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</row>
    <row r="315" spans="35:53" x14ac:dyDescent="0.25">
      <c r="AI315" s="89"/>
      <c r="AJ315" s="89"/>
      <c r="AK315" s="89"/>
      <c r="AL315" s="89"/>
      <c r="AM315" s="89"/>
      <c r="AN315" s="89"/>
      <c r="AO315" s="89"/>
      <c r="AP315" s="89"/>
      <c r="AQ315" s="89"/>
      <c r="AR315" s="89"/>
      <c r="AS315" s="89"/>
      <c r="AT315" s="89"/>
      <c r="AU315" s="89"/>
      <c r="AV315" s="89"/>
      <c r="AW315" s="89"/>
      <c r="AX315" s="89"/>
      <c r="AY315" s="89"/>
      <c r="AZ315" s="89"/>
      <c r="BA315" s="89"/>
    </row>
    <row r="316" spans="35:53" x14ac:dyDescent="0.25">
      <c r="AI316" s="89"/>
      <c r="AJ316" s="89"/>
      <c r="AK316" s="89"/>
      <c r="AL316" s="89"/>
      <c r="AM316" s="89"/>
      <c r="AN316" s="89"/>
      <c r="AO316" s="89"/>
      <c r="AP316" s="89"/>
      <c r="AQ316" s="89"/>
      <c r="AR316" s="89"/>
      <c r="AS316" s="89"/>
      <c r="AT316" s="89"/>
      <c r="AU316" s="89"/>
      <c r="AV316" s="89"/>
      <c r="AW316" s="89"/>
      <c r="AX316" s="89"/>
      <c r="AY316" s="89"/>
      <c r="AZ316" s="89"/>
      <c r="BA316" s="89"/>
    </row>
  </sheetData>
  <sortState ref="A40:P41">
    <sortCondition ref="B40:B41"/>
  </sortState>
  <mergeCells count="29">
    <mergeCell ref="B1:C1"/>
    <mergeCell ref="B3:C3"/>
    <mergeCell ref="AA8:AA9"/>
    <mergeCell ref="AB8:AB9"/>
    <mergeCell ref="AC8:AC9"/>
    <mergeCell ref="AO8:AO9"/>
    <mergeCell ref="AP8:AP9"/>
    <mergeCell ref="AQ8:AQ9"/>
    <mergeCell ref="AD8:AD9"/>
    <mergeCell ref="AE8:AE9"/>
    <mergeCell ref="AF8:AF9"/>
    <mergeCell ref="AI8:AI9"/>
    <mergeCell ref="AL8:AL9"/>
    <mergeCell ref="BB8:BC8"/>
    <mergeCell ref="BD8:BD9"/>
    <mergeCell ref="AA70:AB70"/>
    <mergeCell ref="R7:W7"/>
    <mergeCell ref="AW8:AW9"/>
    <mergeCell ref="AX8:AX9"/>
    <mergeCell ref="AY8:AY9"/>
    <mergeCell ref="AZ8:AZ9"/>
    <mergeCell ref="BA8:BA9"/>
    <mergeCell ref="AR8:AR9"/>
    <mergeCell ref="AS8:AS9"/>
    <mergeCell ref="AT8:AT9"/>
    <mergeCell ref="AU8:AU9"/>
    <mergeCell ref="AV8:AV9"/>
    <mergeCell ref="AM8:AM9"/>
    <mergeCell ref="AN8:AN9"/>
  </mergeCells>
  <pageMargins left="0.70866141732283472" right="0.70866141732283472" top="0.74803149606299213" bottom="0.74803149606299213" header="0.31496062992125984" footer="0.31496062992125984"/>
  <pageSetup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8"/>
  <sheetViews>
    <sheetView zoomScaleNormal="100" workbookViewId="0">
      <pane xSplit="2" ySplit="9" topLeftCell="C53" activePane="bottomRight" state="frozen"/>
      <selection activeCell="B22" sqref="B22"/>
      <selection pane="topRight" activeCell="B22" sqref="B22"/>
      <selection pane="bottomLeft" activeCell="B22" sqref="B22"/>
      <selection pane="bottomRight" activeCell="H67" sqref="H67"/>
    </sheetView>
  </sheetViews>
  <sheetFormatPr baseColWidth="10" defaultRowHeight="11.25" x14ac:dyDescent="0.2"/>
  <cols>
    <col min="1" max="1" width="11.42578125" style="16"/>
    <col min="2" max="2" width="26" style="16" customWidth="1"/>
    <col min="3" max="10" width="11.42578125" style="16"/>
    <col min="11" max="11" width="31.140625" style="16" bestFit="1" customWidth="1"/>
    <col min="12" max="16384" width="11.42578125" style="1"/>
  </cols>
  <sheetData>
    <row r="1" spans="1:11" ht="18" customHeight="1" x14ac:dyDescent="0.25">
      <c r="A1" s="34" t="s">
        <v>0</v>
      </c>
      <c r="B1" s="31" t="s">
        <v>121</v>
      </c>
      <c r="C1" s="35"/>
      <c r="D1"/>
      <c r="E1"/>
      <c r="F1"/>
      <c r="G1"/>
      <c r="H1"/>
    </row>
    <row r="2" spans="1:11" ht="24.95" customHeight="1" x14ac:dyDescent="0.25">
      <c r="A2" s="36" t="s">
        <v>1</v>
      </c>
      <c r="B2" s="37" t="s">
        <v>2</v>
      </c>
      <c r="C2" s="38"/>
      <c r="D2"/>
      <c r="E2"/>
      <c r="F2"/>
      <c r="G2"/>
      <c r="H2"/>
    </row>
    <row r="3" spans="1:11" ht="15.75" x14ac:dyDescent="0.25">
      <c r="A3"/>
      <c r="B3" s="33" t="s">
        <v>3</v>
      </c>
      <c r="C3" s="32"/>
      <c r="D3"/>
      <c r="E3"/>
      <c r="F3"/>
      <c r="G3"/>
      <c r="H3"/>
    </row>
    <row r="4" spans="1:11" ht="15" x14ac:dyDescent="0.25">
      <c r="A4"/>
      <c r="B4" s="39" t="str">
        <f>+FACTURACIÓN!B4</f>
        <v>Periodo 5 al 5 Quincenal del 01/03/2016 al 15/03/2016</v>
      </c>
      <c r="C4" s="32"/>
      <c r="D4"/>
      <c r="E4"/>
      <c r="F4"/>
      <c r="G4"/>
      <c r="H4"/>
    </row>
    <row r="5" spans="1:11" ht="15" x14ac:dyDescent="0.25">
      <c r="A5"/>
      <c r="B5" s="4" t="s">
        <v>4</v>
      </c>
      <c r="C5"/>
      <c r="D5"/>
      <c r="E5"/>
      <c r="F5"/>
      <c r="G5"/>
      <c r="H5">
        <f>+C20/73.04</f>
        <v>14.999999999999998</v>
      </c>
    </row>
    <row r="6" spans="1:11" ht="15" x14ac:dyDescent="0.25">
      <c r="A6"/>
      <c r="B6" s="4" t="s">
        <v>5</v>
      </c>
      <c r="C6"/>
      <c r="D6"/>
      <c r="E6"/>
      <c r="F6"/>
      <c r="G6"/>
      <c r="H6"/>
    </row>
    <row r="8" spans="1:11" s="3" customFormat="1" ht="34.5" thickBot="1" x14ac:dyDescent="0.25">
      <c r="A8" s="6" t="s">
        <v>6</v>
      </c>
      <c r="B8" s="7" t="s">
        <v>7</v>
      </c>
      <c r="C8" s="7" t="s">
        <v>8</v>
      </c>
      <c r="D8" s="8" t="s">
        <v>9</v>
      </c>
      <c r="E8" s="7" t="s">
        <v>10</v>
      </c>
      <c r="F8" s="7" t="s">
        <v>11</v>
      </c>
      <c r="G8" s="8" t="s">
        <v>12</v>
      </c>
      <c r="H8" s="9" t="s">
        <v>13</v>
      </c>
      <c r="I8" s="30"/>
      <c r="J8" s="30"/>
      <c r="K8" s="30"/>
    </row>
    <row r="9" spans="1:11" ht="15.75" thickTop="1" x14ac:dyDescent="0.25">
      <c r="A9"/>
      <c r="B9"/>
      <c r="C9"/>
      <c r="D9"/>
      <c r="E9"/>
      <c r="F9"/>
      <c r="G9"/>
      <c r="H9"/>
    </row>
    <row r="10" spans="1:11" x14ac:dyDescent="0.2">
      <c r="A10" s="2" t="s">
        <v>15</v>
      </c>
      <c r="B10" s="1" t="s">
        <v>16</v>
      </c>
      <c r="C10" s="130">
        <v>1095.5999999999999</v>
      </c>
      <c r="D10" s="130">
        <f>SUM(C10)</f>
        <v>1095.5999999999999</v>
      </c>
      <c r="E10" s="11">
        <v>-141.59</v>
      </c>
      <c r="F10" s="11">
        <v>-0.01</v>
      </c>
      <c r="G10" s="10">
        <f>SUM(E10:F10)</f>
        <v>-141.6</v>
      </c>
      <c r="H10" s="10">
        <f>+D10-G10</f>
        <v>1237.1999999999998</v>
      </c>
      <c r="I10" s="24"/>
      <c r="J10" s="23" t="s">
        <v>15</v>
      </c>
      <c r="K10" s="24" t="s">
        <v>16</v>
      </c>
    </row>
    <row r="11" spans="1:11" x14ac:dyDescent="0.2">
      <c r="A11" s="2" t="s">
        <v>17</v>
      </c>
      <c r="B11" s="1" t="s">
        <v>18</v>
      </c>
      <c r="C11" s="130">
        <v>1095.5999999999999</v>
      </c>
      <c r="D11" s="130">
        <f t="shared" ref="D11:D65" si="0">SUM(C11)</f>
        <v>1095.5999999999999</v>
      </c>
      <c r="E11" s="11">
        <v>-141.59</v>
      </c>
      <c r="F11" s="11">
        <v>-0.01</v>
      </c>
      <c r="G11" s="130">
        <f t="shared" ref="G11:G65" si="1">SUM(E11:F11)</f>
        <v>-141.6</v>
      </c>
      <c r="H11" s="130">
        <f t="shared" ref="H11:H65" si="2">+D11-G11</f>
        <v>1237.1999999999998</v>
      </c>
      <c r="I11" s="24"/>
      <c r="J11" s="23" t="s">
        <v>17</v>
      </c>
      <c r="K11" s="24" t="s">
        <v>18</v>
      </c>
    </row>
    <row r="12" spans="1:11" x14ac:dyDescent="0.2">
      <c r="A12" s="2" t="s">
        <v>19</v>
      </c>
      <c r="B12" s="1" t="s">
        <v>20</v>
      </c>
      <c r="C12" s="130">
        <v>1095.5999999999999</v>
      </c>
      <c r="D12" s="130">
        <f t="shared" si="0"/>
        <v>1095.5999999999999</v>
      </c>
      <c r="E12" s="11">
        <v>-141.59</v>
      </c>
      <c r="F12" s="11">
        <v>-0.01</v>
      </c>
      <c r="G12" s="130">
        <f t="shared" si="1"/>
        <v>-141.6</v>
      </c>
      <c r="H12" s="130">
        <f t="shared" si="2"/>
        <v>1237.1999999999998</v>
      </c>
      <c r="I12" s="24"/>
      <c r="J12" s="23" t="s">
        <v>19</v>
      </c>
      <c r="K12" s="24" t="s">
        <v>20</v>
      </c>
    </row>
    <row r="13" spans="1:11" x14ac:dyDescent="0.2">
      <c r="A13" s="2" t="s">
        <v>21</v>
      </c>
      <c r="B13" s="1" t="s">
        <v>22</v>
      </c>
      <c r="C13" s="130">
        <v>1095.5999999999999</v>
      </c>
      <c r="D13" s="130">
        <f t="shared" si="0"/>
        <v>1095.5999999999999</v>
      </c>
      <c r="E13" s="11">
        <v>-141.59</v>
      </c>
      <c r="F13" s="11">
        <v>-0.01</v>
      </c>
      <c r="G13" s="130">
        <f t="shared" si="1"/>
        <v>-141.6</v>
      </c>
      <c r="H13" s="130">
        <f t="shared" si="2"/>
        <v>1237.1999999999998</v>
      </c>
      <c r="I13" s="24"/>
      <c r="J13" s="23" t="s">
        <v>21</v>
      </c>
      <c r="K13" s="24" t="s">
        <v>22</v>
      </c>
    </row>
    <row r="14" spans="1:11" x14ac:dyDescent="0.2">
      <c r="A14" s="2" t="s">
        <v>23</v>
      </c>
      <c r="B14" s="1" t="s">
        <v>24</v>
      </c>
      <c r="C14" s="130">
        <v>1095.5999999999999</v>
      </c>
      <c r="D14" s="130">
        <f t="shared" si="0"/>
        <v>1095.5999999999999</v>
      </c>
      <c r="E14" s="11">
        <v>-141.59</v>
      </c>
      <c r="F14" s="11">
        <v>-0.01</v>
      </c>
      <c r="G14" s="130">
        <f t="shared" si="1"/>
        <v>-141.6</v>
      </c>
      <c r="H14" s="130">
        <f t="shared" si="2"/>
        <v>1237.1999999999998</v>
      </c>
      <c r="I14" s="24"/>
      <c r="J14" s="23" t="s">
        <v>23</v>
      </c>
      <c r="K14" s="24" t="s">
        <v>24</v>
      </c>
    </row>
    <row r="15" spans="1:11" x14ac:dyDescent="0.2">
      <c r="A15" s="2" t="s">
        <v>25</v>
      </c>
      <c r="B15" s="1" t="s">
        <v>26</v>
      </c>
      <c r="C15" s="130">
        <v>1095.5999999999999</v>
      </c>
      <c r="D15" s="130">
        <f t="shared" si="0"/>
        <v>1095.5999999999999</v>
      </c>
      <c r="E15" s="11">
        <v>-141.59</v>
      </c>
      <c r="F15" s="11">
        <v>-0.01</v>
      </c>
      <c r="G15" s="130">
        <f t="shared" si="1"/>
        <v>-141.6</v>
      </c>
      <c r="H15" s="130">
        <f t="shared" si="2"/>
        <v>1237.1999999999998</v>
      </c>
      <c r="I15" s="24"/>
      <c r="J15" s="23" t="s">
        <v>25</v>
      </c>
      <c r="K15" s="24" t="s">
        <v>26</v>
      </c>
    </row>
    <row r="16" spans="1:11" x14ac:dyDescent="0.2">
      <c r="A16" s="2" t="s">
        <v>27</v>
      </c>
      <c r="B16" s="1" t="s">
        <v>28</v>
      </c>
      <c r="C16" s="130">
        <v>1095.5999999999999</v>
      </c>
      <c r="D16" s="130">
        <f t="shared" si="0"/>
        <v>1095.5999999999999</v>
      </c>
      <c r="E16" s="11">
        <v>-141.59</v>
      </c>
      <c r="F16" s="11">
        <v>-0.01</v>
      </c>
      <c r="G16" s="130">
        <f t="shared" si="1"/>
        <v>-141.6</v>
      </c>
      <c r="H16" s="130">
        <f t="shared" si="2"/>
        <v>1237.1999999999998</v>
      </c>
      <c r="I16" s="24"/>
      <c r="J16" s="23" t="s">
        <v>27</v>
      </c>
      <c r="K16" s="24" t="s">
        <v>28</v>
      </c>
    </row>
    <row r="17" spans="1:11" x14ac:dyDescent="0.2">
      <c r="A17" s="2" t="s">
        <v>29</v>
      </c>
      <c r="B17" s="1" t="s">
        <v>30</v>
      </c>
      <c r="C17" s="130">
        <v>1095.5999999999999</v>
      </c>
      <c r="D17" s="130">
        <f t="shared" si="0"/>
        <v>1095.5999999999999</v>
      </c>
      <c r="E17" s="11">
        <v>-141.59</v>
      </c>
      <c r="F17" s="11">
        <v>0.11</v>
      </c>
      <c r="G17" s="130">
        <f t="shared" si="1"/>
        <v>-141.47999999999999</v>
      </c>
      <c r="H17" s="130">
        <f t="shared" si="2"/>
        <v>1237.08</v>
      </c>
      <c r="I17" s="24"/>
      <c r="J17" s="23" t="s">
        <v>29</v>
      </c>
      <c r="K17" s="24" t="s">
        <v>30</v>
      </c>
    </row>
    <row r="18" spans="1:11" x14ac:dyDescent="0.2">
      <c r="A18" s="2" t="s">
        <v>33</v>
      </c>
      <c r="B18" s="1" t="s">
        <v>34</v>
      </c>
      <c r="C18" s="130">
        <v>1095.5999999999999</v>
      </c>
      <c r="D18" s="130">
        <f t="shared" si="0"/>
        <v>1095.5999999999999</v>
      </c>
      <c r="E18" s="11">
        <v>-141.59</v>
      </c>
      <c r="F18" s="10">
        <v>0.19</v>
      </c>
      <c r="G18" s="130">
        <f t="shared" si="1"/>
        <v>-141.4</v>
      </c>
      <c r="H18" s="130">
        <f t="shared" si="2"/>
        <v>1237</v>
      </c>
      <c r="I18" s="24"/>
      <c r="J18" s="23" t="s">
        <v>33</v>
      </c>
      <c r="K18" s="24" t="s">
        <v>34</v>
      </c>
    </row>
    <row r="19" spans="1:11" x14ac:dyDescent="0.2">
      <c r="A19" s="2" t="s">
        <v>35</v>
      </c>
      <c r="B19" s="1" t="s">
        <v>36</v>
      </c>
      <c r="C19" s="10">
        <v>1095.5999999999999</v>
      </c>
      <c r="D19" s="130">
        <f t="shared" si="0"/>
        <v>1095.5999999999999</v>
      </c>
      <c r="E19" s="11">
        <v>-141.59</v>
      </c>
      <c r="F19" s="11">
        <v>-0.01</v>
      </c>
      <c r="G19" s="130">
        <f t="shared" si="1"/>
        <v>-141.6</v>
      </c>
      <c r="H19" s="130">
        <f t="shared" si="2"/>
        <v>1237.1999999999998</v>
      </c>
      <c r="I19" s="24"/>
      <c r="J19" s="23" t="s">
        <v>35</v>
      </c>
      <c r="K19" s="24" t="s">
        <v>36</v>
      </c>
    </row>
    <row r="20" spans="1:11" x14ac:dyDescent="0.2">
      <c r="A20" s="2" t="s">
        <v>37</v>
      </c>
      <c r="B20" s="1" t="s">
        <v>38</v>
      </c>
      <c r="C20" s="130">
        <v>1095.5999999999999</v>
      </c>
      <c r="D20" s="130">
        <f t="shared" si="0"/>
        <v>1095.5999999999999</v>
      </c>
      <c r="E20" s="11">
        <v>-141.59</v>
      </c>
      <c r="F20" s="11">
        <v>-0.09</v>
      </c>
      <c r="G20" s="130">
        <f t="shared" si="1"/>
        <v>-141.68</v>
      </c>
      <c r="H20" s="130">
        <f t="shared" si="2"/>
        <v>1237.28</v>
      </c>
      <c r="I20" s="24"/>
      <c r="J20" s="23" t="s">
        <v>37</v>
      </c>
      <c r="K20" s="24" t="s">
        <v>38</v>
      </c>
    </row>
    <row r="21" spans="1:11" x14ac:dyDescent="0.2">
      <c r="A21" s="2" t="s">
        <v>39</v>
      </c>
      <c r="B21" s="1" t="s">
        <v>40</v>
      </c>
      <c r="C21" s="130">
        <v>1095.5999999999999</v>
      </c>
      <c r="D21" s="130">
        <f t="shared" si="0"/>
        <v>1095.5999999999999</v>
      </c>
      <c r="E21" s="11">
        <v>-141.59</v>
      </c>
      <c r="F21" s="11">
        <v>-0.01</v>
      </c>
      <c r="G21" s="130">
        <f t="shared" si="1"/>
        <v>-141.6</v>
      </c>
      <c r="H21" s="130">
        <f t="shared" si="2"/>
        <v>1237.1999999999998</v>
      </c>
      <c r="I21" s="24"/>
      <c r="J21" s="23" t="s">
        <v>39</v>
      </c>
      <c r="K21" s="24" t="s">
        <v>40</v>
      </c>
    </row>
    <row r="22" spans="1:11" x14ac:dyDescent="0.2">
      <c r="A22" s="2" t="s">
        <v>41</v>
      </c>
      <c r="B22" s="1" t="s">
        <v>42</v>
      </c>
      <c r="C22" s="130">
        <v>1095.5999999999999</v>
      </c>
      <c r="D22" s="130">
        <f t="shared" si="0"/>
        <v>1095.5999999999999</v>
      </c>
      <c r="E22" s="11">
        <v>-141.59</v>
      </c>
      <c r="F22" s="11">
        <v>-0.01</v>
      </c>
      <c r="G22" s="130">
        <f t="shared" si="1"/>
        <v>-141.6</v>
      </c>
      <c r="H22" s="130">
        <f t="shared" si="2"/>
        <v>1237.1999999999998</v>
      </c>
      <c r="I22" s="24"/>
      <c r="J22" s="23" t="s">
        <v>41</v>
      </c>
      <c r="K22" s="24" t="s">
        <v>42</v>
      </c>
    </row>
    <row r="23" spans="1:11" ht="15.75" x14ac:dyDescent="0.25">
      <c r="A23" s="129"/>
      <c r="B23" s="111" t="s">
        <v>293</v>
      </c>
      <c r="C23" s="130">
        <v>1095.5999999999999</v>
      </c>
      <c r="D23" s="130">
        <f t="shared" si="0"/>
        <v>1095.5999999999999</v>
      </c>
      <c r="E23" s="11">
        <v>-141.59</v>
      </c>
      <c r="F23" s="11">
        <v>-0.01</v>
      </c>
      <c r="G23" s="130">
        <f t="shared" si="1"/>
        <v>-141.6</v>
      </c>
      <c r="H23" s="130">
        <f t="shared" si="2"/>
        <v>1237.1999999999998</v>
      </c>
      <c r="I23" s="24"/>
      <c r="J23" s="23"/>
      <c r="K23" s="111" t="s">
        <v>293</v>
      </c>
    </row>
    <row r="24" spans="1:11" x14ac:dyDescent="0.2">
      <c r="A24" s="2" t="s">
        <v>43</v>
      </c>
      <c r="B24" s="1" t="s">
        <v>44</v>
      </c>
      <c r="C24" s="130">
        <v>1095.5999999999999</v>
      </c>
      <c r="D24" s="130">
        <f t="shared" si="0"/>
        <v>1095.5999999999999</v>
      </c>
      <c r="E24" s="11">
        <v>-141.59</v>
      </c>
      <c r="F24" s="11">
        <v>-0.01</v>
      </c>
      <c r="G24" s="130">
        <f t="shared" si="1"/>
        <v>-141.6</v>
      </c>
      <c r="H24" s="130">
        <f t="shared" si="2"/>
        <v>1237.1999999999998</v>
      </c>
      <c r="I24" s="24"/>
      <c r="J24" s="23" t="s">
        <v>43</v>
      </c>
      <c r="K24" s="24" t="s">
        <v>44</v>
      </c>
    </row>
    <row r="25" spans="1:11" x14ac:dyDescent="0.2">
      <c r="A25" s="2" t="s">
        <v>45</v>
      </c>
      <c r="B25" s="1" t="s">
        <v>46</v>
      </c>
      <c r="C25" s="130">
        <v>1095.5999999999999</v>
      </c>
      <c r="D25" s="130">
        <f t="shared" si="0"/>
        <v>1095.5999999999999</v>
      </c>
      <c r="E25" s="11">
        <v>-141.59</v>
      </c>
      <c r="F25" s="11">
        <v>-0.01</v>
      </c>
      <c r="G25" s="130">
        <f t="shared" si="1"/>
        <v>-141.6</v>
      </c>
      <c r="H25" s="130">
        <f t="shared" si="2"/>
        <v>1237.1999999999998</v>
      </c>
      <c r="I25" s="24"/>
      <c r="J25" s="23" t="s">
        <v>45</v>
      </c>
      <c r="K25" s="24" t="s">
        <v>46</v>
      </c>
    </row>
    <row r="26" spans="1:11" x14ac:dyDescent="0.2">
      <c r="A26" s="2" t="s">
        <v>160</v>
      </c>
      <c r="B26" s="1" t="s">
        <v>155</v>
      </c>
      <c r="C26" s="130">
        <v>1095.5999999999999</v>
      </c>
      <c r="D26" s="130">
        <f t="shared" si="0"/>
        <v>1095.5999999999999</v>
      </c>
      <c r="E26" s="11">
        <v>-141.59</v>
      </c>
      <c r="F26" s="11">
        <v>-0.01</v>
      </c>
      <c r="G26" s="130">
        <f t="shared" si="1"/>
        <v>-141.6</v>
      </c>
      <c r="H26" s="130">
        <f t="shared" si="2"/>
        <v>1237.1999999999998</v>
      </c>
      <c r="I26" s="24"/>
      <c r="J26" s="56" t="s">
        <v>160</v>
      </c>
      <c r="K26" s="24" t="s">
        <v>155</v>
      </c>
    </row>
    <row r="27" spans="1:11" x14ac:dyDescent="0.2">
      <c r="A27" s="158" t="s">
        <v>47</v>
      </c>
      <c r="B27" s="107" t="s">
        <v>48</v>
      </c>
      <c r="C27" s="106">
        <v>0</v>
      </c>
      <c r="D27" s="130">
        <f t="shared" si="0"/>
        <v>0</v>
      </c>
      <c r="E27" s="159">
        <v>0</v>
      </c>
      <c r="F27" s="159">
        <v>0</v>
      </c>
      <c r="G27" s="130">
        <f t="shared" si="1"/>
        <v>0</v>
      </c>
      <c r="H27" s="130">
        <f t="shared" si="2"/>
        <v>0</v>
      </c>
      <c r="I27" s="24"/>
      <c r="J27" s="160" t="s">
        <v>47</v>
      </c>
      <c r="K27" s="105" t="s">
        <v>48</v>
      </c>
    </row>
    <row r="28" spans="1:11" x14ac:dyDescent="0.2">
      <c r="A28" s="2" t="s">
        <v>49</v>
      </c>
      <c r="B28" s="1" t="s">
        <v>50</v>
      </c>
      <c r="C28" s="130">
        <v>1095.5999999999999</v>
      </c>
      <c r="D28" s="130">
        <f t="shared" si="0"/>
        <v>1095.5999999999999</v>
      </c>
      <c r="E28" s="11">
        <v>-141.59</v>
      </c>
      <c r="F28" s="11">
        <v>-0.01</v>
      </c>
      <c r="G28" s="130">
        <f t="shared" si="1"/>
        <v>-141.6</v>
      </c>
      <c r="H28" s="130">
        <f t="shared" si="2"/>
        <v>1237.1999999999998</v>
      </c>
      <c r="I28" s="24"/>
      <c r="J28" s="23" t="s">
        <v>49</v>
      </c>
      <c r="K28" s="24" t="s">
        <v>50</v>
      </c>
    </row>
    <row r="29" spans="1:11" x14ac:dyDescent="0.2">
      <c r="A29" s="2" t="s">
        <v>51</v>
      </c>
      <c r="B29" s="1" t="s">
        <v>52</v>
      </c>
      <c r="C29" s="130">
        <v>1095.5999999999999</v>
      </c>
      <c r="D29" s="130">
        <f t="shared" si="0"/>
        <v>1095.5999999999999</v>
      </c>
      <c r="E29" s="11">
        <v>-141.59</v>
      </c>
      <c r="F29" s="11">
        <v>-0.01</v>
      </c>
      <c r="G29" s="130">
        <f t="shared" si="1"/>
        <v>-141.6</v>
      </c>
      <c r="H29" s="130">
        <f t="shared" si="2"/>
        <v>1237.1999999999998</v>
      </c>
      <c r="I29" s="24"/>
      <c r="J29" s="23" t="s">
        <v>51</v>
      </c>
      <c r="K29" s="24" t="s">
        <v>52</v>
      </c>
    </row>
    <row r="30" spans="1:11" x14ac:dyDescent="0.2">
      <c r="A30" s="2" t="s">
        <v>53</v>
      </c>
      <c r="B30" s="1" t="s">
        <v>54</v>
      </c>
      <c r="C30" s="130">
        <v>1095.5999999999999</v>
      </c>
      <c r="D30" s="130">
        <f t="shared" si="0"/>
        <v>1095.5999999999999</v>
      </c>
      <c r="E30" s="11">
        <v>-141.59</v>
      </c>
      <c r="F30" s="11">
        <v>-0.01</v>
      </c>
      <c r="G30" s="130">
        <f t="shared" si="1"/>
        <v>-141.6</v>
      </c>
      <c r="H30" s="130">
        <f t="shared" si="2"/>
        <v>1237.1999999999998</v>
      </c>
      <c r="I30" s="24"/>
      <c r="J30" s="23" t="s">
        <v>53</v>
      </c>
      <c r="K30" s="24" t="s">
        <v>54</v>
      </c>
    </row>
    <row r="31" spans="1:11" x14ac:dyDescent="0.2">
      <c r="A31" s="2" t="s">
        <v>55</v>
      </c>
      <c r="B31" s="1" t="s">
        <v>56</v>
      </c>
      <c r="C31" s="130">
        <v>1095.5999999999999</v>
      </c>
      <c r="D31" s="130">
        <f t="shared" si="0"/>
        <v>1095.5999999999999</v>
      </c>
      <c r="E31" s="11">
        <v>-141.59</v>
      </c>
      <c r="F31" s="11">
        <v>-0.01</v>
      </c>
      <c r="G31" s="130">
        <f t="shared" si="1"/>
        <v>-141.6</v>
      </c>
      <c r="H31" s="130">
        <f t="shared" si="2"/>
        <v>1237.1999999999998</v>
      </c>
      <c r="I31" s="24"/>
      <c r="J31" s="23" t="s">
        <v>55</v>
      </c>
      <c r="K31" s="24" t="s">
        <v>56</v>
      </c>
    </row>
    <row r="32" spans="1:11" x14ac:dyDescent="0.2">
      <c r="A32" s="2" t="s">
        <v>161</v>
      </c>
      <c r="B32" s="1" t="s">
        <v>162</v>
      </c>
      <c r="C32" s="130">
        <v>1095.5999999999999</v>
      </c>
      <c r="D32" s="130">
        <f t="shared" si="0"/>
        <v>1095.5999999999999</v>
      </c>
      <c r="E32" s="11">
        <v>-141.59</v>
      </c>
      <c r="F32" s="11">
        <v>-0.01</v>
      </c>
      <c r="G32" s="130">
        <f t="shared" si="1"/>
        <v>-141.6</v>
      </c>
      <c r="H32" s="130">
        <f t="shared" si="2"/>
        <v>1237.1999999999998</v>
      </c>
      <c r="I32" s="24"/>
      <c r="J32" s="56" t="s">
        <v>161</v>
      </c>
      <c r="K32" s="24" t="s">
        <v>159</v>
      </c>
    </row>
    <row r="33" spans="1:11" x14ac:dyDescent="0.2">
      <c r="A33" s="2" t="s">
        <v>57</v>
      </c>
      <c r="B33" s="1" t="s">
        <v>58</v>
      </c>
      <c r="C33" s="130">
        <v>1095.5999999999999</v>
      </c>
      <c r="D33" s="130">
        <f t="shared" si="0"/>
        <v>1095.5999999999999</v>
      </c>
      <c r="E33" s="11">
        <v>-141.59</v>
      </c>
      <c r="F33" s="11">
        <v>-0.01</v>
      </c>
      <c r="G33" s="130">
        <f t="shared" si="1"/>
        <v>-141.6</v>
      </c>
      <c r="H33" s="130">
        <f t="shared" si="2"/>
        <v>1237.1999999999998</v>
      </c>
      <c r="I33" s="24"/>
      <c r="J33" s="23" t="s">
        <v>57</v>
      </c>
      <c r="K33" s="24" t="s">
        <v>58</v>
      </c>
    </row>
    <row r="34" spans="1:11" x14ac:dyDescent="0.2">
      <c r="A34" s="2" t="s">
        <v>59</v>
      </c>
      <c r="B34" s="1" t="s">
        <v>60</v>
      </c>
      <c r="C34" s="130">
        <v>1095.5999999999999</v>
      </c>
      <c r="D34" s="130">
        <f t="shared" si="0"/>
        <v>1095.5999999999999</v>
      </c>
      <c r="E34" s="11">
        <v>-141.59</v>
      </c>
      <c r="F34" s="11">
        <v>-0.01</v>
      </c>
      <c r="G34" s="130">
        <f t="shared" si="1"/>
        <v>-141.6</v>
      </c>
      <c r="H34" s="130">
        <f t="shared" si="2"/>
        <v>1237.1999999999998</v>
      </c>
      <c r="I34" s="24"/>
      <c r="J34" s="23" t="s">
        <v>59</v>
      </c>
      <c r="K34" s="24" t="s">
        <v>60</v>
      </c>
    </row>
    <row r="35" spans="1:11" x14ac:dyDescent="0.2">
      <c r="A35" s="2" t="s">
        <v>61</v>
      </c>
      <c r="B35" s="1" t="s">
        <v>62</v>
      </c>
      <c r="C35" s="130">
        <v>1095.5999999999999</v>
      </c>
      <c r="D35" s="130">
        <f t="shared" si="0"/>
        <v>1095.5999999999999</v>
      </c>
      <c r="E35" s="11">
        <v>-141.59</v>
      </c>
      <c r="F35" s="11">
        <v>-0.01</v>
      </c>
      <c r="G35" s="130">
        <f t="shared" si="1"/>
        <v>-141.6</v>
      </c>
      <c r="H35" s="130">
        <f t="shared" si="2"/>
        <v>1237.1999999999998</v>
      </c>
      <c r="I35" s="24"/>
      <c r="J35" s="23" t="s">
        <v>61</v>
      </c>
      <c r="K35" s="24" t="s">
        <v>62</v>
      </c>
    </row>
    <row r="36" spans="1:11" x14ac:dyDescent="0.2">
      <c r="A36" s="2" t="s">
        <v>63</v>
      </c>
      <c r="B36" s="1" t="s">
        <v>64</v>
      </c>
      <c r="C36" s="130">
        <v>1095.5999999999999</v>
      </c>
      <c r="D36" s="130">
        <f t="shared" si="0"/>
        <v>1095.5999999999999</v>
      </c>
      <c r="E36" s="11">
        <v>-141.59</v>
      </c>
      <c r="F36" s="11">
        <v>-0.01</v>
      </c>
      <c r="G36" s="130">
        <f t="shared" si="1"/>
        <v>-141.6</v>
      </c>
      <c r="H36" s="130">
        <f t="shared" si="2"/>
        <v>1237.1999999999998</v>
      </c>
      <c r="I36" s="24"/>
      <c r="J36" s="23" t="s">
        <v>63</v>
      </c>
      <c r="K36" s="24" t="s">
        <v>64</v>
      </c>
    </row>
    <row r="37" spans="1:11" x14ac:dyDescent="0.2">
      <c r="A37" s="2" t="s">
        <v>65</v>
      </c>
      <c r="B37" s="1" t="s">
        <v>66</v>
      </c>
      <c r="C37" s="130">
        <v>1095.5999999999999</v>
      </c>
      <c r="D37" s="130">
        <f t="shared" si="0"/>
        <v>1095.5999999999999</v>
      </c>
      <c r="E37" s="11">
        <v>-141.59</v>
      </c>
      <c r="F37" s="11">
        <v>-0.01</v>
      </c>
      <c r="G37" s="130">
        <f t="shared" si="1"/>
        <v>-141.6</v>
      </c>
      <c r="H37" s="130">
        <f t="shared" si="2"/>
        <v>1237.1999999999998</v>
      </c>
      <c r="I37" s="24"/>
      <c r="J37" s="23" t="s">
        <v>65</v>
      </c>
      <c r="K37" s="24" t="s">
        <v>66</v>
      </c>
    </row>
    <row r="38" spans="1:11" x14ac:dyDescent="0.2">
      <c r="A38" s="2" t="s">
        <v>67</v>
      </c>
      <c r="B38" s="1" t="s">
        <v>68</v>
      </c>
      <c r="C38" s="130">
        <v>1095.5999999999999</v>
      </c>
      <c r="D38" s="130">
        <f t="shared" si="0"/>
        <v>1095.5999999999999</v>
      </c>
      <c r="E38" s="11">
        <v>-141.59</v>
      </c>
      <c r="F38" s="11">
        <v>-0.01</v>
      </c>
      <c r="G38" s="130">
        <f t="shared" si="1"/>
        <v>-141.6</v>
      </c>
      <c r="H38" s="130">
        <f t="shared" si="2"/>
        <v>1237.1999999999998</v>
      </c>
      <c r="I38" s="24"/>
      <c r="J38" s="23" t="s">
        <v>67</v>
      </c>
      <c r="K38" s="24" t="s">
        <v>68</v>
      </c>
    </row>
    <row r="39" spans="1:11" x14ac:dyDescent="0.2">
      <c r="A39" s="2" t="s">
        <v>69</v>
      </c>
      <c r="B39" s="1" t="s">
        <v>70</v>
      </c>
      <c r="C39" s="130">
        <v>1095.5999999999999</v>
      </c>
      <c r="D39" s="130">
        <f t="shared" si="0"/>
        <v>1095.5999999999999</v>
      </c>
      <c r="E39" s="11">
        <v>-141.59</v>
      </c>
      <c r="F39" s="11">
        <v>-0.01</v>
      </c>
      <c r="G39" s="130">
        <f t="shared" si="1"/>
        <v>-141.6</v>
      </c>
      <c r="H39" s="130">
        <f t="shared" si="2"/>
        <v>1237.1999999999998</v>
      </c>
      <c r="I39" s="24"/>
      <c r="J39" s="23" t="s">
        <v>69</v>
      </c>
      <c r="K39" s="24" t="s">
        <v>70</v>
      </c>
    </row>
    <row r="40" spans="1:11" x14ac:dyDescent="0.2">
      <c r="A40" s="2" t="s">
        <v>71</v>
      </c>
      <c r="B40" s="1" t="s">
        <v>72</v>
      </c>
      <c r="C40" s="130">
        <v>1095.5999999999999</v>
      </c>
      <c r="D40" s="130">
        <f t="shared" si="0"/>
        <v>1095.5999999999999</v>
      </c>
      <c r="E40" s="11">
        <v>-141.59</v>
      </c>
      <c r="F40" s="11">
        <v>-0.01</v>
      </c>
      <c r="G40" s="130">
        <f t="shared" si="1"/>
        <v>-141.6</v>
      </c>
      <c r="H40" s="130">
        <f t="shared" si="2"/>
        <v>1237.1999999999998</v>
      </c>
      <c r="I40" s="24"/>
      <c r="J40" s="23" t="s">
        <v>71</v>
      </c>
      <c r="K40" s="24" t="s">
        <v>72</v>
      </c>
    </row>
    <row r="41" spans="1:11" x14ac:dyDescent="0.2">
      <c r="A41" s="2" t="s">
        <v>73</v>
      </c>
      <c r="B41" s="1" t="s">
        <v>74</v>
      </c>
      <c r="C41" s="130">
        <v>1095.5999999999999</v>
      </c>
      <c r="D41" s="130">
        <f t="shared" si="0"/>
        <v>1095.5999999999999</v>
      </c>
      <c r="E41" s="11">
        <v>-141.59</v>
      </c>
      <c r="F41" s="11">
        <v>-0.01</v>
      </c>
      <c r="G41" s="130">
        <f t="shared" si="1"/>
        <v>-141.6</v>
      </c>
      <c r="H41" s="130">
        <f t="shared" si="2"/>
        <v>1237.1999999999998</v>
      </c>
      <c r="I41" s="24"/>
      <c r="J41" s="23" t="s">
        <v>73</v>
      </c>
      <c r="K41" s="24" t="s">
        <v>74</v>
      </c>
    </row>
    <row r="42" spans="1:11" x14ac:dyDescent="0.2">
      <c r="A42" s="2" t="s">
        <v>156</v>
      </c>
      <c r="B42" s="1" t="s">
        <v>157</v>
      </c>
      <c r="C42" s="130">
        <v>1095.5999999999999</v>
      </c>
      <c r="D42" s="130">
        <f t="shared" si="0"/>
        <v>1095.5999999999999</v>
      </c>
      <c r="E42" s="11">
        <v>-141.59</v>
      </c>
      <c r="F42" s="11">
        <v>-0.01</v>
      </c>
      <c r="G42" s="130">
        <f t="shared" si="1"/>
        <v>-141.6</v>
      </c>
      <c r="H42" s="130">
        <f t="shared" si="2"/>
        <v>1237.1999999999998</v>
      </c>
      <c r="I42" s="24"/>
      <c r="J42" s="23" t="s">
        <v>156</v>
      </c>
      <c r="K42" s="24" t="s">
        <v>157</v>
      </c>
    </row>
    <row r="43" spans="1:11" s="54" customFormat="1" x14ac:dyDescent="0.2">
      <c r="A43" s="2" t="s">
        <v>75</v>
      </c>
      <c r="B43" s="1" t="s">
        <v>76</v>
      </c>
      <c r="C43" s="130">
        <v>1095.5999999999999</v>
      </c>
      <c r="D43" s="130">
        <f t="shared" si="0"/>
        <v>1095.5999999999999</v>
      </c>
      <c r="E43" s="11">
        <v>-141.59</v>
      </c>
      <c r="F43" s="11">
        <v>-0.01</v>
      </c>
      <c r="G43" s="130">
        <f t="shared" si="1"/>
        <v>-141.6</v>
      </c>
      <c r="H43" s="130">
        <f t="shared" si="2"/>
        <v>1237.1999999999998</v>
      </c>
      <c r="I43" s="24"/>
      <c r="J43" s="23" t="s">
        <v>75</v>
      </c>
      <c r="K43" s="24" t="s">
        <v>76</v>
      </c>
    </row>
    <row r="44" spans="1:11" x14ac:dyDescent="0.2">
      <c r="A44" s="53" t="s">
        <v>77</v>
      </c>
      <c r="B44" s="54" t="s">
        <v>78</v>
      </c>
      <c r="C44" s="130">
        <f>73.04*13</f>
        <v>949.5200000000001</v>
      </c>
      <c r="D44" s="130">
        <f t="shared" si="0"/>
        <v>949.5200000000001</v>
      </c>
      <c r="E44" s="11">
        <f>-141.59/15*13</f>
        <v>-122.71133333333334</v>
      </c>
      <c r="F44" s="11">
        <v>-0.01</v>
      </c>
      <c r="G44" s="130">
        <f t="shared" si="1"/>
        <v>-122.72133333333335</v>
      </c>
      <c r="H44" s="130">
        <f t="shared" si="2"/>
        <v>1072.2413333333334</v>
      </c>
      <c r="I44" s="24"/>
      <c r="J44" s="23" t="s">
        <v>77</v>
      </c>
      <c r="K44" s="24" t="s">
        <v>78</v>
      </c>
    </row>
    <row r="45" spans="1:11" x14ac:dyDescent="0.2">
      <c r="A45" s="2" t="s">
        <v>79</v>
      </c>
      <c r="B45" s="1" t="s">
        <v>80</v>
      </c>
      <c r="C45" s="130">
        <v>1095.5999999999999</v>
      </c>
      <c r="D45" s="130">
        <f t="shared" si="0"/>
        <v>1095.5999999999999</v>
      </c>
      <c r="E45" s="11">
        <v>-141.59</v>
      </c>
      <c r="F45" s="11">
        <v>-0.01</v>
      </c>
      <c r="G45" s="130">
        <f t="shared" si="1"/>
        <v>-141.6</v>
      </c>
      <c r="H45" s="130">
        <f t="shared" si="2"/>
        <v>1237.1999999999998</v>
      </c>
      <c r="I45" s="24"/>
      <c r="J45" s="23" t="s">
        <v>79</v>
      </c>
      <c r="K45" s="24" t="s">
        <v>80</v>
      </c>
    </row>
    <row r="46" spans="1:11" x14ac:dyDescent="0.2">
      <c r="A46" s="2" t="s">
        <v>81</v>
      </c>
      <c r="B46" s="1" t="s">
        <v>82</v>
      </c>
      <c r="C46" s="130">
        <v>1095.5999999999999</v>
      </c>
      <c r="D46" s="130">
        <f t="shared" si="0"/>
        <v>1095.5999999999999</v>
      </c>
      <c r="E46" s="11">
        <v>-141.59</v>
      </c>
      <c r="F46" s="11">
        <v>-0.01</v>
      </c>
      <c r="G46" s="130">
        <f t="shared" si="1"/>
        <v>-141.6</v>
      </c>
      <c r="H46" s="130">
        <f t="shared" si="2"/>
        <v>1237.1999999999998</v>
      </c>
      <c r="I46" s="24"/>
      <c r="J46" s="23" t="s">
        <v>81</v>
      </c>
      <c r="K46" s="24" t="s">
        <v>82</v>
      </c>
    </row>
    <row r="47" spans="1:11" x14ac:dyDescent="0.2">
      <c r="A47" s="2" t="s">
        <v>83</v>
      </c>
      <c r="B47" s="1" t="s">
        <v>84</v>
      </c>
      <c r="C47" s="130">
        <v>1095.5999999999999</v>
      </c>
      <c r="D47" s="130">
        <f t="shared" si="0"/>
        <v>1095.5999999999999</v>
      </c>
      <c r="E47" s="11">
        <v>-141.59</v>
      </c>
      <c r="F47" s="11">
        <v>-0.01</v>
      </c>
      <c r="G47" s="130">
        <f t="shared" si="1"/>
        <v>-141.6</v>
      </c>
      <c r="H47" s="130">
        <f t="shared" si="2"/>
        <v>1237.1999999999998</v>
      </c>
      <c r="I47" s="24"/>
      <c r="J47" s="23" t="s">
        <v>83</v>
      </c>
      <c r="K47" s="24" t="s">
        <v>84</v>
      </c>
    </row>
    <row r="48" spans="1:11" x14ac:dyDescent="0.2">
      <c r="A48" s="2" t="s">
        <v>163</v>
      </c>
      <c r="B48" s="1" t="s">
        <v>158</v>
      </c>
      <c r="C48" s="130">
        <v>1095.5999999999999</v>
      </c>
      <c r="D48" s="130">
        <f t="shared" si="0"/>
        <v>1095.5999999999999</v>
      </c>
      <c r="E48" s="11">
        <v>-141.59</v>
      </c>
      <c r="F48" s="10">
        <v>0.02</v>
      </c>
      <c r="G48" s="130">
        <f t="shared" si="1"/>
        <v>-141.57</v>
      </c>
      <c r="H48" s="130">
        <f t="shared" si="2"/>
        <v>1237.1699999999998</v>
      </c>
      <c r="I48" s="24"/>
      <c r="J48" s="56" t="s">
        <v>163</v>
      </c>
      <c r="K48" s="24" t="s">
        <v>158</v>
      </c>
    </row>
    <row r="49" spans="1:11" s="54" customFormat="1" x14ac:dyDescent="0.2">
      <c r="A49" s="53" t="s">
        <v>87</v>
      </c>
      <c r="B49" s="54" t="s">
        <v>88</v>
      </c>
      <c r="C49" s="130">
        <v>1095.5999999999999</v>
      </c>
      <c r="D49" s="130">
        <f t="shared" si="0"/>
        <v>1095.5999999999999</v>
      </c>
      <c r="E49" s="11">
        <v>-141.59</v>
      </c>
      <c r="F49" s="11">
        <v>-0.01</v>
      </c>
      <c r="G49" s="130">
        <f t="shared" si="1"/>
        <v>-141.6</v>
      </c>
      <c r="H49" s="130">
        <f t="shared" si="2"/>
        <v>1237.1999999999998</v>
      </c>
      <c r="I49" s="24"/>
      <c r="J49" s="23" t="s">
        <v>87</v>
      </c>
      <c r="K49" s="24" t="s">
        <v>88</v>
      </c>
    </row>
    <row r="50" spans="1:11" x14ac:dyDescent="0.2">
      <c r="A50" s="2" t="s">
        <v>89</v>
      </c>
      <c r="B50" s="1" t="s">
        <v>90</v>
      </c>
      <c r="C50" s="130">
        <v>1095.5999999999999</v>
      </c>
      <c r="D50" s="130">
        <f t="shared" si="0"/>
        <v>1095.5999999999999</v>
      </c>
      <c r="E50" s="11">
        <v>-141.59</v>
      </c>
      <c r="F50" s="10">
        <v>0.19</v>
      </c>
      <c r="G50" s="130">
        <f t="shared" si="1"/>
        <v>-141.4</v>
      </c>
      <c r="H50" s="130">
        <f t="shared" si="2"/>
        <v>1237</v>
      </c>
      <c r="I50" s="24"/>
      <c r="J50" s="23" t="s">
        <v>89</v>
      </c>
      <c r="K50" s="24" t="s">
        <v>90</v>
      </c>
    </row>
    <row r="51" spans="1:11" x14ac:dyDescent="0.2">
      <c r="A51" s="2" t="s">
        <v>91</v>
      </c>
      <c r="B51" s="1" t="s">
        <v>92</v>
      </c>
      <c r="C51" s="130">
        <v>1095.5999999999999</v>
      </c>
      <c r="D51" s="130">
        <f t="shared" si="0"/>
        <v>1095.5999999999999</v>
      </c>
      <c r="E51" s="11">
        <v>-141.59</v>
      </c>
      <c r="F51" s="11">
        <v>-0.01</v>
      </c>
      <c r="G51" s="130">
        <f t="shared" si="1"/>
        <v>-141.6</v>
      </c>
      <c r="H51" s="130">
        <f t="shared" si="2"/>
        <v>1237.1999999999998</v>
      </c>
      <c r="I51" s="24"/>
      <c r="J51" s="23" t="s">
        <v>91</v>
      </c>
      <c r="K51" s="24" t="s">
        <v>92</v>
      </c>
    </row>
    <row r="52" spans="1:11" x14ac:dyDescent="0.2">
      <c r="A52" s="2" t="s">
        <v>93</v>
      </c>
      <c r="B52" s="1" t="s">
        <v>94</v>
      </c>
      <c r="C52" s="130">
        <v>1095.5999999999999</v>
      </c>
      <c r="D52" s="130">
        <f t="shared" si="0"/>
        <v>1095.5999999999999</v>
      </c>
      <c r="E52" s="11">
        <v>-141.59</v>
      </c>
      <c r="F52" s="11">
        <v>-0.01</v>
      </c>
      <c r="G52" s="130">
        <f t="shared" si="1"/>
        <v>-141.6</v>
      </c>
      <c r="H52" s="130">
        <f t="shared" si="2"/>
        <v>1237.1999999999998</v>
      </c>
      <c r="I52" s="24"/>
      <c r="J52" s="23" t="s">
        <v>93</v>
      </c>
      <c r="K52" s="24" t="s">
        <v>94</v>
      </c>
    </row>
    <row r="53" spans="1:11" x14ac:dyDescent="0.2">
      <c r="A53" s="2" t="s">
        <v>95</v>
      </c>
      <c r="B53" s="1" t="s">
        <v>96</v>
      </c>
      <c r="C53" s="130">
        <v>1095.5999999999999</v>
      </c>
      <c r="D53" s="130">
        <f t="shared" si="0"/>
        <v>1095.5999999999999</v>
      </c>
      <c r="E53" s="11">
        <v>-141.59</v>
      </c>
      <c r="F53" s="11">
        <v>-0.01</v>
      </c>
      <c r="G53" s="130">
        <f t="shared" si="1"/>
        <v>-141.6</v>
      </c>
      <c r="H53" s="130">
        <f t="shared" si="2"/>
        <v>1237.1999999999998</v>
      </c>
      <c r="I53" s="24"/>
      <c r="J53" s="23" t="s">
        <v>95</v>
      </c>
      <c r="K53" s="24" t="s">
        <v>96</v>
      </c>
    </row>
    <row r="54" spans="1:11" ht="15.75" x14ac:dyDescent="0.25">
      <c r="A54" s="129"/>
      <c r="B54" s="111" t="s">
        <v>301</v>
      </c>
      <c r="C54" s="130">
        <v>1095.5999999999999</v>
      </c>
      <c r="D54" s="130">
        <f t="shared" si="0"/>
        <v>1095.5999999999999</v>
      </c>
      <c r="E54" s="11">
        <v>-141.59</v>
      </c>
      <c r="F54" s="11">
        <v>-0.01</v>
      </c>
      <c r="G54" s="130">
        <f t="shared" si="1"/>
        <v>-141.6</v>
      </c>
      <c r="H54" s="130">
        <f t="shared" si="2"/>
        <v>1237.1999999999998</v>
      </c>
      <c r="I54" s="24"/>
      <c r="J54" s="23"/>
      <c r="K54" s="111" t="s">
        <v>301</v>
      </c>
    </row>
    <row r="55" spans="1:11" x14ac:dyDescent="0.2">
      <c r="A55" s="2" t="s">
        <v>97</v>
      </c>
      <c r="B55" s="1" t="s">
        <v>98</v>
      </c>
      <c r="C55" s="130">
        <v>1095.5999999999999</v>
      </c>
      <c r="D55" s="130">
        <f t="shared" si="0"/>
        <v>1095.5999999999999</v>
      </c>
      <c r="E55" s="11">
        <v>-141.59</v>
      </c>
      <c r="F55" s="11">
        <v>-0.01</v>
      </c>
      <c r="G55" s="130">
        <f t="shared" si="1"/>
        <v>-141.6</v>
      </c>
      <c r="H55" s="130">
        <f t="shared" si="2"/>
        <v>1237.1999999999998</v>
      </c>
      <c r="I55" s="24"/>
      <c r="J55" s="23" t="s">
        <v>97</v>
      </c>
      <c r="K55" s="24" t="s">
        <v>98</v>
      </c>
    </row>
    <row r="56" spans="1:11" x14ac:dyDescent="0.2">
      <c r="A56" s="2" t="s">
        <v>99</v>
      </c>
      <c r="B56" s="1" t="s">
        <v>100</v>
      </c>
      <c r="C56" s="130">
        <v>1095.5999999999999</v>
      </c>
      <c r="D56" s="130">
        <f t="shared" si="0"/>
        <v>1095.5999999999999</v>
      </c>
      <c r="E56" s="11">
        <v>-141.59</v>
      </c>
      <c r="F56" s="11">
        <v>-0.01</v>
      </c>
      <c r="G56" s="130">
        <f t="shared" si="1"/>
        <v>-141.6</v>
      </c>
      <c r="H56" s="130">
        <f t="shared" si="2"/>
        <v>1237.1999999999998</v>
      </c>
      <c r="I56" s="24"/>
      <c r="J56" s="23" t="s">
        <v>99</v>
      </c>
      <c r="K56" s="24" t="s">
        <v>100</v>
      </c>
    </row>
    <row r="57" spans="1:11" x14ac:dyDescent="0.2">
      <c r="A57" s="2" t="s">
        <v>101</v>
      </c>
      <c r="B57" s="1" t="s">
        <v>102</v>
      </c>
      <c r="C57" s="130">
        <v>1095.5999999999999</v>
      </c>
      <c r="D57" s="130">
        <f t="shared" si="0"/>
        <v>1095.5999999999999</v>
      </c>
      <c r="E57" s="11">
        <v>-141.59</v>
      </c>
      <c r="F57" s="11">
        <v>-0.01</v>
      </c>
      <c r="G57" s="130">
        <f t="shared" si="1"/>
        <v>-141.6</v>
      </c>
      <c r="H57" s="130">
        <f t="shared" si="2"/>
        <v>1237.1999999999998</v>
      </c>
      <c r="I57" s="24"/>
      <c r="J57" s="23" t="s">
        <v>101</v>
      </c>
      <c r="K57" s="24" t="s">
        <v>102</v>
      </c>
    </row>
    <row r="58" spans="1:11" x14ac:dyDescent="0.2">
      <c r="A58" s="2" t="s">
        <v>103</v>
      </c>
      <c r="B58" s="1" t="s">
        <v>104</v>
      </c>
      <c r="C58" s="130">
        <v>1095.5999999999999</v>
      </c>
      <c r="D58" s="130">
        <f t="shared" si="0"/>
        <v>1095.5999999999999</v>
      </c>
      <c r="E58" s="11">
        <v>-141.59</v>
      </c>
      <c r="F58" s="11">
        <v>-0.01</v>
      </c>
      <c r="G58" s="130">
        <f t="shared" si="1"/>
        <v>-141.6</v>
      </c>
      <c r="H58" s="130">
        <f t="shared" si="2"/>
        <v>1237.1999999999998</v>
      </c>
      <c r="I58" s="24"/>
      <c r="J58" s="23" t="s">
        <v>103</v>
      </c>
      <c r="K58" s="24" t="s">
        <v>104</v>
      </c>
    </row>
    <row r="59" spans="1:11" x14ac:dyDescent="0.2">
      <c r="A59" s="2" t="s">
        <v>105</v>
      </c>
      <c r="B59" s="1" t="s">
        <v>106</v>
      </c>
      <c r="C59" s="130">
        <v>1095.5999999999999</v>
      </c>
      <c r="D59" s="130">
        <f t="shared" si="0"/>
        <v>1095.5999999999999</v>
      </c>
      <c r="E59" s="11">
        <v>-141.59</v>
      </c>
      <c r="F59" s="11">
        <v>-0.01</v>
      </c>
      <c r="G59" s="130">
        <f t="shared" si="1"/>
        <v>-141.6</v>
      </c>
      <c r="H59" s="130">
        <f t="shared" si="2"/>
        <v>1237.1999999999998</v>
      </c>
      <c r="I59" s="24"/>
      <c r="J59" s="23" t="s">
        <v>105</v>
      </c>
      <c r="K59" s="24" t="s">
        <v>106</v>
      </c>
    </row>
    <row r="60" spans="1:11" x14ac:dyDescent="0.2">
      <c r="A60" s="2" t="s">
        <v>107</v>
      </c>
      <c r="B60" s="1" t="s">
        <v>108</v>
      </c>
      <c r="C60" s="130">
        <v>1095.5999999999999</v>
      </c>
      <c r="D60" s="130">
        <f t="shared" si="0"/>
        <v>1095.5999999999999</v>
      </c>
      <c r="E60" s="11">
        <v>-141.59</v>
      </c>
      <c r="F60" s="11">
        <v>-0.01</v>
      </c>
      <c r="G60" s="130">
        <f t="shared" si="1"/>
        <v>-141.6</v>
      </c>
      <c r="H60" s="130">
        <f t="shared" si="2"/>
        <v>1237.1999999999998</v>
      </c>
      <c r="I60" s="24"/>
      <c r="J60" s="23" t="s">
        <v>107</v>
      </c>
      <c r="K60" s="24" t="s">
        <v>108</v>
      </c>
    </row>
    <row r="61" spans="1:11" x14ac:dyDescent="0.2">
      <c r="A61" s="2" t="s">
        <v>109</v>
      </c>
      <c r="B61" s="1" t="s">
        <v>110</v>
      </c>
      <c r="C61" s="130">
        <v>1095.5999999999999</v>
      </c>
      <c r="D61" s="130">
        <f t="shared" si="0"/>
        <v>1095.5999999999999</v>
      </c>
      <c r="E61" s="11">
        <v>-141.59</v>
      </c>
      <c r="F61" s="10">
        <v>0.19</v>
      </c>
      <c r="G61" s="130">
        <f t="shared" si="1"/>
        <v>-141.4</v>
      </c>
      <c r="H61" s="130">
        <f t="shared" si="2"/>
        <v>1237</v>
      </c>
      <c r="I61" s="24"/>
      <c r="J61" s="23" t="s">
        <v>109</v>
      </c>
      <c r="K61" s="24" t="s">
        <v>110</v>
      </c>
    </row>
    <row r="62" spans="1:11" x14ac:dyDescent="0.2">
      <c r="A62" s="2" t="s">
        <v>111</v>
      </c>
      <c r="B62" s="1" t="s">
        <v>112</v>
      </c>
      <c r="C62" s="130">
        <v>1095.5999999999999</v>
      </c>
      <c r="D62" s="130">
        <f t="shared" si="0"/>
        <v>1095.5999999999999</v>
      </c>
      <c r="E62" s="11">
        <v>-141.59</v>
      </c>
      <c r="F62" s="11">
        <v>-0.01</v>
      </c>
      <c r="G62" s="130">
        <f t="shared" si="1"/>
        <v>-141.6</v>
      </c>
      <c r="H62" s="130">
        <f t="shared" si="2"/>
        <v>1237.1999999999998</v>
      </c>
      <c r="I62" s="24"/>
      <c r="J62" s="23" t="s">
        <v>111</v>
      </c>
      <c r="K62" s="24" t="s">
        <v>112</v>
      </c>
    </row>
    <row r="63" spans="1:11" x14ac:dyDescent="0.2">
      <c r="A63" s="2" t="s">
        <v>113</v>
      </c>
      <c r="B63" s="1" t="s">
        <v>114</v>
      </c>
      <c r="C63" s="130">
        <v>1095.5999999999999</v>
      </c>
      <c r="D63" s="130">
        <f t="shared" si="0"/>
        <v>1095.5999999999999</v>
      </c>
      <c r="E63" s="11">
        <v>-141.59</v>
      </c>
      <c r="F63" s="10">
        <v>0.19</v>
      </c>
      <c r="G63" s="130">
        <f t="shared" si="1"/>
        <v>-141.4</v>
      </c>
      <c r="H63" s="130">
        <f t="shared" si="2"/>
        <v>1237</v>
      </c>
      <c r="I63" s="24"/>
      <c r="J63" s="23" t="s">
        <v>113</v>
      </c>
      <c r="K63" s="24" t="s">
        <v>114</v>
      </c>
    </row>
    <row r="64" spans="1:11" x14ac:dyDescent="0.2">
      <c r="A64" s="2" t="s">
        <v>115</v>
      </c>
      <c r="B64" s="1" t="s">
        <v>116</v>
      </c>
      <c r="C64" s="130">
        <v>1095.5999999999999</v>
      </c>
      <c r="D64" s="130">
        <f t="shared" si="0"/>
        <v>1095.5999999999999</v>
      </c>
      <c r="E64" s="11">
        <v>-141.59</v>
      </c>
      <c r="F64" s="11">
        <v>-0.01</v>
      </c>
      <c r="G64" s="130">
        <f t="shared" si="1"/>
        <v>-141.6</v>
      </c>
      <c r="H64" s="130">
        <f t="shared" si="2"/>
        <v>1237.1999999999998</v>
      </c>
      <c r="I64" s="24"/>
      <c r="J64" s="23" t="s">
        <v>115</v>
      </c>
      <c r="K64" s="24" t="s">
        <v>116</v>
      </c>
    </row>
    <row r="65" spans="1:11" x14ac:dyDescent="0.2">
      <c r="A65" s="2" t="s">
        <v>117</v>
      </c>
      <c r="B65" s="1" t="s">
        <v>118</v>
      </c>
      <c r="C65" s="130">
        <v>1095.5999999999999</v>
      </c>
      <c r="D65" s="130">
        <f t="shared" si="0"/>
        <v>1095.5999999999999</v>
      </c>
      <c r="E65" s="11">
        <v>-141.59</v>
      </c>
      <c r="F65" s="11">
        <v>-0.01</v>
      </c>
      <c r="G65" s="130">
        <f t="shared" si="1"/>
        <v>-141.6</v>
      </c>
      <c r="H65" s="130">
        <f t="shared" si="2"/>
        <v>1237.1999999999998</v>
      </c>
      <c r="I65" s="24"/>
      <c r="J65" s="23" t="s">
        <v>117</v>
      </c>
      <c r="K65" s="24" t="s">
        <v>118</v>
      </c>
    </row>
    <row r="66" spans="1:11" ht="15.75" x14ac:dyDescent="0.25">
      <c r="A66" s="24"/>
      <c r="B66" s="77" t="s">
        <v>366</v>
      </c>
      <c r="C66" s="225">
        <v>1095.5999999999999</v>
      </c>
      <c r="D66" s="225">
        <f t="shared" ref="D66" si="3">SUM(C66)</f>
        <v>1095.5999999999999</v>
      </c>
      <c r="E66" s="11">
        <v>-141.59</v>
      </c>
      <c r="F66" s="11">
        <v>-0.01</v>
      </c>
      <c r="G66" s="225">
        <f t="shared" ref="G66" si="4">SUM(E66:F66)</f>
        <v>-141.6</v>
      </c>
      <c r="H66" s="225">
        <f t="shared" ref="H66" si="5">+D66-G66</f>
        <v>1237.1999999999998</v>
      </c>
      <c r="I66" s="24"/>
      <c r="J66" s="23"/>
      <c r="K66" s="24"/>
    </row>
    <row r="67" spans="1:1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</row>
    <row r="68" spans="1:11" x14ac:dyDescent="0.2">
      <c r="A68" s="12"/>
      <c r="B68" s="5"/>
      <c r="C68" s="5" t="s">
        <v>119</v>
      </c>
      <c r="D68" s="5" t="s">
        <v>119</v>
      </c>
      <c r="E68" s="5" t="s">
        <v>119</v>
      </c>
      <c r="F68" s="5" t="s">
        <v>119</v>
      </c>
      <c r="G68" s="5" t="s">
        <v>119</v>
      </c>
      <c r="H68" s="5" t="s">
        <v>119</v>
      </c>
      <c r="I68" s="24"/>
      <c r="J68" s="24"/>
      <c r="K68" s="24"/>
    </row>
    <row r="69" spans="1:11" x14ac:dyDescent="0.2">
      <c r="A69" s="40" t="s">
        <v>120</v>
      </c>
      <c r="B69" s="1" t="s">
        <v>121</v>
      </c>
      <c r="C69" s="41">
        <f>SUM(C10:C68)</f>
        <v>61207.519999999946</v>
      </c>
      <c r="D69" s="41">
        <f t="shared" ref="D69:H69" si="6">SUM(D10:D68)</f>
        <v>61207.519999999946</v>
      </c>
      <c r="E69" s="41">
        <f t="shared" si="6"/>
        <v>-7910.1613333333389</v>
      </c>
      <c r="F69" s="41">
        <f t="shared" si="6"/>
        <v>0.31</v>
      </c>
      <c r="G69" s="41">
        <f t="shared" si="6"/>
        <v>-7909.8513333333385</v>
      </c>
      <c r="H69" s="41">
        <f t="shared" si="6"/>
        <v>69117.371333333271</v>
      </c>
      <c r="I69" s="24"/>
      <c r="J69" s="24"/>
      <c r="K69" s="24"/>
    </row>
    <row r="70" spans="1:11" s="5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x14ac:dyDescent="0.2">
      <c r="I71" s="24"/>
    </row>
    <row r="78" spans="1:11" x14ac:dyDescent="0.2">
      <c r="A78" s="2" t="s">
        <v>85</v>
      </c>
      <c r="B78" s="1" t="s">
        <v>86</v>
      </c>
      <c r="C78" s="10">
        <v>1095.5999999999999</v>
      </c>
      <c r="D78" s="10">
        <v>1095.5999999999999</v>
      </c>
      <c r="E78" s="11">
        <v>-141.59</v>
      </c>
      <c r="F78" s="11">
        <v>-0.01</v>
      </c>
      <c r="G78" s="10">
        <v>-141.6</v>
      </c>
      <c r="H78" s="10">
        <v>1237.2</v>
      </c>
      <c r="I78" s="24"/>
    </row>
  </sheetData>
  <sortState ref="J10:L68">
    <sortCondition ref="K10:K68"/>
  </sortState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81"/>
  <sheetViews>
    <sheetView zoomScaleNormal="100" workbookViewId="0">
      <pane xSplit="2" ySplit="9" topLeftCell="D52" activePane="bottomRight" state="frozen"/>
      <selection activeCell="B22" sqref="B22"/>
      <selection pane="topRight" activeCell="B22" sqref="B22"/>
      <selection pane="bottomLeft" activeCell="B22" sqref="B22"/>
      <selection pane="bottomRight" activeCell="N66" sqref="N66"/>
    </sheetView>
  </sheetViews>
  <sheetFormatPr baseColWidth="10" defaultRowHeight="15" x14ac:dyDescent="0.25"/>
  <cols>
    <col min="1" max="1" width="11.42578125" style="16"/>
    <col min="2" max="2" width="26" style="16" customWidth="1"/>
    <col min="3" max="3" width="15.140625" style="16" customWidth="1"/>
    <col min="4" max="5" width="15.7109375" style="16" customWidth="1"/>
    <col min="6" max="7" width="10.28515625" style="16" customWidth="1"/>
    <col min="8" max="9" width="10.5703125" style="16" customWidth="1"/>
    <col min="10" max="11" width="13.5703125" style="16" customWidth="1"/>
    <col min="12" max="12" width="14.42578125" customWidth="1"/>
    <col min="13" max="14" width="11.42578125" style="16"/>
    <col min="15" max="15" width="31.140625" style="16" bestFit="1" customWidth="1"/>
    <col min="16" max="18" width="11.42578125" style="16"/>
    <col min="19" max="16384" width="11.42578125" style="1"/>
  </cols>
  <sheetData>
    <row r="1" spans="1:18" ht="18" customHeight="1" x14ac:dyDescent="0.25">
      <c r="A1" s="34" t="s">
        <v>0</v>
      </c>
      <c r="B1" s="31" t="s">
        <v>121</v>
      </c>
      <c r="C1" s="35"/>
      <c r="D1"/>
      <c r="E1"/>
      <c r="F1"/>
      <c r="G1"/>
      <c r="H1"/>
      <c r="I1"/>
      <c r="J1"/>
      <c r="K1"/>
      <c r="L1" s="62"/>
    </row>
    <row r="2" spans="1:18" ht="24.95" customHeight="1" x14ac:dyDescent="0.25">
      <c r="A2" s="36" t="s">
        <v>1</v>
      </c>
      <c r="B2" s="59" t="s">
        <v>2</v>
      </c>
      <c r="C2" s="38"/>
      <c r="D2"/>
      <c r="E2"/>
      <c r="F2"/>
      <c r="G2"/>
      <c r="H2"/>
      <c r="I2"/>
      <c r="J2"/>
      <c r="K2"/>
      <c r="O2" s="16">
        <f>417-500</f>
        <v>-83</v>
      </c>
    </row>
    <row r="3" spans="1:18" ht="15.75" x14ac:dyDescent="0.25">
      <c r="A3"/>
      <c r="B3" s="60" t="s">
        <v>3</v>
      </c>
      <c r="C3" s="32"/>
      <c r="D3"/>
      <c r="E3"/>
      <c r="F3"/>
      <c r="G3"/>
      <c r="H3"/>
      <c r="I3"/>
      <c r="J3"/>
      <c r="K3"/>
    </row>
    <row r="4" spans="1:18" x14ac:dyDescent="0.25">
      <c r="A4"/>
      <c r="B4" s="61" t="str">
        <f>+FACTURACIÓN!B4</f>
        <v>Periodo 5 al 5 Quincenal del 01/03/2016 al 15/03/2016</v>
      </c>
      <c r="C4" s="32"/>
      <c r="D4"/>
      <c r="E4"/>
      <c r="F4"/>
      <c r="G4"/>
      <c r="H4"/>
      <c r="I4"/>
      <c r="J4"/>
      <c r="K4"/>
    </row>
    <row r="5" spans="1:18" x14ac:dyDescent="0.25">
      <c r="A5"/>
      <c r="B5" s="4" t="s">
        <v>4</v>
      </c>
      <c r="C5"/>
      <c r="D5"/>
      <c r="E5"/>
      <c r="F5"/>
      <c r="G5"/>
      <c r="H5"/>
      <c r="I5"/>
      <c r="J5"/>
      <c r="K5"/>
    </row>
    <row r="6" spans="1:18" x14ac:dyDescent="0.25">
      <c r="A6"/>
      <c r="B6" s="4" t="s">
        <v>5</v>
      </c>
      <c r="C6"/>
      <c r="D6"/>
      <c r="E6"/>
      <c r="F6"/>
      <c r="G6"/>
      <c r="H6"/>
      <c r="I6"/>
      <c r="J6"/>
      <c r="K6"/>
    </row>
    <row r="7" spans="1:18" x14ac:dyDescent="0.25">
      <c r="B7" s="21"/>
      <c r="E7"/>
      <c r="F7"/>
      <c r="G7"/>
      <c r="H7"/>
      <c r="I7"/>
      <c r="J7"/>
      <c r="K7"/>
    </row>
    <row r="8" spans="1:18" s="48" customFormat="1" ht="34.5" thickBot="1" x14ac:dyDescent="0.3">
      <c r="A8" s="47" t="s">
        <v>6</v>
      </c>
      <c r="B8" s="14" t="s">
        <v>7</v>
      </c>
      <c r="C8" s="14" t="s">
        <v>164</v>
      </c>
      <c r="D8" s="13" t="s">
        <v>9</v>
      </c>
      <c r="E8" s="13" t="s">
        <v>179</v>
      </c>
      <c r="F8" s="22" t="s">
        <v>182</v>
      </c>
      <c r="G8" s="22" t="s">
        <v>283</v>
      </c>
      <c r="H8" s="22" t="s">
        <v>281</v>
      </c>
      <c r="I8" s="22" t="s">
        <v>154</v>
      </c>
      <c r="J8" s="13" t="s">
        <v>146</v>
      </c>
      <c r="K8" s="13" t="s">
        <v>279</v>
      </c>
      <c r="L8" s="13" t="s">
        <v>12</v>
      </c>
      <c r="M8" s="13" t="s">
        <v>12</v>
      </c>
    </row>
    <row r="9" spans="1:18" ht="15.75" thickTop="1" x14ac:dyDescent="0.25">
      <c r="A9"/>
      <c r="B9"/>
      <c r="C9"/>
      <c r="D9"/>
      <c r="E9"/>
      <c r="F9"/>
      <c r="G9"/>
      <c r="H9"/>
      <c r="I9"/>
      <c r="J9"/>
      <c r="K9"/>
      <c r="M9"/>
      <c r="N9" s="1"/>
      <c r="O9" s="1"/>
      <c r="P9" s="1"/>
      <c r="Q9" s="1"/>
      <c r="R9" s="1"/>
    </row>
    <row r="10" spans="1:18" ht="11.25" x14ac:dyDescent="0.2">
      <c r="A10" s="2" t="s">
        <v>15</v>
      </c>
      <c r="B10" s="1" t="s">
        <v>16</v>
      </c>
      <c r="C10" s="10">
        <f>+FACTURACIÓN!H10-'C&amp;A'!H10</f>
        <v>1750.0738971313581</v>
      </c>
      <c r="D10" s="10">
        <f>SUM(C10)</f>
        <v>1750.0738971313581</v>
      </c>
      <c r="E10" s="130">
        <f>+FACTURACIÓN!I10</f>
        <v>0</v>
      </c>
      <c r="F10" s="130">
        <f>+FACTURACIÓN!J10</f>
        <v>0</v>
      </c>
      <c r="G10" s="130">
        <f>+FACTURACIÓN!K10</f>
        <v>0</v>
      </c>
      <c r="H10" s="130">
        <f>+FACTURACIÓN!L10</f>
        <v>0</v>
      </c>
      <c r="I10" s="130">
        <f>+FACTURACIÓN!M10</f>
        <v>45.15</v>
      </c>
      <c r="J10" s="130">
        <f>+FACTURACIÓN!N10</f>
        <v>0</v>
      </c>
      <c r="K10" s="130">
        <f>+FACTURACIÓN!O10</f>
        <v>0</v>
      </c>
      <c r="L10" s="10">
        <f>SUM(E10:K10)</f>
        <v>45.15</v>
      </c>
      <c r="M10" s="50">
        <f>+D10-L10</f>
        <v>1704.923897131358</v>
      </c>
      <c r="N10" s="1"/>
      <c r="O10" s="23" t="s">
        <v>15</v>
      </c>
      <c r="P10" s="24" t="s">
        <v>16</v>
      </c>
      <c r="Q10" s="1"/>
      <c r="R10" s="1"/>
    </row>
    <row r="11" spans="1:18" ht="11.25" x14ac:dyDescent="0.2">
      <c r="A11" s="2" t="s">
        <v>17</v>
      </c>
      <c r="B11" s="1" t="s">
        <v>18</v>
      </c>
      <c r="C11" s="130">
        <f>+FACTURACIÓN!H11-'C&amp;A'!H11</f>
        <v>4040.3</v>
      </c>
      <c r="D11" s="130">
        <f t="shared" ref="D11:D64" si="0">SUM(C11)</f>
        <v>4040.3</v>
      </c>
      <c r="E11" s="130">
        <f>+FACTURACIÓN!I11</f>
        <v>0</v>
      </c>
      <c r="F11" s="130">
        <f>+FACTURACIÓN!J11</f>
        <v>0</v>
      </c>
      <c r="G11" s="130">
        <f>+FACTURACIÓN!K11</f>
        <v>0</v>
      </c>
      <c r="H11" s="130">
        <f>+FACTURACIÓN!L11</f>
        <v>0</v>
      </c>
      <c r="I11" s="130">
        <f>+FACTURACIÓN!M11</f>
        <v>45.15</v>
      </c>
      <c r="J11" s="130">
        <f>+FACTURACIÓN!N11</f>
        <v>0</v>
      </c>
      <c r="K11" s="130">
        <f>+FACTURACIÓN!O11</f>
        <v>523.23500000000001</v>
      </c>
      <c r="L11" s="130">
        <f t="shared" ref="L11:L65" si="1">SUM(E11:K11)</f>
        <v>568.38499999999999</v>
      </c>
      <c r="M11" s="50">
        <f t="shared" ref="M11:M65" si="2">+D11-L11</f>
        <v>3471.915</v>
      </c>
      <c r="N11" s="1"/>
      <c r="O11" s="23" t="s">
        <v>17</v>
      </c>
      <c r="P11" s="24" t="s">
        <v>18</v>
      </c>
      <c r="Q11" s="1"/>
      <c r="R11" s="1"/>
    </row>
    <row r="12" spans="1:18" ht="11.25" x14ac:dyDescent="0.2">
      <c r="A12" s="2" t="s">
        <v>19</v>
      </c>
      <c r="B12" s="1" t="s">
        <v>20</v>
      </c>
      <c r="C12" s="130">
        <f>+FACTURACIÓN!H12-'C&amp;A'!H12</f>
        <v>2512.8000000000002</v>
      </c>
      <c r="D12" s="130">
        <f t="shared" si="0"/>
        <v>2512.8000000000002</v>
      </c>
      <c r="E12" s="130">
        <f>+FACTURACIÓN!I12</f>
        <v>0</v>
      </c>
      <c r="F12" s="130">
        <f>+FACTURACIÓN!J12</f>
        <v>0</v>
      </c>
      <c r="G12" s="130">
        <f>+FACTURACIÓN!K12</f>
        <v>0</v>
      </c>
      <c r="H12" s="130">
        <f>+FACTURACIÓN!L12</f>
        <v>0</v>
      </c>
      <c r="I12" s="130">
        <f>+FACTURACIÓN!M12</f>
        <v>45.15</v>
      </c>
      <c r="J12" s="130">
        <f>+FACTURACIÓN!N12</f>
        <v>0</v>
      </c>
      <c r="K12" s="130">
        <f>+FACTURACIÓN!O12</f>
        <v>0</v>
      </c>
      <c r="L12" s="130">
        <f t="shared" si="1"/>
        <v>45.15</v>
      </c>
      <c r="M12" s="50">
        <f t="shared" si="2"/>
        <v>2467.65</v>
      </c>
      <c r="N12" s="1"/>
      <c r="O12" s="23" t="s">
        <v>19</v>
      </c>
      <c r="P12" s="24" t="s">
        <v>20</v>
      </c>
      <c r="Q12" s="1"/>
      <c r="R12" s="1"/>
    </row>
    <row r="13" spans="1:18" ht="11.25" x14ac:dyDescent="0.2">
      <c r="A13" s="2" t="s">
        <v>21</v>
      </c>
      <c r="B13" s="1" t="s">
        <v>22</v>
      </c>
      <c r="C13" s="130">
        <f>+FACTURACIÓN!H13-'C&amp;A'!H13</f>
        <v>17749.59</v>
      </c>
      <c r="D13" s="130">
        <f t="shared" si="0"/>
        <v>17749.59</v>
      </c>
      <c r="E13" s="130">
        <f>+FACTURACIÓN!I13</f>
        <v>0</v>
      </c>
      <c r="F13" s="130">
        <f>+FACTURACIÓN!J13</f>
        <v>0</v>
      </c>
      <c r="G13" s="130">
        <f>+FACTURACIÓN!K13</f>
        <v>0</v>
      </c>
      <c r="H13" s="130">
        <f>+FACTURACIÓN!L13</f>
        <v>0</v>
      </c>
      <c r="I13" s="130">
        <f>+FACTURACIÓN!M13</f>
        <v>45.15</v>
      </c>
      <c r="J13" s="130">
        <f>+FACTURACIÓN!N13</f>
        <v>2181.2800000000002</v>
      </c>
      <c r="K13" s="130">
        <f>+FACTURACIÓN!O13</f>
        <v>1906.6759999999999</v>
      </c>
      <c r="L13" s="130">
        <f t="shared" si="1"/>
        <v>4133.1059999999998</v>
      </c>
      <c r="M13" s="50">
        <f t="shared" si="2"/>
        <v>13616.484</v>
      </c>
      <c r="N13" s="1"/>
      <c r="O13" s="23" t="s">
        <v>21</v>
      </c>
      <c r="P13" s="24" t="s">
        <v>22</v>
      </c>
      <c r="Q13" s="1"/>
      <c r="R13" s="1"/>
    </row>
    <row r="14" spans="1:18" ht="11.25" x14ac:dyDescent="0.2">
      <c r="A14" s="2" t="s">
        <v>23</v>
      </c>
      <c r="B14" s="1" t="s">
        <v>24</v>
      </c>
      <c r="C14" s="130">
        <f>+FACTURACIÓN!H14-'C&amp;A'!H14</f>
        <v>3012.8</v>
      </c>
      <c r="D14" s="130">
        <f t="shared" si="0"/>
        <v>3012.8</v>
      </c>
      <c r="E14" s="130">
        <f>+FACTURACIÓN!I14</f>
        <v>0</v>
      </c>
      <c r="F14" s="130">
        <f>+FACTURACIÓN!J14</f>
        <v>0</v>
      </c>
      <c r="G14" s="130">
        <f>+FACTURACIÓN!K14</f>
        <v>0</v>
      </c>
      <c r="H14" s="130">
        <f>+FACTURACIÓN!L14</f>
        <v>0</v>
      </c>
      <c r="I14" s="130">
        <f>+FACTURACIÓN!M14</f>
        <v>45.15</v>
      </c>
      <c r="J14" s="130">
        <f>+FACTURACIÓN!N14</f>
        <v>902.31</v>
      </c>
      <c r="K14" s="130">
        <f>+FACTURACIÓN!O14</f>
        <v>0</v>
      </c>
      <c r="L14" s="130">
        <f t="shared" si="1"/>
        <v>947.45999999999992</v>
      </c>
      <c r="M14" s="50">
        <f t="shared" si="2"/>
        <v>2065.34</v>
      </c>
      <c r="N14" s="1"/>
      <c r="O14" s="23" t="s">
        <v>23</v>
      </c>
      <c r="P14" s="24" t="s">
        <v>24</v>
      </c>
      <c r="Q14" s="1"/>
      <c r="R14" s="1"/>
    </row>
    <row r="15" spans="1:18" ht="11.25" x14ac:dyDescent="0.2">
      <c r="A15" s="63" t="s">
        <v>165</v>
      </c>
      <c r="B15" s="62" t="s">
        <v>26</v>
      </c>
      <c r="C15" s="130">
        <f>+FACTURACIÓN!H15-'C&amp;A'!H15</f>
        <v>5012.8</v>
      </c>
      <c r="D15" s="130">
        <f t="shared" si="0"/>
        <v>5012.8</v>
      </c>
      <c r="E15" s="130">
        <f>+FACTURACIÓN!I15</f>
        <v>0</v>
      </c>
      <c r="F15" s="130">
        <f>+FACTURACIÓN!J15</f>
        <v>0</v>
      </c>
      <c r="G15" s="130">
        <f>+FACTURACIÓN!K15</f>
        <v>0</v>
      </c>
      <c r="H15" s="130">
        <f>+FACTURACIÓN!L15</f>
        <v>0</v>
      </c>
      <c r="I15" s="130">
        <f>+FACTURACIÓN!M15</f>
        <v>45.15</v>
      </c>
      <c r="J15" s="130">
        <f>+FACTURACIÓN!N15</f>
        <v>0</v>
      </c>
      <c r="K15" s="130">
        <f>+FACTURACIÓN!O15</f>
        <v>636.52300000000014</v>
      </c>
      <c r="L15" s="130">
        <f t="shared" si="1"/>
        <v>681.67300000000012</v>
      </c>
      <c r="M15" s="50">
        <f t="shared" si="2"/>
        <v>4331.1270000000004</v>
      </c>
      <c r="N15" s="1"/>
      <c r="O15" s="23" t="s">
        <v>25</v>
      </c>
      <c r="P15" s="24" t="s">
        <v>26</v>
      </c>
      <c r="Q15" s="1"/>
      <c r="R15" s="1"/>
    </row>
    <row r="16" spans="1:18" ht="11.25" x14ac:dyDescent="0.2">
      <c r="A16" s="2" t="s">
        <v>27</v>
      </c>
      <c r="B16" s="1" t="s">
        <v>28</v>
      </c>
      <c r="C16" s="130">
        <f>+FACTURACIÓN!H16-'C&amp;A'!H16</f>
        <v>7344.3499999999995</v>
      </c>
      <c r="D16" s="130">
        <f t="shared" si="0"/>
        <v>7344.3499999999995</v>
      </c>
      <c r="E16" s="130">
        <f>+FACTURACIÓN!I16</f>
        <v>0</v>
      </c>
      <c r="F16" s="130">
        <f>+FACTURACIÓN!J16</f>
        <v>0</v>
      </c>
      <c r="G16" s="130">
        <f>+FACTURACIÓN!K16</f>
        <v>0</v>
      </c>
      <c r="H16" s="130">
        <f>+FACTURACIÓN!L16</f>
        <v>0</v>
      </c>
      <c r="I16" s="130">
        <f>+FACTURACIÓN!M16</f>
        <v>45.15</v>
      </c>
      <c r="J16" s="130">
        <f>+FACTURACIÓN!N16</f>
        <v>0</v>
      </c>
      <c r="K16" s="130">
        <f>+FACTURACIÓN!O16</f>
        <v>869.67799999999988</v>
      </c>
      <c r="L16" s="130">
        <f t="shared" si="1"/>
        <v>914.82799999999986</v>
      </c>
      <c r="M16" s="50">
        <f t="shared" si="2"/>
        <v>6429.5219999999999</v>
      </c>
      <c r="N16" s="1"/>
      <c r="O16" s="23" t="s">
        <v>27</v>
      </c>
      <c r="P16" s="24" t="s">
        <v>28</v>
      </c>
      <c r="Q16" s="1"/>
      <c r="R16" s="1"/>
    </row>
    <row r="17" spans="1:18" ht="11.25" x14ac:dyDescent="0.2">
      <c r="A17" s="2" t="s">
        <v>29</v>
      </c>
      <c r="B17" s="1" t="s">
        <v>30</v>
      </c>
      <c r="C17" s="130">
        <f>+FACTURACIÓN!H17-'C&amp;A'!H17</f>
        <v>5262.92</v>
      </c>
      <c r="D17" s="130">
        <f t="shared" si="0"/>
        <v>5262.92</v>
      </c>
      <c r="E17" s="130">
        <f>+FACTURACIÓN!I17</f>
        <v>0</v>
      </c>
      <c r="F17" s="130">
        <f>+FACTURACIÓN!J17</f>
        <v>0</v>
      </c>
      <c r="G17" s="130">
        <f>+FACTURACIÓN!K17</f>
        <v>0</v>
      </c>
      <c r="H17" s="130">
        <f>+FACTURACIÓN!L17</f>
        <v>0</v>
      </c>
      <c r="I17" s="130">
        <f>+FACTURACIÓN!M17</f>
        <v>45.15</v>
      </c>
      <c r="J17" s="130">
        <f>+FACTURACIÓN!N17</f>
        <v>0</v>
      </c>
      <c r="K17" s="130">
        <f>+FACTURACIÓN!O17</f>
        <v>645.48500000000013</v>
      </c>
      <c r="L17" s="130">
        <f t="shared" si="1"/>
        <v>690.6350000000001</v>
      </c>
      <c r="M17" s="50">
        <f t="shared" si="2"/>
        <v>4572.2849999999999</v>
      </c>
      <c r="N17" s="1"/>
      <c r="O17" s="23" t="s">
        <v>29</v>
      </c>
      <c r="P17" s="24" t="s">
        <v>30</v>
      </c>
      <c r="Q17" s="1"/>
      <c r="R17" s="1"/>
    </row>
    <row r="18" spans="1:18" ht="11.25" x14ac:dyDescent="0.2">
      <c r="A18" s="2" t="s">
        <v>33</v>
      </c>
      <c r="B18" s="1" t="s">
        <v>34</v>
      </c>
      <c r="C18" s="130">
        <f>+FACTURACIÓN!H18-'C&amp;A'!H18</f>
        <v>1523.3763632955843</v>
      </c>
      <c r="D18" s="130">
        <f t="shared" si="0"/>
        <v>1523.3763632955843</v>
      </c>
      <c r="E18" s="130">
        <f>+FACTURACIÓN!I18</f>
        <v>0</v>
      </c>
      <c r="F18" s="130">
        <f>+FACTURACIÓN!J18</f>
        <v>0</v>
      </c>
      <c r="G18" s="130">
        <f>+FACTURACIÓN!K18</f>
        <v>0</v>
      </c>
      <c r="H18" s="130">
        <f>+FACTURACIÓN!L18</f>
        <v>0</v>
      </c>
      <c r="I18" s="130">
        <f>+FACTURACIÓN!M18</f>
        <v>45.15</v>
      </c>
      <c r="J18" s="130">
        <f>+FACTURACIÓN!N18</f>
        <v>0</v>
      </c>
      <c r="K18" s="130">
        <f>+FACTURACIÓN!O18</f>
        <v>0</v>
      </c>
      <c r="L18" s="130">
        <f t="shared" si="1"/>
        <v>45.15</v>
      </c>
      <c r="M18" s="50">
        <f t="shared" si="2"/>
        <v>1478.2263632955842</v>
      </c>
      <c r="N18" s="1"/>
      <c r="O18" s="23" t="s">
        <v>33</v>
      </c>
      <c r="P18" s="24" t="s">
        <v>34</v>
      </c>
      <c r="Q18" s="1"/>
      <c r="R18" s="1"/>
    </row>
    <row r="19" spans="1:18" ht="11.25" x14ac:dyDescent="0.2">
      <c r="A19" s="2" t="s">
        <v>35</v>
      </c>
      <c r="B19" s="1" t="s">
        <v>36</v>
      </c>
      <c r="C19" s="130">
        <f>+FACTURACIÓN!H19-'C&amp;A'!H19</f>
        <v>1523.1763632955845</v>
      </c>
      <c r="D19" s="130">
        <f t="shared" si="0"/>
        <v>1523.1763632955845</v>
      </c>
      <c r="E19" s="130">
        <f>+FACTURACIÓN!I19</f>
        <v>0</v>
      </c>
      <c r="F19" s="130">
        <f>+FACTURACIÓN!J19</f>
        <v>0</v>
      </c>
      <c r="G19" s="130">
        <f>+FACTURACIÓN!K19</f>
        <v>0</v>
      </c>
      <c r="H19" s="130">
        <f>+FACTURACIÓN!L19</f>
        <v>0</v>
      </c>
      <c r="I19" s="130">
        <f>+FACTURACIÓN!M19</f>
        <v>45.15</v>
      </c>
      <c r="J19" s="130">
        <f>+FACTURACIÓN!N19</f>
        <v>0</v>
      </c>
      <c r="K19" s="130">
        <f>+FACTURACIÓN!O19</f>
        <v>0</v>
      </c>
      <c r="L19" s="130">
        <f t="shared" si="1"/>
        <v>45.15</v>
      </c>
      <c r="M19" s="50">
        <f t="shared" si="2"/>
        <v>1478.0263632955844</v>
      </c>
      <c r="N19" s="1"/>
      <c r="O19" s="23" t="s">
        <v>35</v>
      </c>
      <c r="P19" s="24" t="s">
        <v>36</v>
      </c>
      <c r="Q19" s="1"/>
      <c r="R19" s="1"/>
    </row>
    <row r="20" spans="1:18" ht="11.25" x14ac:dyDescent="0.2">
      <c r="A20" s="2" t="s">
        <v>37</v>
      </c>
      <c r="B20" s="1" t="s">
        <v>38</v>
      </c>
      <c r="C20" s="130">
        <f>+FACTURACIÓN!H20-'C&amp;A'!H20</f>
        <v>2387.8405678096515</v>
      </c>
      <c r="D20" s="130">
        <f t="shared" si="0"/>
        <v>2387.8405678096515</v>
      </c>
      <c r="E20" s="130">
        <f>+FACTURACIÓN!I20</f>
        <v>0</v>
      </c>
      <c r="F20" s="130">
        <f>+FACTURACIÓN!J20</f>
        <v>0</v>
      </c>
      <c r="G20" s="130">
        <f>+FACTURACIÓN!K20</f>
        <v>0</v>
      </c>
      <c r="H20" s="130">
        <f>+FACTURACIÓN!L20</f>
        <v>0</v>
      </c>
      <c r="I20" s="130">
        <f>+FACTURACIÓN!M20</f>
        <v>45.15</v>
      </c>
      <c r="J20" s="130">
        <f>+FACTURACIÓN!N20</f>
        <v>1551.8</v>
      </c>
      <c r="K20" s="130">
        <f>+FACTURACIÓN!O20</f>
        <v>0</v>
      </c>
      <c r="L20" s="130">
        <f t="shared" si="1"/>
        <v>1596.95</v>
      </c>
      <c r="M20" s="50">
        <f t="shared" si="2"/>
        <v>790.89056780965143</v>
      </c>
      <c r="N20" s="1"/>
      <c r="O20" s="23" t="s">
        <v>37</v>
      </c>
      <c r="P20" s="24" t="s">
        <v>38</v>
      </c>
      <c r="Q20" s="1"/>
      <c r="R20" s="1"/>
    </row>
    <row r="21" spans="1:18" ht="11.25" x14ac:dyDescent="0.2">
      <c r="A21" s="2" t="s">
        <v>39</v>
      </c>
      <c r="B21" s="1" t="s">
        <v>40</v>
      </c>
      <c r="C21" s="130">
        <f>+FACTURACIÓN!H21-'C&amp;A'!H21</f>
        <v>3762.8</v>
      </c>
      <c r="D21" s="130">
        <f t="shared" si="0"/>
        <v>3762.8</v>
      </c>
      <c r="E21" s="130">
        <f>+FACTURACIÓN!I21</f>
        <v>183.33</v>
      </c>
      <c r="F21" s="130">
        <f>+FACTURACIÓN!J21</f>
        <v>0</v>
      </c>
      <c r="G21" s="130">
        <f>+FACTURACIÓN!K21</f>
        <v>0</v>
      </c>
      <c r="H21" s="130">
        <f>+FACTURACIÓN!L21</f>
        <v>0</v>
      </c>
      <c r="I21" s="130">
        <f>+FACTURACIÓN!M21</f>
        <v>45.15</v>
      </c>
      <c r="J21" s="130">
        <f>+FACTURACIÓN!N21</f>
        <v>0</v>
      </c>
      <c r="K21" s="130">
        <f>+FACTURACIÓN!O21</f>
        <v>510.02200000000005</v>
      </c>
      <c r="L21" s="130">
        <f t="shared" si="1"/>
        <v>738.50200000000007</v>
      </c>
      <c r="M21" s="50">
        <f t="shared" si="2"/>
        <v>3024.2980000000002</v>
      </c>
      <c r="N21" s="1"/>
      <c r="O21" s="23" t="s">
        <v>39</v>
      </c>
      <c r="P21" s="24" t="s">
        <v>40</v>
      </c>
      <c r="Q21" s="1"/>
      <c r="R21" s="1"/>
    </row>
    <row r="22" spans="1:18" ht="11.25" x14ac:dyDescent="0.2">
      <c r="A22" s="2" t="s">
        <v>41</v>
      </c>
      <c r="B22" s="1" t="s">
        <v>42</v>
      </c>
      <c r="C22" s="130">
        <f>+FACTURACIÓN!H22-'C&amp;A'!H22</f>
        <v>4262.8</v>
      </c>
      <c r="D22" s="130">
        <f t="shared" si="0"/>
        <v>4262.8</v>
      </c>
      <c r="E22" s="130">
        <f>+FACTURACIÓN!I22</f>
        <v>0</v>
      </c>
      <c r="F22" s="130">
        <f>+FACTURACIÓN!J22</f>
        <v>0</v>
      </c>
      <c r="G22" s="130">
        <f>+FACTURACIÓN!K22</f>
        <v>0</v>
      </c>
      <c r="H22" s="130">
        <f>+FACTURACIÓN!L22</f>
        <v>0</v>
      </c>
      <c r="I22" s="130">
        <f>+FACTURACIÓN!M22</f>
        <v>45.15</v>
      </c>
      <c r="J22" s="130">
        <f>+FACTURACIÓN!N22</f>
        <v>0</v>
      </c>
      <c r="K22" s="130">
        <f>+FACTURACIÓN!O22</f>
        <v>561.52300000000002</v>
      </c>
      <c r="L22" s="130">
        <f t="shared" si="1"/>
        <v>606.673</v>
      </c>
      <c r="M22" s="50">
        <f t="shared" si="2"/>
        <v>3656.1270000000004</v>
      </c>
      <c r="N22" s="1"/>
      <c r="O22" s="23" t="s">
        <v>41</v>
      </c>
      <c r="P22" s="24" t="s">
        <v>42</v>
      </c>
      <c r="Q22" s="1"/>
      <c r="R22" s="1"/>
    </row>
    <row r="23" spans="1:18" ht="15.75" x14ac:dyDescent="0.25">
      <c r="A23" s="129"/>
      <c r="B23" s="111" t="s">
        <v>293</v>
      </c>
      <c r="C23" s="130">
        <f>+FACTURACIÓN!H23-'C&amp;A'!H23</f>
        <v>1908.173897131358</v>
      </c>
      <c r="D23" s="130">
        <f t="shared" si="0"/>
        <v>1908.173897131358</v>
      </c>
      <c r="E23" s="130">
        <f>+FACTURACIÓN!I23</f>
        <v>0</v>
      </c>
      <c r="F23" s="130">
        <f>+FACTURACIÓN!J23</f>
        <v>0</v>
      </c>
      <c r="G23" s="130">
        <f>+FACTURACIÓN!K23</f>
        <v>0</v>
      </c>
      <c r="H23" s="130">
        <f>+FACTURACIÓN!L23</f>
        <v>0</v>
      </c>
      <c r="I23" s="130">
        <f>+FACTURACIÓN!M23</f>
        <v>45.15</v>
      </c>
      <c r="J23" s="130">
        <f>+FACTURACIÓN!N23</f>
        <v>0</v>
      </c>
      <c r="K23" s="130">
        <f>+FACTURACIÓN!O23</f>
        <v>0</v>
      </c>
      <c r="L23" s="130">
        <f t="shared" si="1"/>
        <v>45.15</v>
      </c>
      <c r="M23" s="50">
        <f t="shared" si="2"/>
        <v>1863.0238971313579</v>
      </c>
      <c r="N23" s="1"/>
      <c r="O23" s="23"/>
      <c r="P23" s="111" t="s">
        <v>293</v>
      </c>
      <c r="Q23" s="1"/>
      <c r="R23" s="1"/>
    </row>
    <row r="24" spans="1:18" ht="11.25" x14ac:dyDescent="0.2">
      <c r="A24" s="2" t="s">
        <v>43</v>
      </c>
      <c r="B24" s="1" t="s">
        <v>44</v>
      </c>
      <c r="C24" s="130">
        <f>+FACTURACIÓN!H24-'C&amp;A'!H24</f>
        <v>103827.48</v>
      </c>
      <c r="D24" s="130">
        <f t="shared" si="0"/>
        <v>103827.48</v>
      </c>
      <c r="E24" s="130">
        <f>+FACTURACIÓN!I24</f>
        <v>0</v>
      </c>
      <c r="F24" s="130">
        <f>+FACTURACIÓN!J24</f>
        <v>0</v>
      </c>
      <c r="G24" s="130">
        <f>+FACTURACIÓN!K24</f>
        <v>0</v>
      </c>
      <c r="H24" s="130">
        <f>+FACTURACIÓN!L24</f>
        <v>0</v>
      </c>
      <c r="I24" s="130">
        <f>+FACTURACIÓN!M24</f>
        <v>45.15</v>
      </c>
      <c r="J24" s="130">
        <f>+FACTURACIÓN!N24</f>
        <v>0</v>
      </c>
      <c r="K24" s="130">
        <f>+FACTURACIÓN!O24</f>
        <v>10501.953000000001</v>
      </c>
      <c r="L24" s="130">
        <f t="shared" si="1"/>
        <v>10547.103000000001</v>
      </c>
      <c r="M24" s="50">
        <f t="shared" si="2"/>
        <v>93280.376999999993</v>
      </c>
      <c r="N24" s="1"/>
      <c r="O24" s="23"/>
      <c r="P24" s="24" t="s">
        <v>44</v>
      </c>
      <c r="Q24" s="1"/>
      <c r="R24" s="1"/>
    </row>
    <row r="25" spans="1:18" ht="11.25" x14ac:dyDescent="0.2">
      <c r="A25" s="2" t="s">
        <v>45</v>
      </c>
      <c r="B25" s="1" t="s">
        <v>46</v>
      </c>
      <c r="C25" s="130">
        <f>+FACTURACIÓN!H25-'C&amp;A'!H25</f>
        <v>2471.0776577358642</v>
      </c>
      <c r="D25" s="130">
        <f t="shared" si="0"/>
        <v>2471.0776577358642</v>
      </c>
      <c r="E25" s="130">
        <f>+FACTURACIÓN!I25</f>
        <v>0</v>
      </c>
      <c r="F25" s="130">
        <f>+FACTURACIÓN!J25</f>
        <v>0</v>
      </c>
      <c r="G25" s="130">
        <f>+FACTURACIÓN!K25</f>
        <v>0</v>
      </c>
      <c r="H25" s="130">
        <f>+FACTURACIÓN!L25</f>
        <v>0</v>
      </c>
      <c r="I25" s="130">
        <f>+FACTURACIÓN!M25</f>
        <v>45.15</v>
      </c>
      <c r="J25" s="130">
        <f>+FACTURACIÓN!N25</f>
        <v>0</v>
      </c>
      <c r="K25" s="130">
        <f>+FACTURACIÓN!O25</f>
        <v>0</v>
      </c>
      <c r="L25" s="130">
        <f t="shared" si="1"/>
        <v>45.15</v>
      </c>
      <c r="M25" s="50">
        <f t="shared" si="2"/>
        <v>2425.9276577358642</v>
      </c>
      <c r="N25" s="1"/>
      <c r="O25" s="23" t="s">
        <v>43</v>
      </c>
      <c r="P25" s="24" t="s">
        <v>46</v>
      </c>
      <c r="Q25" s="1"/>
      <c r="R25" s="1"/>
    </row>
    <row r="26" spans="1:18" ht="11.25" x14ac:dyDescent="0.2">
      <c r="A26" s="2" t="s">
        <v>160</v>
      </c>
      <c r="B26" s="62" t="s">
        <v>155</v>
      </c>
      <c r="C26" s="130">
        <f>+FACTURACIÓN!H26-'C&amp;A'!H26</f>
        <v>3762.8</v>
      </c>
      <c r="D26" s="130">
        <f t="shared" si="0"/>
        <v>3762.8</v>
      </c>
      <c r="E26" s="130">
        <f>+FACTURACIÓN!I26</f>
        <v>0</v>
      </c>
      <c r="F26" s="130">
        <f>+FACTURACIÓN!J26</f>
        <v>0</v>
      </c>
      <c r="G26" s="130">
        <f>+FACTURACIÓN!K26</f>
        <v>0</v>
      </c>
      <c r="H26" s="130">
        <f>+FACTURACIÓN!L26</f>
        <v>0</v>
      </c>
      <c r="I26" s="130">
        <f>+FACTURACIÓN!M26</f>
        <v>45.15</v>
      </c>
      <c r="J26" s="130">
        <f>+FACTURACIÓN!N26</f>
        <v>0</v>
      </c>
      <c r="K26" s="130">
        <f>+FACTURACIÓN!O26</f>
        <v>511.52300000000008</v>
      </c>
      <c r="L26" s="130">
        <f t="shared" si="1"/>
        <v>556.67300000000012</v>
      </c>
      <c r="M26" s="50">
        <f t="shared" si="2"/>
        <v>3206.127</v>
      </c>
      <c r="N26" s="1"/>
      <c r="O26" s="23" t="s">
        <v>45</v>
      </c>
      <c r="P26" s="24" t="s">
        <v>155</v>
      </c>
      <c r="Q26" s="1"/>
      <c r="R26" s="1"/>
    </row>
    <row r="27" spans="1:18" ht="11.25" x14ac:dyDescent="0.2">
      <c r="A27" s="2" t="s">
        <v>47</v>
      </c>
      <c r="B27" s="1" t="s">
        <v>48</v>
      </c>
      <c r="C27" s="130">
        <f>+FACTURACIÓN!H27-'C&amp;A'!H27</f>
        <v>292.5</v>
      </c>
      <c r="D27" s="130">
        <f t="shared" si="0"/>
        <v>292.5</v>
      </c>
      <c r="E27" s="130">
        <f>+FACTURACIÓN!I27</f>
        <v>0</v>
      </c>
      <c r="F27" s="130">
        <f>+FACTURACIÓN!J27</f>
        <v>0</v>
      </c>
      <c r="G27" s="130">
        <f>+FACTURACIÓN!K27</f>
        <v>0</v>
      </c>
      <c r="H27" s="130">
        <f>+FACTURACIÓN!L27</f>
        <v>0</v>
      </c>
      <c r="I27" s="130">
        <f>+FACTURACIÓN!M27</f>
        <v>45.15</v>
      </c>
      <c r="J27" s="130">
        <f>+FACTURACIÓN!N27</f>
        <v>0</v>
      </c>
      <c r="K27" s="130">
        <f>+FACTURACIÓN!O27</f>
        <v>0</v>
      </c>
      <c r="L27" s="130">
        <f t="shared" si="1"/>
        <v>45.15</v>
      </c>
      <c r="M27" s="50">
        <f t="shared" si="2"/>
        <v>247.35</v>
      </c>
      <c r="N27" s="1"/>
      <c r="O27" s="56" t="s">
        <v>160</v>
      </c>
      <c r="P27" s="105" t="s">
        <v>48</v>
      </c>
      <c r="Q27" s="1"/>
      <c r="R27" s="1"/>
    </row>
    <row r="28" spans="1:18" ht="11.25" x14ac:dyDescent="0.2">
      <c r="A28" s="2" t="s">
        <v>49</v>
      </c>
      <c r="B28" s="1" t="s">
        <v>50</v>
      </c>
      <c r="C28" s="130">
        <f>+FACTURACIÓN!H28-'C&amp;A'!H28</f>
        <v>21262.799999999999</v>
      </c>
      <c r="D28" s="130">
        <f t="shared" si="0"/>
        <v>21262.799999999999</v>
      </c>
      <c r="E28" s="130">
        <f>+FACTURACIÓN!I28</f>
        <v>0</v>
      </c>
      <c r="F28" s="130">
        <f>+FACTURACIÓN!J28</f>
        <v>479.28</v>
      </c>
      <c r="G28" s="130">
        <f>+FACTURACIÓN!K28</f>
        <v>0</v>
      </c>
      <c r="H28" s="130">
        <f>+FACTURACIÓN!L28</f>
        <v>0</v>
      </c>
      <c r="I28" s="130">
        <f>+FACTURACIÓN!M28</f>
        <v>45.15</v>
      </c>
      <c r="J28" s="130">
        <f>+FACTURACIÓN!N28</f>
        <v>323.91000000000003</v>
      </c>
      <c r="K28" s="130">
        <f>+FACTURACIÓN!O28</f>
        <v>2245.4850000000001</v>
      </c>
      <c r="L28" s="130">
        <f t="shared" si="1"/>
        <v>3093.8249999999998</v>
      </c>
      <c r="M28" s="50">
        <f t="shared" si="2"/>
        <v>18168.974999999999</v>
      </c>
      <c r="N28" s="1"/>
      <c r="O28" s="160" t="s">
        <v>47</v>
      </c>
      <c r="P28" s="24" t="s">
        <v>50</v>
      </c>
      <c r="Q28" s="1"/>
      <c r="R28" s="1"/>
    </row>
    <row r="29" spans="1:18" ht="11.25" x14ac:dyDescent="0.2">
      <c r="A29" s="2" t="s">
        <v>51</v>
      </c>
      <c r="B29" s="62" t="s">
        <v>52</v>
      </c>
      <c r="C29" s="130">
        <f>+FACTURACIÓN!H29-'C&amp;A'!H29</f>
        <v>2387.9205678096519</v>
      </c>
      <c r="D29" s="130">
        <f t="shared" si="0"/>
        <v>2387.9205678096519</v>
      </c>
      <c r="E29" s="130">
        <f>+FACTURACIÓN!I29</f>
        <v>0</v>
      </c>
      <c r="F29" s="130">
        <f>+FACTURACIÓN!J29</f>
        <v>0</v>
      </c>
      <c r="G29" s="130">
        <f>+FACTURACIÓN!K29</f>
        <v>0</v>
      </c>
      <c r="H29" s="130">
        <f>+FACTURACIÓN!L29</f>
        <v>0</v>
      </c>
      <c r="I29" s="130">
        <f>+FACTURACIÓN!M29</f>
        <v>45.15</v>
      </c>
      <c r="J29" s="130">
        <f>+FACTURACIÓN!N29</f>
        <v>0</v>
      </c>
      <c r="K29" s="130">
        <f>+FACTURACIÓN!O29</f>
        <v>0</v>
      </c>
      <c r="L29" s="130">
        <f t="shared" si="1"/>
        <v>45.15</v>
      </c>
      <c r="M29" s="50">
        <f t="shared" si="2"/>
        <v>2342.7705678096518</v>
      </c>
      <c r="N29" s="1"/>
      <c r="O29" s="23" t="s">
        <v>49</v>
      </c>
      <c r="P29" s="24" t="s">
        <v>52</v>
      </c>
      <c r="Q29" s="1"/>
      <c r="R29" s="1"/>
    </row>
    <row r="30" spans="1:18" ht="11.25" x14ac:dyDescent="0.2">
      <c r="A30" s="2" t="s">
        <v>53</v>
      </c>
      <c r="B30" s="1" t="s">
        <v>54</v>
      </c>
      <c r="C30" s="130">
        <f>+FACTURACIÓN!H30-'C&amp;A'!H30</f>
        <v>2762.8</v>
      </c>
      <c r="D30" s="130">
        <f t="shared" si="0"/>
        <v>2762.8</v>
      </c>
      <c r="E30" s="130">
        <f>+FACTURACIÓN!I30</f>
        <v>0</v>
      </c>
      <c r="F30" s="130">
        <f>+FACTURACIÓN!J30</f>
        <v>0</v>
      </c>
      <c r="G30" s="130">
        <f>+FACTURACIÓN!K30</f>
        <v>0</v>
      </c>
      <c r="H30" s="130">
        <f>+FACTURACIÓN!L30</f>
        <v>0</v>
      </c>
      <c r="I30" s="130">
        <f>+FACTURACIÓN!M30</f>
        <v>45.15</v>
      </c>
      <c r="J30" s="130">
        <f>+FACTURACIÓN!N30</f>
        <v>0</v>
      </c>
      <c r="K30" s="130">
        <f>+FACTURACIÓN!O30</f>
        <v>0</v>
      </c>
      <c r="L30" s="130">
        <f t="shared" si="1"/>
        <v>45.15</v>
      </c>
      <c r="M30" s="50">
        <f t="shared" si="2"/>
        <v>2717.65</v>
      </c>
      <c r="N30" s="1"/>
      <c r="O30" s="23" t="s">
        <v>51</v>
      </c>
      <c r="P30" s="24" t="s">
        <v>54</v>
      </c>
      <c r="Q30" s="1"/>
      <c r="R30" s="1"/>
    </row>
    <row r="31" spans="1:18" ht="11.25" x14ac:dyDescent="0.2">
      <c r="A31" s="2" t="s">
        <v>55</v>
      </c>
      <c r="B31" s="1" t="s">
        <v>56</v>
      </c>
      <c r="C31" s="130">
        <f>+FACTURACIÓN!H31-'C&amp;A'!H31</f>
        <v>3936.8</v>
      </c>
      <c r="D31" s="130">
        <f t="shared" si="0"/>
        <v>3936.8</v>
      </c>
      <c r="E31" s="130">
        <f>+FACTURACIÓN!I31</f>
        <v>0</v>
      </c>
      <c r="F31" s="130">
        <f>+FACTURACIÓN!J31</f>
        <v>0</v>
      </c>
      <c r="G31" s="130">
        <f>+FACTURACIÓN!K31</f>
        <v>0</v>
      </c>
      <c r="H31" s="130">
        <f>+FACTURACIÓN!L31</f>
        <v>0</v>
      </c>
      <c r="I31" s="130">
        <f>+FACTURACIÓN!M31</f>
        <v>45.15</v>
      </c>
      <c r="J31" s="130">
        <f>+FACTURACIÓN!N31</f>
        <v>0</v>
      </c>
      <c r="K31" s="130">
        <f>+FACTURACIÓN!O31</f>
        <v>525.39700000000005</v>
      </c>
      <c r="L31" s="130">
        <f t="shared" si="1"/>
        <v>570.54700000000003</v>
      </c>
      <c r="M31" s="50">
        <f t="shared" si="2"/>
        <v>3366.2530000000002</v>
      </c>
      <c r="N31" s="1"/>
      <c r="O31" s="23" t="s">
        <v>53</v>
      </c>
      <c r="P31" s="24" t="s">
        <v>56</v>
      </c>
      <c r="Q31" s="1"/>
      <c r="R31" s="1"/>
    </row>
    <row r="32" spans="1:18" ht="11.25" x14ac:dyDescent="0.2">
      <c r="A32" s="2" t="s">
        <v>161</v>
      </c>
      <c r="B32" s="1" t="s">
        <v>162</v>
      </c>
      <c r="C32" s="130">
        <f>+FACTURACIÓN!H32-'C&amp;A'!H32</f>
        <v>2762.8</v>
      </c>
      <c r="D32" s="130">
        <f t="shared" si="0"/>
        <v>2762.8</v>
      </c>
      <c r="E32" s="130">
        <f>+FACTURACIÓN!I32</f>
        <v>0</v>
      </c>
      <c r="F32" s="130">
        <f>+FACTURACIÓN!J32</f>
        <v>0</v>
      </c>
      <c r="G32" s="130">
        <f>+FACTURACIÓN!K32</f>
        <v>0</v>
      </c>
      <c r="H32" s="130">
        <f>+FACTURACIÓN!L32</f>
        <v>0</v>
      </c>
      <c r="I32" s="130">
        <f>+FACTURACIÓN!M32</f>
        <v>45.15</v>
      </c>
      <c r="J32" s="130">
        <f>+FACTURACIÓN!N32</f>
        <v>0</v>
      </c>
      <c r="K32" s="130">
        <f>+FACTURACIÓN!O32</f>
        <v>0</v>
      </c>
      <c r="L32" s="130">
        <f t="shared" si="1"/>
        <v>45.15</v>
      </c>
      <c r="M32" s="50">
        <f t="shared" si="2"/>
        <v>2717.65</v>
      </c>
      <c r="N32" s="1"/>
      <c r="O32" s="23" t="s">
        <v>55</v>
      </c>
      <c r="P32" s="24" t="s">
        <v>159</v>
      </c>
      <c r="Q32" s="1"/>
      <c r="R32" s="1"/>
    </row>
    <row r="33" spans="1:18" ht="11.25" x14ac:dyDescent="0.2">
      <c r="A33" s="2" t="s">
        <v>57</v>
      </c>
      <c r="B33" s="1" t="s">
        <v>58</v>
      </c>
      <c r="C33" s="130">
        <f>+FACTURACIÓN!H33-'C&amp;A'!H33</f>
        <v>3012.8</v>
      </c>
      <c r="D33" s="130">
        <f t="shared" si="0"/>
        <v>3012.8</v>
      </c>
      <c r="E33" s="130">
        <f>+FACTURACIÓN!I33</f>
        <v>0</v>
      </c>
      <c r="F33" s="130">
        <f>+FACTURACIÓN!J33</f>
        <v>0</v>
      </c>
      <c r="G33" s="130">
        <f>+FACTURACIÓN!K33</f>
        <v>0</v>
      </c>
      <c r="H33" s="130">
        <f>+FACTURACIÓN!L33</f>
        <v>0</v>
      </c>
      <c r="I33" s="130">
        <f>+FACTURACIÓN!M33</f>
        <v>45.15</v>
      </c>
      <c r="J33" s="130">
        <f>+FACTURACIÓN!N33</f>
        <v>0</v>
      </c>
      <c r="K33" s="130">
        <f>+FACTURACIÓN!O33</f>
        <v>0</v>
      </c>
      <c r="L33" s="130">
        <f t="shared" si="1"/>
        <v>45.15</v>
      </c>
      <c r="M33" s="50">
        <f t="shared" si="2"/>
        <v>2967.65</v>
      </c>
      <c r="N33" s="1"/>
      <c r="O33" s="56" t="s">
        <v>161</v>
      </c>
      <c r="P33" s="24" t="s">
        <v>58</v>
      </c>
      <c r="Q33" s="1"/>
      <c r="R33" s="1"/>
    </row>
    <row r="34" spans="1:18" ht="11.25" x14ac:dyDescent="0.2">
      <c r="A34" s="2" t="s">
        <v>59</v>
      </c>
      <c r="B34" s="1" t="s">
        <v>60</v>
      </c>
      <c r="C34" s="130">
        <f>+FACTURACIÓN!H34-'C&amp;A'!H34</f>
        <v>2392.9205678096519</v>
      </c>
      <c r="D34" s="130">
        <f t="shared" si="0"/>
        <v>2392.9205678096519</v>
      </c>
      <c r="E34" s="130">
        <f>+FACTURACIÓN!I34</f>
        <v>0</v>
      </c>
      <c r="F34" s="130">
        <f>+FACTURACIÓN!J34</f>
        <v>0</v>
      </c>
      <c r="G34" s="130">
        <f>+FACTURACIÓN!K34</f>
        <v>0</v>
      </c>
      <c r="H34" s="130">
        <f>+FACTURACIÓN!L34</f>
        <v>0</v>
      </c>
      <c r="I34" s="130">
        <f>+FACTURACIÓN!M34</f>
        <v>45.15</v>
      </c>
      <c r="J34" s="130">
        <f>+FACTURACIÓN!N34</f>
        <v>0</v>
      </c>
      <c r="K34" s="130">
        <f>+FACTURACIÓN!O34</f>
        <v>0</v>
      </c>
      <c r="L34" s="130">
        <f t="shared" si="1"/>
        <v>45.15</v>
      </c>
      <c r="M34" s="50">
        <f t="shared" si="2"/>
        <v>2347.7705678096518</v>
      </c>
      <c r="N34" s="1"/>
      <c r="O34" s="23" t="s">
        <v>57</v>
      </c>
      <c r="P34" s="24" t="s">
        <v>60</v>
      </c>
      <c r="Q34" s="1"/>
      <c r="R34" s="1"/>
    </row>
    <row r="35" spans="1:18" ht="11.25" x14ac:dyDescent="0.2">
      <c r="A35" s="2" t="s">
        <v>61</v>
      </c>
      <c r="B35" s="1" t="s">
        <v>62</v>
      </c>
      <c r="C35" s="130">
        <f>+FACTURACIÓN!H35-'C&amp;A'!H35</f>
        <v>1373.7763632955848</v>
      </c>
      <c r="D35" s="130">
        <f t="shared" si="0"/>
        <v>1373.7763632955848</v>
      </c>
      <c r="E35" s="130">
        <f>+FACTURACIÓN!I35</f>
        <v>0</v>
      </c>
      <c r="F35" s="130">
        <f>+FACTURACIÓN!J35</f>
        <v>0</v>
      </c>
      <c r="G35" s="130">
        <f>+FACTURACIÓN!K35</f>
        <v>0</v>
      </c>
      <c r="H35" s="130">
        <f>+FACTURACIÓN!L35</f>
        <v>0</v>
      </c>
      <c r="I35" s="130">
        <f>+FACTURACIÓN!M35</f>
        <v>45.15</v>
      </c>
      <c r="J35" s="130">
        <f>+FACTURACIÓN!N35</f>
        <v>0</v>
      </c>
      <c r="K35" s="130">
        <f>+FACTURACIÓN!O35</f>
        <v>0</v>
      </c>
      <c r="L35" s="130">
        <f t="shared" si="1"/>
        <v>45.15</v>
      </c>
      <c r="M35" s="50">
        <f t="shared" si="2"/>
        <v>1328.6263632955847</v>
      </c>
      <c r="N35" s="1"/>
      <c r="O35" s="23" t="s">
        <v>59</v>
      </c>
      <c r="P35" s="24" t="s">
        <v>62</v>
      </c>
      <c r="Q35" s="1"/>
      <c r="R35" s="1"/>
    </row>
    <row r="36" spans="1:18" ht="11.25" x14ac:dyDescent="0.2">
      <c r="A36" s="2" t="s">
        <v>63</v>
      </c>
      <c r="B36" s="1" t="s">
        <v>64</v>
      </c>
      <c r="C36" s="130">
        <f>+FACTURACIÓN!H36-'C&amp;A'!H36</f>
        <v>2762.8</v>
      </c>
      <c r="D36" s="130">
        <f t="shared" si="0"/>
        <v>2762.8</v>
      </c>
      <c r="E36" s="130">
        <f>+FACTURACIÓN!I36</f>
        <v>0</v>
      </c>
      <c r="F36" s="130">
        <f>+FACTURACIÓN!J36</f>
        <v>0</v>
      </c>
      <c r="G36" s="130">
        <f>+FACTURACIÓN!K36</f>
        <v>0</v>
      </c>
      <c r="H36" s="130">
        <f>+FACTURACIÓN!L36</f>
        <v>0</v>
      </c>
      <c r="I36" s="130">
        <f>+FACTURACIÓN!M36</f>
        <v>45.15</v>
      </c>
      <c r="J36" s="130">
        <f>+FACTURACIÓN!N36</f>
        <v>313.89999999999998</v>
      </c>
      <c r="K36" s="130">
        <f>+FACTURACIÓN!O36</f>
        <v>0</v>
      </c>
      <c r="L36" s="130">
        <f t="shared" si="1"/>
        <v>359.04999999999995</v>
      </c>
      <c r="M36" s="50">
        <f t="shared" si="2"/>
        <v>2403.75</v>
      </c>
      <c r="N36" s="1"/>
      <c r="O36" s="23" t="s">
        <v>61</v>
      </c>
      <c r="P36" s="24" t="s">
        <v>64</v>
      </c>
      <c r="Q36" s="1"/>
      <c r="R36" s="1"/>
    </row>
    <row r="37" spans="1:18" ht="11.25" x14ac:dyDescent="0.2">
      <c r="A37" s="2" t="s">
        <v>65</v>
      </c>
      <c r="B37" s="1" t="s">
        <v>66</v>
      </c>
      <c r="C37" s="130">
        <f>+FACTURACIÓN!H37-'C&amp;A'!H37</f>
        <v>1839.903897131358</v>
      </c>
      <c r="D37" s="130">
        <f t="shared" si="0"/>
        <v>1839.903897131358</v>
      </c>
      <c r="E37" s="130">
        <f>+FACTURACIÓN!I37</f>
        <v>0</v>
      </c>
      <c r="F37" s="130">
        <f>+FACTURACIÓN!J37</f>
        <v>0</v>
      </c>
      <c r="G37" s="130">
        <f>+FACTURACIÓN!K37</f>
        <v>0</v>
      </c>
      <c r="H37" s="130">
        <f>+FACTURACIÓN!L37</f>
        <v>0</v>
      </c>
      <c r="I37" s="130">
        <f>+FACTURACIÓN!M37</f>
        <v>45.15</v>
      </c>
      <c r="J37" s="130">
        <f>+FACTURACIÓN!N37</f>
        <v>215.92</v>
      </c>
      <c r="K37" s="130">
        <f>+FACTURACIÓN!O37</f>
        <v>0</v>
      </c>
      <c r="L37" s="130">
        <f t="shared" si="1"/>
        <v>261.07</v>
      </c>
      <c r="M37" s="50">
        <f t="shared" si="2"/>
        <v>1578.8338971313581</v>
      </c>
      <c r="N37" s="1"/>
      <c r="O37" s="23" t="s">
        <v>63</v>
      </c>
      <c r="P37" s="24" t="s">
        <v>66</v>
      </c>
      <c r="Q37" s="1"/>
      <c r="R37" s="1"/>
    </row>
    <row r="38" spans="1:18" ht="11.25" x14ac:dyDescent="0.2">
      <c r="A38" s="2" t="s">
        <v>67</v>
      </c>
      <c r="B38" s="1" t="s">
        <v>68</v>
      </c>
      <c r="C38" s="130">
        <f>+FACTURACIÓN!H38-'C&amp;A'!H38</f>
        <v>13802.779999999999</v>
      </c>
      <c r="D38" s="130">
        <f t="shared" si="0"/>
        <v>13802.779999999999</v>
      </c>
      <c r="E38" s="130">
        <f>+FACTURACIÓN!I38</f>
        <v>0</v>
      </c>
      <c r="F38" s="130">
        <f>+FACTURACIÓN!J38</f>
        <v>0</v>
      </c>
      <c r="G38" s="130">
        <f>+FACTURACIÓN!K38</f>
        <v>0</v>
      </c>
      <c r="H38" s="130">
        <f>+FACTURACIÓN!L38</f>
        <v>0</v>
      </c>
      <c r="I38" s="130">
        <f>+FACTURACIÓN!M38</f>
        <v>45.15</v>
      </c>
      <c r="J38" s="130">
        <f>+FACTURACIÓN!N38</f>
        <v>0</v>
      </c>
      <c r="K38" s="130">
        <f>+FACTURACIÓN!O38</f>
        <v>1518.356</v>
      </c>
      <c r="L38" s="130">
        <f t="shared" si="1"/>
        <v>1563.5060000000001</v>
      </c>
      <c r="M38" s="50">
        <f t="shared" si="2"/>
        <v>12239.273999999999</v>
      </c>
      <c r="N38" s="1"/>
      <c r="O38" s="23" t="s">
        <v>65</v>
      </c>
      <c r="P38" s="24" t="s">
        <v>68</v>
      </c>
      <c r="Q38" s="1"/>
      <c r="R38" s="1"/>
    </row>
    <row r="39" spans="1:18" ht="11.25" x14ac:dyDescent="0.2">
      <c r="A39" s="2" t="s">
        <v>69</v>
      </c>
      <c r="B39" s="1" t="s">
        <v>70</v>
      </c>
      <c r="C39" s="130">
        <f>+FACTURACIÓN!H39-'C&amp;A'!H39</f>
        <v>5012.8</v>
      </c>
      <c r="D39" s="130">
        <f t="shared" si="0"/>
        <v>5012.8</v>
      </c>
      <c r="E39" s="130">
        <f>+FACTURACIÓN!I39</f>
        <v>183.33</v>
      </c>
      <c r="F39" s="130">
        <f>+FACTURACIÓN!J39</f>
        <v>0</v>
      </c>
      <c r="G39" s="130">
        <f>+FACTURACIÓN!K39</f>
        <v>0</v>
      </c>
      <c r="H39" s="130">
        <f>+FACTURACIÓN!L39</f>
        <v>0</v>
      </c>
      <c r="I39" s="130">
        <f>+FACTURACIÓN!M39</f>
        <v>45.15</v>
      </c>
      <c r="J39" s="130">
        <f>+FACTURACIÓN!N39</f>
        <v>0</v>
      </c>
      <c r="K39" s="130">
        <f>+FACTURACIÓN!O39</f>
        <v>635.02200000000005</v>
      </c>
      <c r="L39" s="130">
        <f t="shared" si="1"/>
        <v>863.50200000000007</v>
      </c>
      <c r="M39" s="50">
        <f t="shared" si="2"/>
        <v>4149.2979999999998</v>
      </c>
      <c r="N39" s="1"/>
      <c r="O39" s="23" t="s">
        <v>67</v>
      </c>
      <c r="P39" s="24" t="s">
        <v>70</v>
      </c>
      <c r="Q39" s="1"/>
      <c r="R39" s="1"/>
    </row>
    <row r="40" spans="1:18" ht="11.25" x14ac:dyDescent="0.2">
      <c r="A40" s="2" t="s">
        <v>71</v>
      </c>
      <c r="B40" s="1" t="s">
        <v>72</v>
      </c>
      <c r="C40" s="130">
        <f>+FACTURACIÓN!H40-'C&amp;A'!H40</f>
        <v>27376.92</v>
      </c>
      <c r="D40" s="130">
        <f t="shared" si="0"/>
        <v>27376.92</v>
      </c>
      <c r="E40" s="130">
        <f>+FACTURACIÓN!I40</f>
        <v>0</v>
      </c>
      <c r="F40" s="130">
        <f>+FACTURACIÓN!J40</f>
        <v>0</v>
      </c>
      <c r="G40" s="130">
        <f>+FACTURACIÓN!K40</f>
        <v>0</v>
      </c>
      <c r="H40" s="130">
        <f>+FACTURACIÓN!L40</f>
        <v>0</v>
      </c>
      <c r="I40" s="130">
        <f>+FACTURACIÓN!M40</f>
        <v>45.15</v>
      </c>
      <c r="J40" s="130">
        <f>+FACTURACIÓN!N40</f>
        <v>357.22</v>
      </c>
      <c r="K40" s="130">
        <f>+FACTURACIÓN!O40</f>
        <v>2869.4089999999997</v>
      </c>
      <c r="L40" s="130">
        <f t="shared" si="1"/>
        <v>3271.7789999999995</v>
      </c>
      <c r="M40" s="50">
        <f t="shared" si="2"/>
        <v>24105.141</v>
      </c>
      <c r="N40" s="1"/>
      <c r="O40" s="23" t="s">
        <v>69</v>
      </c>
      <c r="P40" s="24" t="s">
        <v>72</v>
      </c>
      <c r="Q40" s="1"/>
      <c r="R40" s="1"/>
    </row>
    <row r="41" spans="1:18" ht="11.25" x14ac:dyDescent="0.2">
      <c r="A41" s="2" t="s">
        <v>73</v>
      </c>
      <c r="B41" s="1" t="s">
        <v>74</v>
      </c>
      <c r="C41" s="130">
        <f>+FACTURACIÓN!H41-'C&amp;A'!H41</f>
        <v>3497.8</v>
      </c>
      <c r="D41" s="130">
        <f t="shared" si="0"/>
        <v>3497.8</v>
      </c>
      <c r="E41" s="130">
        <f>+FACTURACIÓN!I41</f>
        <v>0</v>
      </c>
      <c r="F41" s="130">
        <f>+FACTURACIÓN!J41</f>
        <v>0</v>
      </c>
      <c r="G41" s="130">
        <f>+FACTURACIÓN!K41</f>
        <v>0</v>
      </c>
      <c r="H41" s="130">
        <f>+FACTURACIÓN!L41</f>
        <v>0</v>
      </c>
      <c r="I41" s="130">
        <f>+FACTURACIÓN!M41</f>
        <v>45.15</v>
      </c>
      <c r="J41" s="130">
        <f>+FACTURACIÓN!N41</f>
        <v>0</v>
      </c>
      <c r="K41" s="130">
        <f>+FACTURACIÓN!O41</f>
        <v>487.858</v>
      </c>
      <c r="L41" s="130">
        <f t="shared" si="1"/>
        <v>533.00800000000004</v>
      </c>
      <c r="M41" s="50">
        <f t="shared" si="2"/>
        <v>2964.7920000000004</v>
      </c>
      <c r="N41" s="1"/>
      <c r="O41" s="23" t="s">
        <v>71</v>
      </c>
      <c r="P41" s="24" t="s">
        <v>74</v>
      </c>
      <c r="Q41" s="1"/>
      <c r="R41" s="1"/>
    </row>
    <row r="42" spans="1:18" ht="11.25" x14ac:dyDescent="0.2">
      <c r="A42" s="2" t="s">
        <v>156</v>
      </c>
      <c r="B42" s="1" t="s">
        <v>157</v>
      </c>
      <c r="C42" s="130">
        <f>+FACTURACIÓN!H42-'C&amp;A'!H42</f>
        <v>4312.8</v>
      </c>
      <c r="D42" s="130">
        <f t="shared" si="0"/>
        <v>4312.8</v>
      </c>
      <c r="E42" s="130">
        <f>+FACTURACIÓN!I42</f>
        <v>0</v>
      </c>
      <c r="F42" s="130">
        <f>+FACTURACIÓN!J42</f>
        <v>0</v>
      </c>
      <c r="G42" s="130">
        <f>+FACTURACIÓN!K42</f>
        <v>0</v>
      </c>
      <c r="H42" s="130">
        <f>+FACTURACIÓN!L42</f>
        <v>0</v>
      </c>
      <c r="I42" s="130">
        <f>+FACTURACIÓN!M42</f>
        <v>45.15</v>
      </c>
      <c r="J42" s="130">
        <f>+FACTURACIÓN!N42</f>
        <v>0</v>
      </c>
      <c r="K42" s="130">
        <f>+FACTURACIÓN!O42</f>
        <v>550.48500000000001</v>
      </c>
      <c r="L42" s="130">
        <f t="shared" si="1"/>
        <v>595.63499999999999</v>
      </c>
      <c r="M42" s="50">
        <f t="shared" si="2"/>
        <v>3717.165</v>
      </c>
      <c r="N42" s="1"/>
      <c r="O42" s="23" t="s">
        <v>73</v>
      </c>
      <c r="P42" s="24" t="s">
        <v>157</v>
      </c>
      <c r="Q42" s="1"/>
      <c r="R42" s="1"/>
    </row>
    <row r="43" spans="1:18" ht="11.25" x14ac:dyDescent="0.2">
      <c r="A43" s="2" t="s">
        <v>75</v>
      </c>
      <c r="B43" s="1" t="s">
        <v>76</v>
      </c>
      <c r="C43" s="130">
        <f>+FACTURACIÓN!H43-'C&amp;A'!H43</f>
        <v>3150.6000000000004</v>
      </c>
      <c r="D43" s="130">
        <f t="shared" si="0"/>
        <v>3150.6000000000004</v>
      </c>
      <c r="E43" s="130">
        <f>+FACTURACIÓN!I43</f>
        <v>0</v>
      </c>
      <c r="F43" s="130">
        <f>+FACTURACIÓN!J43</f>
        <v>0</v>
      </c>
      <c r="G43" s="130">
        <f>+FACTURACIÓN!K43</f>
        <v>0</v>
      </c>
      <c r="H43" s="130">
        <f>+FACTURACIÓN!L43</f>
        <v>0</v>
      </c>
      <c r="I43" s="130">
        <f>+FACTURACIÓN!M43</f>
        <v>45.15</v>
      </c>
      <c r="J43" s="130">
        <f>+FACTURACIÓN!N43</f>
        <v>0</v>
      </c>
      <c r="K43" s="130">
        <f>+FACTURACIÓN!O43</f>
        <v>0</v>
      </c>
      <c r="L43" s="130">
        <f t="shared" si="1"/>
        <v>45.15</v>
      </c>
      <c r="M43" s="50">
        <f t="shared" si="2"/>
        <v>3105.4500000000003</v>
      </c>
      <c r="N43" s="1"/>
      <c r="O43" s="23" t="s">
        <v>156</v>
      </c>
      <c r="P43" s="24" t="s">
        <v>76</v>
      </c>
      <c r="Q43" s="1"/>
      <c r="R43" s="1"/>
    </row>
    <row r="44" spans="1:18" ht="11.25" x14ac:dyDescent="0.2">
      <c r="A44" s="2" t="s">
        <v>77</v>
      </c>
      <c r="B44" s="1" t="s">
        <v>78</v>
      </c>
      <c r="C44" s="130">
        <f>+FACTURACIÓN!H44-'C&amp;A'!H44</f>
        <v>128.49166394402118</v>
      </c>
      <c r="D44" s="130">
        <f t="shared" si="0"/>
        <v>128.49166394402118</v>
      </c>
      <c r="E44" s="130">
        <f>+FACTURACIÓN!I44</f>
        <v>0</v>
      </c>
      <c r="F44" s="130">
        <f>+FACTURACIÓN!J44</f>
        <v>0</v>
      </c>
      <c r="G44" s="130">
        <f>+FACTURACIÓN!K44</f>
        <v>0</v>
      </c>
      <c r="H44" s="130">
        <f>+FACTURACIÓN!L44</f>
        <v>0</v>
      </c>
      <c r="I44" s="130">
        <f>+FACTURACIÓN!M44</f>
        <v>45.15</v>
      </c>
      <c r="J44" s="130">
        <f>+FACTURACIÓN!N44</f>
        <v>0</v>
      </c>
      <c r="K44" s="130">
        <f>+FACTURACIÓN!O44</f>
        <v>0</v>
      </c>
      <c r="L44" s="130">
        <f t="shared" si="1"/>
        <v>45.15</v>
      </c>
      <c r="M44" s="50">
        <f t="shared" si="2"/>
        <v>83.341663944021178</v>
      </c>
      <c r="N44" s="1"/>
      <c r="O44" s="23" t="s">
        <v>75</v>
      </c>
      <c r="P44" s="24" t="s">
        <v>78</v>
      </c>
      <c r="Q44" s="1"/>
      <c r="R44" s="1"/>
    </row>
    <row r="45" spans="1:18" ht="11.25" x14ac:dyDescent="0.2">
      <c r="A45" s="2" t="s">
        <v>79</v>
      </c>
      <c r="B45" s="62" t="s">
        <v>80</v>
      </c>
      <c r="C45" s="130">
        <f>+FACTURACIÓN!H45-'C&amp;A'!H45</f>
        <v>27708.45</v>
      </c>
      <c r="D45" s="130">
        <f t="shared" si="0"/>
        <v>27708.45</v>
      </c>
      <c r="E45" s="130">
        <f>+FACTURACIÓN!I45</f>
        <v>0</v>
      </c>
      <c r="F45" s="130">
        <f>+FACTURACIÓN!J45</f>
        <v>0</v>
      </c>
      <c r="G45" s="130">
        <f>+FACTURACIÓN!K45</f>
        <v>0</v>
      </c>
      <c r="H45" s="130">
        <f>+FACTURACIÓN!L45</f>
        <v>0</v>
      </c>
      <c r="I45" s="130">
        <f>+FACTURACIÓN!M45</f>
        <v>45.15</v>
      </c>
      <c r="J45" s="130">
        <f>+FACTURACIÓN!N45</f>
        <v>878.82</v>
      </c>
      <c r="K45" s="130">
        <f>+FACTURACIÓN!O45</f>
        <v>2902.5619999999999</v>
      </c>
      <c r="L45" s="130">
        <f t="shared" si="1"/>
        <v>3826.5320000000002</v>
      </c>
      <c r="M45" s="50">
        <f t="shared" si="2"/>
        <v>23881.918000000001</v>
      </c>
      <c r="N45" s="1"/>
      <c r="O45" s="23" t="s">
        <v>77</v>
      </c>
      <c r="P45" s="24" t="s">
        <v>80</v>
      </c>
      <c r="Q45" s="1"/>
      <c r="R45" s="1"/>
    </row>
    <row r="46" spans="1:18" ht="11.25" x14ac:dyDescent="0.2">
      <c r="A46" s="2" t="s">
        <v>81</v>
      </c>
      <c r="B46" s="1" t="s">
        <v>82</v>
      </c>
      <c r="C46" s="130">
        <f>+FACTURACIÓN!H46-'C&amp;A'!H46</f>
        <v>53426.8</v>
      </c>
      <c r="D46" s="130">
        <f t="shared" si="0"/>
        <v>53426.8</v>
      </c>
      <c r="E46" s="130">
        <f>+FACTURACIÓN!I46</f>
        <v>0</v>
      </c>
      <c r="F46" s="130">
        <f>+FACTURACIÓN!J46</f>
        <v>0</v>
      </c>
      <c r="G46" s="130">
        <f>+FACTURACIÓN!K46</f>
        <v>0</v>
      </c>
      <c r="H46" s="130">
        <f>+FACTURACIÓN!L46</f>
        <v>0</v>
      </c>
      <c r="I46" s="130">
        <f>+FACTURACIÓN!M46</f>
        <v>45.15</v>
      </c>
      <c r="J46" s="130">
        <f>+FACTURACIÓN!N46</f>
        <v>0</v>
      </c>
      <c r="K46" s="130">
        <f>+FACTURACIÓN!O46</f>
        <v>5474.3970000000008</v>
      </c>
      <c r="L46" s="130">
        <f t="shared" si="1"/>
        <v>5519.5470000000005</v>
      </c>
      <c r="M46" s="50">
        <f t="shared" si="2"/>
        <v>47907.253000000004</v>
      </c>
      <c r="N46" s="1"/>
      <c r="O46" s="23" t="s">
        <v>79</v>
      </c>
      <c r="P46" s="24" t="s">
        <v>82</v>
      </c>
      <c r="Q46" s="1"/>
      <c r="R46" s="1"/>
    </row>
    <row r="47" spans="1:18" ht="11.25" x14ac:dyDescent="0.2">
      <c r="A47" s="2" t="s">
        <v>83</v>
      </c>
      <c r="B47" s="1" t="s">
        <v>84</v>
      </c>
      <c r="C47" s="130">
        <f>+FACTURACIÓN!H47-'C&amp;A'!H47</f>
        <v>12799.75</v>
      </c>
      <c r="D47" s="130">
        <f t="shared" si="0"/>
        <v>12799.75</v>
      </c>
      <c r="E47" s="130">
        <f>+FACTURACIÓN!I47</f>
        <v>0</v>
      </c>
      <c r="F47" s="130">
        <f>+FACTURACIÓN!J47</f>
        <v>0</v>
      </c>
      <c r="G47" s="130">
        <f>+FACTURACIÓN!K47</f>
        <v>0</v>
      </c>
      <c r="H47" s="130">
        <f>+FACTURACIÓN!L47</f>
        <v>0</v>
      </c>
      <c r="I47" s="130">
        <f>+FACTURACIÓN!M47</f>
        <v>45.15</v>
      </c>
      <c r="J47" s="130">
        <f>+FACTURACIÓN!N47</f>
        <v>0</v>
      </c>
      <c r="K47" s="130">
        <f>+FACTURACIÓN!O47</f>
        <v>1399.1800000000003</v>
      </c>
      <c r="L47" s="130">
        <f t="shared" si="1"/>
        <v>1444.3300000000004</v>
      </c>
      <c r="M47" s="50">
        <f t="shared" si="2"/>
        <v>11355.42</v>
      </c>
      <c r="N47" s="1"/>
      <c r="O47" s="23" t="s">
        <v>81</v>
      </c>
      <c r="P47" s="24" t="s">
        <v>84</v>
      </c>
      <c r="Q47" s="1"/>
      <c r="R47" s="1"/>
    </row>
    <row r="48" spans="1:18" s="54" customFormat="1" ht="11.25" x14ac:dyDescent="0.2">
      <c r="A48" s="2" t="s">
        <v>163</v>
      </c>
      <c r="B48" s="1" t="s">
        <v>158</v>
      </c>
      <c r="C48" s="130">
        <f>+FACTURACIÓN!H48-'C&amp;A'!H48</f>
        <v>39877.86</v>
      </c>
      <c r="D48" s="130">
        <f t="shared" si="0"/>
        <v>39877.86</v>
      </c>
      <c r="E48" s="130">
        <f>+FACTURACIÓN!I48</f>
        <v>0</v>
      </c>
      <c r="F48" s="130">
        <f>+FACTURACIÓN!J48</f>
        <v>0</v>
      </c>
      <c r="G48" s="130">
        <f>+FACTURACIÓN!K48</f>
        <v>0</v>
      </c>
      <c r="H48" s="130">
        <f>+FACTURACIÓN!L48</f>
        <v>0</v>
      </c>
      <c r="I48" s="130">
        <f>+FACTURACIÓN!M48</f>
        <v>45.15</v>
      </c>
      <c r="J48" s="130">
        <f>+FACTURACIÓN!N48</f>
        <v>0</v>
      </c>
      <c r="K48" s="130">
        <f>+FACTURACIÓN!O48</f>
        <v>4106.9880000000003</v>
      </c>
      <c r="L48" s="130">
        <f t="shared" si="1"/>
        <v>4152.1379999999999</v>
      </c>
      <c r="M48" s="50">
        <f t="shared" si="2"/>
        <v>35725.722000000002</v>
      </c>
      <c r="O48" s="23" t="s">
        <v>83</v>
      </c>
      <c r="P48" s="24" t="s">
        <v>158</v>
      </c>
    </row>
    <row r="49" spans="1:18" ht="11.25" x14ac:dyDescent="0.2">
      <c r="A49" s="53" t="s">
        <v>87</v>
      </c>
      <c r="B49" s="54" t="s">
        <v>88</v>
      </c>
      <c r="C49" s="130">
        <f>+FACTURACIÓN!H49-'C&amp;A'!H49</f>
        <v>9744.7799999999988</v>
      </c>
      <c r="D49" s="130">
        <f t="shared" si="0"/>
        <v>9744.7799999999988</v>
      </c>
      <c r="E49" s="130">
        <f>+FACTURACIÓN!I49</f>
        <v>0</v>
      </c>
      <c r="F49" s="130">
        <f>+FACTURACIÓN!J49</f>
        <v>0</v>
      </c>
      <c r="G49" s="130">
        <f>+FACTURACIÓN!K49</f>
        <v>0</v>
      </c>
      <c r="H49" s="130">
        <f>+FACTURACIÓN!L49</f>
        <v>0</v>
      </c>
      <c r="I49" s="130">
        <f>+FACTURACIÓN!M49</f>
        <v>45.15</v>
      </c>
      <c r="J49" s="130">
        <f>+FACTURACIÓN!N49</f>
        <v>1280.0899999999999</v>
      </c>
      <c r="K49" s="130">
        <f>+FACTURACIÓN!O49</f>
        <v>1112.556</v>
      </c>
      <c r="L49" s="130">
        <f t="shared" si="1"/>
        <v>2437.7960000000003</v>
      </c>
      <c r="M49" s="50">
        <f t="shared" si="2"/>
        <v>7306.9839999999986</v>
      </c>
      <c r="N49" s="1"/>
      <c r="O49" s="56" t="s">
        <v>163</v>
      </c>
      <c r="P49" s="24" t="s">
        <v>88</v>
      </c>
      <c r="Q49" s="1"/>
      <c r="R49" s="1"/>
    </row>
    <row r="50" spans="1:18" ht="11.25" x14ac:dyDescent="0.2">
      <c r="A50" s="2" t="s">
        <v>89</v>
      </c>
      <c r="B50" s="1" t="s">
        <v>90</v>
      </c>
      <c r="C50" s="130">
        <f>+FACTURACIÓN!H50-'C&amp;A'!H50</f>
        <v>4943.6899999999996</v>
      </c>
      <c r="D50" s="130">
        <f t="shared" si="0"/>
        <v>4943.6899999999996</v>
      </c>
      <c r="E50" s="130">
        <f>+FACTURACIÓN!I50</f>
        <v>0</v>
      </c>
      <c r="F50" s="130">
        <f>+FACTURACIÓN!J50</f>
        <v>0</v>
      </c>
      <c r="G50" s="130">
        <f>+FACTURACIÓN!K50</f>
        <v>0</v>
      </c>
      <c r="H50" s="130">
        <f>+FACTURACIÓN!L50</f>
        <v>0</v>
      </c>
      <c r="I50" s="130">
        <f>+FACTURACIÓN!M50</f>
        <v>45.15</v>
      </c>
      <c r="J50" s="130">
        <f>+FACTURACIÓN!N50</f>
        <v>0</v>
      </c>
      <c r="K50" s="130">
        <f>+FACTURACIÓN!O50</f>
        <v>626.06600000000003</v>
      </c>
      <c r="L50" s="130">
        <f t="shared" si="1"/>
        <v>671.21600000000001</v>
      </c>
      <c r="M50" s="50">
        <f t="shared" si="2"/>
        <v>4272.4739999999993</v>
      </c>
      <c r="N50" s="1"/>
      <c r="O50" s="23" t="s">
        <v>87</v>
      </c>
      <c r="P50" s="24" t="s">
        <v>90</v>
      </c>
      <c r="Q50" s="1"/>
      <c r="R50" s="1"/>
    </row>
    <row r="51" spans="1:18" ht="11.25" x14ac:dyDescent="0.2">
      <c r="A51" s="2" t="s">
        <v>91</v>
      </c>
      <c r="B51" s="1" t="s">
        <v>92</v>
      </c>
      <c r="C51" s="130">
        <f>+FACTURACIÓN!H51-'C&amp;A'!H51</f>
        <v>3070.04</v>
      </c>
      <c r="D51" s="130">
        <f t="shared" si="0"/>
        <v>3070.04</v>
      </c>
      <c r="E51" s="130">
        <f>+FACTURACIÓN!I51</f>
        <v>0</v>
      </c>
      <c r="F51" s="130">
        <f>+FACTURACIÓN!J51</f>
        <v>0</v>
      </c>
      <c r="G51" s="130">
        <f>+FACTURACIÓN!K51</f>
        <v>0</v>
      </c>
      <c r="H51" s="130">
        <f>+FACTURACIÓN!L51</f>
        <v>0</v>
      </c>
      <c r="I51" s="130">
        <f>+FACTURACIÓN!M51</f>
        <v>45.15</v>
      </c>
      <c r="J51" s="130">
        <f>+FACTURACIÓN!N51</f>
        <v>0</v>
      </c>
      <c r="K51" s="130">
        <f>+FACTURACIÓN!O51</f>
        <v>0</v>
      </c>
      <c r="L51" s="130">
        <f t="shared" si="1"/>
        <v>45.15</v>
      </c>
      <c r="M51" s="50">
        <f t="shared" si="2"/>
        <v>3024.89</v>
      </c>
      <c r="N51" s="1"/>
      <c r="O51" s="23" t="s">
        <v>89</v>
      </c>
      <c r="P51" s="24" t="s">
        <v>92</v>
      </c>
      <c r="Q51" s="1"/>
      <c r="R51" s="1"/>
    </row>
    <row r="52" spans="1:18" ht="11.25" x14ac:dyDescent="0.2">
      <c r="A52" s="2" t="s">
        <v>93</v>
      </c>
      <c r="B52" s="1" t="s">
        <v>94</v>
      </c>
      <c r="C52" s="130">
        <f>+FACTURACIÓN!H52-'C&amp;A'!H52</f>
        <v>5892.38</v>
      </c>
      <c r="D52" s="130">
        <f t="shared" si="0"/>
        <v>5892.38</v>
      </c>
      <c r="E52" s="130">
        <f>+FACTURACIÓN!I52</f>
        <v>0</v>
      </c>
      <c r="F52" s="130">
        <f>+FACTURACIÓN!J52</f>
        <v>0</v>
      </c>
      <c r="G52" s="130">
        <f>+FACTURACIÓN!K52</f>
        <v>0</v>
      </c>
      <c r="H52" s="130">
        <f>+FACTURACIÓN!L52</f>
        <v>0</v>
      </c>
      <c r="I52" s="130">
        <f>+FACTURACIÓN!M52</f>
        <v>45.15</v>
      </c>
      <c r="J52" s="130">
        <f>+FACTURACIÓN!N52</f>
        <v>0</v>
      </c>
      <c r="K52" s="130">
        <f>+FACTURACIÓN!O52</f>
        <v>727.31600000000003</v>
      </c>
      <c r="L52" s="130">
        <f t="shared" si="1"/>
        <v>772.46600000000001</v>
      </c>
      <c r="M52" s="50">
        <f t="shared" si="2"/>
        <v>5119.9139999999998</v>
      </c>
      <c r="N52" s="1"/>
      <c r="O52" s="23" t="s">
        <v>91</v>
      </c>
      <c r="P52" s="24" t="s">
        <v>94</v>
      </c>
      <c r="Q52" s="1"/>
      <c r="R52" s="1"/>
    </row>
    <row r="53" spans="1:18" ht="11.25" x14ac:dyDescent="0.2">
      <c r="A53" s="2" t="s">
        <v>95</v>
      </c>
      <c r="B53" s="1" t="s">
        <v>96</v>
      </c>
      <c r="C53" s="130">
        <f>+FACTURACIÓN!H53-'C&amp;A'!H53</f>
        <v>3762.8</v>
      </c>
      <c r="D53" s="130">
        <f t="shared" si="0"/>
        <v>3762.8</v>
      </c>
      <c r="E53" s="130">
        <f>+FACTURACIÓN!I53</f>
        <v>0</v>
      </c>
      <c r="F53" s="130">
        <f>+FACTURACIÓN!J53</f>
        <v>0</v>
      </c>
      <c r="G53" s="130">
        <f>+FACTURACIÓN!K53</f>
        <v>0</v>
      </c>
      <c r="H53" s="130">
        <f>+FACTURACIÓN!L53</f>
        <v>0</v>
      </c>
      <c r="I53" s="130">
        <f>+FACTURACIÓN!M53</f>
        <v>45.15</v>
      </c>
      <c r="J53" s="130">
        <f>+FACTURACIÓN!N53</f>
        <v>0</v>
      </c>
      <c r="K53" s="130">
        <f>+FACTURACIÓN!O53</f>
        <v>514.35800000000006</v>
      </c>
      <c r="L53" s="130">
        <f t="shared" si="1"/>
        <v>559.50800000000004</v>
      </c>
      <c r="M53" s="50">
        <f t="shared" si="2"/>
        <v>3203.2920000000004</v>
      </c>
      <c r="N53" s="1"/>
      <c r="O53" s="23" t="s">
        <v>93</v>
      </c>
      <c r="P53" s="24" t="s">
        <v>96</v>
      </c>
      <c r="Q53" s="1"/>
      <c r="R53" s="1"/>
    </row>
    <row r="54" spans="1:18" ht="15.75" x14ac:dyDescent="0.25">
      <c r="A54" s="129"/>
      <c r="B54" s="111" t="s">
        <v>301</v>
      </c>
      <c r="C54" s="130">
        <f>+FACTURACIÓN!H54-'C&amp;A'!H54</f>
        <v>1908.173897131358</v>
      </c>
      <c r="D54" s="130">
        <f t="shared" si="0"/>
        <v>1908.173897131358</v>
      </c>
      <c r="E54" s="130">
        <f>+FACTURACIÓN!I54</f>
        <v>0</v>
      </c>
      <c r="F54" s="130">
        <f>+FACTURACIÓN!J54</f>
        <v>0</v>
      </c>
      <c r="G54" s="130">
        <f>+FACTURACIÓN!K54</f>
        <v>0</v>
      </c>
      <c r="H54" s="130">
        <f>+FACTURACIÓN!L54</f>
        <v>0</v>
      </c>
      <c r="I54" s="130">
        <f>+FACTURACIÓN!M54</f>
        <v>45.15</v>
      </c>
      <c r="J54" s="130">
        <f>+FACTURACIÓN!N54</f>
        <v>0</v>
      </c>
      <c r="K54" s="130">
        <f>+FACTURACIÓN!O54</f>
        <v>0</v>
      </c>
      <c r="L54" s="130">
        <f t="shared" si="1"/>
        <v>45.15</v>
      </c>
      <c r="M54" s="50">
        <f t="shared" si="2"/>
        <v>1863.0238971313579</v>
      </c>
      <c r="N54" s="128"/>
      <c r="O54" s="23" t="s">
        <v>95</v>
      </c>
      <c r="P54" s="111" t="s">
        <v>301</v>
      </c>
      <c r="Q54" s="1"/>
      <c r="R54" s="1"/>
    </row>
    <row r="55" spans="1:18" ht="11.25" x14ac:dyDescent="0.2">
      <c r="A55" s="2" t="s">
        <v>97</v>
      </c>
      <c r="B55" s="1" t="s">
        <v>98</v>
      </c>
      <c r="C55" s="130">
        <f>+FACTURACIÓN!H55-'C&amp;A'!H55</f>
        <v>4894.8</v>
      </c>
      <c r="D55" s="130">
        <f t="shared" si="0"/>
        <v>4894.8</v>
      </c>
      <c r="E55" s="130">
        <f>+FACTURACIÓN!I55</f>
        <v>0</v>
      </c>
      <c r="F55" s="130">
        <f>+FACTURACIÓN!J55</f>
        <v>0</v>
      </c>
      <c r="G55" s="130">
        <f>+FACTURACIÓN!K55</f>
        <v>0</v>
      </c>
      <c r="H55" s="130">
        <f>+FACTURACIÓN!L55</f>
        <v>0</v>
      </c>
      <c r="I55" s="130">
        <f>+FACTURACIÓN!M55</f>
        <v>45.15</v>
      </c>
      <c r="J55" s="130">
        <f>+FACTURACIÓN!N55</f>
        <v>0</v>
      </c>
      <c r="K55" s="130">
        <f>+FACTURACIÓN!O55</f>
        <v>621.19700000000012</v>
      </c>
      <c r="L55" s="130">
        <f t="shared" si="1"/>
        <v>666.34700000000009</v>
      </c>
      <c r="M55" s="50">
        <f t="shared" si="2"/>
        <v>4228.4530000000004</v>
      </c>
      <c r="N55" s="1"/>
      <c r="O55" s="23"/>
      <c r="P55" s="24" t="s">
        <v>98</v>
      </c>
      <c r="Q55" s="1"/>
      <c r="R55" s="1"/>
    </row>
    <row r="56" spans="1:18" ht="11.25" x14ac:dyDescent="0.2">
      <c r="A56" s="2" t="s">
        <v>99</v>
      </c>
      <c r="B56" s="1" t="s">
        <v>100</v>
      </c>
      <c r="C56" s="130">
        <f>+FACTURACIÓN!H56-'C&amp;A'!H56</f>
        <v>5079.8900000000003</v>
      </c>
      <c r="D56" s="130">
        <f t="shared" si="0"/>
        <v>5079.8900000000003</v>
      </c>
      <c r="E56" s="130">
        <f>+FACTURACIÓN!I56</f>
        <v>0</v>
      </c>
      <c r="F56" s="130">
        <f>+FACTURACIÓN!J56</f>
        <v>0</v>
      </c>
      <c r="G56" s="130">
        <f>+FACTURACIÓN!K56</f>
        <v>0</v>
      </c>
      <c r="H56" s="130">
        <f>+FACTURACIÓN!L56</f>
        <v>0</v>
      </c>
      <c r="I56" s="130">
        <f>+FACTURACIÓN!M56</f>
        <v>45.15</v>
      </c>
      <c r="J56" s="130">
        <f>+FACTURACIÓN!N56</f>
        <v>340.56</v>
      </c>
      <c r="K56" s="130">
        <f>+FACTURACIÓN!O56</f>
        <v>627.19400000000007</v>
      </c>
      <c r="L56" s="130">
        <f t="shared" si="1"/>
        <v>1012.904</v>
      </c>
      <c r="M56" s="50">
        <f t="shared" si="2"/>
        <v>4066.9860000000003</v>
      </c>
      <c r="N56" s="1"/>
      <c r="O56" s="23" t="s">
        <v>97</v>
      </c>
      <c r="P56" s="24" t="s">
        <v>100</v>
      </c>
      <c r="Q56" s="1"/>
      <c r="R56" s="1"/>
    </row>
    <row r="57" spans="1:18" s="57" customFormat="1" ht="11.25" x14ac:dyDescent="0.2">
      <c r="A57" s="2" t="s">
        <v>101</v>
      </c>
      <c r="B57" s="1" t="s">
        <v>102</v>
      </c>
      <c r="C57" s="130">
        <f>+FACTURACIÓN!H57-'C&amp;A'!H57</f>
        <v>11470.060000000001</v>
      </c>
      <c r="D57" s="130">
        <f t="shared" si="0"/>
        <v>11470.060000000001</v>
      </c>
      <c r="E57" s="130">
        <f>+FACTURACIÓN!I57</f>
        <v>0</v>
      </c>
      <c r="F57" s="130">
        <f>+FACTURACIÓN!J57</f>
        <v>0</v>
      </c>
      <c r="G57" s="130">
        <f>+FACTURACIÓN!K57</f>
        <v>0</v>
      </c>
      <c r="H57" s="130">
        <f>+FACTURACIÓN!L57</f>
        <v>0</v>
      </c>
      <c r="I57" s="130">
        <f>+FACTURACIÓN!M57</f>
        <v>45.15</v>
      </c>
      <c r="J57" s="130">
        <f>+FACTURACIÓN!N57</f>
        <v>0</v>
      </c>
      <c r="K57" s="130">
        <f>+FACTURACIÓN!O57</f>
        <v>1285.0840000000001</v>
      </c>
      <c r="L57" s="130">
        <f t="shared" si="1"/>
        <v>1330.2340000000002</v>
      </c>
      <c r="M57" s="50">
        <f t="shared" si="2"/>
        <v>10139.826000000001</v>
      </c>
      <c r="N57" s="1"/>
      <c r="O57" s="23" t="s">
        <v>99</v>
      </c>
      <c r="P57" s="24" t="s">
        <v>102</v>
      </c>
    </row>
    <row r="58" spans="1:18" s="55" customFormat="1" ht="11.25" x14ac:dyDescent="0.2">
      <c r="A58" s="2" t="s">
        <v>103</v>
      </c>
      <c r="B58" s="1" t="s">
        <v>104</v>
      </c>
      <c r="C58" s="130">
        <f>+FACTURACIÓN!H58-'C&amp;A'!H58</f>
        <v>22171.63</v>
      </c>
      <c r="D58" s="130">
        <f t="shared" si="0"/>
        <v>22171.63</v>
      </c>
      <c r="E58" s="130">
        <f>+FACTURACIÓN!I58</f>
        <v>0</v>
      </c>
      <c r="F58" s="130">
        <f>+FACTURACIÓN!J58</f>
        <v>0</v>
      </c>
      <c r="G58" s="130">
        <f>+FACTURACIÓN!K58</f>
        <v>0</v>
      </c>
      <c r="H58" s="130">
        <f>+FACTURACIÓN!L58</f>
        <v>0</v>
      </c>
      <c r="I58" s="130">
        <f>+FACTURACIÓN!M58</f>
        <v>45.15</v>
      </c>
      <c r="J58" s="130">
        <f>+FACTURACIÓN!N58</f>
        <v>0</v>
      </c>
      <c r="K58" s="130">
        <f>+FACTURACIÓN!O58</f>
        <v>2348.88</v>
      </c>
      <c r="L58" s="130">
        <f t="shared" si="1"/>
        <v>2394.0300000000002</v>
      </c>
      <c r="M58" s="50">
        <f t="shared" si="2"/>
        <v>19777.600000000002</v>
      </c>
      <c r="N58" s="57"/>
      <c r="O58" s="23" t="s">
        <v>101</v>
      </c>
      <c r="P58" s="24" t="s">
        <v>104</v>
      </c>
    </row>
    <row r="59" spans="1:18" ht="11.25" x14ac:dyDescent="0.2">
      <c r="A59" s="56" t="s">
        <v>105</v>
      </c>
      <c r="B59" s="57" t="s">
        <v>106</v>
      </c>
      <c r="C59" s="130">
        <f>+FACTURACIÓN!H59-'C&amp;A'!H59</f>
        <v>11262.8</v>
      </c>
      <c r="D59" s="130">
        <f t="shared" si="0"/>
        <v>11262.8</v>
      </c>
      <c r="E59" s="130">
        <f>+FACTURACIÓN!I59</f>
        <v>0</v>
      </c>
      <c r="F59" s="130">
        <f>+FACTURACIÓN!J59</f>
        <v>0</v>
      </c>
      <c r="G59" s="130">
        <f>+FACTURACIÓN!K59</f>
        <v>117.81</v>
      </c>
      <c r="H59" s="130">
        <f>+FACTURACIÓN!L59</f>
        <v>0</v>
      </c>
      <c r="I59" s="130">
        <f>+FACTURACIÓN!M59</f>
        <v>45.15</v>
      </c>
      <c r="J59" s="130">
        <f>+FACTURACIÓN!N59</f>
        <v>0</v>
      </c>
      <c r="K59" s="130">
        <f>+FACTURACIÓN!O59</f>
        <v>1245.4850000000001</v>
      </c>
      <c r="L59" s="130">
        <f t="shared" si="1"/>
        <v>1408.4450000000002</v>
      </c>
      <c r="M59" s="50">
        <f t="shared" si="2"/>
        <v>9854.3549999999996</v>
      </c>
      <c r="N59" s="55"/>
      <c r="O59" s="23" t="s">
        <v>103</v>
      </c>
      <c r="P59" s="24" t="s">
        <v>106</v>
      </c>
      <c r="Q59" s="1"/>
      <c r="R59" s="1"/>
    </row>
    <row r="60" spans="1:18" ht="11.25" x14ac:dyDescent="0.2">
      <c r="A60" s="2" t="s">
        <v>107</v>
      </c>
      <c r="B60" s="1" t="s">
        <v>108</v>
      </c>
      <c r="C60" s="130">
        <f>+FACTURACIÓN!H60-'C&amp;A'!H60</f>
        <v>11244.779999999999</v>
      </c>
      <c r="D60" s="130">
        <f t="shared" si="0"/>
        <v>11244.779999999999</v>
      </c>
      <c r="E60" s="130">
        <f>+FACTURACIÓN!I60</f>
        <v>0</v>
      </c>
      <c r="F60" s="130">
        <f>+FACTURACIÓN!J60</f>
        <v>0</v>
      </c>
      <c r="G60" s="130">
        <f>+FACTURACIÓN!K60</f>
        <v>0</v>
      </c>
      <c r="H60" s="130">
        <f>+FACTURACIÓN!L60</f>
        <v>0</v>
      </c>
      <c r="I60" s="130">
        <f>+FACTURACIÓN!M60</f>
        <v>45.15</v>
      </c>
      <c r="J60" s="130">
        <f>+FACTURACIÓN!N60</f>
        <v>741.3</v>
      </c>
      <c r="K60" s="130">
        <f>+FACTURACIÓN!O60</f>
        <v>1256.1950000000002</v>
      </c>
      <c r="L60" s="130">
        <f t="shared" si="1"/>
        <v>2042.645</v>
      </c>
      <c r="M60" s="50">
        <f t="shared" si="2"/>
        <v>9202.1349999999984</v>
      </c>
      <c r="N60" s="1"/>
      <c r="O60" s="23" t="s">
        <v>105</v>
      </c>
      <c r="P60" s="24" t="s">
        <v>108</v>
      </c>
      <c r="Q60" s="1"/>
      <c r="R60" s="1"/>
    </row>
    <row r="61" spans="1:18" ht="11.25" x14ac:dyDescent="0.2">
      <c r="A61" s="2" t="s">
        <v>109</v>
      </c>
      <c r="B61" s="1" t="s">
        <v>110</v>
      </c>
      <c r="C61" s="130">
        <f>+FACTURACIÓN!H61-'C&amp;A'!H61</f>
        <v>8640.0400000000009</v>
      </c>
      <c r="D61" s="130">
        <f t="shared" si="0"/>
        <v>8640.0400000000009</v>
      </c>
      <c r="E61" s="130">
        <f>+FACTURACIÓN!I61</f>
        <v>0</v>
      </c>
      <c r="F61" s="130">
        <f>+FACTURACIÓN!J61</f>
        <v>0</v>
      </c>
      <c r="G61" s="130">
        <f>+FACTURACIÓN!K61</f>
        <v>0</v>
      </c>
      <c r="H61" s="130">
        <f>+FACTURACIÓN!L61</f>
        <v>0</v>
      </c>
      <c r="I61" s="130">
        <f>+FACTURACIÓN!M61</f>
        <v>45.15</v>
      </c>
      <c r="J61" s="130">
        <f>+FACTURACIÓN!N61</f>
        <v>0</v>
      </c>
      <c r="K61" s="130">
        <f>+FACTURACIÓN!O61</f>
        <v>997.72600000000023</v>
      </c>
      <c r="L61" s="130">
        <f t="shared" si="1"/>
        <v>1042.8760000000002</v>
      </c>
      <c r="M61" s="50">
        <f t="shared" si="2"/>
        <v>7597.1640000000007</v>
      </c>
      <c r="N61" s="1"/>
      <c r="O61" s="23" t="s">
        <v>107</v>
      </c>
      <c r="P61" s="24" t="s">
        <v>110</v>
      </c>
      <c r="Q61" s="1"/>
      <c r="R61" s="1"/>
    </row>
    <row r="62" spans="1:18" ht="11.25" x14ac:dyDescent="0.2">
      <c r="A62" s="2" t="s">
        <v>111</v>
      </c>
      <c r="B62" s="1" t="s">
        <v>112</v>
      </c>
      <c r="C62" s="130">
        <f>+FACTURACIÓN!H62-'C&amp;A'!H62</f>
        <v>5162.8</v>
      </c>
      <c r="D62" s="130">
        <f t="shared" si="0"/>
        <v>5162.8</v>
      </c>
      <c r="E62" s="130">
        <f>+FACTURACIÓN!I62</f>
        <v>0</v>
      </c>
      <c r="F62" s="130">
        <f>+FACTURACIÓN!J62</f>
        <v>0</v>
      </c>
      <c r="G62" s="130">
        <f>+FACTURACIÓN!K62</f>
        <v>0</v>
      </c>
      <c r="H62" s="130">
        <f>+FACTURACIÓN!L62</f>
        <v>0</v>
      </c>
      <c r="I62" s="130">
        <f>+FACTURACIÓN!M62</f>
        <v>45.15</v>
      </c>
      <c r="J62" s="130">
        <f>+FACTURACIÓN!N62</f>
        <v>0</v>
      </c>
      <c r="K62" s="130">
        <f>+FACTURACIÓN!O62</f>
        <v>635.48500000000013</v>
      </c>
      <c r="L62" s="130">
        <f t="shared" si="1"/>
        <v>680.6350000000001</v>
      </c>
      <c r="M62" s="50">
        <f t="shared" si="2"/>
        <v>4482.165</v>
      </c>
      <c r="N62" s="1"/>
      <c r="O62" s="23" t="s">
        <v>109</v>
      </c>
      <c r="P62" s="24" t="s">
        <v>112</v>
      </c>
      <c r="Q62" s="1"/>
      <c r="R62" s="1"/>
    </row>
    <row r="63" spans="1:18" ht="11.25" x14ac:dyDescent="0.2">
      <c r="A63" s="2" t="s">
        <v>113</v>
      </c>
      <c r="B63" s="1" t="s">
        <v>114</v>
      </c>
      <c r="C63" s="130">
        <f>+FACTURACIÓN!H63-'C&amp;A'!H63</f>
        <v>1908.3738971313578</v>
      </c>
      <c r="D63" s="130">
        <f t="shared" si="0"/>
        <v>1908.3738971313578</v>
      </c>
      <c r="E63" s="130">
        <f>+FACTURACIÓN!I63</f>
        <v>0</v>
      </c>
      <c r="F63" s="130">
        <f>+FACTURACIÓN!J63</f>
        <v>0</v>
      </c>
      <c r="G63" s="130">
        <f>+FACTURACIÓN!K63</f>
        <v>0</v>
      </c>
      <c r="H63" s="130">
        <f>+FACTURACIÓN!L63</f>
        <v>0</v>
      </c>
      <c r="I63" s="130">
        <f>+FACTURACIÓN!M63</f>
        <v>45.15</v>
      </c>
      <c r="J63" s="130">
        <f>+FACTURACIÓN!N63</f>
        <v>0</v>
      </c>
      <c r="K63" s="130">
        <f>+FACTURACIÓN!O63</f>
        <v>0</v>
      </c>
      <c r="L63" s="130">
        <f t="shared" si="1"/>
        <v>45.15</v>
      </c>
      <c r="M63" s="50">
        <f t="shared" si="2"/>
        <v>1863.2238971313577</v>
      </c>
      <c r="N63" s="1"/>
      <c r="O63" s="23" t="s">
        <v>111</v>
      </c>
      <c r="P63" s="24" t="s">
        <v>114</v>
      </c>
      <c r="Q63" s="1"/>
      <c r="R63" s="1"/>
    </row>
    <row r="64" spans="1:18" ht="11.25" x14ac:dyDescent="0.2">
      <c r="A64" s="2" t="s">
        <v>115</v>
      </c>
      <c r="B64" s="1" t="s">
        <v>116</v>
      </c>
      <c r="C64" s="130">
        <f>+FACTURACIÓN!H64-'C&amp;A'!H64</f>
        <v>11120.89</v>
      </c>
      <c r="D64" s="130">
        <f t="shared" si="0"/>
        <v>11120.89</v>
      </c>
      <c r="E64" s="130">
        <f>+FACTURACIÓN!I64</f>
        <v>0</v>
      </c>
      <c r="F64" s="130">
        <f>+FACTURACIÓN!J64</f>
        <v>0</v>
      </c>
      <c r="G64" s="130">
        <f>+FACTURACIÓN!K64</f>
        <v>0</v>
      </c>
      <c r="H64" s="130">
        <f>+FACTURACIÓN!L64</f>
        <v>0</v>
      </c>
      <c r="I64" s="130">
        <f>+FACTURACIÓN!M64</f>
        <v>45.15</v>
      </c>
      <c r="J64" s="130">
        <f>+FACTURACIÓN!N64</f>
        <v>335.19</v>
      </c>
      <c r="K64" s="130">
        <f>+FACTURACIÓN!O64</f>
        <v>1248.7720000000002</v>
      </c>
      <c r="L64" s="130">
        <f t="shared" si="1"/>
        <v>1629.1120000000001</v>
      </c>
      <c r="M64" s="50">
        <f t="shared" si="2"/>
        <v>9491.7779999999984</v>
      </c>
      <c r="N64" s="1"/>
      <c r="O64" s="23" t="s">
        <v>113</v>
      </c>
      <c r="P64" s="24" t="s">
        <v>116</v>
      </c>
      <c r="Q64" s="1"/>
      <c r="R64" s="1"/>
    </row>
    <row r="65" spans="1:19" ht="11.25" x14ac:dyDescent="0.2">
      <c r="A65" s="2" t="s">
        <v>117</v>
      </c>
      <c r="B65" s="1" t="s">
        <v>118</v>
      </c>
      <c r="C65" s="130">
        <f>+FACTURACIÓN!H65-'C&amp;A'!H65</f>
        <v>1229</v>
      </c>
      <c r="D65" s="130">
        <f>SUM(C65)</f>
        <v>1229</v>
      </c>
      <c r="E65" s="130">
        <f>+FACTURACIÓN!I65</f>
        <v>0</v>
      </c>
      <c r="F65" s="130">
        <f>+FACTURACIÓN!J65</f>
        <v>0</v>
      </c>
      <c r="G65" s="130">
        <f>+FACTURACIÓN!K65</f>
        <v>0</v>
      </c>
      <c r="H65" s="130">
        <f>+FACTURACIÓN!L65</f>
        <v>0</v>
      </c>
      <c r="I65" s="130">
        <f>+FACTURACIÓN!M65</f>
        <v>45.15</v>
      </c>
      <c r="J65" s="130">
        <f>+FACTURACIÓN!N65</f>
        <v>303.79000000000002</v>
      </c>
      <c r="K65" s="130">
        <f>+FACTURACIÓN!O65</f>
        <v>0</v>
      </c>
      <c r="L65" s="130">
        <f t="shared" si="1"/>
        <v>348.94</v>
      </c>
      <c r="M65" s="50">
        <f t="shared" si="2"/>
        <v>880.06</v>
      </c>
      <c r="N65" s="1"/>
      <c r="O65" s="23" t="s">
        <v>115</v>
      </c>
      <c r="P65" s="24" t="s">
        <v>118</v>
      </c>
      <c r="Q65" s="1"/>
      <c r="R65" s="1"/>
    </row>
    <row r="66" spans="1:19" ht="15.75" x14ac:dyDescent="0.25">
      <c r="A66" s="24"/>
      <c r="B66" s="77" t="s">
        <v>366</v>
      </c>
      <c r="C66" s="225">
        <f>+Hoja3!J7+Hoja3!I7-'C&amp;A'!H66</f>
        <v>17962.8</v>
      </c>
      <c r="D66" s="225">
        <f>SUM(C66)</f>
        <v>17962.8</v>
      </c>
      <c r="E66" s="225">
        <v>0</v>
      </c>
      <c r="F66" s="225">
        <v>0</v>
      </c>
      <c r="G66" s="225">
        <v>0</v>
      </c>
      <c r="H66" s="225">
        <v>0</v>
      </c>
      <c r="I66" s="225">
        <f>+Hoja3!N7</f>
        <v>45.15</v>
      </c>
      <c r="J66" s="225">
        <f>+Hoja3!U7</f>
        <v>230.52</v>
      </c>
      <c r="K66" s="225">
        <f>+Hoja3!W7</f>
        <v>1915.4849999999999</v>
      </c>
      <c r="L66" s="225">
        <f t="shared" ref="L66" si="3">SUM(E66:K66)</f>
        <v>2191.1549999999997</v>
      </c>
      <c r="M66" s="235">
        <f t="shared" ref="M66" si="4">+D66-L66</f>
        <v>15771.645</v>
      </c>
      <c r="N66" s="289">
        <f>+M66+'C&amp;A'!H66-Hoja3!X7</f>
        <v>0</v>
      </c>
      <c r="O66" s="1"/>
      <c r="P66" s="1"/>
      <c r="Q66" s="1"/>
      <c r="R66" s="1"/>
    </row>
    <row r="67" spans="1:19" ht="11.2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1"/>
      <c r="O67" s="1"/>
      <c r="P67" s="1"/>
      <c r="Q67" s="1"/>
      <c r="R67" s="1"/>
    </row>
    <row r="68" spans="1:19" ht="11.25" x14ac:dyDescent="0.2">
      <c r="A68" s="12"/>
      <c r="B68" s="5"/>
      <c r="C68" s="5" t="s">
        <v>119</v>
      </c>
      <c r="D68" s="5" t="s">
        <v>119</v>
      </c>
      <c r="E68" s="5" t="s">
        <v>119</v>
      </c>
      <c r="F68" s="5" t="s">
        <v>119</v>
      </c>
      <c r="G68" s="5" t="s">
        <v>119</v>
      </c>
      <c r="H68" s="5" t="s">
        <v>119</v>
      </c>
      <c r="I68" s="5" t="s">
        <v>119</v>
      </c>
      <c r="J68" s="5" t="s">
        <v>119</v>
      </c>
      <c r="K68" s="5" t="s">
        <v>119</v>
      </c>
      <c r="L68" s="5" t="s">
        <v>119</v>
      </c>
      <c r="M68" s="5" t="s">
        <v>119</v>
      </c>
      <c r="N68" s="1"/>
      <c r="O68" s="1"/>
      <c r="P68" s="1"/>
      <c r="Q68" s="1"/>
      <c r="R68" s="1"/>
    </row>
    <row r="69" spans="1:19" s="5" customFormat="1" ht="11.25" x14ac:dyDescent="0.2">
      <c r="A69" s="40" t="s">
        <v>120</v>
      </c>
      <c r="B69" s="1" t="s">
        <v>121</v>
      </c>
      <c r="C69" s="41">
        <f>SUM(C10:C65)</f>
        <v>531504.95960065222</v>
      </c>
      <c r="D69" s="41">
        <f t="shared" ref="D69:L69" si="5">SUM(D10:D65)</f>
        <v>531504.95960065222</v>
      </c>
      <c r="E69" s="41">
        <f t="shared" si="5"/>
        <v>366.66</v>
      </c>
      <c r="F69" s="41">
        <f t="shared" si="5"/>
        <v>479.28</v>
      </c>
      <c r="G69" s="41">
        <f t="shared" si="5"/>
        <v>117.81</v>
      </c>
      <c r="H69" s="41">
        <f t="shared" si="5"/>
        <v>0</v>
      </c>
      <c r="I69" s="41">
        <f t="shared" si="5"/>
        <v>2528.4000000000024</v>
      </c>
      <c r="J69" s="41">
        <f t="shared" si="5"/>
        <v>9726.09</v>
      </c>
      <c r="K69" s="41">
        <f t="shared" si="5"/>
        <v>52628.071000000004</v>
      </c>
      <c r="L69" s="41">
        <f t="shared" si="5"/>
        <v>65846.311000000016</v>
      </c>
      <c r="M69" s="41">
        <f>SUM(M10:M65)</f>
        <v>465658.64860065229</v>
      </c>
      <c r="N69" s="1"/>
    </row>
    <row r="70" spans="1:19" ht="11.2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5"/>
      <c r="S70" s="16"/>
    </row>
    <row r="71" spans="1:19" x14ac:dyDescent="0.25">
      <c r="A71"/>
      <c r="B71"/>
      <c r="C71" s="1" t="s">
        <v>121</v>
      </c>
      <c r="D71" s="1" t="s">
        <v>121</v>
      </c>
      <c r="E71" s="128"/>
      <c r="F71" s="1" t="s">
        <v>121</v>
      </c>
      <c r="G71" s="1" t="s">
        <v>121</v>
      </c>
      <c r="H71" s="1"/>
      <c r="I71" s="62"/>
      <c r="J71" s="62"/>
      <c r="K71" s="128"/>
      <c r="L71" s="1" t="s">
        <v>121</v>
      </c>
      <c r="M71" s="24"/>
      <c r="S71" s="16"/>
    </row>
    <row r="72" spans="1:19" x14ac:dyDescent="0.25">
      <c r="L72" s="16"/>
      <c r="M72"/>
      <c r="S72" s="16"/>
    </row>
    <row r="73" spans="1:19" x14ac:dyDescent="0.25">
      <c r="L73" s="16"/>
      <c r="M73"/>
      <c r="S73" s="16"/>
    </row>
    <row r="74" spans="1:19" x14ac:dyDescent="0.25">
      <c r="L74" s="16"/>
      <c r="M74"/>
      <c r="S74" s="16"/>
    </row>
    <row r="75" spans="1:19" x14ac:dyDescent="0.25">
      <c r="L75" s="16"/>
      <c r="M75"/>
      <c r="S75" s="16"/>
    </row>
    <row r="76" spans="1:19" x14ac:dyDescent="0.25">
      <c r="L76" s="16"/>
      <c r="M76"/>
      <c r="S76" s="16"/>
    </row>
    <row r="77" spans="1:19" x14ac:dyDescent="0.25">
      <c r="L77" s="16"/>
      <c r="M77"/>
      <c r="S77" s="16"/>
    </row>
    <row r="78" spans="1:19" x14ac:dyDescent="0.25">
      <c r="L78" s="16"/>
      <c r="M78"/>
      <c r="S78" s="16"/>
    </row>
    <row r="79" spans="1:19" x14ac:dyDescent="0.25">
      <c r="L79" s="16"/>
      <c r="M79"/>
      <c r="S79" s="16"/>
    </row>
    <row r="80" spans="1:19" x14ac:dyDescent="0.25">
      <c r="L80" s="16"/>
      <c r="M80"/>
      <c r="S80" s="16"/>
    </row>
    <row r="81" spans="12:19" x14ac:dyDescent="0.25">
      <c r="L81" s="16"/>
      <c r="M81"/>
      <c r="S81" s="16"/>
    </row>
  </sheetData>
  <pageMargins left="0.7" right="0.7" top="0.75" bottom="0.75" header="0.3" footer="0.3"/>
  <pageSetup scale="60" orientation="landscape" r:id="rId1"/>
  <rowBreaks count="1" manualBreakCount="1">
    <brk id="7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zoomScaleNormal="100" workbookViewId="0">
      <selection sqref="A1:M1048576"/>
    </sheetView>
  </sheetViews>
  <sheetFormatPr baseColWidth="10" defaultRowHeight="15" x14ac:dyDescent="0.25"/>
  <cols>
    <col min="2" max="2" width="32" customWidth="1"/>
    <col min="5" max="8" width="11.42578125" hidden="1" customWidth="1"/>
    <col min="11" max="11" width="35" customWidth="1"/>
    <col min="17" max="17" width="38" bestFit="1" customWidth="1"/>
  </cols>
  <sheetData>
    <row r="1" spans="1:22" x14ac:dyDescent="0.25">
      <c r="A1" s="208" t="s">
        <v>0</v>
      </c>
      <c r="B1" s="206" t="s">
        <v>121</v>
      </c>
      <c r="C1" s="214"/>
      <c r="D1" s="197"/>
      <c r="E1" s="197"/>
      <c r="J1" s="254" t="s">
        <v>0</v>
      </c>
      <c r="K1" s="229" t="s">
        <v>121</v>
      </c>
      <c r="L1" s="243"/>
      <c r="M1" s="219"/>
      <c r="N1" s="219"/>
    </row>
    <row r="2" spans="1:22" ht="18" x14ac:dyDescent="0.25">
      <c r="A2" s="209" t="s">
        <v>1</v>
      </c>
      <c r="B2" s="210" t="s">
        <v>2</v>
      </c>
      <c r="C2" s="214"/>
      <c r="D2" s="197"/>
      <c r="E2" s="197"/>
      <c r="J2" s="255" t="s">
        <v>1</v>
      </c>
      <c r="K2" s="231" t="s">
        <v>2</v>
      </c>
      <c r="L2" s="243"/>
      <c r="M2" s="219"/>
      <c r="N2" s="219"/>
    </row>
    <row r="3" spans="1:22" ht="15.75" x14ac:dyDescent="0.25">
      <c r="A3" s="197"/>
      <c r="B3" s="207" t="s">
        <v>3</v>
      </c>
      <c r="C3" s="214"/>
      <c r="D3" s="197"/>
      <c r="E3" s="197"/>
      <c r="J3" s="256"/>
      <c r="K3" s="230" t="s">
        <v>3</v>
      </c>
      <c r="L3" s="243"/>
      <c r="M3" s="219"/>
      <c r="N3" s="219"/>
    </row>
    <row r="4" spans="1:22" x14ac:dyDescent="0.25">
      <c r="A4" s="197"/>
      <c r="B4" s="211" t="s">
        <v>311</v>
      </c>
      <c r="C4" s="214"/>
      <c r="D4" s="197"/>
      <c r="E4" s="197"/>
      <c r="J4" s="256"/>
      <c r="K4" s="232" t="s">
        <v>311</v>
      </c>
      <c r="L4" s="243"/>
      <c r="M4" s="219"/>
      <c r="N4" s="219"/>
    </row>
    <row r="5" spans="1:22" x14ac:dyDescent="0.25">
      <c r="A5" s="197"/>
      <c r="B5" s="200" t="s">
        <v>4</v>
      </c>
      <c r="C5" s="214"/>
      <c r="D5" s="203"/>
      <c r="E5" s="197"/>
      <c r="J5" s="219"/>
      <c r="K5" s="222"/>
      <c r="L5" s="243"/>
      <c r="M5" s="226"/>
      <c r="N5" s="219"/>
    </row>
    <row r="6" spans="1:22" x14ac:dyDescent="0.25">
      <c r="A6" s="197"/>
      <c r="B6" s="200" t="s">
        <v>5</v>
      </c>
      <c r="C6" s="214"/>
      <c r="D6" s="197"/>
      <c r="E6" s="197"/>
      <c r="J6" s="219"/>
      <c r="K6" s="222"/>
      <c r="L6" s="243"/>
      <c r="M6" s="219"/>
      <c r="N6" s="219"/>
    </row>
    <row r="8" spans="1:22" ht="15.75" thickBot="1" x14ac:dyDescent="0.3">
      <c r="A8" s="201" t="s">
        <v>6</v>
      </c>
      <c r="B8" s="202" t="s">
        <v>7</v>
      </c>
      <c r="C8" s="215" t="s">
        <v>13</v>
      </c>
      <c r="D8" s="205"/>
      <c r="E8" s="205"/>
      <c r="J8" s="223" t="s">
        <v>6</v>
      </c>
      <c r="K8" s="224" t="s">
        <v>7</v>
      </c>
      <c r="L8" s="244" t="s">
        <v>13</v>
      </c>
      <c r="M8" s="228"/>
      <c r="N8" s="228"/>
    </row>
    <row r="9" spans="1:22" ht="15.75" thickTop="1" x14ac:dyDescent="0.25">
      <c r="A9" s="197"/>
      <c r="B9" s="197"/>
      <c r="C9" s="214"/>
      <c r="D9" s="197"/>
      <c r="E9" s="197"/>
      <c r="J9" s="219"/>
      <c r="K9" s="219"/>
      <c r="L9" s="243"/>
      <c r="M9" s="219"/>
      <c r="N9" s="219"/>
    </row>
    <row r="10" spans="1:22" s="195" customFormat="1" x14ac:dyDescent="0.25">
      <c r="A10" s="237" t="s">
        <v>15</v>
      </c>
      <c r="B10" s="238" t="s">
        <v>16</v>
      </c>
      <c r="C10" s="252">
        <f>+R10</f>
        <v>1237.1999999999998</v>
      </c>
      <c r="D10" s="236" t="s">
        <v>324</v>
      </c>
      <c r="E10" s="236"/>
      <c r="J10" s="237" t="s">
        <v>15</v>
      </c>
      <c r="K10" s="238" t="s">
        <v>16</v>
      </c>
      <c r="L10" s="251">
        <f>+V10</f>
        <v>1704.923897131358</v>
      </c>
      <c r="M10" s="236" t="s">
        <v>324</v>
      </c>
      <c r="N10" s="240">
        <f>+L10-SINDICATO!M10</f>
        <v>0</v>
      </c>
      <c r="P10" s="237" t="s">
        <v>15</v>
      </c>
      <c r="Q10" s="238" t="s">
        <v>16</v>
      </c>
      <c r="R10" s="239">
        <v>1237.1999999999998</v>
      </c>
      <c r="S10" s="195" t="str">
        <f>IF(Q10=U10,"SI","NO")</f>
        <v>SI</v>
      </c>
      <c r="T10" s="237" t="s">
        <v>15</v>
      </c>
      <c r="U10" s="238" t="s">
        <v>16</v>
      </c>
      <c r="V10" s="240">
        <v>1704.923897131358</v>
      </c>
    </row>
    <row r="11" spans="1:22" s="195" customFormat="1" x14ac:dyDescent="0.25">
      <c r="A11" s="237" t="s">
        <v>17</v>
      </c>
      <c r="B11" s="238" t="s">
        <v>18</v>
      </c>
      <c r="C11" s="252">
        <f t="shared" ref="C11:C65" si="0">+R11</f>
        <v>1237.1999999999998</v>
      </c>
      <c r="D11" s="236" t="s">
        <v>322</v>
      </c>
      <c r="E11" s="236"/>
      <c r="J11" s="237" t="s">
        <v>17</v>
      </c>
      <c r="K11" s="238" t="s">
        <v>18</v>
      </c>
      <c r="L11" s="251">
        <f t="shared" ref="L11:L65" si="1">+V11</f>
        <v>3471.915</v>
      </c>
      <c r="M11" s="236" t="s">
        <v>322</v>
      </c>
      <c r="N11" s="240">
        <f>+L11-SINDICATO!M11</f>
        <v>0</v>
      </c>
      <c r="P11" s="237" t="s">
        <v>17</v>
      </c>
      <c r="Q11" s="238" t="s">
        <v>18</v>
      </c>
      <c r="R11" s="239">
        <v>1237.1999999999998</v>
      </c>
      <c r="S11" s="195" t="str">
        <f t="shared" ref="S11:S65" si="2">IF(Q11=U11,"SI","NO")</f>
        <v>SI</v>
      </c>
      <c r="T11" s="237" t="s">
        <v>17</v>
      </c>
      <c r="U11" s="238" t="s">
        <v>18</v>
      </c>
      <c r="V11" s="240">
        <v>3471.915</v>
      </c>
    </row>
    <row r="12" spans="1:22" s="195" customFormat="1" x14ac:dyDescent="0.25">
      <c r="A12" s="237" t="s">
        <v>19</v>
      </c>
      <c r="B12" s="238" t="s">
        <v>20</v>
      </c>
      <c r="C12" s="252">
        <f t="shared" si="0"/>
        <v>1237.1999999999998</v>
      </c>
      <c r="D12" s="236" t="s">
        <v>323</v>
      </c>
      <c r="E12" s="236"/>
      <c r="J12" s="237" t="s">
        <v>19</v>
      </c>
      <c r="K12" s="238" t="s">
        <v>20</v>
      </c>
      <c r="L12" s="251">
        <f t="shared" si="1"/>
        <v>2467.65</v>
      </c>
      <c r="M12" s="236" t="s">
        <v>323</v>
      </c>
      <c r="N12" s="240">
        <f>+L12-SINDICATO!M12</f>
        <v>0</v>
      </c>
      <c r="P12" s="237" t="s">
        <v>19</v>
      </c>
      <c r="Q12" s="238" t="s">
        <v>20</v>
      </c>
      <c r="R12" s="239">
        <v>1237.1999999999998</v>
      </c>
      <c r="S12" s="195" t="str">
        <f t="shared" si="2"/>
        <v>SI</v>
      </c>
      <c r="T12" s="237" t="s">
        <v>19</v>
      </c>
      <c r="U12" s="238" t="s">
        <v>20</v>
      </c>
      <c r="V12" s="240">
        <v>2467.65</v>
      </c>
    </row>
    <row r="13" spans="1:22" s="195" customFormat="1" x14ac:dyDescent="0.25">
      <c r="A13" s="237" t="s">
        <v>21</v>
      </c>
      <c r="B13" s="238" t="s">
        <v>22</v>
      </c>
      <c r="C13" s="252">
        <f t="shared" si="0"/>
        <v>1237.1999999999998</v>
      </c>
      <c r="D13" s="236" t="s">
        <v>326</v>
      </c>
      <c r="E13" s="236"/>
      <c r="J13" s="237" t="s">
        <v>21</v>
      </c>
      <c r="K13" s="238" t="s">
        <v>22</v>
      </c>
      <c r="L13" s="251">
        <f t="shared" si="1"/>
        <v>13616.484</v>
      </c>
      <c r="M13" s="236" t="s">
        <v>326</v>
      </c>
      <c r="N13" s="240">
        <f>+L13-SINDICATO!M13</f>
        <v>0</v>
      </c>
      <c r="P13" s="237" t="s">
        <v>21</v>
      </c>
      <c r="Q13" s="238" t="s">
        <v>22</v>
      </c>
      <c r="R13" s="239">
        <v>1237.1999999999998</v>
      </c>
      <c r="S13" s="195" t="str">
        <f t="shared" si="2"/>
        <v>SI</v>
      </c>
      <c r="T13" s="237" t="s">
        <v>21</v>
      </c>
      <c r="U13" s="238" t="s">
        <v>22</v>
      </c>
      <c r="V13" s="240">
        <v>13616.484</v>
      </c>
    </row>
    <row r="14" spans="1:22" s="195" customFormat="1" x14ac:dyDescent="0.25">
      <c r="A14" s="237" t="s">
        <v>23</v>
      </c>
      <c r="B14" s="238" t="s">
        <v>24</v>
      </c>
      <c r="C14" s="252">
        <f t="shared" si="0"/>
        <v>1237.1999999999998</v>
      </c>
      <c r="D14" s="236" t="s">
        <v>325</v>
      </c>
      <c r="E14" s="236"/>
      <c r="J14" s="237" t="s">
        <v>23</v>
      </c>
      <c r="K14" s="238" t="s">
        <v>24</v>
      </c>
      <c r="L14" s="251">
        <f t="shared" si="1"/>
        <v>2065.34</v>
      </c>
      <c r="M14" s="236" t="s">
        <v>325</v>
      </c>
      <c r="N14" s="240">
        <f>+L14-SINDICATO!M14</f>
        <v>0</v>
      </c>
      <c r="P14" s="237" t="s">
        <v>23</v>
      </c>
      <c r="Q14" s="238" t="s">
        <v>24</v>
      </c>
      <c r="R14" s="239">
        <v>1237.1999999999998</v>
      </c>
      <c r="S14" s="195" t="str">
        <f t="shared" si="2"/>
        <v>SI</v>
      </c>
      <c r="T14" s="237" t="s">
        <v>23</v>
      </c>
      <c r="U14" s="238" t="s">
        <v>24</v>
      </c>
      <c r="V14" s="240">
        <v>2065.34</v>
      </c>
    </row>
    <row r="15" spans="1:22" s="195" customFormat="1" x14ac:dyDescent="0.25">
      <c r="A15" s="237" t="s">
        <v>25</v>
      </c>
      <c r="B15" s="238" t="s">
        <v>26</v>
      </c>
      <c r="C15" s="252">
        <f t="shared" si="0"/>
        <v>1237.1999999999998</v>
      </c>
      <c r="D15" s="236" t="s">
        <v>327</v>
      </c>
      <c r="E15" s="236"/>
      <c r="J15" s="237" t="s">
        <v>25</v>
      </c>
      <c r="K15" s="238" t="s">
        <v>26</v>
      </c>
      <c r="L15" s="251">
        <f t="shared" si="1"/>
        <v>4331.1270000000004</v>
      </c>
      <c r="M15" s="236" t="s">
        <v>327</v>
      </c>
      <c r="N15" s="240">
        <f>+L15-SINDICATO!M15</f>
        <v>0</v>
      </c>
      <c r="P15" s="237" t="s">
        <v>25</v>
      </c>
      <c r="Q15" s="238" t="s">
        <v>26</v>
      </c>
      <c r="R15" s="239">
        <v>1237.1999999999998</v>
      </c>
      <c r="S15" s="195" t="str">
        <f t="shared" si="2"/>
        <v>SI</v>
      </c>
      <c r="T15" s="237" t="s">
        <v>165</v>
      </c>
      <c r="U15" s="238" t="s">
        <v>26</v>
      </c>
      <c r="V15" s="240">
        <v>4331.1270000000004</v>
      </c>
    </row>
    <row r="16" spans="1:22" s="195" customFormat="1" x14ac:dyDescent="0.25">
      <c r="A16" s="237" t="s">
        <v>27</v>
      </c>
      <c r="B16" s="238" t="s">
        <v>28</v>
      </c>
      <c r="C16" s="252">
        <f t="shared" si="0"/>
        <v>1237.1999999999998</v>
      </c>
      <c r="D16" s="236" t="s">
        <v>329</v>
      </c>
      <c r="E16" s="236"/>
      <c r="J16" s="237" t="s">
        <v>27</v>
      </c>
      <c r="K16" s="238" t="s">
        <v>28</v>
      </c>
      <c r="L16" s="251">
        <f t="shared" si="1"/>
        <v>6429.5219999999999</v>
      </c>
      <c r="M16" s="236" t="s">
        <v>329</v>
      </c>
      <c r="N16" s="240">
        <f>+L16-SINDICATO!M16</f>
        <v>0</v>
      </c>
      <c r="P16" s="237" t="s">
        <v>27</v>
      </c>
      <c r="Q16" s="238" t="s">
        <v>28</v>
      </c>
      <c r="R16" s="239">
        <v>1237.1999999999998</v>
      </c>
      <c r="S16" s="195" t="str">
        <f t="shared" si="2"/>
        <v>SI</v>
      </c>
      <c r="T16" s="237" t="s">
        <v>27</v>
      </c>
      <c r="U16" s="238" t="s">
        <v>28</v>
      </c>
      <c r="V16" s="240">
        <v>6429.5219999999999</v>
      </c>
    </row>
    <row r="17" spans="1:22" s="195" customFormat="1" x14ac:dyDescent="0.25">
      <c r="A17" s="237" t="s">
        <v>29</v>
      </c>
      <c r="B17" s="238" t="s">
        <v>30</v>
      </c>
      <c r="C17" s="252">
        <f t="shared" si="0"/>
        <v>1237.08</v>
      </c>
      <c r="D17" s="236" t="s">
        <v>330</v>
      </c>
      <c r="E17" s="236"/>
      <c r="J17" s="237" t="s">
        <v>29</v>
      </c>
      <c r="K17" s="238" t="s">
        <v>30</v>
      </c>
      <c r="L17" s="251">
        <f t="shared" si="1"/>
        <v>4572.2849999999999</v>
      </c>
      <c r="M17" s="236" t="s">
        <v>330</v>
      </c>
      <c r="N17" s="240">
        <f>+L17-SINDICATO!M17</f>
        <v>0</v>
      </c>
      <c r="P17" s="237" t="s">
        <v>29</v>
      </c>
      <c r="Q17" s="238" t="s">
        <v>30</v>
      </c>
      <c r="R17" s="239">
        <v>1237.08</v>
      </c>
      <c r="S17" s="195" t="str">
        <f t="shared" si="2"/>
        <v>SI</v>
      </c>
      <c r="T17" s="237" t="s">
        <v>29</v>
      </c>
      <c r="U17" s="238" t="s">
        <v>30</v>
      </c>
      <c r="V17" s="240">
        <v>4572.2849999999999</v>
      </c>
    </row>
    <row r="18" spans="1:22" s="195" customFormat="1" x14ac:dyDescent="0.25">
      <c r="A18" s="237" t="s">
        <v>33</v>
      </c>
      <c r="B18" s="238" t="s">
        <v>34</v>
      </c>
      <c r="C18" s="252">
        <f t="shared" si="0"/>
        <v>1237</v>
      </c>
      <c r="D18" s="236" t="s">
        <v>328</v>
      </c>
      <c r="E18" s="236"/>
      <c r="J18" s="237" t="s">
        <v>33</v>
      </c>
      <c r="K18" s="238" t="s">
        <v>34</v>
      </c>
      <c r="L18" s="251">
        <f t="shared" si="1"/>
        <v>1478.2263632955842</v>
      </c>
      <c r="M18" s="236" t="s">
        <v>328</v>
      </c>
      <c r="N18" s="240">
        <f>+L18-SINDICATO!M18</f>
        <v>0</v>
      </c>
      <c r="P18" s="237" t="s">
        <v>33</v>
      </c>
      <c r="Q18" s="238" t="s">
        <v>34</v>
      </c>
      <c r="R18" s="239">
        <v>1237</v>
      </c>
      <c r="S18" s="195" t="str">
        <f t="shared" si="2"/>
        <v>SI</v>
      </c>
      <c r="T18" s="237" t="s">
        <v>33</v>
      </c>
      <c r="U18" s="238" t="s">
        <v>34</v>
      </c>
      <c r="V18" s="240">
        <v>1478.2263632955842</v>
      </c>
    </row>
    <row r="19" spans="1:22" s="195" customFormat="1" x14ac:dyDescent="0.25">
      <c r="A19" s="237" t="s">
        <v>35</v>
      </c>
      <c r="B19" s="238" t="s">
        <v>36</v>
      </c>
      <c r="C19" s="252">
        <f t="shared" si="0"/>
        <v>1237.1999999999998</v>
      </c>
      <c r="D19" s="236" t="s">
        <v>321</v>
      </c>
      <c r="E19" s="236"/>
      <c r="J19" s="237" t="s">
        <v>35</v>
      </c>
      <c r="K19" s="238" t="s">
        <v>36</v>
      </c>
      <c r="L19" s="251">
        <f t="shared" si="1"/>
        <v>1478.0263632955844</v>
      </c>
      <c r="M19" s="236" t="s">
        <v>321</v>
      </c>
      <c r="N19" s="240">
        <f>+L19-SINDICATO!M19</f>
        <v>0</v>
      </c>
      <c r="P19" s="237" t="s">
        <v>35</v>
      </c>
      <c r="Q19" s="238" t="s">
        <v>36</v>
      </c>
      <c r="R19" s="239">
        <v>1237.1999999999998</v>
      </c>
      <c r="S19" s="195" t="str">
        <f t="shared" si="2"/>
        <v>SI</v>
      </c>
      <c r="T19" s="237" t="s">
        <v>35</v>
      </c>
      <c r="U19" s="238" t="s">
        <v>36</v>
      </c>
      <c r="V19" s="240">
        <v>1478.0263632955844</v>
      </c>
    </row>
    <row r="20" spans="1:22" s="195" customFormat="1" x14ac:dyDescent="0.25">
      <c r="A20" s="237" t="s">
        <v>37</v>
      </c>
      <c r="B20" s="238" t="s">
        <v>38</v>
      </c>
      <c r="C20" s="252">
        <f t="shared" si="0"/>
        <v>1237.28</v>
      </c>
      <c r="D20" s="236" t="s">
        <v>332</v>
      </c>
      <c r="E20" s="236"/>
      <c r="J20" s="237" t="s">
        <v>37</v>
      </c>
      <c r="K20" s="238" t="s">
        <v>38</v>
      </c>
      <c r="L20" s="251">
        <f t="shared" si="1"/>
        <v>790.89056780965143</v>
      </c>
      <c r="M20" s="236" t="s">
        <v>332</v>
      </c>
      <c r="N20" s="240">
        <f>+L20-SINDICATO!M20</f>
        <v>0</v>
      </c>
      <c r="P20" s="237" t="s">
        <v>37</v>
      </c>
      <c r="Q20" s="238" t="s">
        <v>38</v>
      </c>
      <c r="R20" s="239">
        <v>1237.28</v>
      </c>
      <c r="S20" s="195" t="str">
        <f t="shared" si="2"/>
        <v>SI</v>
      </c>
      <c r="T20" s="237" t="s">
        <v>37</v>
      </c>
      <c r="U20" s="238" t="s">
        <v>38</v>
      </c>
      <c r="V20" s="240">
        <v>790.89056780965143</v>
      </c>
    </row>
    <row r="21" spans="1:22" s="195" customFormat="1" x14ac:dyDescent="0.25">
      <c r="A21" s="237" t="s">
        <v>39</v>
      </c>
      <c r="B21" s="238" t="s">
        <v>40</v>
      </c>
      <c r="C21" s="252">
        <f t="shared" si="0"/>
        <v>1237.1999999999998</v>
      </c>
      <c r="D21" s="236" t="s">
        <v>333</v>
      </c>
      <c r="E21" s="236"/>
      <c r="J21" s="237" t="s">
        <v>39</v>
      </c>
      <c r="K21" s="238" t="s">
        <v>40</v>
      </c>
      <c r="L21" s="251">
        <f t="shared" si="1"/>
        <v>3024.2980000000002</v>
      </c>
      <c r="M21" s="236" t="s">
        <v>333</v>
      </c>
      <c r="N21" s="240">
        <f>+L21-SINDICATO!M21</f>
        <v>0</v>
      </c>
      <c r="P21" s="237" t="s">
        <v>39</v>
      </c>
      <c r="Q21" s="238" t="s">
        <v>40</v>
      </c>
      <c r="R21" s="239">
        <v>1237.1999999999998</v>
      </c>
      <c r="S21" s="195" t="str">
        <f t="shared" si="2"/>
        <v>SI</v>
      </c>
      <c r="T21" s="237" t="s">
        <v>39</v>
      </c>
      <c r="U21" s="238" t="s">
        <v>40</v>
      </c>
      <c r="V21" s="240">
        <v>3024.2980000000002</v>
      </c>
    </row>
    <row r="22" spans="1:22" s="195" customFormat="1" x14ac:dyDescent="0.25">
      <c r="A22" s="237" t="s">
        <v>41</v>
      </c>
      <c r="B22" s="238" t="s">
        <v>42</v>
      </c>
      <c r="C22" s="252">
        <f t="shared" si="0"/>
        <v>1237.1999999999998</v>
      </c>
      <c r="D22" s="236" t="s">
        <v>331</v>
      </c>
      <c r="E22" s="236"/>
      <c r="J22" s="237" t="s">
        <v>41</v>
      </c>
      <c r="K22" s="238" t="s">
        <v>42</v>
      </c>
      <c r="L22" s="251">
        <f t="shared" si="1"/>
        <v>3656.1270000000004</v>
      </c>
      <c r="M22" s="236" t="s">
        <v>331</v>
      </c>
      <c r="N22" s="240">
        <f>+L22-SINDICATO!M22</f>
        <v>0</v>
      </c>
      <c r="P22" s="237" t="s">
        <v>41</v>
      </c>
      <c r="Q22" s="238" t="s">
        <v>42</v>
      </c>
      <c r="R22" s="239">
        <v>1237.1999999999998</v>
      </c>
      <c r="S22" s="195" t="str">
        <f t="shared" si="2"/>
        <v>SI</v>
      </c>
      <c r="T22" s="237" t="s">
        <v>41</v>
      </c>
      <c r="U22" s="238" t="s">
        <v>42</v>
      </c>
      <c r="V22" s="240">
        <v>3656.1270000000004</v>
      </c>
    </row>
    <row r="23" spans="1:22" ht="15.75" x14ac:dyDescent="0.25">
      <c r="A23" s="237"/>
      <c r="B23" s="242" t="s">
        <v>293</v>
      </c>
      <c r="C23" s="252">
        <f t="shared" si="0"/>
        <v>1237.1999999999998</v>
      </c>
      <c r="D23" s="248">
        <v>1167104413</v>
      </c>
      <c r="E23" s="236"/>
      <c r="F23" s="195"/>
      <c r="G23" s="195"/>
      <c r="H23" s="195"/>
      <c r="I23" s="195"/>
      <c r="J23" s="237"/>
      <c r="K23" s="242" t="s">
        <v>293</v>
      </c>
      <c r="L23" s="251">
        <f t="shared" si="1"/>
        <v>1863.0238971313579</v>
      </c>
      <c r="M23" s="248">
        <v>1167104413</v>
      </c>
      <c r="N23" s="240">
        <f>+L23-SINDICATO!M23</f>
        <v>0</v>
      </c>
      <c r="O23" s="195"/>
      <c r="P23" s="221"/>
      <c r="Q23" s="242" t="s">
        <v>293</v>
      </c>
      <c r="R23" s="225">
        <v>1237.1999999999998</v>
      </c>
      <c r="S23" s="219" t="str">
        <f t="shared" si="2"/>
        <v>SI</v>
      </c>
      <c r="T23" s="221"/>
      <c r="U23" s="242" t="s">
        <v>293</v>
      </c>
      <c r="V23" s="235">
        <v>1863.0238971313579</v>
      </c>
    </row>
    <row r="24" spans="1:22" s="195" customFormat="1" x14ac:dyDescent="0.25">
      <c r="A24" s="237" t="s">
        <v>43</v>
      </c>
      <c r="B24" s="238" t="s">
        <v>44</v>
      </c>
      <c r="C24" s="252">
        <f t="shared" si="0"/>
        <v>1237.1999999999998</v>
      </c>
      <c r="D24" s="236" t="s">
        <v>335</v>
      </c>
      <c r="E24" s="236"/>
      <c r="J24" s="237" t="s">
        <v>43</v>
      </c>
      <c r="K24" s="238" t="s">
        <v>44</v>
      </c>
      <c r="L24" s="251">
        <f t="shared" si="1"/>
        <v>93280.376999999993</v>
      </c>
      <c r="M24" s="236" t="s">
        <v>335</v>
      </c>
      <c r="N24" s="240">
        <f>+L24-SINDICATO!M24</f>
        <v>0</v>
      </c>
      <c r="P24" s="237" t="s">
        <v>43</v>
      </c>
      <c r="Q24" s="238" t="s">
        <v>44</v>
      </c>
      <c r="R24" s="239">
        <v>1237.1999999999998</v>
      </c>
      <c r="S24" s="195" t="str">
        <f t="shared" si="2"/>
        <v>SI</v>
      </c>
      <c r="T24" s="237" t="s">
        <v>43</v>
      </c>
      <c r="U24" s="238" t="s">
        <v>44</v>
      </c>
      <c r="V24" s="240">
        <v>93280.376999999993</v>
      </c>
    </row>
    <row r="25" spans="1:22" s="195" customFormat="1" x14ac:dyDescent="0.25">
      <c r="A25" s="237" t="s">
        <v>45</v>
      </c>
      <c r="B25" s="238" t="s">
        <v>46</v>
      </c>
      <c r="C25" s="252">
        <f t="shared" si="0"/>
        <v>1237.1999999999998</v>
      </c>
      <c r="D25" s="236" t="s">
        <v>336</v>
      </c>
      <c r="E25" s="236"/>
      <c r="J25" s="237" t="s">
        <v>45</v>
      </c>
      <c r="K25" s="238" t="s">
        <v>46</v>
      </c>
      <c r="L25" s="251">
        <f t="shared" si="1"/>
        <v>2425.9276577358642</v>
      </c>
      <c r="M25" s="236" t="s">
        <v>336</v>
      </c>
      <c r="N25" s="240">
        <f>+L25-SINDICATO!M25</f>
        <v>0</v>
      </c>
      <c r="P25" s="237" t="s">
        <v>45</v>
      </c>
      <c r="Q25" s="238" t="s">
        <v>46</v>
      </c>
      <c r="R25" s="239">
        <v>1237.1999999999998</v>
      </c>
      <c r="S25" s="195" t="str">
        <f t="shared" si="2"/>
        <v>SI</v>
      </c>
      <c r="T25" s="237" t="s">
        <v>45</v>
      </c>
      <c r="U25" s="238" t="s">
        <v>46</v>
      </c>
      <c r="V25" s="240">
        <v>2425.9276577358642</v>
      </c>
    </row>
    <row r="26" spans="1:22" s="195" customFormat="1" x14ac:dyDescent="0.25">
      <c r="A26" s="237" t="s">
        <v>160</v>
      </c>
      <c r="B26" s="238" t="s">
        <v>155</v>
      </c>
      <c r="C26" s="252">
        <f t="shared" si="0"/>
        <v>1237.1999999999998</v>
      </c>
      <c r="D26" s="236" t="s">
        <v>334</v>
      </c>
      <c r="E26" s="236"/>
      <c r="J26" s="237" t="s">
        <v>160</v>
      </c>
      <c r="K26" s="238" t="s">
        <v>155</v>
      </c>
      <c r="L26" s="251">
        <f t="shared" si="1"/>
        <v>3206.127</v>
      </c>
      <c r="M26" s="236" t="s">
        <v>334</v>
      </c>
      <c r="N26" s="240">
        <f>+L26-SINDICATO!M26</f>
        <v>0</v>
      </c>
      <c r="P26" s="237" t="s">
        <v>160</v>
      </c>
      <c r="Q26" s="238" t="s">
        <v>155</v>
      </c>
      <c r="R26" s="239">
        <v>1237.1999999999998</v>
      </c>
      <c r="S26" s="195" t="str">
        <f t="shared" si="2"/>
        <v>SI</v>
      </c>
      <c r="T26" s="237" t="s">
        <v>160</v>
      </c>
      <c r="U26" s="238" t="s">
        <v>155</v>
      </c>
      <c r="V26" s="240">
        <v>3206.127</v>
      </c>
    </row>
    <row r="27" spans="1:22" x14ac:dyDescent="0.25">
      <c r="A27" s="237"/>
      <c r="B27" s="241" t="s">
        <v>48</v>
      </c>
      <c r="C27" s="252">
        <f t="shared" si="0"/>
        <v>0</v>
      </c>
      <c r="D27" s="250" t="s">
        <v>365</v>
      </c>
      <c r="E27" s="236"/>
      <c r="F27" s="195"/>
      <c r="G27" s="195"/>
      <c r="H27" s="195"/>
      <c r="I27" s="195"/>
      <c r="J27" s="237"/>
      <c r="K27" s="241" t="s">
        <v>48</v>
      </c>
      <c r="L27" s="251">
        <f t="shared" si="1"/>
        <v>247.35</v>
      </c>
      <c r="M27" s="253" t="s">
        <v>365</v>
      </c>
      <c r="N27" s="240">
        <f>+L27-SINDICATO!M27</f>
        <v>0</v>
      </c>
      <c r="O27" s="195"/>
      <c r="P27" s="158" t="s">
        <v>47</v>
      </c>
      <c r="Q27" s="241" t="s">
        <v>48</v>
      </c>
      <c r="R27" s="225">
        <v>0</v>
      </c>
      <c r="S27" s="219" t="str">
        <f t="shared" si="2"/>
        <v>SI</v>
      </c>
      <c r="T27" s="221" t="s">
        <v>47</v>
      </c>
      <c r="U27" s="220" t="s">
        <v>48</v>
      </c>
      <c r="V27" s="235">
        <v>247.35</v>
      </c>
    </row>
    <row r="28" spans="1:22" s="195" customFormat="1" x14ac:dyDescent="0.25">
      <c r="A28" s="237" t="s">
        <v>49</v>
      </c>
      <c r="B28" s="238" t="s">
        <v>50</v>
      </c>
      <c r="C28" s="252">
        <f t="shared" si="0"/>
        <v>1237.1999999999998</v>
      </c>
      <c r="D28" s="236" t="s">
        <v>312</v>
      </c>
      <c r="E28" s="236"/>
      <c r="J28" s="237" t="s">
        <v>49</v>
      </c>
      <c r="K28" s="238" t="s">
        <v>50</v>
      </c>
      <c r="L28" s="251">
        <f t="shared" si="1"/>
        <v>18168.974999999999</v>
      </c>
      <c r="M28" s="236" t="s">
        <v>312</v>
      </c>
      <c r="N28" s="240">
        <f>+L28-SINDICATO!M28</f>
        <v>0</v>
      </c>
      <c r="P28" s="237" t="s">
        <v>49</v>
      </c>
      <c r="Q28" s="238" t="s">
        <v>50</v>
      </c>
      <c r="R28" s="239">
        <v>1237.1999999999998</v>
      </c>
      <c r="S28" s="195" t="str">
        <f t="shared" si="2"/>
        <v>SI</v>
      </c>
      <c r="T28" s="237" t="s">
        <v>49</v>
      </c>
      <c r="U28" s="238" t="s">
        <v>50</v>
      </c>
      <c r="V28" s="240">
        <v>18168.974999999999</v>
      </c>
    </row>
    <row r="29" spans="1:22" s="195" customFormat="1" x14ac:dyDescent="0.25">
      <c r="A29" s="237" t="s">
        <v>51</v>
      </c>
      <c r="B29" s="238" t="s">
        <v>52</v>
      </c>
      <c r="C29" s="252">
        <f t="shared" si="0"/>
        <v>1237.1999999999998</v>
      </c>
      <c r="D29" s="236" t="s">
        <v>337</v>
      </c>
      <c r="E29" s="236"/>
      <c r="J29" s="237" t="s">
        <v>51</v>
      </c>
      <c r="K29" s="238" t="s">
        <v>52</v>
      </c>
      <c r="L29" s="251">
        <f t="shared" si="1"/>
        <v>2342.7705678096518</v>
      </c>
      <c r="M29" s="236" t="s">
        <v>337</v>
      </c>
      <c r="N29" s="240">
        <f>+L29-SINDICATO!M29</f>
        <v>0</v>
      </c>
      <c r="P29" s="237" t="s">
        <v>51</v>
      </c>
      <c r="Q29" s="238" t="s">
        <v>52</v>
      </c>
      <c r="R29" s="239">
        <v>1237.1999999999998</v>
      </c>
      <c r="S29" s="195" t="str">
        <f t="shared" si="2"/>
        <v>SI</v>
      </c>
      <c r="T29" s="237" t="s">
        <v>51</v>
      </c>
      <c r="U29" s="238" t="s">
        <v>52</v>
      </c>
      <c r="V29" s="240">
        <v>2342.7705678096518</v>
      </c>
    </row>
    <row r="30" spans="1:22" s="195" customFormat="1" x14ac:dyDescent="0.25">
      <c r="A30" s="237" t="s">
        <v>53</v>
      </c>
      <c r="B30" s="238" t="s">
        <v>54</v>
      </c>
      <c r="C30" s="252">
        <f t="shared" si="0"/>
        <v>1237.1999999999998</v>
      </c>
      <c r="D30" s="236" t="s">
        <v>339</v>
      </c>
      <c r="E30" s="236"/>
      <c r="J30" s="237" t="s">
        <v>53</v>
      </c>
      <c r="K30" s="238" t="s">
        <v>54</v>
      </c>
      <c r="L30" s="251">
        <f t="shared" si="1"/>
        <v>2717.65</v>
      </c>
      <c r="M30" s="236" t="s">
        <v>339</v>
      </c>
      <c r="N30" s="240">
        <f>+L30-SINDICATO!M30</f>
        <v>0</v>
      </c>
      <c r="P30" s="237" t="s">
        <v>53</v>
      </c>
      <c r="Q30" s="238" t="s">
        <v>54</v>
      </c>
      <c r="R30" s="239">
        <v>1237.1999999999998</v>
      </c>
      <c r="S30" s="195" t="str">
        <f t="shared" si="2"/>
        <v>SI</v>
      </c>
      <c r="T30" s="237" t="s">
        <v>53</v>
      </c>
      <c r="U30" s="238" t="s">
        <v>54</v>
      </c>
      <c r="V30" s="240">
        <v>2717.65</v>
      </c>
    </row>
    <row r="31" spans="1:22" s="195" customFormat="1" x14ac:dyDescent="0.25">
      <c r="A31" s="237" t="s">
        <v>55</v>
      </c>
      <c r="B31" s="238" t="s">
        <v>56</v>
      </c>
      <c r="C31" s="252">
        <f t="shared" si="0"/>
        <v>1237.1999999999998</v>
      </c>
      <c r="D31" s="236" t="s">
        <v>341</v>
      </c>
      <c r="E31" s="236"/>
      <c r="J31" s="237" t="s">
        <v>55</v>
      </c>
      <c r="K31" s="238" t="s">
        <v>56</v>
      </c>
      <c r="L31" s="251">
        <f t="shared" si="1"/>
        <v>3366.2530000000002</v>
      </c>
      <c r="M31" s="236" t="s">
        <v>341</v>
      </c>
      <c r="N31" s="240">
        <f>+L31-SINDICATO!M31</f>
        <v>0</v>
      </c>
      <c r="P31" s="237" t="s">
        <v>55</v>
      </c>
      <c r="Q31" s="238" t="s">
        <v>56</v>
      </c>
      <c r="R31" s="239">
        <v>1237.1999999999998</v>
      </c>
      <c r="S31" s="195" t="str">
        <f t="shared" si="2"/>
        <v>SI</v>
      </c>
      <c r="T31" s="237" t="s">
        <v>55</v>
      </c>
      <c r="U31" s="238" t="s">
        <v>56</v>
      </c>
      <c r="V31" s="240">
        <v>3366.2530000000002</v>
      </c>
    </row>
    <row r="32" spans="1:22" s="195" customFormat="1" x14ac:dyDescent="0.25">
      <c r="A32" s="237" t="s">
        <v>161</v>
      </c>
      <c r="B32" s="238" t="s">
        <v>162</v>
      </c>
      <c r="C32" s="252">
        <f t="shared" si="0"/>
        <v>1237.1999999999998</v>
      </c>
      <c r="D32" s="236" t="s">
        <v>338</v>
      </c>
      <c r="E32" s="236"/>
      <c r="J32" s="237" t="s">
        <v>161</v>
      </c>
      <c r="K32" s="238" t="s">
        <v>162</v>
      </c>
      <c r="L32" s="251">
        <f t="shared" si="1"/>
        <v>2717.65</v>
      </c>
      <c r="M32" s="236" t="s">
        <v>338</v>
      </c>
      <c r="N32" s="240">
        <f>+L32-SINDICATO!M32</f>
        <v>0</v>
      </c>
      <c r="P32" s="237" t="s">
        <v>161</v>
      </c>
      <c r="Q32" s="238" t="s">
        <v>162</v>
      </c>
      <c r="R32" s="239">
        <v>1237.1999999999998</v>
      </c>
      <c r="S32" s="195" t="str">
        <f t="shared" si="2"/>
        <v>SI</v>
      </c>
      <c r="T32" s="237" t="s">
        <v>161</v>
      </c>
      <c r="U32" s="238" t="s">
        <v>162</v>
      </c>
      <c r="V32" s="240">
        <v>2717.65</v>
      </c>
    </row>
    <row r="33" spans="1:22" s="195" customFormat="1" x14ac:dyDescent="0.25">
      <c r="A33" s="237" t="s">
        <v>57</v>
      </c>
      <c r="B33" s="238" t="s">
        <v>58</v>
      </c>
      <c r="C33" s="252">
        <f t="shared" si="0"/>
        <v>1237.1999999999998</v>
      </c>
      <c r="D33" s="236" t="s">
        <v>344</v>
      </c>
      <c r="E33" s="236"/>
      <c r="J33" s="237" t="s">
        <v>57</v>
      </c>
      <c r="K33" s="238" t="s">
        <v>58</v>
      </c>
      <c r="L33" s="251">
        <f t="shared" si="1"/>
        <v>2967.65</v>
      </c>
      <c r="M33" s="236" t="s">
        <v>344</v>
      </c>
      <c r="N33" s="240">
        <f>+L33-SINDICATO!M33</f>
        <v>0</v>
      </c>
      <c r="P33" s="237" t="s">
        <v>57</v>
      </c>
      <c r="Q33" s="238" t="s">
        <v>58</v>
      </c>
      <c r="R33" s="239">
        <v>1237.1999999999998</v>
      </c>
      <c r="S33" s="195" t="str">
        <f t="shared" si="2"/>
        <v>SI</v>
      </c>
      <c r="T33" s="237" t="s">
        <v>57</v>
      </c>
      <c r="U33" s="238" t="s">
        <v>58</v>
      </c>
      <c r="V33" s="240">
        <v>2967.65</v>
      </c>
    </row>
    <row r="34" spans="1:22" s="195" customFormat="1" x14ac:dyDescent="0.25">
      <c r="A34" s="237" t="s">
        <v>59</v>
      </c>
      <c r="B34" s="238" t="s">
        <v>60</v>
      </c>
      <c r="C34" s="252">
        <f t="shared" si="0"/>
        <v>1237.1999999999998</v>
      </c>
      <c r="D34" s="236" t="s">
        <v>345</v>
      </c>
      <c r="E34" s="236"/>
      <c r="J34" s="237" t="s">
        <v>59</v>
      </c>
      <c r="K34" s="238" t="s">
        <v>60</v>
      </c>
      <c r="L34" s="251">
        <f t="shared" si="1"/>
        <v>2347.7705678096518</v>
      </c>
      <c r="M34" s="236" t="s">
        <v>345</v>
      </c>
      <c r="N34" s="240">
        <f>+L34-SINDICATO!M34</f>
        <v>0</v>
      </c>
      <c r="P34" s="237" t="s">
        <v>59</v>
      </c>
      <c r="Q34" s="238" t="s">
        <v>60</v>
      </c>
      <c r="R34" s="239">
        <v>1237.1999999999998</v>
      </c>
      <c r="S34" s="195" t="str">
        <f t="shared" si="2"/>
        <v>SI</v>
      </c>
      <c r="T34" s="237" t="s">
        <v>59</v>
      </c>
      <c r="U34" s="238" t="s">
        <v>60</v>
      </c>
      <c r="V34" s="240">
        <v>2347.7705678096518</v>
      </c>
    </row>
    <row r="35" spans="1:22" s="195" customFormat="1" x14ac:dyDescent="0.25">
      <c r="A35" s="237" t="s">
        <v>61</v>
      </c>
      <c r="B35" s="238" t="s">
        <v>62</v>
      </c>
      <c r="C35" s="252">
        <f t="shared" si="0"/>
        <v>1237.1999999999998</v>
      </c>
      <c r="D35" s="236" t="s">
        <v>342</v>
      </c>
      <c r="E35" s="236"/>
      <c r="J35" s="237" t="s">
        <v>61</v>
      </c>
      <c r="K35" s="238" t="s">
        <v>62</v>
      </c>
      <c r="L35" s="251">
        <f t="shared" si="1"/>
        <v>1328.6263632955847</v>
      </c>
      <c r="M35" s="236" t="s">
        <v>342</v>
      </c>
      <c r="N35" s="240">
        <f>+L35-SINDICATO!M35</f>
        <v>0</v>
      </c>
      <c r="P35" s="237" t="s">
        <v>61</v>
      </c>
      <c r="Q35" s="238" t="s">
        <v>62</v>
      </c>
      <c r="R35" s="239">
        <v>1237.1999999999998</v>
      </c>
      <c r="S35" s="195" t="str">
        <f t="shared" si="2"/>
        <v>SI</v>
      </c>
      <c r="T35" s="237" t="s">
        <v>61</v>
      </c>
      <c r="U35" s="238" t="s">
        <v>62</v>
      </c>
      <c r="V35" s="240">
        <v>1328.6263632955847</v>
      </c>
    </row>
    <row r="36" spans="1:22" s="195" customFormat="1" x14ac:dyDescent="0.25">
      <c r="A36" s="237" t="s">
        <v>63</v>
      </c>
      <c r="B36" s="238" t="s">
        <v>64</v>
      </c>
      <c r="C36" s="252">
        <f t="shared" si="0"/>
        <v>1237.1999999999998</v>
      </c>
      <c r="D36" s="236" t="s">
        <v>343</v>
      </c>
      <c r="E36" s="236"/>
      <c r="J36" s="237" t="s">
        <v>63</v>
      </c>
      <c r="K36" s="238" t="s">
        <v>64</v>
      </c>
      <c r="L36" s="251">
        <f t="shared" si="1"/>
        <v>2403.75</v>
      </c>
      <c r="M36" s="236" t="s">
        <v>343</v>
      </c>
      <c r="N36" s="240">
        <f>+L36-SINDICATO!M36</f>
        <v>0</v>
      </c>
      <c r="P36" s="237" t="s">
        <v>63</v>
      </c>
      <c r="Q36" s="238" t="s">
        <v>64</v>
      </c>
      <c r="R36" s="239">
        <v>1237.1999999999998</v>
      </c>
      <c r="S36" s="195" t="str">
        <f t="shared" si="2"/>
        <v>SI</v>
      </c>
      <c r="T36" s="237" t="s">
        <v>63</v>
      </c>
      <c r="U36" s="238" t="s">
        <v>64</v>
      </c>
      <c r="V36" s="240">
        <v>2403.75</v>
      </c>
    </row>
    <row r="37" spans="1:22" s="195" customFormat="1" x14ac:dyDescent="0.25">
      <c r="A37" s="237" t="s">
        <v>65</v>
      </c>
      <c r="B37" s="238" t="s">
        <v>66</v>
      </c>
      <c r="C37" s="252">
        <f t="shared" si="0"/>
        <v>1237.1999999999998</v>
      </c>
      <c r="D37" s="236" t="s">
        <v>340</v>
      </c>
      <c r="E37" s="236"/>
      <c r="J37" s="237" t="s">
        <v>65</v>
      </c>
      <c r="K37" s="238" t="s">
        <v>66</v>
      </c>
      <c r="L37" s="251">
        <f t="shared" si="1"/>
        <v>1578.8338971313581</v>
      </c>
      <c r="M37" s="236" t="s">
        <v>340</v>
      </c>
      <c r="N37" s="240">
        <f>+L37-SINDICATO!M37</f>
        <v>0</v>
      </c>
      <c r="P37" s="237" t="s">
        <v>65</v>
      </c>
      <c r="Q37" s="238" t="s">
        <v>66</v>
      </c>
      <c r="R37" s="239">
        <v>1237.1999999999998</v>
      </c>
      <c r="S37" s="195" t="str">
        <f t="shared" si="2"/>
        <v>SI</v>
      </c>
      <c r="T37" s="237" t="s">
        <v>65</v>
      </c>
      <c r="U37" s="238" t="s">
        <v>66</v>
      </c>
      <c r="V37" s="240">
        <v>1578.8338971313581</v>
      </c>
    </row>
    <row r="38" spans="1:22" s="195" customFormat="1" x14ac:dyDescent="0.25">
      <c r="A38" s="237" t="s">
        <v>67</v>
      </c>
      <c r="B38" s="238" t="s">
        <v>68</v>
      </c>
      <c r="C38" s="252">
        <f t="shared" si="0"/>
        <v>1237.1999999999998</v>
      </c>
      <c r="D38" s="236" t="s">
        <v>319</v>
      </c>
      <c r="E38" s="236"/>
      <c r="J38" s="237" t="s">
        <v>67</v>
      </c>
      <c r="K38" s="238" t="s">
        <v>68</v>
      </c>
      <c r="L38" s="251">
        <f t="shared" si="1"/>
        <v>12239.273999999999</v>
      </c>
      <c r="M38" s="236" t="s">
        <v>319</v>
      </c>
      <c r="N38" s="240">
        <f>+L38-SINDICATO!M38</f>
        <v>0</v>
      </c>
      <c r="P38" s="237" t="s">
        <v>67</v>
      </c>
      <c r="Q38" s="238" t="s">
        <v>68</v>
      </c>
      <c r="R38" s="239">
        <v>1237.1999999999998</v>
      </c>
      <c r="S38" s="195" t="str">
        <f t="shared" si="2"/>
        <v>SI</v>
      </c>
      <c r="T38" s="237" t="s">
        <v>67</v>
      </c>
      <c r="U38" s="238" t="s">
        <v>68</v>
      </c>
      <c r="V38" s="240">
        <v>12239.273999999999</v>
      </c>
    </row>
    <row r="39" spans="1:22" s="195" customFormat="1" x14ac:dyDescent="0.25">
      <c r="A39" s="237" t="s">
        <v>69</v>
      </c>
      <c r="B39" s="238" t="s">
        <v>70</v>
      </c>
      <c r="C39" s="252">
        <f t="shared" si="0"/>
        <v>1237.1999999999998</v>
      </c>
      <c r="D39" s="236" t="s">
        <v>346</v>
      </c>
      <c r="E39" s="236"/>
      <c r="J39" s="237" t="s">
        <v>69</v>
      </c>
      <c r="K39" s="238" t="s">
        <v>70</v>
      </c>
      <c r="L39" s="251">
        <f t="shared" si="1"/>
        <v>4149.2979999999998</v>
      </c>
      <c r="M39" s="236" t="s">
        <v>346</v>
      </c>
      <c r="N39" s="240">
        <f>+L39-SINDICATO!M39</f>
        <v>0</v>
      </c>
      <c r="P39" s="237" t="s">
        <v>69</v>
      </c>
      <c r="Q39" s="238" t="s">
        <v>70</v>
      </c>
      <c r="R39" s="239">
        <v>1237.1999999999998</v>
      </c>
      <c r="S39" s="195" t="str">
        <f t="shared" si="2"/>
        <v>SI</v>
      </c>
      <c r="T39" s="237" t="s">
        <v>69</v>
      </c>
      <c r="U39" s="238" t="s">
        <v>70</v>
      </c>
      <c r="V39" s="240">
        <v>4149.2979999999998</v>
      </c>
    </row>
    <row r="40" spans="1:22" s="195" customFormat="1" x14ac:dyDescent="0.25">
      <c r="A40" s="237" t="s">
        <v>71</v>
      </c>
      <c r="B40" s="238" t="s">
        <v>72</v>
      </c>
      <c r="C40" s="252">
        <f t="shared" si="0"/>
        <v>1237.1999999999998</v>
      </c>
      <c r="D40" s="236" t="s">
        <v>314</v>
      </c>
      <c r="E40" s="236"/>
      <c r="J40" s="237" t="s">
        <v>71</v>
      </c>
      <c r="K40" s="238" t="s">
        <v>72</v>
      </c>
      <c r="L40" s="251">
        <f t="shared" si="1"/>
        <v>24105.141</v>
      </c>
      <c r="M40" s="236" t="s">
        <v>314</v>
      </c>
      <c r="N40" s="240">
        <f>+L40-SINDICATO!M40</f>
        <v>0</v>
      </c>
      <c r="P40" s="237" t="s">
        <v>71</v>
      </c>
      <c r="Q40" s="238" t="s">
        <v>72</v>
      </c>
      <c r="R40" s="239">
        <v>1237.1999999999998</v>
      </c>
      <c r="S40" s="195" t="str">
        <f t="shared" si="2"/>
        <v>SI</v>
      </c>
      <c r="T40" s="237" t="s">
        <v>71</v>
      </c>
      <c r="U40" s="238" t="s">
        <v>72</v>
      </c>
      <c r="V40" s="240">
        <v>24105.141</v>
      </c>
    </row>
    <row r="41" spans="1:22" s="195" customFormat="1" x14ac:dyDescent="0.25">
      <c r="A41" s="237" t="s">
        <v>73</v>
      </c>
      <c r="B41" s="238" t="s">
        <v>74</v>
      </c>
      <c r="C41" s="252">
        <f t="shared" si="0"/>
        <v>1237.1999999999998</v>
      </c>
      <c r="D41" s="236" t="s">
        <v>317</v>
      </c>
      <c r="E41" s="236"/>
      <c r="J41" s="237" t="s">
        <v>73</v>
      </c>
      <c r="K41" s="238" t="s">
        <v>74</v>
      </c>
      <c r="L41" s="251">
        <f t="shared" si="1"/>
        <v>2964.7920000000004</v>
      </c>
      <c r="M41" s="236" t="s">
        <v>317</v>
      </c>
      <c r="N41" s="240">
        <f>+L41-SINDICATO!M41</f>
        <v>0</v>
      </c>
      <c r="P41" s="237" t="s">
        <v>73</v>
      </c>
      <c r="Q41" s="238" t="s">
        <v>74</v>
      </c>
      <c r="R41" s="239">
        <v>1237.1999999999998</v>
      </c>
      <c r="S41" s="195" t="str">
        <f t="shared" si="2"/>
        <v>SI</v>
      </c>
      <c r="T41" s="237" t="s">
        <v>73</v>
      </c>
      <c r="U41" s="238" t="s">
        <v>74</v>
      </c>
      <c r="V41" s="240">
        <v>2964.7920000000004</v>
      </c>
    </row>
    <row r="42" spans="1:22" s="195" customFormat="1" x14ac:dyDescent="0.25">
      <c r="A42" s="237" t="s">
        <v>156</v>
      </c>
      <c r="B42" s="238" t="s">
        <v>157</v>
      </c>
      <c r="C42" s="252">
        <f t="shared" si="0"/>
        <v>1237.1999999999998</v>
      </c>
      <c r="D42" s="196" t="s">
        <v>347</v>
      </c>
      <c r="E42" s="236"/>
      <c r="J42" s="237" t="s">
        <v>156</v>
      </c>
      <c r="K42" s="238" t="s">
        <v>157</v>
      </c>
      <c r="L42" s="251">
        <f t="shared" si="1"/>
        <v>3717.165</v>
      </c>
      <c r="M42" s="196" t="s">
        <v>347</v>
      </c>
      <c r="N42" s="240">
        <f>+L42-SINDICATO!M42</f>
        <v>0</v>
      </c>
      <c r="P42" s="237" t="s">
        <v>156</v>
      </c>
      <c r="Q42" s="238" t="s">
        <v>157</v>
      </c>
      <c r="R42" s="239">
        <v>1237.1999999999998</v>
      </c>
      <c r="S42" s="195" t="str">
        <f t="shared" si="2"/>
        <v>SI</v>
      </c>
      <c r="T42" s="237" t="s">
        <v>156</v>
      </c>
      <c r="U42" s="238" t="s">
        <v>157</v>
      </c>
      <c r="V42" s="240">
        <v>3717.165</v>
      </c>
    </row>
    <row r="43" spans="1:22" s="195" customFormat="1" x14ac:dyDescent="0.25">
      <c r="A43" s="237" t="s">
        <v>75</v>
      </c>
      <c r="B43" s="238" t="s">
        <v>76</v>
      </c>
      <c r="C43" s="252">
        <f t="shared" si="0"/>
        <v>1237.1999999999998</v>
      </c>
      <c r="D43" s="236" t="s">
        <v>348</v>
      </c>
      <c r="E43" s="236"/>
      <c r="J43" s="237" t="s">
        <v>75</v>
      </c>
      <c r="K43" s="238" t="s">
        <v>76</v>
      </c>
      <c r="L43" s="251">
        <f t="shared" si="1"/>
        <v>3105.4500000000003</v>
      </c>
      <c r="M43" s="236" t="s">
        <v>348</v>
      </c>
      <c r="N43" s="240">
        <f>+L43-SINDICATO!M43</f>
        <v>0</v>
      </c>
      <c r="P43" s="237" t="s">
        <v>75</v>
      </c>
      <c r="Q43" s="238" t="s">
        <v>76</v>
      </c>
      <c r="R43" s="239">
        <v>1237.1999999999998</v>
      </c>
      <c r="S43" s="195" t="str">
        <f t="shared" si="2"/>
        <v>SI</v>
      </c>
      <c r="T43" s="237" t="s">
        <v>75</v>
      </c>
      <c r="U43" s="238" t="s">
        <v>76</v>
      </c>
      <c r="V43" s="240">
        <v>3105.4500000000003</v>
      </c>
    </row>
    <row r="44" spans="1:22" s="195" customFormat="1" x14ac:dyDescent="0.25">
      <c r="A44" s="237" t="s">
        <v>77</v>
      </c>
      <c r="B44" s="238" t="s">
        <v>78</v>
      </c>
      <c r="C44" s="252">
        <f t="shared" si="0"/>
        <v>1072.2413333333334</v>
      </c>
      <c r="D44" s="236" t="s">
        <v>349</v>
      </c>
      <c r="E44" s="236"/>
      <c r="J44" s="237" t="s">
        <v>77</v>
      </c>
      <c r="K44" s="238" t="s">
        <v>78</v>
      </c>
      <c r="L44" s="251">
        <f t="shared" si="1"/>
        <v>83.341663944021178</v>
      </c>
      <c r="M44" s="236" t="s">
        <v>349</v>
      </c>
      <c r="N44" s="240">
        <f>+L44-SINDICATO!M44</f>
        <v>0</v>
      </c>
      <c r="P44" s="237" t="s">
        <v>77</v>
      </c>
      <c r="Q44" s="238" t="s">
        <v>78</v>
      </c>
      <c r="R44" s="239">
        <v>1072.2413333333334</v>
      </c>
      <c r="S44" s="195" t="str">
        <f t="shared" si="2"/>
        <v>SI</v>
      </c>
      <c r="T44" s="237" t="s">
        <v>77</v>
      </c>
      <c r="U44" s="238" t="s">
        <v>78</v>
      </c>
      <c r="V44" s="240">
        <v>83.341663944021178</v>
      </c>
    </row>
    <row r="45" spans="1:22" s="195" customFormat="1" x14ac:dyDescent="0.25">
      <c r="A45" s="237" t="s">
        <v>79</v>
      </c>
      <c r="B45" s="238" t="s">
        <v>80</v>
      </c>
      <c r="C45" s="252">
        <f t="shared" si="0"/>
        <v>1237.1999999999998</v>
      </c>
      <c r="D45" s="236" t="s">
        <v>320</v>
      </c>
      <c r="E45" s="236"/>
      <c r="J45" s="237" t="s">
        <v>79</v>
      </c>
      <c r="K45" s="238" t="s">
        <v>80</v>
      </c>
      <c r="L45" s="251">
        <f t="shared" si="1"/>
        <v>23881.918000000001</v>
      </c>
      <c r="M45" s="236" t="s">
        <v>320</v>
      </c>
      <c r="N45" s="240">
        <f>+L45-SINDICATO!M45</f>
        <v>0</v>
      </c>
      <c r="P45" s="237" t="s">
        <v>79</v>
      </c>
      <c r="Q45" s="238" t="s">
        <v>80</v>
      </c>
      <c r="R45" s="239">
        <v>1237.1999999999998</v>
      </c>
      <c r="S45" s="195" t="str">
        <f t="shared" si="2"/>
        <v>SI</v>
      </c>
      <c r="T45" s="237" t="s">
        <v>79</v>
      </c>
      <c r="U45" s="238" t="s">
        <v>80</v>
      </c>
      <c r="V45" s="240">
        <v>23881.918000000001</v>
      </c>
    </row>
    <row r="46" spans="1:22" s="195" customFormat="1" x14ac:dyDescent="0.25">
      <c r="A46" s="237" t="s">
        <v>81</v>
      </c>
      <c r="B46" s="238" t="s">
        <v>82</v>
      </c>
      <c r="C46" s="252">
        <f t="shared" si="0"/>
        <v>1237.1999999999998</v>
      </c>
      <c r="D46" s="236" t="s">
        <v>350</v>
      </c>
      <c r="E46" s="236"/>
      <c r="J46" s="237" t="s">
        <v>81</v>
      </c>
      <c r="K46" s="238" t="s">
        <v>82</v>
      </c>
      <c r="L46" s="251">
        <f t="shared" si="1"/>
        <v>47907.253000000004</v>
      </c>
      <c r="M46" s="236" t="s">
        <v>350</v>
      </c>
      <c r="N46" s="240">
        <f>+L46-SINDICATO!M46</f>
        <v>0</v>
      </c>
      <c r="P46" s="237" t="s">
        <v>81</v>
      </c>
      <c r="Q46" s="238" t="s">
        <v>82</v>
      </c>
      <c r="R46" s="239">
        <v>1237.1999999999998</v>
      </c>
      <c r="S46" s="195" t="str">
        <f t="shared" si="2"/>
        <v>SI</v>
      </c>
      <c r="T46" s="237" t="s">
        <v>81</v>
      </c>
      <c r="U46" s="238" t="s">
        <v>82</v>
      </c>
      <c r="V46" s="240">
        <v>47907.253000000004</v>
      </c>
    </row>
    <row r="47" spans="1:22" s="195" customFormat="1" x14ac:dyDescent="0.25">
      <c r="A47" s="237" t="s">
        <v>83</v>
      </c>
      <c r="B47" s="238" t="s">
        <v>84</v>
      </c>
      <c r="C47" s="252">
        <f t="shared" si="0"/>
        <v>1237.1999999999998</v>
      </c>
      <c r="D47" s="236" t="s">
        <v>315</v>
      </c>
      <c r="E47" s="236"/>
      <c r="J47" s="237" t="s">
        <v>83</v>
      </c>
      <c r="K47" s="238" t="s">
        <v>84</v>
      </c>
      <c r="L47" s="251">
        <f t="shared" si="1"/>
        <v>11355.42</v>
      </c>
      <c r="M47" s="236" t="s">
        <v>315</v>
      </c>
      <c r="N47" s="240">
        <f>+L47-SINDICATO!M47</f>
        <v>0</v>
      </c>
      <c r="P47" s="237" t="s">
        <v>83</v>
      </c>
      <c r="Q47" s="238" t="s">
        <v>84</v>
      </c>
      <c r="R47" s="239">
        <v>1237.1999999999998</v>
      </c>
      <c r="S47" s="195" t="str">
        <f t="shared" si="2"/>
        <v>SI</v>
      </c>
      <c r="T47" s="237" t="s">
        <v>83</v>
      </c>
      <c r="U47" s="238" t="s">
        <v>84</v>
      </c>
      <c r="V47" s="240">
        <v>11355.42</v>
      </c>
    </row>
    <row r="48" spans="1:22" s="195" customFormat="1" x14ac:dyDescent="0.25">
      <c r="A48" s="237" t="s">
        <v>163</v>
      </c>
      <c r="B48" s="238" t="s">
        <v>158</v>
      </c>
      <c r="C48" s="252">
        <f t="shared" si="0"/>
        <v>1237.1699999999998</v>
      </c>
      <c r="D48" s="236" t="s">
        <v>351</v>
      </c>
      <c r="E48" s="236"/>
      <c r="J48" s="237" t="s">
        <v>163</v>
      </c>
      <c r="K48" s="238" t="s">
        <v>158</v>
      </c>
      <c r="L48" s="251">
        <f t="shared" si="1"/>
        <v>35725.722000000002</v>
      </c>
      <c r="M48" s="236" t="s">
        <v>351</v>
      </c>
      <c r="N48" s="240">
        <f>+L48-SINDICATO!M48</f>
        <v>0</v>
      </c>
      <c r="P48" s="237" t="s">
        <v>163</v>
      </c>
      <c r="Q48" s="238" t="s">
        <v>158</v>
      </c>
      <c r="R48" s="239">
        <v>1237.1699999999998</v>
      </c>
      <c r="S48" s="195" t="str">
        <f t="shared" si="2"/>
        <v>SI</v>
      </c>
      <c r="T48" s="237" t="s">
        <v>163</v>
      </c>
      <c r="U48" s="238" t="s">
        <v>158</v>
      </c>
      <c r="V48" s="240">
        <v>35725.722000000002</v>
      </c>
    </row>
    <row r="49" spans="1:22" s="195" customFormat="1" x14ac:dyDescent="0.25">
      <c r="A49" s="237" t="s">
        <v>87</v>
      </c>
      <c r="B49" s="238" t="s">
        <v>88</v>
      </c>
      <c r="C49" s="252">
        <f t="shared" si="0"/>
        <v>1237.1999999999998</v>
      </c>
      <c r="D49" s="236" t="s">
        <v>354</v>
      </c>
      <c r="E49" s="236"/>
      <c r="J49" s="237" t="s">
        <v>87</v>
      </c>
      <c r="K49" s="238" t="s">
        <v>88</v>
      </c>
      <c r="L49" s="251">
        <f t="shared" si="1"/>
        <v>7306.9839999999986</v>
      </c>
      <c r="M49" s="236" t="s">
        <v>354</v>
      </c>
      <c r="N49" s="240">
        <f>+L49-SINDICATO!M49</f>
        <v>0</v>
      </c>
      <c r="P49" s="237" t="s">
        <v>87</v>
      </c>
      <c r="Q49" s="238" t="s">
        <v>88</v>
      </c>
      <c r="R49" s="239">
        <v>1237.1999999999998</v>
      </c>
      <c r="S49" s="195" t="str">
        <f t="shared" si="2"/>
        <v>SI</v>
      </c>
      <c r="T49" s="237" t="s">
        <v>87</v>
      </c>
      <c r="U49" s="238" t="s">
        <v>88</v>
      </c>
      <c r="V49" s="240">
        <v>7306.9839999999986</v>
      </c>
    </row>
    <row r="50" spans="1:22" s="195" customFormat="1" x14ac:dyDescent="0.25">
      <c r="A50" s="237" t="s">
        <v>89</v>
      </c>
      <c r="B50" s="238" t="s">
        <v>90</v>
      </c>
      <c r="C50" s="252">
        <f t="shared" si="0"/>
        <v>1237</v>
      </c>
      <c r="D50" s="236" t="s">
        <v>352</v>
      </c>
      <c r="E50" s="236"/>
      <c r="J50" s="237" t="s">
        <v>89</v>
      </c>
      <c r="K50" s="238" t="s">
        <v>90</v>
      </c>
      <c r="L50" s="251">
        <f t="shared" si="1"/>
        <v>4272.4739999999993</v>
      </c>
      <c r="M50" s="236" t="s">
        <v>352</v>
      </c>
      <c r="N50" s="240">
        <f>+L50-SINDICATO!M50</f>
        <v>0</v>
      </c>
      <c r="P50" s="237" t="s">
        <v>89</v>
      </c>
      <c r="Q50" s="238" t="s">
        <v>90</v>
      </c>
      <c r="R50" s="239">
        <v>1237</v>
      </c>
      <c r="S50" s="195" t="str">
        <f t="shared" si="2"/>
        <v>SI</v>
      </c>
      <c r="T50" s="237" t="s">
        <v>89</v>
      </c>
      <c r="U50" s="238" t="s">
        <v>90</v>
      </c>
      <c r="V50" s="240">
        <v>4272.4739999999993</v>
      </c>
    </row>
    <row r="51" spans="1:22" s="195" customFormat="1" x14ac:dyDescent="0.25">
      <c r="A51" s="237" t="s">
        <v>91</v>
      </c>
      <c r="B51" s="238" t="s">
        <v>92</v>
      </c>
      <c r="C51" s="252">
        <f t="shared" si="0"/>
        <v>1237.1999999999998</v>
      </c>
      <c r="D51" s="236" t="s">
        <v>318</v>
      </c>
      <c r="E51" s="236"/>
      <c r="J51" s="237" t="s">
        <v>91</v>
      </c>
      <c r="K51" s="238" t="s">
        <v>92</v>
      </c>
      <c r="L51" s="251">
        <f t="shared" si="1"/>
        <v>3024.89</v>
      </c>
      <c r="M51" s="236" t="s">
        <v>318</v>
      </c>
      <c r="N51" s="240">
        <f>+L51-SINDICATO!M51</f>
        <v>0</v>
      </c>
      <c r="P51" s="237" t="s">
        <v>91</v>
      </c>
      <c r="Q51" s="238" t="s">
        <v>92</v>
      </c>
      <c r="R51" s="239">
        <v>1237.1999999999998</v>
      </c>
      <c r="S51" s="195" t="str">
        <f t="shared" si="2"/>
        <v>SI</v>
      </c>
      <c r="T51" s="237" t="s">
        <v>91</v>
      </c>
      <c r="U51" s="238" t="s">
        <v>92</v>
      </c>
      <c r="V51" s="240">
        <v>3024.89</v>
      </c>
    </row>
    <row r="52" spans="1:22" s="195" customFormat="1" x14ac:dyDescent="0.25">
      <c r="A52" s="237" t="s">
        <v>93</v>
      </c>
      <c r="B52" s="238" t="s">
        <v>94</v>
      </c>
      <c r="C52" s="252">
        <f t="shared" si="0"/>
        <v>1237.1999999999998</v>
      </c>
      <c r="D52" s="236" t="s">
        <v>353</v>
      </c>
      <c r="E52" s="236"/>
      <c r="J52" s="237" t="s">
        <v>93</v>
      </c>
      <c r="K52" s="238" t="s">
        <v>94</v>
      </c>
      <c r="L52" s="251">
        <f t="shared" si="1"/>
        <v>5119.9139999999998</v>
      </c>
      <c r="M52" s="236" t="s">
        <v>353</v>
      </c>
      <c r="N52" s="240">
        <f>+L52-SINDICATO!M52</f>
        <v>0</v>
      </c>
      <c r="P52" s="237" t="s">
        <v>93</v>
      </c>
      <c r="Q52" s="238" t="s">
        <v>94</v>
      </c>
      <c r="R52" s="239">
        <v>1237.1999999999998</v>
      </c>
      <c r="S52" s="195" t="str">
        <f t="shared" si="2"/>
        <v>SI</v>
      </c>
      <c r="T52" s="237" t="s">
        <v>93</v>
      </c>
      <c r="U52" s="238" t="s">
        <v>94</v>
      </c>
      <c r="V52" s="240">
        <v>5119.9139999999998</v>
      </c>
    </row>
    <row r="53" spans="1:22" s="195" customFormat="1" x14ac:dyDescent="0.25">
      <c r="A53" s="237" t="s">
        <v>95</v>
      </c>
      <c r="B53" s="238" t="s">
        <v>96</v>
      </c>
      <c r="C53" s="252">
        <f t="shared" si="0"/>
        <v>1237.1999999999998</v>
      </c>
      <c r="D53" s="236" t="s">
        <v>358</v>
      </c>
      <c r="E53" s="236"/>
      <c r="J53" s="237" t="s">
        <v>95</v>
      </c>
      <c r="K53" s="238" t="s">
        <v>96</v>
      </c>
      <c r="L53" s="251">
        <f t="shared" si="1"/>
        <v>3203.2920000000004</v>
      </c>
      <c r="M53" s="236" t="s">
        <v>358</v>
      </c>
      <c r="N53" s="240">
        <f>+L53-SINDICATO!M53</f>
        <v>0</v>
      </c>
      <c r="P53" s="237" t="s">
        <v>95</v>
      </c>
      <c r="Q53" s="238" t="s">
        <v>96</v>
      </c>
      <c r="R53" s="239">
        <v>1237.1999999999998</v>
      </c>
      <c r="S53" s="195" t="str">
        <f t="shared" si="2"/>
        <v>SI</v>
      </c>
      <c r="T53" s="237" t="s">
        <v>95</v>
      </c>
      <c r="U53" s="238" t="s">
        <v>96</v>
      </c>
      <c r="V53" s="240">
        <v>3203.2920000000004</v>
      </c>
    </row>
    <row r="54" spans="1:22" ht="15.75" x14ac:dyDescent="0.25">
      <c r="A54" s="237"/>
      <c r="B54" s="242" t="s">
        <v>301</v>
      </c>
      <c r="C54" s="252">
        <f t="shared" si="0"/>
        <v>1237.1999999999998</v>
      </c>
      <c r="D54" s="249">
        <v>1169445331</v>
      </c>
      <c r="E54" s="236"/>
      <c r="F54" s="195"/>
      <c r="G54" s="195"/>
      <c r="H54" s="195"/>
      <c r="I54" s="195"/>
      <c r="J54" s="237"/>
      <c r="K54" s="242" t="s">
        <v>301</v>
      </c>
      <c r="L54" s="251">
        <f t="shared" si="1"/>
        <v>1863.0238971313579</v>
      </c>
      <c r="M54" s="249">
        <v>1169445331</v>
      </c>
      <c r="N54" s="240">
        <f>+L54-SINDICATO!M54</f>
        <v>0</v>
      </c>
      <c r="P54" s="221"/>
      <c r="Q54" s="242" t="s">
        <v>301</v>
      </c>
      <c r="R54" s="225">
        <v>1237.1999999999998</v>
      </c>
      <c r="S54" s="219" t="str">
        <f t="shared" si="2"/>
        <v>SI</v>
      </c>
      <c r="T54" s="221"/>
      <c r="U54" s="242" t="s">
        <v>301</v>
      </c>
      <c r="V54" s="235">
        <v>1863.0238971313579</v>
      </c>
    </row>
    <row r="55" spans="1:22" s="195" customFormat="1" x14ac:dyDescent="0.25">
      <c r="A55" s="237" t="s">
        <v>97</v>
      </c>
      <c r="B55" s="238" t="s">
        <v>98</v>
      </c>
      <c r="C55" s="252">
        <f t="shared" si="0"/>
        <v>1237.1999999999998</v>
      </c>
      <c r="D55" s="236" t="s">
        <v>357</v>
      </c>
      <c r="E55" s="236"/>
      <c r="J55" s="237" t="s">
        <v>97</v>
      </c>
      <c r="K55" s="238" t="s">
        <v>98</v>
      </c>
      <c r="L55" s="251">
        <f t="shared" si="1"/>
        <v>4228.4530000000004</v>
      </c>
      <c r="M55" s="236" t="s">
        <v>357</v>
      </c>
      <c r="N55" s="240">
        <f>+L55-SINDICATO!M55</f>
        <v>0</v>
      </c>
      <c r="P55" s="237" t="s">
        <v>97</v>
      </c>
      <c r="Q55" s="238" t="s">
        <v>98</v>
      </c>
      <c r="R55" s="239">
        <v>1237.1999999999998</v>
      </c>
      <c r="S55" s="195" t="str">
        <f t="shared" si="2"/>
        <v>SI</v>
      </c>
      <c r="T55" s="237" t="s">
        <v>97</v>
      </c>
      <c r="U55" s="238" t="s">
        <v>98</v>
      </c>
      <c r="V55" s="240">
        <v>4228.4530000000004</v>
      </c>
    </row>
    <row r="56" spans="1:22" s="195" customFormat="1" x14ac:dyDescent="0.25">
      <c r="A56" s="237" t="s">
        <v>99</v>
      </c>
      <c r="B56" s="238" t="s">
        <v>100</v>
      </c>
      <c r="C56" s="252">
        <f t="shared" si="0"/>
        <v>1237.1999999999998</v>
      </c>
      <c r="D56" s="236" t="s">
        <v>359</v>
      </c>
      <c r="E56" s="236"/>
      <c r="J56" s="237" t="s">
        <v>99</v>
      </c>
      <c r="K56" s="238" t="s">
        <v>100</v>
      </c>
      <c r="L56" s="251">
        <f t="shared" si="1"/>
        <v>4066.9860000000003</v>
      </c>
      <c r="M56" s="236" t="s">
        <v>359</v>
      </c>
      <c r="N56" s="240">
        <f>+L56-SINDICATO!M56</f>
        <v>0</v>
      </c>
      <c r="P56" s="237" t="s">
        <v>99</v>
      </c>
      <c r="Q56" s="238" t="s">
        <v>100</v>
      </c>
      <c r="R56" s="239">
        <v>1237.1999999999998</v>
      </c>
      <c r="S56" s="195" t="str">
        <f t="shared" si="2"/>
        <v>SI</v>
      </c>
      <c r="T56" s="237" t="s">
        <v>99</v>
      </c>
      <c r="U56" s="238" t="s">
        <v>100</v>
      </c>
      <c r="V56" s="240">
        <v>4066.9860000000003</v>
      </c>
    </row>
    <row r="57" spans="1:22" s="195" customFormat="1" x14ac:dyDescent="0.25">
      <c r="A57" s="237" t="s">
        <v>101</v>
      </c>
      <c r="B57" s="238" t="s">
        <v>102</v>
      </c>
      <c r="C57" s="252">
        <f t="shared" si="0"/>
        <v>1237.1999999999998</v>
      </c>
      <c r="D57" s="236" t="s">
        <v>356</v>
      </c>
      <c r="E57" s="236"/>
      <c r="J57" s="237" t="s">
        <v>101</v>
      </c>
      <c r="K57" s="238" t="s">
        <v>102</v>
      </c>
      <c r="L57" s="251">
        <f t="shared" si="1"/>
        <v>10139.826000000001</v>
      </c>
      <c r="M57" s="236" t="s">
        <v>356</v>
      </c>
      <c r="N57" s="240">
        <f>+L57-SINDICATO!M57</f>
        <v>0</v>
      </c>
      <c r="P57" s="237" t="s">
        <v>101</v>
      </c>
      <c r="Q57" s="238" t="s">
        <v>102</v>
      </c>
      <c r="R57" s="239">
        <v>1237.1999999999998</v>
      </c>
      <c r="S57" s="195" t="str">
        <f t="shared" si="2"/>
        <v>SI</v>
      </c>
      <c r="T57" s="237" t="s">
        <v>101</v>
      </c>
      <c r="U57" s="238" t="s">
        <v>102</v>
      </c>
      <c r="V57" s="240">
        <v>10139.826000000001</v>
      </c>
    </row>
    <row r="58" spans="1:22" s="195" customFormat="1" x14ac:dyDescent="0.25">
      <c r="A58" s="237" t="s">
        <v>103</v>
      </c>
      <c r="B58" s="238" t="s">
        <v>104</v>
      </c>
      <c r="C58" s="252">
        <f t="shared" si="0"/>
        <v>1237.1999999999998</v>
      </c>
      <c r="D58" s="236" t="s">
        <v>313</v>
      </c>
      <c r="E58" s="236"/>
      <c r="J58" s="237" t="s">
        <v>103</v>
      </c>
      <c r="K58" s="238" t="s">
        <v>104</v>
      </c>
      <c r="L58" s="251">
        <f t="shared" si="1"/>
        <v>19777.600000000002</v>
      </c>
      <c r="M58" s="236" t="s">
        <v>313</v>
      </c>
      <c r="N58" s="240">
        <f>+L58-SINDICATO!M58</f>
        <v>0</v>
      </c>
      <c r="P58" s="237" t="s">
        <v>103</v>
      </c>
      <c r="Q58" s="238" t="s">
        <v>104</v>
      </c>
      <c r="R58" s="239">
        <v>1237.1999999999998</v>
      </c>
      <c r="S58" s="195" t="str">
        <f t="shared" si="2"/>
        <v>SI</v>
      </c>
      <c r="T58" s="237" t="s">
        <v>103</v>
      </c>
      <c r="U58" s="238" t="s">
        <v>104</v>
      </c>
      <c r="V58" s="240">
        <v>19777.600000000002</v>
      </c>
    </row>
    <row r="59" spans="1:22" s="195" customFormat="1" x14ac:dyDescent="0.25">
      <c r="A59" s="237" t="s">
        <v>105</v>
      </c>
      <c r="B59" s="238" t="s">
        <v>106</v>
      </c>
      <c r="C59" s="252">
        <f t="shared" si="0"/>
        <v>1237.1999999999998</v>
      </c>
      <c r="D59" s="236" t="s">
        <v>355</v>
      </c>
      <c r="E59" s="236"/>
      <c r="J59" s="237" t="s">
        <v>105</v>
      </c>
      <c r="K59" s="238" t="s">
        <v>106</v>
      </c>
      <c r="L59" s="251">
        <f t="shared" si="1"/>
        <v>9854.3549999999996</v>
      </c>
      <c r="M59" s="236" t="s">
        <v>355</v>
      </c>
      <c r="N59" s="240">
        <f>+L59-SINDICATO!M59</f>
        <v>0</v>
      </c>
      <c r="P59" s="237" t="s">
        <v>105</v>
      </c>
      <c r="Q59" s="238" t="s">
        <v>106</v>
      </c>
      <c r="R59" s="239">
        <v>1237.1999999999998</v>
      </c>
      <c r="S59" s="195" t="str">
        <f t="shared" si="2"/>
        <v>SI</v>
      </c>
      <c r="T59" s="237" t="s">
        <v>105</v>
      </c>
      <c r="U59" s="238" t="s">
        <v>106</v>
      </c>
      <c r="V59" s="240">
        <v>9854.3549999999996</v>
      </c>
    </row>
    <row r="60" spans="1:22" s="195" customFormat="1" x14ac:dyDescent="0.25">
      <c r="A60" s="237" t="s">
        <v>107</v>
      </c>
      <c r="B60" s="238" t="s">
        <v>108</v>
      </c>
      <c r="C60" s="252">
        <f t="shared" si="0"/>
        <v>1237.1999999999998</v>
      </c>
      <c r="D60" s="236" t="s">
        <v>316</v>
      </c>
      <c r="E60" s="236"/>
      <c r="J60" s="237" t="s">
        <v>107</v>
      </c>
      <c r="K60" s="238" t="s">
        <v>108</v>
      </c>
      <c r="L60" s="251">
        <f t="shared" si="1"/>
        <v>9202.1349999999984</v>
      </c>
      <c r="M60" s="236" t="s">
        <v>316</v>
      </c>
      <c r="N60" s="240">
        <f>+L60-SINDICATO!M60</f>
        <v>0</v>
      </c>
      <c r="P60" s="237" t="s">
        <v>107</v>
      </c>
      <c r="Q60" s="238" t="s">
        <v>108</v>
      </c>
      <c r="R60" s="239">
        <v>1237.1999999999998</v>
      </c>
      <c r="S60" s="195" t="str">
        <f t="shared" si="2"/>
        <v>SI</v>
      </c>
      <c r="T60" s="237" t="s">
        <v>107</v>
      </c>
      <c r="U60" s="238" t="s">
        <v>108</v>
      </c>
      <c r="V60" s="240">
        <v>9202.1349999999984</v>
      </c>
    </row>
    <row r="61" spans="1:22" s="195" customFormat="1" x14ac:dyDescent="0.25">
      <c r="A61" s="237" t="s">
        <v>109</v>
      </c>
      <c r="B61" s="238" t="s">
        <v>110</v>
      </c>
      <c r="C61" s="252">
        <f t="shared" si="0"/>
        <v>1237</v>
      </c>
      <c r="D61" s="236" t="s">
        <v>360</v>
      </c>
      <c r="E61" s="236"/>
      <c r="J61" s="237" t="s">
        <v>109</v>
      </c>
      <c r="K61" s="238" t="s">
        <v>110</v>
      </c>
      <c r="L61" s="251">
        <f t="shared" si="1"/>
        <v>7597.1640000000007</v>
      </c>
      <c r="M61" s="236" t="s">
        <v>360</v>
      </c>
      <c r="N61" s="240">
        <f>+L61-SINDICATO!M61</f>
        <v>0</v>
      </c>
      <c r="P61" s="237" t="s">
        <v>109</v>
      </c>
      <c r="Q61" s="238" t="s">
        <v>110</v>
      </c>
      <c r="R61" s="239">
        <v>1237</v>
      </c>
      <c r="S61" s="195" t="str">
        <f t="shared" si="2"/>
        <v>SI</v>
      </c>
      <c r="T61" s="237" t="s">
        <v>109</v>
      </c>
      <c r="U61" s="238" t="s">
        <v>110</v>
      </c>
      <c r="V61" s="240">
        <v>7597.1640000000007</v>
      </c>
    </row>
    <row r="62" spans="1:22" s="195" customFormat="1" x14ac:dyDescent="0.25">
      <c r="A62" s="237" t="s">
        <v>111</v>
      </c>
      <c r="B62" s="238" t="s">
        <v>112</v>
      </c>
      <c r="C62" s="252">
        <f t="shared" si="0"/>
        <v>1237.1999999999998</v>
      </c>
      <c r="D62" s="236" t="s">
        <v>361</v>
      </c>
      <c r="E62" s="236"/>
      <c r="J62" s="237" t="s">
        <v>111</v>
      </c>
      <c r="K62" s="238" t="s">
        <v>112</v>
      </c>
      <c r="L62" s="251">
        <f t="shared" si="1"/>
        <v>4482.165</v>
      </c>
      <c r="M62" s="236" t="s">
        <v>361</v>
      </c>
      <c r="N62" s="240">
        <f>+L62-SINDICATO!M62</f>
        <v>0</v>
      </c>
      <c r="P62" s="237" t="s">
        <v>111</v>
      </c>
      <c r="Q62" s="238" t="s">
        <v>112</v>
      </c>
      <c r="R62" s="239">
        <v>1237.1999999999998</v>
      </c>
      <c r="S62" s="195" t="str">
        <f t="shared" si="2"/>
        <v>SI</v>
      </c>
      <c r="T62" s="237" t="s">
        <v>111</v>
      </c>
      <c r="U62" s="238" t="s">
        <v>112</v>
      </c>
      <c r="V62" s="240">
        <v>4482.165</v>
      </c>
    </row>
    <row r="63" spans="1:22" s="195" customFormat="1" x14ac:dyDescent="0.25">
      <c r="A63" s="237" t="s">
        <v>113</v>
      </c>
      <c r="B63" s="238" t="s">
        <v>114</v>
      </c>
      <c r="C63" s="252">
        <f t="shared" si="0"/>
        <v>1237</v>
      </c>
      <c r="D63" s="236" t="s">
        <v>362</v>
      </c>
      <c r="E63" s="236"/>
      <c r="J63" s="237" t="s">
        <v>113</v>
      </c>
      <c r="K63" s="238" t="s">
        <v>114</v>
      </c>
      <c r="L63" s="251">
        <f t="shared" si="1"/>
        <v>1863.2238971313577</v>
      </c>
      <c r="M63" s="236" t="s">
        <v>362</v>
      </c>
      <c r="N63" s="240">
        <f>+L63-SINDICATO!M63</f>
        <v>0</v>
      </c>
      <c r="P63" s="237" t="s">
        <v>113</v>
      </c>
      <c r="Q63" s="238" t="s">
        <v>114</v>
      </c>
      <c r="R63" s="239">
        <v>1237</v>
      </c>
      <c r="S63" s="195" t="str">
        <f t="shared" si="2"/>
        <v>SI</v>
      </c>
      <c r="T63" s="237" t="s">
        <v>113</v>
      </c>
      <c r="U63" s="238" t="s">
        <v>114</v>
      </c>
      <c r="V63" s="240">
        <v>1863.2238971313577</v>
      </c>
    </row>
    <row r="64" spans="1:22" s="195" customFormat="1" x14ac:dyDescent="0.25">
      <c r="A64" s="237" t="s">
        <v>115</v>
      </c>
      <c r="B64" s="238" t="s">
        <v>116</v>
      </c>
      <c r="C64" s="252">
        <f t="shared" si="0"/>
        <v>1237.1999999999998</v>
      </c>
      <c r="D64" s="236" t="s">
        <v>363</v>
      </c>
      <c r="E64" s="236"/>
      <c r="J64" s="237" t="s">
        <v>115</v>
      </c>
      <c r="K64" s="238" t="s">
        <v>116</v>
      </c>
      <c r="L64" s="251">
        <f t="shared" si="1"/>
        <v>9491.7779999999984</v>
      </c>
      <c r="M64" s="236" t="s">
        <v>363</v>
      </c>
      <c r="N64" s="240">
        <f>+L64-SINDICATO!M64</f>
        <v>0</v>
      </c>
      <c r="P64" s="237" t="s">
        <v>115</v>
      </c>
      <c r="Q64" s="238" t="s">
        <v>116</v>
      </c>
      <c r="R64" s="239">
        <v>1237.1999999999998</v>
      </c>
      <c r="S64" s="195" t="str">
        <f t="shared" si="2"/>
        <v>SI</v>
      </c>
      <c r="T64" s="237" t="s">
        <v>115</v>
      </c>
      <c r="U64" s="238" t="s">
        <v>116</v>
      </c>
      <c r="V64" s="240">
        <v>9491.7779999999984</v>
      </c>
    </row>
    <row r="65" spans="1:22" s="195" customFormat="1" x14ac:dyDescent="0.25">
      <c r="A65" s="237" t="s">
        <v>117</v>
      </c>
      <c r="B65" s="238" t="s">
        <v>118</v>
      </c>
      <c r="C65" s="252">
        <f t="shared" si="0"/>
        <v>1237.1999999999998</v>
      </c>
      <c r="D65" s="236" t="s">
        <v>364</v>
      </c>
      <c r="E65" s="236"/>
      <c r="J65" s="237" t="s">
        <v>117</v>
      </c>
      <c r="K65" s="238" t="s">
        <v>118</v>
      </c>
      <c r="L65" s="251">
        <f t="shared" si="1"/>
        <v>880.06</v>
      </c>
      <c r="M65" s="236" t="s">
        <v>364</v>
      </c>
      <c r="N65" s="240">
        <f>+L65-SINDICATO!M65</f>
        <v>0</v>
      </c>
      <c r="P65" s="237" t="s">
        <v>117</v>
      </c>
      <c r="Q65" s="238" t="s">
        <v>118</v>
      </c>
      <c r="R65" s="239">
        <v>1237.1999999999998</v>
      </c>
      <c r="S65" s="195" t="str">
        <f t="shared" si="2"/>
        <v>SI</v>
      </c>
      <c r="T65" s="237" t="s">
        <v>117</v>
      </c>
      <c r="U65" s="238" t="s">
        <v>118</v>
      </c>
      <c r="V65" s="240">
        <v>880.06</v>
      </c>
    </row>
    <row r="66" spans="1:22" ht="15.75" thickBot="1" x14ac:dyDescent="0.3">
      <c r="A66" s="199"/>
      <c r="B66" s="198"/>
      <c r="C66" s="257">
        <f>SUM(C10:C65)</f>
        <v>67880.171333333274</v>
      </c>
      <c r="D66" s="218"/>
      <c r="E66" s="204"/>
      <c r="J66" s="221"/>
      <c r="K66" s="220"/>
      <c r="L66" s="257">
        <f>SUM(L10:L65)</f>
        <v>465658.64860065229</v>
      </c>
      <c r="M66" s="247"/>
      <c r="N66" s="227"/>
    </row>
    <row r="67" spans="1:22" x14ac:dyDescent="0.25">
      <c r="A67" s="199"/>
      <c r="B67" s="198"/>
      <c r="C67" s="216"/>
      <c r="D67" s="218"/>
      <c r="E67" s="204"/>
      <c r="J67" s="221"/>
      <c r="K67" s="220"/>
      <c r="L67" s="245"/>
      <c r="M67" s="247"/>
      <c r="N67" s="227"/>
    </row>
    <row r="68" spans="1:22" x14ac:dyDescent="0.25">
      <c r="A68" s="212" t="s">
        <v>120</v>
      </c>
      <c r="B68" s="198" t="s">
        <v>121</v>
      </c>
      <c r="C68" s="217">
        <f>+'C&amp;A'!H69</f>
        <v>69117.371333333271</v>
      </c>
      <c r="D68" s="204"/>
      <c r="E68" s="204"/>
      <c r="J68" s="233" t="s">
        <v>120</v>
      </c>
      <c r="K68" s="220" t="s">
        <v>121</v>
      </c>
      <c r="L68" s="246">
        <f>+SINDICATO!M69</f>
        <v>465658.64860065229</v>
      </c>
      <c r="M68" s="227"/>
      <c r="N68" s="227"/>
    </row>
    <row r="69" spans="1:22" x14ac:dyDescent="0.25">
      <c r="A69" s="204"/>
      <c r="B69" s="204"/>
      <c r="C69" s="234">
        <f>+C66-C68</f>
        <v>-1237.1999999999971</v>
      </c>
      <c r="D69" s="204"/>
      <c r="E69" s="204"/>
      <c r="J69" s="227"/>
      <c r="K69" s="227"/>
      <c r="L69" s="234">
        <f>+L66-L68</f>
        <v>0</v>
      </c>
      <c r="M69" s="227"/>
      <c r="N69" s="227"/>
    </row>
    <row r="70" spans="1:22" x14ac:dyDescent="0.25">
      <c r="A70" s="199" t="s">
        <v>121</v>
      </c>
      <c r="B70" s="198" t="s">
        <v>121</v>
      </c>
      <c r="C70" s="217"/>
      <c r="D70" s="204"/>
      <c r="E70" s="204"/>
      <c r="J70" s="221" t="s">
        <v>121</v>
      </c>
      <c r="K70" s="220" t="s">
        <v>121</v>
      </c>
      <c r="L70" s="246"/>
      <c r="M70" s="227"/>
      <c r="N70" s="227"/>
    </row>
    <row r="71" spans="1:22" x14ac:dyDescent="0.25">
      <c r="A71" s="197"/>
      <c r="B71" s="204"/>
      <c r="C71" s="213"/>
      <c r="D71" s="204"/>
      <c r="E71" s="204"/>
      <c r="J71" s="219"/>
      <c r="K71" s="227"/>
      <c r="L71" s="234"/>
      <c r="M71" s="227"/>
      <c r="N71" s="227"/>
    </row>
    <row r="72" spans="1:22" x14ac:dyDescent="0.25">
      <c r="A72" s="197"/>
      <c r="B72" s="197"/>
      <c r="C72" s="213"/>
      <c r="D72" s="204"/>
      <c r="E72" s="204"/>
      <c r="J72" s="219"/>
      <c r="K72" s="219"/>
      <c r="L72" s="234"/>
      <c r="M72" s="227"/>
      <c r="N72" s="227"/>
    </row>
    <row r="73" spans="1:22" x14ac:dyDescent="0.25">
      <c r="A73" s="197"/>
      <c r="B73" s="197"/>
      <c r="C73" s="197"/>
      <c r="D73" s="204"/>
      <c r="E73" s="204"/>
      <c r="J73" s="219"/>
      <c r="K73" s="219"/>
      <c r="L73" s="219"/>
      <c r="M73" s="227"/>
      <c r="N73" s="227"/>
    </row>
    <row r="74" spans="1:22" x14ac:dyDescent="0.25">
      <c r="A74" s="197"/>
      <c r="B74" s="197"/>
      <c r="C74" s="197"/>
      <c r="D74" s="204"/>
      <c r="E74" s="204"/>
      <c r="J74" s="219"/>
      <c r="K74" s="219"/>
      <c r="L74" s="219"/>
      <c r="M74" s="227"/>
      <c r="N74" s="227"/>
    </row>
    <row r="75" spans="1:22" x14ac:dyDescent="0.25">
      <c r="A75" s="197"/>
      <c r="B75" s="197"/>
      <c r="C75" s="197"/>
      <c r="D75" s="204"/>
      <c r="E75" s="204"/>
      <c r="J75" s="219"/>
      <c r="K75" s="219"/>
      <c r="L75" s="219"/>
      <c r="M75" s="227"/>
      <c r="N75" s="227"/>
    </row>
    <row r="76" spans="1:22" x14ac:dyDescent="0.25">
      <c r="A76" s="197"/>
      <c r="B76" s="197"/>
      <c r="C76" s="197"/>
      <c r="D76" s="204"/>
      <c r="E76" s="204"/>
      <c r="J76" s="219"/>
      <c r="K76" s="219"/>
      <c r="L76" s="219"/>
      <c r="M76" s="227"/>
      <c r="N76" s="227"/>
    </row>
  </sheetData>
  <sortState ref="A10:M63">
    <sortCondition ref="B10:B63"/>
  </sortState>
  <pageMargins left="0.7" right="0.7" top="0.75" bottom="0.75" header="0.3" footer="0.3"/>
  <pageSetup scale="69" orientation="portrait" verticalDpi="0" r:id="rId1"/>
  <rowBreaks count="1" manualBreakCount="1">
    <brk id="67" max="12" man="1"/>
  </rowBreaks>
  <colBreaks count="1" manualBreakCount="1">
    <brk id="4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6"/>
  <sheetViews>
    <sheetView workbookViewId="0">
      <selection activeCell="B7" sqref="B7"/>
    </sheetView>
  </sheetViews>
  <sheetFormatPr baseColWidth="10" defaultRowHeight="15.75" x14ac:dyDescent="0.25"/>
  <cols>
    <col min="1" max="1" width="28.7109375" style="89" customWidth="1"/>
    <col min="2" max="2" width="45.140625" style="89" bestFit="1" customWidth="1"/>
    <col min="3" max="3" width="8.85546875" style="89" customWidth="1"/>
    <col min="4" max="4" width="11.85546875" style="89" customWidth="1"/>
    <col min="5" max="5" width="13" style="89" hidden="1" customWidth="1"/>
    <col min="6" max="6" width="11.7109375" style="89" hidden="1" customWidth="1"/>
    <col min="7" max="7" width="15.140625" style="89" customWidth="1"/>
    <col min="8" max="8" width="11.7109375" style="89" customWidth="1"/>
    <col min="9" max="9" width="12.7109375" style="74" customWidth="1"/>
    <col min="10" max="10" width="13.85546875" style="74" customWidth="1"/>
    <col min="11" max="11" width="13.85546875" style="74" hidden="1" customWidth="1"/>
    <col min="12" max="13" width="13.5703125" style="74" hidden="1" customWidth="1"/>
    <col min="14" max="14" width="13.5703125" style="74" customWidth="1"/>
    <col min="15" max="15" width="17" style="75" customWidth="1"/>
    <col min="16" max="20" width="13.5703125" style="74" hidden="1" customWidth="1"/>
    <col min="21" max="21" width="13.5703125" style="74" customWidth="1"/>
    <col min="22" max="22" width="16.7109375" style="75" customWidth="1"/>
    <col min="23" max="23" width="16.7109375" style="74" customWidth="1"/>
    <col min="24" max="24" width="15.42578125" style="75" customWidth="1"/>
    <col min="25" max="25" width="0.140625" style="74" customWidth="1"/>
    <col min="26" max="26" width="13.5703125" style="74" customWidth="1"/>
    <col min="27" max="27" width="15.42578125" style="75" customWidth="1"/>
    <col min="28" max="29" width="15.140625" style="135" hidden="1" customWidth="1"/>
    <col min="30" max="30" width="15.140625" style="89" hidden="1" customWidth="1"/>
    <col min="31" max="31" width="57" style="89" bestFit="1" customWidth="1"/>
    <col min="32" max="256" width="11.42578125" style="89"/>
    <col min="257" max="257" width="28.7109375" style="89" customWidth="1"/>
    <col min="258" max="258" width="45.140625" style="89" bestFit="1" customWidth="1"/>
    <col min="259" max="259" width="8.85546875" style="89" customWidth="1"/>
    <col min="260" max="260" width="11.85546875" style="89" customWidth="1"/>
    <col min="261" max="262" width="0" style="89" hidden="1" customWidth="1"/>
    <col min="263" max="263" width="15.140625" style="89" customWidth="1"/>
    <col min="264" max="264" width="11.7109375" style="89" customWidth="1"/>
    <col min="265" max="265" width="12.7109375" style="89" customWidth="1"/>
    <col min="266" max="266" width="13.85546875" style="89" customWidth="1"/>
    <col min="267" max="269" width="0" style="89" hidden="1" customWidth="1"/>
    <col min="270" max="270" width="13.5703125" style="89" customWidth="1"/>
    <col min="271" max="271" width="17" style="89" customWidth="1"/>
    <col min="272" max="276" width="0" style="89" hidden="1" customWidth="1"/>
    <col min="277" max="277" width="13.5703125" style="89" customWidth="1"/>
    <col min="278" max="279" width="16.7109375" style="89" customWidth="1"/>
    <col min="280" max="280" width="15.42578125" style="89" customWidth="1"/>
    <col min="281" max="281" width="0.140625" style="89" customWidth="1"/>
    <col min="282" max="282" width="13.5703125" style="89" customWidth="1"/>
    <col min="283" max="283" width="15.42578125" style="89" customWidth="1"/>
    <col min="284" max="286" width="0" style="89" hidden="1" customWidth="1"/>
    <col min="287" max="287" width="57" style="89" bestFit="1" customWidth="1"/>
    <col min="288" max="512" width="11.42578125" style="89"/>
    <col min="513" max="513" width="28.7109375" style="89" customWidth="1"/>
    <col min="514" max="514" width="45.140625" style="89" bestFit="1" customWidth="1"/>
    <col min="515" max="515" width="8.85546875" style="89" customWidth="1"/>
    <col min="516" max="516" width="11.85546875" style="89" customWidth="1"/>
    <col min="517" max="518" width="0" style="89" hidden="1" customWidth="1"/>
    <col min="519" max="519" width="15.140625" style="89" customWidth="1"/>
    <col min="520" max="520" width="11.7109375" style="89" customWidth="1"/>
    <col min="521" max="521" width="12.7109375" style="89" customWidth="1"/>
    <col min="522" max="522" width="13.85546875" style="89" customWidth="1"/>
    <col min="523" max="525" width="0" style="89" hidden="1" customWidth="1"/>
    <col min="526" max="526" width="13.5703125" style="89" customWidth="1"/>
    <col min="527" max="527" width="17" style="89" customWidth="1"/>
    <col min="528" max="532" width="0" style="89" hidden="1" customWidth="1"/>
    <col min="533" max="533" width="13.5703125" style="89" customWidth="1"/>
    <col min="534" max="535" width="16.7109375" style="89" customWidth="1"/>
    <col min="536" max="536" width="15.42578125" style="89" customWidth="1"/>
    <col min="537" max="537" width="0.140625" style="89" customWidth="1"/>
    <col min="538" max="538" width="13.5703125" style="89" customWidth="1"/>
    <col min="539" max="539" width="15.42578125" style="89" customWidth="1"/>
    <col min="540" max="542" width="0" style="89" hidden="1" customWidth="1"/>
    <col min="543" max="543" width="57" style="89" bestFit="1" customWidth="1"/>
    <col min="544" max="768" width="11.42578125" style="89"/>
    <col min="769" max="769" width="28.7109375" style="89" customWidth="1"/>
    <col min="770" max="770" width="45.140625" style="89" bestFit="1" customWidth="1"/>
    <col min="771" max="771" width="8.85546875" style="89" customWidth="1"/>
    <col min="772" max="772" width="11.85546875" style="89" customWidth="1"/>
    <col min="773" max="774" width="0" style="89" hidden="1" customWidth="1"/>
    <col min="775" max="775" width="15.140625" style="89" customWidth="1"/>
    <col min="776" max="776" width="11.7109375" style="89" customWidth="1"/>
    <col min="777" max="777" width="12.7109375" style="89" customWidth="1"/>
    <col min="778" max="778" width="13.85546875" style="89" customWidth="1"/>
    <col min="779" max="781" width="0" style="89" hidden="1" customWidth="1"/>
    <col min="782" max="782" width="13.5703125" style="89" customWidth="1"/>
    <col min="783" max="783" width="17" style="89" customWidth="1"/>
    <col min="784" max="788" width="0" style="89" hidden="1" customWidth="1"/>
    <col min="789" max="789" width="13.5703125" style="89" customWidth="1"/>
    <col min="790" max="791" width="16.7109375" style="89" customWidth="1"/>
    <col min="792" max="792" width="15.42578125" style="89" customWidth="1"/>
    <col min="793" max="793" width="0.140625" style="89" customWidth="1"/>
    <col min="794" max="794" width="13.5703125" style="89" customWidth="1"/>
    <col min="795" max="795" width="15.42578125" style="89" customWidth="1"/>
    <col min="796" max="798" width="0" style="89" hidden="1" customWidth="1"/>
    <col min="799" max="799" width="57" style="89" bestFit="1" customWidth="1"/>
    <col min="800" max="1024" width="11.42578125" style="89"/>
    <col min="1025" max="1025" width="28.7109375" style="89" customWidth="1"/>
    <col min="1026" max="1026" width="45.140625" style="89" bestFit="1" customWidth="1"/>
    <col min="1027" max="1027" width="8.85546875" style="89" customWidth="1"/>
    <col min="1028" max="1028" width="11.85546875" style="89" customWidth="1"/>
    <col min="1029" max="1030" width="0" style="89" hidden="1" customWidth="1"/>
    <col min="1031" max="1031" width="15.140625" style="89" customWidth="1"/>
    <col min="1032" max="1032" width="11.7109375" style="89" customWidth="1"/>
    <col min="1033" max="1033" width="12.7109375" style="89" customWidth="1"/>
    <col min="1034" max="1034" width="13.85546875" style="89" customWidth="1"/>
    <col min="1035" max="1037" width="0" style="89" hidden="1" customWidth="1"/>
    <col min="1038" max="1038" width="13.5703125" style="89" customWidth="1"/>
    <col min="1039" max="1039" width="17" style="89" customWidth="1"/>
    <col min="1040" max="1044" width="0" style="89" hidden="1" customWidth="1"/>
    <col min="1045" max="1045" width="13.5703125" style="89" customWidth="1"/>
    <col min="1046" max="1047" width="16.7109375" style="89" customWidth="1"/>
    <col min="1048" max="1048" width="15.42578125" style="89" customWidth="1"/>
    <col min="1049" max="1049" width="0.140625" style="89" customWidth="1"/>
    <col min="1050" max="1050" width="13.5703125" style="89" customWidth="1"/>
    <col min="1051" max="1051" width="15.42578125" style="89" customWidth="1"/>
    <col min="1052" max="1054" width="0" style="89" hidden="1" customWidth="1"/>
    <col min="1055" max="1055" width="57" style="89" bestFit="1" customWidth="1"/>
    <col min="1056" max="1280" width="11.42578125" style="89"/>
    <col min="1281" max="1281" width="28.7109375" style="89" customWidth="1"/>
    <col min="1282" max="1282" width="45.140625" style="89" bestFit="1" customWidth="1"/>
    <col min="1283" max="1283" width="8.85546875" style="89" customWidth="1"/>
    <col min="1284" max="1284" width="11.85546875" style="89" customWidth="1"/>
    <col min="1285" max="1286" width="0" style="89" hidden="1" customWidth="1"/>
    <col min="1287" max="1287" width="15.140625" style="89" customWidth="1"/>
    <col min="1288" max="1288" width="11.7109375" style="89" customWidth="1"/>
    <col min="1289" max="1289" width="12.7109375" style="89" customWidth="1"/>
    <col min="1290" max="1290" width="13.85546875" style="89" customWidth="1"/>
    <col min="1291" max="1293" width="0" style="89" hidden="1" customWidth="1"/>
    <col min="1294" max="1294" width="13.5703125" style="89" customWidth="1"/>
    <col min="1295" max="1295" width="17" style="89" customWidth="1"/>
    <col min="1296" max="1300" width="0" style="89" hidden="1" customWidth="1"/>
    <col min="1301" max="1301" width="13.5703125" style="89" customWidth="1"/>
    <col min="1302" max="1303" width="16.7109375" style="89" customWidth="1"/>
    <col min="1304" max="1304" width="15.42578125" style="89" customWidth="1"/>
    <col min="1305" max="1305" width="0.140625" style="89" customWidth="1"/>
    <col min="1306" max="1306" width="13.5703125" style="89" customWidth="1"/>
    <col min="1307" max="1307" width="15.42578125" style="89" customWidth="1"/>
    <col min="1308" max="1310" width="0" style="89" hidden="1" customWidth="1"/>
    <col min="1311" max="1311" width="57" style="89" bestFit="1" customWidth="1"/>
    <col min="1312" max="1536" width="11.42578125" style="89"/>
    <col min="1537" max="1537" width="28.7109375" style="89" customWidth="1"/>
    <col min="1538" max="1538" width="45.140625" style="89" bestFit="1" customWidth="1"/>
    <col min="1539" max="1539" width="8.85546875" style="89" customWidth="1"/>
    <col min="1540" max="1540" width="11.85546875" style="89" customWidth="1"/>
    <col min="1541" max="1542" width="0" style="89" hidden="1" customWidth="1"/>
    <col min="1543" max="1543" width="15.140625" style="89" customWidth="1"/>
    <col min="1544" max="1544" width="11.7109375" style="89" customWidth="1"/>
    <col min="1545" max="1545" width="12.7109375" style="89" customWidth="1"/>
    <col min="1546" max="1546" width="13.85546875" style="89" customWidth="1"/>
    <col min="1547" max="1549" width="0" style="89" hidden="1" customWidth="1"/>
    <col min="1550" max="1550" width="13.5703125" style="89" customWidth="1"/>
    <col min="1551" max="1551" width="17" style="89" customWidth="1"/>
    <col min="1552" max="1556" width="0" style="89" hidden="1" customWidth="1"/>
    <col min="1557" max="1557" width="13.5703125" style="89" customWidth="1"/>
    <col min="1558" max="1559" width="16.7109375" style="89" customWidth="1"/>
    <col min="1560" max="1560" width="15.42578125" style="89" customWidth="1"/>
    <col min="1561" max="1561" width="0.140625" style="89" customWidth="1"/>
    <col min="1562" max="1562" width="13.5703125" style="89" customWidth="1"/>
    <col min="1563" max="1563" width="15.42578125" style="89" customWidth="1"/>
    <col min="1564" max="1566" width="0" style="89" hidden="1" customWidth="1"/>
    <col min="1567" max="1567" width="57" style="89" bestFit="1" customWidth="1"/>
    <col min="1568" max="1792" width="11.42578125" style="89"/>
    <col min="1793" max="1793" width="28.7109375" style="89" customWidth="1"/>
    <col min="1794" max="1794" width="45.140625" style="89" bestFit="1" customWidth="1"/>
    <col min="1795" max="1795" width="8.85546875" style="89" customWidth="1"/>
    <col min="1796" max="1796" width="11.85546875" style="89" customWidth="1"/>
    <col min="1797" max="1798" width="0" style="89" hidden="1" customWidth="1"/>
    <col min="1799" max="1799" width="15.140625" style="89" customWidth="1"/>
    <col min="1800" max="1800" width="11.7109375" style="89" customWidth="1"/>
    <col min="1801" max="1801" width="12.7109375" style="89" customWidth="1"/>
    <col min="1802" max="1802" width="13.85546875" style="89" customWidth="1"/>
    <col min="1803" max="1805" width="0" style="89" hidden="1" customWidth="1"/>
    <col min="1806" max="1806" width="13.5703125" style="89" customWidth="1"/>
    <col min="1807" max="1807" width="17" style="89" customWidth="1"/>
    <col min="1808" max="1812" width="0" style="89" hidden="1" customWidth="1"/>
    <col min="1813" max="1813" width="13.5703125" style="89" customWidth="1"/>
    <col min="1814" max="1815" width="16.7109375" style="89" customWidth="1"/>
    <col min="1816" max="1816" width="15.42578125" style="89" customWidth="1"/>
    <col min="1817" max="1817" width="0.140625" style="89" customWidth="1"/>
    <col min="1818" max="1818" width="13.5703125" style="89" customWidth="1"/>
    <col min="1819" max="1819" width="15.42578125" style="89" customWidth="1"/>
    <col min="1820" max="1822" width="0" style="89" hidden="1" customWidth="1"/>
    <col min="1823" max="1823" width="57" style="89" bestFit="1" customWidth="1"/>
    <col min="1824" max="2048" width="11.42578125" style="89"/>
    <col min="2049" max="2049" width="28.7109375" style="89" customWidth="1"/>
    <col min="2050" max="2050" width="45.140625" style="89" bestFit="1" customWidth="1"/>
    <col min="2051" max="2051" width="8.85546875" style="89" customWidth="1"/>
    <col min="2052" max="2052" width="11.85546875" style="89" customWidth="1"/>
    <col min="2053" max="2054" width="0" style="89" hidden="1" customWidth="1"/>
    <col min="2055" max="2055" width="15.140625" style="89" customWidth="1"/>
    <col min="2056" max="2056" width="11.7109375" style="89" customWidth="1"/>
    <col min="2057" max="2057" width="12.7109375" style="89" customWidth="1"/>
    <col min="2058" max="2058" width="13.85546875" style="89" customWidth="1"/>
    <col min="2059" max="2061" width="0" style="89" hidden="1" customWidth="1"/>
    <col min="2062" max="2062" width="13.5703125" style="89" customWidth="1"/>
    <col min="2063" max="2063" width="17" style="89" customWidth="1"/>
    <col min="2064" max="2068" width="0" style="89" hidden="1" customWidth="1"/>
    <col min="2069" max="2069" width="13.5703125" style="89" customWidth="1"/>
    <col min="2070" max="2071" width="16.7109375" style="89" customWidth="1"/>
    <col min="2072" max="2072" width="15.42578125" style="89" customWidth="1"/>
    <col min="2073" max="2073" width="0.140625" style="89" customWidth="1"/>
    <col min="2074" max="2074" width="13.5703125" style="89" customWidth="1"/>
    <col min="2075" max="2075" width="15.42578125" style="89" customWidth="1"/>
    <col min="2076" max="2078" width="0" style="89" hidden="1" customWidth="1"/>
    <col min="2079" max="2079" width="57" style="89" bestFit="1" customWidth="1"/>
    <col min="2080" max="2304" width="11.42578125" style="89"/>
    <col min="2305" max="2305" width="28.7109375" style="89" customWidth="1"/>
    <col min="2306" max="2306" width="45.140625" style="89" bestFit="1" customWidth="1"/>
    <col min="2307" max="2307" width="8.85546875" style="89" customWidth="1"/>
    <col min="2308" max="2308" width="11.85546875" style="89" customWidth="1"/>
    <col min="2309" max="2310" width="0" style="89" hidden="1" customWidth="1"/>
    <col min="2311" max="2311" width="15.140625" style="89" customWidth="1"/>
    <col min="2312" max="2312" width="11.7109375" style="89" customWidth="1"/>
    <col min="2313" max="2313" width="12.7109375" style="89" customWidth="1"/>
    <col min="2314" max="2314" width="13.85546875" style="89" customWidth="1"/>
    <col min="2315" max="2317" width="0" style="89" hidden="1" customWidth="1"/>
    <col min="2318" max="2318" width="13.5703125" style="89" customWidth="1"/>
    <col min="2319" max="2319" width="17" style="89" customWidth="1"/>
    <col min="2320" max="2324" width="0" style="89" hidden="1" customWidth="1"/>
    <col min="2325" max="2325" width="13.5703125" style="89" customWidth="1"/>
    <col min="2326" max="2327" width="16.7109375" style="89" customWidth="1"/>
    <col min="2328" max="2328" width="15.42578125" style="89" customWidth="1"/>
    <col min="2329" max="2329" width="0.140625" style="89" customWidth="1"/>
    <col min="2330" max="2330" width="13.5703125" style="89" customWidth="1"/>
    <col min="2331" max="2331" width="15.42578125" style="89" customWidth="1"/>
    <col min="2332" max="2334" width="0" style="89" hidden="1" customWidth="1"/>
    <col min="2335" max="2335" width="57" style="89" bestFit="1" customWidth="1"/>
    <col min="2336" max="2560" width="11.42578125" style="89"/>
    <col min="2561" max="2561" width="28.7109375" style="89" customWidth="1"/>
    <col min="2562" max="2562" width="45.140625" style="89" bestFit="1" customWidth="1"/>
    <col min="2563" max="2563" width="8.85546875" style="89" customWidth="1"/>
    <col min="2564" max="2564" width="11.85546875" style="89" customWidth="1"/>
    <col min="2565" max="2566" width="0" style="89" hidden="1" customWidth="1"/>
    <col min="2567" max="2567" width="15.140625" style="89" customWidth="1"/>
    <col min="2568" max="2568" width="11.7109375" style="89" customWidth="1"/>
    <col min="2569" max="2569" width="12.7109375" style="89" customWidth="1"/>
    <col min="2570" max="2570" width="13.85546875" style="89" customWidth="1"/>
    <col min="2571" max="2573" width="0" style="89" hidden="1" customWidth="1"/>
    <col min="2574" max="2574" width="13.5703125" style="89" customWidth="1"/>
    <col min="2575" max="2575" width="17" style="89" customWidth="1"/>
    <col min="2576" max="2580" width="0" style="89" hidden="1" customWidth="1"/>
    <col min="2581" max="2581" width="13.5703125" style="89" customWidth="1"/>
    <col min="2582" max="2583" width="16.7109375" style="89" customWidth="1"/>
    <col min="2584" max="2584" width="15.42578125" style="89" customWidth="1"/>
    <col min="2585" max="2585" width="0.140625" style="89" customWidth="1"/>
    <col min="2586" max="2586" width="13.5703125" style="89" customWidth="1"/>
    <col min="2587" max="2587" width="15.42578125" style="89" customWidth="1"/>
    <col min="2588" max="2590" width="0" style="89" hidden="1" customWidth="1"/>
    <col min="2591" max="2591" width="57" style="89" bestFit="1" customWidth="1"/>
    <col min="2592" max="2816" width="11.42578125" style="89"/>
    <col min="2817" max="2817" width="28.7109375" style="89" customWidth="1"/>
    <col min="2818" max="2818" width="45.140625" style="89" bestFit="1" customWidth="1"/>
    <col min="2819" max="2819" width="8.85546875" style="89" customWidth="1"/>
    <col min="2820" max="2820" width="11.85546875" style="89" customWidth="1"/>
    <col min="2821" max="2822" width="0" style="89" hidden="1" customWidth="1"/>
    <col min="2823" max="2823" width="15.140625" style="89" customWidth="1"/>
    <col min="2824" max="2824" width="11.7109375" style="89" customWidth="1"/>
    <col min="2825" max="2825" width="12.7109375" style="89" customWidth="1"/>
    <col min="2826" max="2826" width="13.85546875" style="89" customWidth="1"/>
    <col min="2827" max="2829" width="0" style="89" hidden="1" customWidth="1"/>
    <col min="2830" max="2830" width="13.5703125" style="89" customWidth="1"/>
    <col min="2831" max="2831" width="17" style="89" customWidth="1"/>
    <col min="2832" max="2836" width="0" style="89" hidden="1" customWidth="1"/>
    <col min="2837" max="2837" width="13.5703125" style="89" customWidth="1"/>
    <col min="2838" max="2839" width="16.7109375" style="89" customWidth="1"/>
    <col min="2840" max="2840" width="15.42578125" style="89" customWidth="1"/>
    <col min="2841" max="2841" width="0.140625" style="89" customWidth="1"/>
    <col min="2842" max="2842" width="13.5703125" style="89" customWidth="1"/>
    <col min="2843" max="2843" width="15.42578125" style="89" customWidth="1"/>
    <col min="2844" max="2846" width="0" style="89" hidden="1" customWidth="1"/>
    <col min="2847" max="2847" width="57" style="89" bestFit="1" customWidth="1"/>
    <col min="2848" max="3072" width="11.42578125" style="89"/>
    <col min="3073" max="3073" width="28.7109375" style="89" customWidth="1"/>
    <col min="3074" max="3074" width="45.140625" style="89" bestFit="1" customWidth="1"/>
    <col min="3075" max="3075" width="8.85546875" style="89" customWidth="1"/>
    <col min="3076" max="3076" width="11.85546875" style="89" customWidth="1"/>
    <col min="3077" max="3078" width="0" style="89" hidden="1" customWidth="1"/>
    <col min="3079" max="3079" width="15.140625" style="89" customWidth="1"/>
    <col min="3080" max="3080" width="11.7109375" style="89" customWidth="1"/>
    <col min="3081" max="3081" width="12.7109375" style="89" customWidth="1"/>
    <col min="3082" max="3082" width="13.85546875" style="89" customWidth="1"/>
    <col min="3083" max="3085" width="0" style="89" hidden="1" customWidth="1"/>
    <col min="3086" max="3086" width="13.5703125" style="89" customWidth="1"/>
    <col min="3087" max="3087" width="17" style="89" customWidth="1"/>
    <col min="3088" max="3092" width="0" style="89" hidden="1" customWidth="1"/>
    <col min="3093" max="3093" width="13.5703125" style="89" customWidth="1"/>
    <col min="3094" max="3095" width="16.7109375" style="89" customWidth="1"/>
    <col min="3096" max="3096" width="15.42578125" style="89" customWidth="1"/>
    <col min="3097" max="3097" width="0.140625" style="89" customWidth="1"/>
    <col min="3098" max="3098" width="13.5703125" style="89" customWidth="1"/>
    <col min="3099" max="3099" width="15.42578125" style="89" customWidth="1"/>
    <col min="3100" max="3102" width="0" style="89" hidden="1" customWidth="1"/>
    <col min="3103" max="3103" width="57" style="89" bestFit="1" customWidth="1"/>
    <col min="3104" max="3328" width="11.42578125" style="89"/>
    <col min="3329" max="3329" width="28.7109375" style="89" customWidth="1"/>
    <col min="3330" max="3330" width="45.140625" style="89" bestFit="1" customWidth="1"/>
    <col min="3331" max="3331" width="8.85546875" style="89" customWidth="1"/>
    <col min="3332" max="3332" width="11.85546875" style="89" customWidth="1"/>
    <col min="3333" max="3334" width="0" style="89" hidden="1" customWidth="1"/>
    <col min="3335" max="3335" width="15.140625" style="89" customWidth="1"/>
    <col min="3336" max="3336" width="11.7109375" style="89" customWidth="1"/>
    <col min="3337" max="3337" width="12.7109375" style="89" customWidth="1"/>
    <col min="3338" max="3338" width="13.85546875" style="89" customWidth="1"/>
    <col min="3339" max="3341" width="0" style="89" hidden="1" customWidth="1"/>
    <col min="3342" max="3342" width="13.5703125" style="89" customWidth="1"/>
    <col min="3343" max="3343" width="17" style="89" customWidth="1"/>
    <col min="3344" max="3348" width="0" style="89" hidden="1" customWidth="1"/>
    <col min="3349" max="3349" width="13.5703125" style="89" customWidth="1"/>
    <col min="3350" max="3351" width="16.7109375" style="89" customWidth="1"/>
    <col min="3352" max="3352" width="15.42578125" style="89" customWidth="1"/>
    <col min="3353" max="3353" width="0.140625" style="89" customWidth="1"/>
    <col min="3354" max="3354" width="13.5703125" style="89" customWidth="1"/>
    <col min="3355" max="3355" width="15.42578125" style="89" customWidth="1"/>
    <col min="3356" max="3358" width="0" style="89" hidden="1" customWidth="1"/>
    <col min="3359" max="3359" width="57" style="89" bestFit="1" customWidth="1"/>
    <col min="3360" max="3584" width="11.42578125" style="89"/>
    <col min="3585" max="3585" width="28.7109375" style="89" customWidth="1"/>
    <col min="3586" max="3586" width="45.140625" style="89" bestFit="1" customWidth="1"/>
    <col min="3587" max="3587" width="8.85546875" style="89" customWidth="1"/>
    <col min="3588" max="3588" width="11.85546875" style="89" customWidth="1"/>
    <col min="3589" max="3590" width="0" style="89" hidden="1" customWidth="1"/>
    <col min="3591" max="3591" width="15.140625" style="89" customWidth="1"/>
    <col min="3592" max="3592" width="11.7109375" style="89" customWidth="1"/>
    <col min="3593" max="3593" width="12.7109375" style="89" customWidth="1"/>
    <col min="3594" max="3594" width="13.85546875" style="89" customWidth="1"/>
    <col min="3595" max="3597" width="0" style="89" hidden="1" customWidth="1"/>
    <col min="3598" max="3598" width="13.5703125" style="89" customWidth="1"/>
    <col min="3599" max="3599" width="17" style="89" customWidth="1"/>
    <col min="3600" max="3604" width="0" style="89" hidden="1" customWidth="1"/>
    <col min="3605" max="3605" width="13.5703125" style="89" customWidth="1"/>
    <col min="3606" max="3607" width="16.7109375" style="89" customWidth="1"/>
    <col min="3608" max="3608" width="15.42578125" style="89" customWidth="1"/>
    <col min="3609" max="3609" width="0.140625" style="89" customWidth="1"/>
    <col min="3610" max="3610" width="13.5703125" style="89" customWidth="1"/>
    <col min="3611" max="3611" width="15.42578125" style="89" customWidth="1"/>
    <col min="3612" max="3614" width="0" style="89" hidden="1" customWidth="1"/>
    <col min="3615" max="3615" width="57" style="89" bestFit="1" customWidth="1"/>
    <col min="3616" max="3840" width="11.42578125" style="89"/>
    <col min="3841" max="3841" width="28.7109375" style="89" customWidth="1"/>
    <col min="3842" max="3842" width="45.140625" style="89" bestFit="1" customWidth="1"/>
    <col min="3843" max="3843" width="8.85546875" style="89" customWidth="1"/>
    <col min="3844" max="3844" width="11.85546875" style="89" customWidth="1"/>
    <col min="3845" max="3846" width="0" style="89" hidden="1" customWidth="1"/>
    <col min="3847" max="3847" width="15.140625" style="89" customWidth="1"/>
    <col min="3848" max="3848" width="11.7109375" style="89" customWidth="1"/>
    <col min="3849" max="3849" width="12.7109375" style="89" customWidth="1"/>
    <col min="3850" max="3850" width="13.85546875" style="89" customWidth="1"/>
    <col min="3851" max="3853" width="0" style="89" hidden="1" customWidth="1"/>
    <col min="3854" max="3854" width="13.5703125" style="89" customWidth="1"/>
    <col min="3855" max="3855" width="17" style="89" customWidth="1"/>
    <col min="3856" max="3860" width="0" style="89" hidden="1" customWidth="1"/>
    <col min="3861" max="3861" width="13.5703125" style="89" customWidth="1"/>
    <col min="3862" max="3863" width="16.7109375" style="89" customWidth="1"/>
    <col min="3864" max="3864" width="15.42578125" style="89" customWidth="1"/>
    <col min="3865" max="3865" width="0.140625" style="89" customWidth="1"/>
    <col min="3866" max="3866" width="13.5703125" style="89" customWidth="1"/>
    <col min="3867" max="3867" width="15.42578125" style="89" customWidth="1"/>
    <col min="3868" max="3870" width="0" style="89" hidden="1" customWidth="1"/>
    <col min="3871" max="3871" width="57" style="89" bestFit="1" customWidth="1"/>
    <col min="3872" max="4096" width="11.42578125" style="89"/>
    <col min="4097" max="4097" width="28.7109375" style="89" customWidth="1"/>
    <col min="4098" max="4098" width="45.140625" style="89" bestFit="1" customWidth="1"/>
    <col min="4099" max="4099" width="8.85546875" style="89" customWidth="1"/>
    <col min="4100" max="4100" width="11.85546875" style="89" customWidth="1"/>
    <col min="4101" max="4102" width="0" style="89" hidden="1" customWidth="1"/>
    <col min="4103" max="4103" width="15.140625" style="89" customWidth="1"/>
    <col min="4104" max="4104" width="11.7109375" style="89" customWidth="1"/>
    <col min="4105" max="4105" width="12.7109375" style="89" customWidth="1"/>
    <col min="4106" max="4106" width="13.85546875" style="89" customWidth="1"/>
    <col min="4107" max="4109" width="0" style="89" hidden="1" customWidth="1"/>
    <col min="4110" max="4110" width="13.5703125" style="89" customWidth="1"/>
    <col min="4111" max="4111" width="17" style="89" customWidth="1"/>
    <col min="4112" max="4116" width="0" style="89" hidden="1" customWidth="1"/>
    <col min="4117" max="4117" width="13.5703125" style="89" customWidth="1"/>
    <col min="4118" max="4119" width="16.7109375" style="89" customWidth="1"/>
    <col min="4120" max="4120" width="15.42578125" style="89" customWidth="1"/>
    <col min="4121" max="4121" width="0.140625" style="89" customWidth="1"/>
    <col min="4122" max="4122" width="13.5703125" style="89" customWidth="1"/>
    <col min="4123" max="4123" width="15.42578125" style="89" customWidth="1"/>
    <col min="4124" max="4126" width="0" style="89" hidden="1" customWidth="1"/>
    <col min="4127" max="4127" width="57" style="89" bestFit="1" customWidth="1"/>
    <col min="4128" max="4352" width="11.42578125" style="89"/>
    <col min="4353" max="4353" width="28.7109375" style="89" customWidth="1"/>
    <col min="4354" max="4354" width="45.140625" style="89" bestFit="1" customWidth="1"/>
    <col min="4355" max="4355" width="8.85546875" style="89" customWidth="1"/>
    <col min="4356" max="4356" width="11.85546875" style="89" customWidth="1"/>
    <col min="4357" max="4358" width="0" style="89" hidden="1" customWidth="1"/>
    <col min="4359" max="4359" width="15.140625" style="89" customWidth="1"/>
    <col min="4360" max="4360" width="11.7109375" style="89" customWidth="1"/>
    <col min="4361" max="4361" width="12.7109375" style="89" customWidth="1"/>
    <col min="4362" max="4362" width="13.85546875" style="89" customWidth="1"/>
    <col min="4363" max="4365" width="0" style="89" hidden="1" customWidth="1"/>
    <col min="4366" max="4366" width="13.5703125" style="89" customWidth="1"/>
    <col min="4367" max="4367" width="17" style="89" customWidth="1"/>
    <col min="4368" max="4372" width="0" style="89" hidden="1" customWidth="1"/>
    <col min="4373" max="4373" width="13.5703125" style="89" customWidth="1"/>
    <col min="4374" max="4375" width="16.7109375" style="89" customWidth="1"/>
    <col min="4376" max="4376" width="15.42578125" style="89" customWidth="1"/>
    <col min="4377" max="4377" width="0.140625" style="89" customWidth="1"/>
    <col min="4378" max="4378" width="13.5703125" style="89" customWidth="1"/>
    <col min="4379" max="4379" width="15.42578125" style="89" customWidth="1"/>
    <col min="4380" max="4382" width="0" style="89" hidden="1" customWidth="1"/>
    <col min="4383" max="4383" width="57" style="89" bestFit="1" customWidth="1"/>
    <col min="4384" max="4608" width="11.42578125" style="89"/>
    <col min="4609" max="4609" width="28.7109375" style="89" customWidth="1"/>
    <col min="4610" max="4610" width="45.140625" style="89" bestFit="1" customWidth="1"/>
    <col min="4611" max="4611" width="8.85546875" style="89" customWidth="1"/>
    <col min="4612" max="4612" width="11.85546875" style="89" customWidth="1"/>
    <col min="4613" max="4614" width="0" style="89" hidden="1" customWidth="1"/>
    <col min="4615" max="4615" width="15.140625" style="89" customWidth="1"/>
    <col min="4616" max="4616" width="11.7109375" style="89" customWidth="1"/>
    <col min="4617" max="4617" width="12.7109375" style="89" customWidth="1"/>
    <col min="4618" max="4618" width="13.85546875" style="89" customWidth="1"/>
    <col min="4619" max="4621" width="0" style="89" hidden="1" customWidth="1"/>
    <col min="4622" max="4622" width="13.5703125" style="89" customWidth="1"/>
    <col min="4623" max="4623" width="17" style="89" customWidth="1"/>
    <col min="4624" max="4628" width="0" style="89" hidden="1" customWidth="1"/>
    <col min="4629" max="4629" width="13.5703125" style="89" customWidth="1"/>
    <col min="4630" max="4631" width="16.7109375" style="89" customWidth="1"/>
    <col min="4632" max="4632" width="15.42578125" style="89" customWidth="1"/>
    <col min="4633" max="4633" width="0.140625" style="89" customWidth="1"/>
    <col min="4634" max="4634" width="13.5703125" style="89" customWidth="1"/>
    <col min="4635" max="4635" width="15.42578125" style="89" customWidth="1"/>
    <col min="4636" max="4638" width="0" style="89" hidden="1" customWidth="1"/>
    <col min="4639" max="4639" width="57" style="89" bestFit="1" customWidth="1"/>
    <col min="4640" max="4864" width="11.42578125" style="89"/>
    <col min="4865" max="4865" width="28.7109375" style="89" customWidth="1"/>
    <col min="4866" max="4866" width="45.140625" style="89" bestFit="1" customWidth="1"/>
    <col min="4867" max="4867" width="8.85546875" style="89" customWidth="1"/>
    <col min="4868" max="4868" width="11.85546875" style="89" customWidth="1"/>
    <col min="4869" max="4870" width="0" style="89" hidden="1" customWidth="1"/>
    <col min="4871" max="4871" width="15.140625" style="89" customWidth="1"/>
    <col min="4872" max="4872" width="11.7109375" style="89" customWidth="1"/>
    <col min="4873" max="4873" width="12.7109375" style="89" customWidth="1"/>
    <col min="4874" max="4874" width="13.85546875" style="89" customWidth="1"/>
    <col min="4875" max="4877" width="0" style="89" hidden="1" customWidth="1"/>
    <col min="4878" max="4878" width="13.5703125" style="89" customWidth="1"/>
    <col min="4879" max="4879" width="17" style="89" customWidth="1"/>
    <col min="4880" max="4884" width="0" style="89" hidden="1" customWidth="1"/>
    <col min="4885" max="4885" width="13.5703125" style="89" customWidth="1"/>
    <col min="4886" max="4887" width="16.7109375" style="89" customWidth="1"/>
    <col min="4888" max="4888" width="15.42578125" style="89" customWidth="1"/>
    <col min="4889" max="4889" width="0.140625" style="89" customWidth="1"/>
    <col min="4890" max="4890" width="13.5703125" style="89" customWidth="1"/>
    <col min="4891" max="4891" width="15.42578125" style="89" customWidth="1"/>
    <col min="4892" max="4894" width="0" style="89" hidden="1" customWidth="1"/>
    <col min="4895" max="4895" width="57" style="89" bestFit="1" customWidth="1"/>
    <col min="4896" max="5120" width="11.42578125" style="89"/>
    <col min="5121" max="5121" width="28.7109375" style="89" customWidth="1"/>
    <col min="5122" max="5122" width="45.140625" style="89" bestFit="1" customWidth="1"/>
    <col min="5123" max="5123" width="8.85546875" style="89" customWidth="1"/>
    <col min="5124" max="5124" width="11.85546875" style="89" customWidth="1"/>
    <col min="5125" max="5126" width="0" style="89" hidden="1" customWidth="1"/>
    <col min="5127" max="5127" width="15.140625" style="89" customWidth="1"/>
    <col min="5128" max="5128" width="11.7109375" style="89" customWidth="1"/>
    <col min="5129" max="5129" width="12.7109375" style="89" customWidth="1"/>
    <col min="5130" max="5130" width="13.85546875" style="89" customWidth="1"/>
    <col min="5131" max="5133" width="0" style="89" hidden="1" customWidth="1"/>
    <col min="5134" max="5134" width="13.5703125" style="89" customWidth="1"/>
    <col min="5135" max="5135" width="17" style="89" customWidth="1"/>
    <col min="5136" max="5140" width="0" style="89" hidden="1" customWidth="1"/>
    <col min="5141" max="5141" width="13.5703125" style="89" customWidth="1"/>
    <col min="5142" max="5143" width="16.7109375" style="89" customWidth="1"/>
    <col min="5144" max="5144" width="15.42578125" style="89" customWidth="1"/>
    <col min="5145" max="5145" width="0.140625" style="89" customWidth="1"/>
    <col min="5146" max="5146" width="13.5703125" style="89" customWidth="1"/>
    <col min="5147" max="5147" width="15.42578125" style="89" customWidth="1"/>
    <col min="5148" max="5150" width="0" style="89" hidden="1" customWidth="1"/>
    <col min="5151" max="5151" width="57" style="89" bestFit="1" customWidth="1"/>
    <col min="5152" max="5376" width="11.42578125" style="89"/>
    <col min="5377" max="5377" width="28.7109375" style="89" customWidth="1"/>
    <col min="5378" max="5378" width="45.140625" style="89" bestFit="1" customWidth="1"/>
    <col min="5379" max="5379" width="8.85546875" style="89" customWidth="1"/>
    <col min="5380" max="5380" width="11.85546875" style="89" customWidth="1"/>
    <col min="5381" max="5382" width="0" style="89" hidden="1" customWidth="1"/>
    <col min="5383" max="5383" width="15.140625" style="89" customWidth="1"/>
    <col min="5384" max="5384" width="11.7109375" style="89" customWidth="1"/>
    <col min="5385" max="5385" width="12.7109375" style="89" customWidth="1"/>
    <col min="5386" max="5386" width="13.85546875" style="89" customWidth="1"/>
    <col min="5387" max="5389" width="0" style="89" hidden="1" customWidth="1"/>
    <col min="5390" max="5390" width="13.5703125" style="89" customWidth="1"/>
    <col min="5391" max="5391" width="17" style="89" customWidth="1"/>
    <col min="5392" max="5396" width="0" style="89" hidden="1" customWidth="1"/>
    <col min="5397" max="5397" width="13.5703125" style="89" customWidth="1"/>
    <col min="5398" max="5399" width="16.7109375" style="89" customWidth="1"/>
    <col min="5400" max="5400" width="15.42578125" style="89" customWidth="1"/>
    <col min="5401" max="5401" width="0.140625" style="89" customWidth="1"/>
    <col min="5402" max="5402" width="13.5703125" style="89" customWidth="1"/>
    <col min="5403" max="5403" width="15.42578125" style="89" customWidth="1"/>
    <col min="5404" max="5406" width="0" style="89" hidden="1" customWidth="1"/>
    <col min="5407" max="5407" width="57" style="89" bestFit="1" customWidth="1"/>
    <col min="5408" max="5632" width="11.42578125" style="89"/>
    <col min="5633" max="5633" width="28.7109375" style="89" customWidth="1"/>
    <col min="5634" max="5634" width="45.140625" style="89" bestFit="1" customWidth="1"/>
    <col min="5635" max="5635" width="8.85546875" style="89" customWidth="1"/>
    <col min="5636" max="5636" width="11.85546875" style="89" customWidth="1"/>
    <col min="5637" max="5638" width="0" style="89" hidden="1" customWidth="1"/>
    <col min="5639" max="5639" width="15.140625" style="89" customWidth="1"/>
    <col min="5640" max="5640" width="11.7109375" style="89" customWidth="1"/>
    <col min="5641" max="5641" width="12.7109375" style="89" customWidth="1"/>
    <col min="5642" max="5642" width="13.85546875" style="89" customWidth="1"/>
    <col min="5643" max="5645" width="0" style="89" hidden="1" customWidth="1"/>
    <col min="5646" max="5646" width="13.5703125" style="89" customWidth="1"/>
    <col min="5647" max="5647" width="17" style="89" customWidth="1"/>
    <col min="5648" max="5652" width="0" style="89" hidden="1" customWidth="1"/>
    <col min="5653" max="5653" width="13.5703125" style="89" customWidth="1"/>
    <col min="5654" max="5655" width="16.7109375" style="89" customWidth="1"/>
    <col min="5656" max="5656" width="15.42578125" style="89" customWidth="1"/>
    <col min="5657" max="5657" width="0.140625" style="89" customWidth="1"/>
    <col min="5658" max="5658" width="13.5703125" style="89" customWidth="1"/>
    <col min="5659" max="5659" width="15.42578125" style="89" customWidth="1"/>
    <col min="5660" max="5662" width="0" style="89" hidden="1" customWidth="1"/>
    <col min="5663" max="5663" width="57" style="89" bestFit="1" customWidth="1"/>
    <col min="5664" max="5888" width="11.42578125" style="89"/>
    <col min="5889" max="5889" width="28.7109375" style="89" customWidth="1"/>
    <col min="5890" max="5890" width="45.140625" style="89" bestFit="1" customWidth="1"/>
    <col min="5891" max="5891" width="8.85546875" style="89" customWidth="1"/>
    <col min="5892" max="5892" width="11.85546875" style="89" customWidth="1"/>
    <col min="5893" max="5894" width="0" style="89" hidden="1" customWidth="1"/>
    <col min="5895" max="5895" width="15.140625" style="89" customWidth="1"/>
    <col min="5896" max="5896" width="11.7109375" style="89" customWidth="1"/>
    <col min="5897" max="5897" width="12.7109375" style="89" customWidth="1"/>
    <col min="5898" max="5898" width="13.85546875" style="89" customWidth="1"/>
    <col min="5899" max="5901" width="0" style="89" hidden="1" customWidth="1"/>
    <col min="5902" max="5902" width="13.5703125" style="89" customWidth="1"/>
    <col min="5903" max="5903" width="17" style="89" customWidth="1"/>
    <col min="5904" max="5908" width="0" style="89" hidden="1" customWidth="1"/>
    <col min="5909" max="5909" width="13.5703125" style="89" customWidth="1"/>
    <col min="5910" max="5911" width="16.7109375" style="89" customWidth="1"/>
    <col min="5912" max="5912" width="15.42578125" style="89" customWidth="1"/>
    <col min="5913" max="5913" width="0.140625" style="89" customWidth="1"/>
    <col min="5914" max="5914" width="13.5703125" style="89" customWidth="1"/>
    <col min="5915" max="5915" width="15.42578125" style="89" customWidth="1"/>
    <col min="5916" max="5918" width="0" style="89" hidden="1" customWidth="1"/>
    <col min="5919" max="5919" width="57" style="89" bestFit="1" customWidth="1"/>
    <col min="5920" max="6144" width="11.42578125" style="89"/>
    <col min="6145" max="6145" width="28.7109375" style="89" customWidth="1"/>
    <col min="6146" max="6146" width="45.140625" style="89" bestFit="1" customWidth="1"/>
    <col min="6147" max="6147" width="8.85546875" style="89" customWidth="1"/>
    <col min="6148" max="6148" width="11.85546875" style="89" customWidth="1"/>
    <col min="6149" max="6150" width="0" style="89" hidden="1" customWidth="1"/>
    <col min="6151" max="6151" width="15.140625" style="89" customWidth="1"/>
    <col min="6152" max="6152" width="11.7109375" style="89" customWidth="1"/>
    <col min="6153" max="6153" width="12.7109375" style="89" customWidth="1"/>
    <col min="6154" max="6154" width="13.85546875" style="89" customWidth="1"/>
    <col min="6155" max="6157" width="0" style="89" hidden="1" customWidth="1"/>
    <col min="6158" max="6158" width="13.5703125" style="89" customWidth="1"/>
    <col min="6159" max="6159" width="17" style="89" customWidth="1"/>
    <col min="6160" max="6164" width="0" style="89" hidden="1" customWidth="1"/>
    <col min="6165" max="6165" width="13.5703125" style="89" customWidth="1"/>
    <col min="6166" max="6167" width="16.7109375" style="89" customWidth="1"/>
    <col min="6168" max="6168" width="15.42578125" style="89" customWidth="1"/>
    <col min="6169" max="6169" width="0.140625" style="89" customWidth="1"/>
    <col min="6170" max="6170" width="13.5703125" style="89" customWidth="1"/>
    <col min="6171" max="6171" width="15.42578125" style="89" customWidth="1"/>
    <col min="6172" max="6174" width="0" style="89" hidden="1" customWidth="1"/>
    <col min="6175" max="6175" width="57" style="89" bestFit="1" customWidth="1"/>
    <col min="6176" max="6400" width="11.42578125" style="89"/>
    <col min="6401" max="6401" width="28.7109375" style="89" customWidth="1"/>
    <col min="6402" max="6402" width="45.140625" style="89" bestFit="1" customWidth="1"/>
    <col min="6403" max="6403" width="8.85546875" style="89" customWidth="1"/>
    <col min="6404" max="6404" width="11.85546875" style="89" customWidth="1"/>
    <col min="6405" max="6406" width="0" style="89" hidden="1" customWidth="1"/>
    <col min="6407" max="6407" width="15.140625" style="89" customWidth="1"/>
    <col min="6408" max="6408" width="11.7109375" style="89" customWidth="1"/>
    <col min="6409" max="6409" width="12.7109375" style="89" customWidth="1"/>
    <col min="6410" max="6410" width="13.85546875" style="89" customWidth="1"/>
    <col min="6411" max="6413" width="0" style="89" hidden="1" customWidth="1"/>
    <col min="6414" max="6414" width="13.5703125" style="89" customWidth="1"/>
    <col min="6415" max="6415" width="17" style="89" customWidth="1"/>
    <col min="6416" max="6420" width="0" style="89" hidden="1" customWidth="1"/>
    <col min="6421" max="6421" width="13.5703125" style="89" customWidth="1"/>
    <col min="6422" max="6423" width="16.7109375" style="89" customWidth="1"/>
    <col min="6424" max="6424" width="15.42578125" style="89" customWidth="1"/>
    <col min="6425" max="6425" width="0.140625" style="89" customWidth="1"/>
    <col min="6426" max="6426" width="13.5703125" style="89" customWidth="1"/>
    <col min="6427" max="6427" width="15.42578125" style="89" customWidth="1"/>
    <col min="6428" max="6430" width="0" style="89" hidden="1" customWidth="1"/>
    <col min="6431" max="6431" width="57" style="89" bestFit="1" customWidth="1"/>
    <col min="6432" max="6656" width="11.42578125" style="89"/>
    <col min="6657" max="6657" width="28.7109375" style="89" customWidth="1"/>
    <col min="6658" max="6658" width="45.140625" style="89" bestFit="1" customWidth="1"/>
    <col min="6659" max="6659" width="8.85546875" style="89" customWidth="1"/>
    <col min="6660" max="6660" width="11.85546875" style="89" customWidth="1"/>
    <col min="6661" max="6662" width="0" style="89" hidden="1" customWidth="1"/>
    <col min="6663" max="6663" width="15.140625" style="89" customWidth="1"/>
    <col min="6664" max="6664" width="11.7109375" style="89" customWidth="1"/>
    <col min="6665" max="6665" width="12.7109375" style="89" customWidth="1"/>
    <col min="6666" max="6666" width="13.85546875" style="89" customWidth="1"/>
    <col min="6667" max="6669" width="0" style="89" hidden="1" customWidth="1"/>
    <col min="6670" max="6670" width="13.5703125" style="89" customWidth="1"/>
    <col min="6671" max="6671" width="17" style="89" customWidth="1"/>
    <col min="6672" max="6676" width="0" style="89" hidden="1" customWidth="1"/>
    <col min="6677" max="6677" width="13.5703125" style="89" customWidth="1"/>
    <col min="6678" max="6679" width="16.7109375" style="89" customWidth="1"/>
    <col min="6680" max="6680" width="15.42578125" style="89" customWidth="1"/>
    <col min="6681" max="6681" width="0.140625" style="89" customWidth="1"/>
    <col min="6682" max="6682" width="13.5703125" style="89" customWidth="1"/>
    <col min="6683" max="6683" width="15.42578125" style="89" customWidth="1"/>
    <col min="6684" max="6686" width="0" style="89" hidden="1" customWidth="1"/>
    <col min="6687" max="6687" width="57" style="89" bestFit="1" customWidth="1"/>
    <col min="6688" max="6912" width="11.42578125" style="89"/>
    <col min="6913" max="6913" width="28.7109375" style="89" customWidth="1"/>
    <col min="6914" max="6914" width="45.140625" style="89" bestFit="1" customWidth="1"/>
    <col min="6915" max="6915" width="8.85546875" style="89" customWidth="1"/>
    <col min="6916" max="6916" width="11.85546875" style="89" customWidth="1"/>
    <col min="6917" max="6918" width="0" style="89" hidden="1" customWidth="1"/>
    <col min="6919" max="6919" width="15.140625" style="89" customWidth="1"/>
    <col min="6920" max="6920" width="11.7109375" style="89" customWidth="1"/>
    <col min="6921" max="6921" width="12.7109375" style="89" customWidth="1"/>
    <col min="6922" max="6922" width="13.85546875" style="89" customWidth="1"/>
    <col min="6923" max="6925" width="0" style="89" hidden="1" customWidth="1"/>
    <col min="6926" max="6926" width="13.5703125" style="89" customWidth="1"/>
    <col min="6927" max="6927" width="17" style="89" customWidth="1"/>
    <col min="6928" max="6932" width="0" style="89" hidden="1" customWidth="1"/>
    <col min="6933" max="6933" width="13.5703125" style="89" customWidth="1"/>
    <col min="6934" max="6935" width="16.7109375" style="89" customWidth="1"/>
    <col min="6936" max="6936" width="15.42578125" style="89" customWidth="1"/>
    <col min="6937" max="6937" width="0.140625" style="89" customWidth="1"/>
    <col min="6938" max="6938" width="13.5703125" style="89" customWidth="1"/>
    <col min="6939" max="6939" width="15.42578125" style="89" customWidth="1"/>
    <col min="6940" max="6942" width="0" style="89" hidden="1" customWidth="1"/>
    <col min="6943" max="6943" width="57" style="89" bestFit="1" customWidth="1"/>
    <col min="6944" max="7168" width="11.42578125" style="89"/>
    <col min="7169" max="7169" width="28.7109375" style="89" customWidth="1"/>
    <col min="7170" max="7170" width="45.140625" style="89" bestFit="1" customWidth="1"/>
    <col min="7171" max="7171" width="8.85546875" style="89" customWidth="1"/>
    <col min="7172" max="7172" width="11.85546875" style="89" customWidth="1"/>
    <col min="7173" max="7174" width="0" style="89" hidden="1" customWidth="1"/>
    <col min="7175" max="7175" width="15.140625" style="89" customWidth="1"/>
    <col min="7176" max="7176" width="11.7109375" style="89" customWidth="1"/>
    <col min="7177" max="7177" width="12.7109375" style="89" customWidth="1"/>
    <col min="7178" max="7178" width="13.85546875" style="89" customWidth="1"/>
    <col min="7179" max="7181" width="0" style="89" hidden="1" customWidth="1"/>
    <col min="7182" max="7182" width="13.5703125" style="89" customWidth="1"/>
    <col min="7183" max="7183" width="17" style="89" customWidth="1"/>
    <col min="7184" max="7188" width="0" style="89" hidden="1" customWidth="1"/>
    <col min="7189" max="7189" width="13.5703125" style="89" customWidth="1"/>
    <col min="7190" max="7191" width="16.7109375" style="89" customWidth="1"/>
    <col min="7192" max="7192" width="15.42578125" style="89" customWidth="1"/>
    <col min="7193" max="7193" width="0.140625" style="89" customWidth="1"/>
    <col min="7194" max="7194" width="13.5703125" style="89" customWidth="1"/>
    <col min="7195" max="7195" width="15.42578125" style="89" customWidth="1"/>
    <col min="7196" max="7198" width="0" style="89" hidden="1" customWidth="1"/>
    <col min="7199" max="7199" width="57" style="89" bestFit="1" customWidth="1"/>
    <col min="7200" max="7424" width="11.42578125" style="89"/>
    <col min="7425" max="7425" width="28.7109375" style="89" customWidth="1"/>
    <col min="7426" max="7426" width="45.140625" style="89" bestFit="1" customWidth="1"/>
    <col min="7427" max="7427" width="8.85546875" style="89" customWidth="1"/>
    <col min="7428" max="7428" width="11.85546875" style="89" customWidth="1"/>
    <col min="7429" max="7430" width="0" style="89" hidden="1" customWidth="1"/>
    <col min="7431" max="7431" width="15.140625" style="89" customWidth="1"/>
    <col min="7432" max="7432" width="11.7109375" style="89" customWidth="1"/>
    <col min="7433" max="7433" width="12.7109375" style="89" customWidth="1"/>
    <col min="7434" max="7434" width="13.85546875" style="89" customWidth="1"/>
    <col min="7435" max="7437" width="0" style="89" hidden="1" customWidth="1"/>
    <col min="7438" max="7438" width="13.5703125" style="89" customWidth="1"/>
    <col min="7439" max="7439" width="17" style="89" customWidth="1"/>
    <col min="7440" max="7444" width="0" style="89" hidden="1" customWidth="1"/>
    <col min="7445" max="7445" width="13.5703125" style="89" customWidth="1"/>
    <col min="7446" max="7447" width="16.7109375" style="89" customWidth="1"/>
    <col min="7448" max="7448" width="15.42578125" style="89" customWidth="1"/>
    <col min="7449" max="7449" width="0.140625" style="89" customWidth="1"/>
    <col min="7450" max="7450" width="13.5703125" style="89" customWidth="1"/>
    <col min="7451" max="7451" width="15.42578125" style="89" customWidth="1"/>
    <col min="7452" max="7454" width="0" style="89" hidden="1" customWidth="1"/>
    <col min="7455" max="7455" width="57" style="89" bestFit="1" customWidth="1"/>
    <col min="7456" max="7680" width="11.42578125" style="89"/>
    <col min="7681" max="7681" width="28.7109375" style="89" customWidth="1"/>
    <col min="7682" max="7682" width="45.140625" style="89" bestFit="1" customWidth="1"/>
    <col min="7683" max="7683" width="8.85546875" style="89" customWidth="1"/>
    <col min="7684" max="7684" width="11.85546875" style="89" customWidth="1"/>
    <col min="7685" max="7686" width="0" style="89" hidden="1" customWidth="1"/>
    <col min="7687" max="7687" width="15.140625" style="89" customWidth="1"/>
    <col min="7688" max="7688" width="11.7109375" style="89" customWidth="1"/>
    <col min="7689" max="7689" width="12.7109375" style="89" customWidth="1"/>
    <col min="7690" max="7690" width="13.85546875" style="89" customWidth="1"/>
    <col min="7691" max="7693" width="0" style="89" hidden="1" customWidth="1"/>
    <col min="7694" max="7694" width="13.5703125" style="89" customWidth="1"/>
    <col min="7695" max="7695" width="17" style="89" customWidth="1"/>
    <col min="7696" max="7700" width="0" style="89" hidden="1" customWidth="1"/>
    <col min="7701" max="7701" width="13.5703125" style="89" customWidth="1"/>
    <col min="7702" max="7703" width="16.7109375" style="89" customWidth="1"/>
    <col min="7704" max="7704" width="15.42578125" style="89" customWidth="1"/>
    <col min="7705" max="7705" width="0.140625" style="89" customWidth="1"/>
    <col min="7706" max="7706" width="13.5703125" style="89" customWidth="1"/>
    <col min="7707" max="7707" width="15.42578125" style="89" customWidth="1"/>
    <col min="7708" max="7710" width="0" style="89" hidden="1" customWidth="1"/>
    <col min="7711" max="7711" width="57" style="89" bestFit="1" customWidth="1"/>
    <col min="7712" max="7936" width="11.42578125" style="89"/>
    <col min="7937" max="7937" width="28.7109375" style="89" customWidth="1"/>
    <col min="7938" max="7938" width="45.140625" style="89" bestFit="1" customWidth="1"/>
    <col min="7939" max="7939" width="8.85546875" style="89" customWidth="1"/>
    <col min="7940" max="7940" width="11.85546875" style="89" customWidth="1"/>
    <col min="7941" max="7942" width="0" style="89" hidden="1" customWidth="1"/>
    <col min="7943" max="7943" width="15.140625" style="89" customWidth="1"/>
    <col min="7944" max="7944" width="11.7109375" style="89" customWidth="1"/>
    <col min="7945" max="7945" width="12.7109375" style="89" customWidth="1"/>
    <col min="7946" max="7946" width="13.85546875" style="89" customWidth="1"/>
    <col min="7947" max="7949" width="0" style="89" hidden="1" customWidth="1"/>
    <col min="7950" max="7950" width="13.5703125" style="89" customWidth="1"/>
    <col min="7951" max="7951" width="17" style="89" customWidth="1"/>
    <col min="7952" max="7956" width="0" style="89" hidden="1" customWidth="1"/>
    <col min="7957" max="7957" width="13.5703125" style="89" customWidth="1"/>
    <col min="7958" max="7959" width="16.7109375" style="89" customWidth="1"/>
    <col min="7960" max="7960" width="15.42578125" style="89" customWidth="1"/>
    <col min="7961" max="7961" width="0.140625" style="89" customWidth="1"/>
    <col min="7962" max="7962" width="13.5703125" style="89" customWidth="1"/>
    <col min="7963" max="7963" width="15.42578125" style="89" customWidth="1"/>
    <col min="7964" max="7966" width="0" style="89" hidden="1" customWidth="1"/>
    <col min="7967" max="7967" width="57" style="89" bestFit="1" customWidth="1"/>
    <col min="7968" max="8192" width="11.42578125" style="89"/>
    <col min="8193" max="8193" width="28.7109375" style="89" customWidth="1"/>
    <col min="8194" max="8194" width="45.140625" style="89" bestFit="1" customWidth="1"/>
    <col min="8195" max="8195" width="8.85546875" style="89" customWidth="1"/>
    <col min="8196" max="8196" width="11.85546875" style="89" customWidth="1"/>
    <col min="8197" max="8198" width="0" style="89" hidden="1" customWidth="1"/>
    <col min="8199" max="8199" width="15.140625" style="89" customWidth="1"/>
    <col min="8200" max="8200" width="11.7109375" style="89" customWidth="1"/>
    <col min="8201" max="8201" width="12.7109375" style="89" customWidth="1"/>
    <col min="8202" max="8202" width="13.85546875" style="89" customWidth="1"/>
    <col min="8203" max="8205" width="0" style="89" hidden="1" customWidth="1"/>
    <col min="8206" max="8206" width="13.5703125" style="89" customWidth="1"/>
    <col min="8207" max="8207" width="17" style="89" customWidth="1"/>
    <col min="8208" max="8212" width="0" style="89" hidden="1" customWidth="1"/>
    <col min="8213" max="8213" width="13.5703125" style="89" customWidth="1"/>
    <col min="8214" max="8215" width="16.7109375" style="89" customWidth="1"/>
    <col min="8216" max="8216" width="15.42578125" style="89" customWidth="1"/>
    <col min="8217" max="8217" width="0.140625" style="89" customWidth="1"/>
    <col min="8218" max="8218" width="13.5703125" style="89" customWidth="1"/>
    <col min="8219" max="8219" width="15.42578125" style="89" customWidth="1"/>
    <col min="8220" max="8222" width="0" style="89" hidden="1" customWidth="1"/>
    <col min="8223" max="8223" width="57" style="89" bestFit="1" customWidth="1"/>
    <col min="8224" max="8448" width="11.42578125" style="89"/>
    <col min="8449" max="8449" width="28.7109375" style="89" customWidth="1"/>
    <col min="8450" max="8450" width="45.140625" style="89" bestFit="1" customWidth="1"/>
    <col min="8451" max="8451" width="8.85546875" style="89" customWidth="1"/>
    <col min="8452" max="8452" width="11.85546875" style="89" customWidth="1"/>
    <col min="8453" max="8454" width="0" style="89" hidden="1" customWidth="1"/>
    <col min="8455" max="8455" width="15.140625" style="89" customWidth="1"/>
    <col min="8456" max="8456" width="11.7109375" style="89" customWidth="1"/>
    <col min="8457" max="8457" width="12.7109375" style="89" customWidth="1"/>
    <col min="8458" max="8458" width="13.85546875" style="89" customWidth="1"/>
    <col min="8459" max="8461" width="0" style="89" hidden="1" customWidth="1"/>
    <col min="8462" max="8462" width="13.5703125" style="89" customWidth="1"/>
    <col min="8463" max="8463" width="17" style="89" customWidth="1"/>
    <col min="8464" max="8468" width="0" style="89" hidden="1" customWidth="1"/>
    <col min="8469" max="8469" width="13.5703125" style="89" customWidth="1"/>
    <col min="8470" max="8471" width="16.7109375" style="89" customWidth="1"/>
    <col min="8472" max="8472" width="15.42578125" style="89" customWidth="1"/>
    <col min="8473" max="8473" width="0.140625" style="89" customWidth="1"/>
    <col min="8474" max="8474" width="13.5703125" style="89" customWidth="1"/>
    <col min="8475" max="8475" width="15.42578125" style="89" customWidth="1"/>
    <col min="8476" max="8478" width="0" style="89" hidden="1" customWidth="1"/>
    <col min="8479" max="8479" width="57" style="89" bestFit="1" customWidth="1"/>
    <col min="8480" max="8704" width="11.42578125" style="89"/>
    <col min="8705" max="8705" width="28.7109375" style="89" customWidth="1"/>
    <col min="8706" max="8706" width="45.140625" style="89" bestFit="1" customWidth="1"/>
    <col min="8707" max="8707" width="8.85546875" style="89" customWidth="1"/>
    <col min="8708" max="8708" width="11.85546875" style="89" customWidth="1"/>
    <col min="8709" max="8710" width="0" style="89" hidden="1" customWidth="1"/>
    <col min="8711" max="8711" width="15.140625" style="89" customWidth="1"/>
    <col min="8712" max="8712" width="11.7109375" style="89" customWidth="1"/>
    <col min="8713" max="8713" width="12.7109375" style="89" customWidth="1"/>
    <col min="8714" max="8714" width="13.85546875" style="89" customWidth="1"/>
    <col min="8715" max="8717" width="0" style="89" hidden="1" customWidth="1"/>
    <col min="8718" max="8718" width="13.5703125" style="89" customWidth="1"/>
    <col min="8719" max="8719" width="17" style="89" customWidth="1"/>
    <col min="8720" max="8724" width="0" style="89" hidden="1" customWidth="1"/>
    <col min="8725" max="8725" width="13.5703125" style="89" customWidth="1"/>
    <col min="8726" max="8727" width="16.7109375" style="89" customWidth="1"/>
    <col min="8728" max="8728" width="15.42578125" style="89" customWidth="1"/>
    <col min="8729" max="8729" width="0.140625" style="89" customWidth="1"/>
    <col min="8730" max="8730" width="13.5703125" style="89" customWidth="1"/>
    <col min="8731" max="8731" width="15.42578125" style="89" customWidth="1"/>
    <col min="8732" max="8734" width="0" style="89" hidden="1" customWidth="1"/>
    <col min="8735" max="8735" width="57" style="89" bestFit="1" customWidth="1"/>
    <col min="8736" max="8960" width="11.42578125" style="89"/>
    <col min="8961" max="8961" width="28.7109375" style="89" customWidth="1"/>
    <col min="8962" max="8962" width="45.140625" style="89" bestFit="1" customWidth="1"/>
    <col min="8963" max="8963" width="8.85546875" style="89" customWidth="1"/>
    <col min="8964" max="8964" width="11.85546875" style="89" customWidth="1"/>
    <col min="8965" max="8966" width="0" style="89" hidden="1" customWidth="1"/>
    <col min="8967" max="8967" width="15.140625" style="89" customWidth="1"/>
    <col min="8968" max="8968" width="11.7109375" style="89" customWidth="1"/>
    <col min="8969" max="8969" width="12.7109375" style="89" customWidth="1"/>
    <col min="8970" max="8970" width="13.85546875" style="89" customWidth="1"/>
    <col min="8971" max="8973" width="0" style="89" hidden="1" customWidth="1"/>
    <col min="8974" max="8974" width="13.5703125" style="89" customWidth="1"/>
    <col min="8975" max="8975" width="17" style="89" customWidth="1"/>
    <col min="8976" max="8980" width="0" style="89" hidden="1" customWidth="1"/>
    <col min="8981" max="8981" width="13.5703125" style="89" customWidth="1"/>
    <col min="8982" max="8983" width="16.7109375" style="89" customWidth="1"/>
    <col min="8984" max="8984" width="15.42578125" style="89" customWidth="1"/>
    <col min="8985" max="8985" width="0.140625" style="89" customWidth="1"/>
    <col min="8986" max="8986" width="13.5703125" style="89" customWidth="1"/>
    <col min="8987" max="8987" width="15.42578125" style="89" customWidth="1"/>
    <col min="8988" max="8990" width="0" style="89" hidden="1" customWidth="1"/>
    <col min="8991" max="8991" width="57" style="89" bestFit="1" customWidth="1"/>
    <col min="8992" max="9216" width="11.42578125" style="89"/>
    <col min="9217" max="9217" width="28.7109375" style="89" customWidth="1"/>
    <col min="9218" max="9218" width="45.140625" style="89" bestFit="1" customWidth="1"/>
    <col min="9219" max="9219" width="8.85546875" style="89" customWidth="1"/>
    <col min="9220" max="9220" width="11.85546875" style="89" customWidth="1"/>
    <col min="9221" max="9222" width="0" style="89" hidden="1" customWidth="1"/>
    <col min="9223" max="9223" width="15.140625" style="89" customWidth="1"/>
    <col min="9224" max="9224" width="11.7109375" style="89" customWidth="1"/>
    <col min="9225" max="9225" width="12.7109375" style="89" customWidth="1"/>
    <col min="9226" max="9226" width="13.85546875" style="89" customWidth="1"/>
    <col min="9227" max="9229" width="0" style="89" hidden="1" customWidth="1"/>
    <col min="9230" max="9230" width="13.5703125" style="89" customWidth="1"/>
    <col min="9231" max="9231" width="17" style="89" customWidth="1"/>
    <col min="9232" max="9236" width="0" style="89" hidden="1" customWidth="1"/>
    <col min="9237" max="9237" width="13.5703125" style="89" customWidth="1"/>
    <col min="9238" max="9239" width="16.7109375" style="89" customWidth="1"/>
    <col min="9240" max="9240" width="15.42578125" style="89" customWidth="1"/>
    <col min="9241" max="9241" width="0.140625" style="89" customWidth="1"/>
    <col min="9242" max="9242" width="13.5703125" style="89" customWidth="1"/>
    <col min="9243" max="9243" width="15.42578125" style="89" customWidth="1"/>
    <col min="9244" max="9246" width="0" style="89" hidden="1" customWidth="1"/>
    <col min="9247" max="9247" width="57" style="89" bestFit="1" customWidth="1"/>
    <col min="9248" max="9472" width="11.42578125" style="89"/>
    <col min="9473" max="9473" width="28.7109375" style="89" customWidth="1"/>
    <col min="9474" max="9474" width="45.140625" style="89" bestFit="1" customWidth="1"/>
    <col min="9475" max="9475" width="8.85546875" style="89" customWidth="1"/>
    <col min="9476" max="9476" width="11.85546875" style="89" customWidth="1"/>
    <col min="9477" max="9478" width="0" style="89" hidden="1" customWidth="1"/>
    <col min="9479" max="9479" width="15.140625" style="89" customWidth="1"/>
    <col min="9480" max="9480" width="11.7109375" style="89" customWidth="1"/>
    <col min="9481" max="9481" width="12.7109375" style="89" customWidth="1"/>
    <col min="9482" max="9482" width="13.85546875" style="89" customWidth="1"/>
    <col min="9483" max="9485" width="0" style="89" hidden="1" customWidth="1"/>
    <col min="9486" max="9486" width="13.5703125" style="89" customWidth="1"/>
    <col min="9487" max="9487" width="17" style="89" customWidth="1"/>
    <col min="9488" max="9492" width="0" style="89" hidden="1" customWidth="1"/>
    <col min="9493" max="9493" width="13.5703125" style="89" customWidth="1"/>
    <col min="9494" max="9495" width="16.7109375" style="89" customWidth="1"/>
    <col min="9496" max="9496" width="15.42578125" style="89" customWidth="1"/>
    <col min="9497" max="9497" width="0.140625" style="89" customWidth="1"/>
    <col min="9498" max="9498" width="13.5703125" style="89" customWidth="1"/>
    <col min="9499" max="9499" width="15.42578125" style="89" customWidth="1"/>
    <col min="9500" max="9502" width="0" style="89" hidden="1" customWidth="1"/>
    <col min="9503" max="9503" width="57" style="89" bestFit="1" customWidth="1"/>
    <col min="9504" max="9728" width="11.42578125" style="89"/>
    <col min="9729" max="9729" width="28.7109375" style="89" customWidth="1"/>
    <col min="9730" max="9730" width="45.140625" style="89" bestFit="1" customWidth="1"/>
    <col min="9731" max="9731" width="8.85546875" style="89" customWidth="1"/>
    <col min="9732" max="9732" width="11.85546875" style="89" customWidth="1"/>
    <col min="9733" max="9734" width="0" style="89" hidden="1" customWidth="1"/>
    <col min="9735" max="9735" width="15.140625" style="89" customWidth="1"/>
    <col min="9736" max="9736" width="11.7109375" style="89" customWidth="1"/>
    <col min="9737" max="9737" width="12.7109375" style="89" customWidth="1"/>
    <col min="9738" max="9738" width="13.85546875" style="89" customWidth="1"/>
    <col min="9739" max="9741" width="0" style="89" hidden="1" customWidth="1"/>
    <col min="9742" max="9742" width="13.5703125" style="89" customWidth="1"/>
    <col min="9743" max="9743" width="17" style="89" customWidth="1"/>
    <col min="9744" max="9748" width="0" style="89" hidden="1" customWidth="1"/>
    <col min="9749" max="9749" width="13.5703125" style="89" customWidth="1"/>
    <col min="9750" max="9751" width="16.7109375" style="89" customWidth="1"/>
    <col min="9752" max="9752" width="15.42578125" style="89" customWidth="1"/>
    <col min="9753" max="9753" width="0.140625" style="89" customWidth="1"/>
    <col min="9754" max="9754" width="13.5703125" style="89" customWidth="1"/>
    <col min="9755" max="9755" width="15.42578125" style="89" customWidth="1"/>
    <col min="9756" max="9758" width="0" style="89" hidden="1" customWidth="1"/>
    <col min="9759" max="9759" width="57" style="89" bestFit="1" customWidth="1"/>
    <col min="9760" max="9984" width="11.42578125" style="89"/>
    <col min="9985" max="9985" width="28.7109375" style="89" customWidth="1"/>
    <col min="9986" max="9986" width="45.140625" style="89" bestFit="1" customWidth="1"/>
    <col min="9987" max="9987" width="8.85546875" style="89" customWidth="1"/>
    <col min="9988" max="9988" width="11.85546875" style="89" customWidth="1"/>
    <col min="9989" max="9990" width="0" style="89" hidden="1" customWidth="1"/>
    <col min="9991" max="9991" width="15.140625" style="89" customWidth="1"/>
    <col min="9992" max="9992" width="11.7109375" style="89" customWidth="1"/>
    <col min="9993" max="9993" width="12.7109375" style="89" customWidth="1"/>
    <col min="9994" max="9994" width="13.85546875" style="89" customWidth="1"/>
    <col min="9995" max="9997" width="0" style="89" hidden="1" customWidth="1"/>
    <col min="9998" max="9998" width="13.5703125" style="89" customWidth="1"/>
    <col min="9999" max="9999" width="17" style="89" customWidth="1"/>
    <col min="10000" max="10004" width="0" style="89" hidden="1" customWidth="1"/>
    <col min="10005" max="10005" width="13.5703125" style="89" customWidth="1"/>
    <col min="10006" max="10007" width="16.7109375" style="89" customWidth="1"/>
    <col min="10008" max="10008" width="15.42578125" style="89" customWidth="1"/>
    <col min="10009" max="10009" width="0.140625" style="89" customWidth="1"/>
    <col min="10010" max="10010" width="13.5703125" style="89" customWidth="1"/>
    <col min="10011" max="10011" width="15.42578125" style="89" customWidth="1"/>
    <col min="10012" max="10014" width="0" style="89" hidden="1" customWidth="1"/>
    <col min="10015" max="10015" width="57" style="89" bestFit="1" customWidth="1"/>
    <col min="10016" max="10240" width="11.42578125" style="89"/>
    <col min="10241" max="10241" width="28.7109375" style="89" customWidth="1"/>
    <col min="10242" max="10242" width="45.140625" style="89" bestFit="1" customWidth="1"/>
    <col min="10243" max="10243" width="8.85546875" style="89" customWidth="1"/>
    <col min="10244" max="10244" width="11.85546875" style="89" customWidth="1"/>
    <col min="10245" max="10246" width="0" style="89" hidden="1" customWidth="1"/>
    <col min="10247" max="10247" width="15.140625" style="89" customWidth="1"/>
    <col min="10248" max="10248" width="11.7109375" style="89" customWidth="1"/>
    <col min="10249" max="10249" width="12.7109375" style="89" customWidth="1"/>
    <col min="10250" max="10250" width="13.85546875" style="89" customWidth="1"/>
    <col min="10251" max="10253" width="0" style="89" hidden="1" customWidth="1"/>
    <col min="10254" max="10254" width="13.5703125" style="89" customWidth="1"/>
    <col min="10255" max="10255" width="17" style="89" customWidth="1"/>
    <col min="10256" max="10260" width="0" style="89" hidden="1" customWidth="1"/>
    <col min="10261" max="10261" width="13.5703125" style="89" customWidth="1"/>
    <col min="10262" max="10263" width="16.7109375" style="89" customWidth="1"/>
    <col min="10264" max="10264" width="15.42578125" style="89" customWidth="1"/>
    <col min="10265" max="10265" width="0.140625" style="89" customWidth="1"/>
    <col min="10266" max="10266" width="13.5703125" style="89" customWidth="1"/>
    <col min="10267" max="10267" width="15.42578125" style="89" customWidth="1"/>
    <col min="10268" max="10270" width="0" style="89" hidden="1" customWidth="1"/>
    <col min="10271" max="10271" width="57" style="89" bestFit="1" customWidth="1"/>
    <col min="10272" max="10496" width="11.42578125" style="89"/>
    <col min="10497" max="10497" width="28.7109375" style="89" customWidth="1"/>
    <col min="10498" max="10498" width="45.140625" style="89" bestFit="1" customWidth="1"/>
    <col min="10499" max="10499" width="8.85546875" style="89" customWidth="1"/>
    <col min="10500" max="10500" width="11.85546875" style="89" customWidth="1"/>
    <col min="10501" max="10502" width="0" style="89" hidden="1" customWidth="1"/>
    <col min="10503" max="10503" width="15.140625" style="89" customWidth="1"/>
    <col min="10504" max="10504" width="11.7109375" style="89" customWidth="1"/>
    <col min="10505" max="10505" width="12.7109375" style="89" customWidth="1"/>
    <col min="10506" max="10506" width="13.85546875" style="89" customWidth="1"/>
    <col min="10507" max="10509" width="0" style="89" hidden="1" customWidth="1"/>
    <col min="10510" max="10510" width="13.5703125" style="89" customWidth="1"/>
    <col min="10511" max="10511" width="17" style="89" customWidth="1"/>
    <col min="10512" max="10516" width="0" style="89" hidden="1" customWidth="1"/>
    <col min="10517" max="10517" width="13.5703125" style="89" customWidth="1"/>
    <col min="10518" max="10519" width="16.7109375" style="89" customWidth="1"/>
    <col min="10520" max="10520" width="15.42578125" style="89" customWidth="1"/>
    <col min="10521" max="10521" width="0.140625" style="89" customWidth="1"/>
    <col min="10522" max="10522" width="13.5703125" style="89" customWidth="1"/>
    <col min="10523" max="10523" width="15.42578125" style="89" customWidth="1"/>
    <col min="10524" max="10526" width="0" style="89" hidden="1" customWidth="1"/>
    <col min="10527" max="10527" width="57" style="89" bestFit="1" customWidth="1"/>
    <col min="10528" max="10752" width="11.42578125" style="89"/>
    <col min="10753" max="10753" width="28.7109375" style="89" customWidth="1"/>
    <col min="10754" max="10754" width="45.140625" style="89" bestFit="1" customWidth="1"/>
    <col min="10755" max="10755" width="8.85546875" style="89" customWidth="1"/>
    <col min="10756" max="10756" width="11.85546875" style="89" customWidth="1"/>
    <col min="10757" max="10758" width="0" style="89" hidden="1" customWidth="1"/>
    <col min="10759" max="10759" width="15.140625" style="89" customWidth="1"/>
    <col min="10760" max="10760" width="11.7109375" style="89" customWidth="1"/>
    <col min="10761" max="10761" width="12.7109375" style="89" customWidth="1"/>
    <col min="10762" max="10762" width="13.85546875" style="89" customWidth="1"/>
    <col min="10763" max="10765" width="0" style="89" hidden="1" customWidth="1"/>
    <col min="10766" max="10766" width="13.5703125" style="89" customWidth="1"/>
    <col min="10767" max="10767" width="17" style="89" customWidth="1"/>
    <col min="10768" max="10772" width="0" style="89" hidden="1" customWidth="1"/>
    <col min="10773" max="10773" width="13.5703125" style="89" customWidth="1"/>
    <col min="10774" max="10775" width="16.7109375" style="89" customWidth="1"/>
    <col min="10776" max="10776" width="15.42578125" style="89" customWidth="1"/>
    <col min="10777" max="10777" width="0.140625" style="89" customWidth="1"/>
    <col min="10778" max="10778" width="13.5703125" style="89" customWidth="1"/>
    <col min="10779" max="10779" width="15.42578125" style="89" customWidth="1"/>
    <col min="10780" max="10782" width="0" style="89" hidden="1" customWidth="1"/>
    <col min="10783" max="10783" width="57" style="89" bestFit="1" customWidth="1"/>
    <col min="10784" max="11008" width="11.42578125" style="89"/>
    <col min="11009" max="11009" width="28.7109375" style="89" customWidth="1"/>
    <col min="11010" max="11010" width="45.140625" style="89" bestFit="1" customWidth="1"/>
    <col min="11011" max="11011" width="8.85546875" style="89" customWidth="1"/>
    <col min="11012" max="11012" width="11.85546875" style="89" customWidth="1"/>
    <col min="11013" max="11014" width="0" style="89" hidden="1" customWidth="1"/>
    <col min="11015" max="11015" width="15.140625" style="89" customWidth="1"/>
    <col min="11016" max="11016" width="11.7109375" style="89" customWidth="1"/>
    <col min="11017" max="11017" width="12.7109375" style="89" customWidth="1"/>
    <col min="11018" max="11018" width="13.85546875" style="89" customWidth="1"/>
    <col min="11019" max="11021" width="0" style="89" hidden="1" customWidth="1"/>
    <col min="11022" max="11022" width="13.5703125" style="89" customWidth="1"/>
    <col min="11023" max="11023" width="17" style="89" customWidth="1"/>
    <col min="11024" max="11028" width="0" style="89" hidden="1" customWidth="1"/>
    <col min="11029" max="11029" width="13.5703125" style="89" customWidth="1"/>
    <col min="11030" max="11031" width="16.7109375" style="89" customWidth="1"/>
    <col min="11032" max="11032" width="15.42578125" style="89" customWidth="1"/>
    <col min="11033" max="11033" width="0.140625" style="89" customWidth="1"/>
    <col min="11034" max="11034" width="13.5703125" style="89" customWidth="1"/>
    <col min="11035" max="11035" width="15.42578125" style="89" customWidth="1"/>
    <col min="11036" max="11038" width="0" style="89" hidden="1" customWidth="1"/>
    <col min="11039" max="11039" width="57" style="89" bestFit="1" customWidth="1"/>
    <col min="11040" max="11264" width="11.42578125" style="89"/>
    <col min="11265" max="11265" width="28.7109375" style="89" customWidth="1"/>
    <col min="11266" max="11266" width="45.140625" style="89" bestFit="1" customWidth="1"/>
    <col min="11267" max="11267" width="8.85546875" style="89" customWidth="1"/>
    <col min="11268" max="11268" width="11.85546875" style="89" customWidth="1"/>
    <col min="11269" max="11270" width="0" style="89" hidden="1" customWidth="1"/>
    <col min="11271" max="11271" width="15.140625" style="89" customWidth="1"/>
    <col min="11272" max="11272" width="11.7109375" style="89" customWidth="1"/>
    <col min="11273" max="11273" width="12.7109375" style="89" customWidth="1"/>
    <col min="11274" max="11274" width="13.85546875" style="89" customWidth="1"/>
    <col min="11275" max="11277" width="0" style="89" hidden="1" customWidth="1"/>
    <col min="11278" max="11278" width="13.5703125" style="89" customWidth="1"/>
    <col min="11279" max="11279" width="17" style="89" customWidth="1"/>
    <col min="11280" max="11284" width="0" style="89" hidden="1" customWidth="1"/>
    <col min="11285" max="11285" width="13.5703125" style="89" customWidth="1"/>
    <col min="11286" max="11287" width="16.7109375" style="89" customWidth="1"/>
    <col min="11288" max="11288" width="15.42578125" style="89" customWidth="1"/>
    <col min="11289" max="11289" width="0.140625" style="89" customWidth="1"/>
    <col min="11290" max="11290" width="13.5703125" style="89" customWidth="1"/>
    <col min="11291" max="11291" width="15.42578125" style="89" customWidth="1"/>
    <col min="11292" max="11294" width="0" style="89" hidden="1" customWidth="1"/>
    <col min="11295" max="11295" width="57" style="89" bestFit="1" customWidth="1"/>
    <col min="11296" max="11520" width="11.42578125" style="89"/>
    <col min="11521" max="11521" width="28.7109375" style="89" customWidth="1"/>
    <col min="11522" max="11522" width="45.140625" style="89" bestFit="1" customWidth="1"/>
    <col min="11523" max="11523" width="8.85546875" style="89" customWidth="1"/>
    <col min="11524" max="11524" width="11.85546875" style="89" customWidth="1"/>
    <col min="11525" max="11526" width="0" style="89" hidden="1" customWidth="1"/>
    <col min="11527" max="11527" width="15.140625" style="89" customWidth="1"/>
    <col min="11528" max="11528" width="11.7109375" style="89" customWidth="1"/>
    <col min="11529" max="11529" width="12.7109375" style="89" customWidth="1"/>
    <col min="11530" max="11530" width="13.85546875" style="89" customWidth="1"/>
    <col min="11531" max="11533" width="0" style="89" hidden="1" customWidth="1"/>
    <col min="11534" max="11534" width="13.5703125" style="89" customWidth="1"/>
    <col min="11535" max="11535" width="17" style="89" customWidth="1"/>
    <col min="11536" max="11540" width="0" style="89" hidden="1" customWidth="1"/>
    <col min="11541" max="11541" width="13.5703125" style="89" customWidth="1"/>
    <col min="11542" max="11543" width="16.7109375" style="89" customWidth="1"/>
    <col min="11544" max="11544" width="15.42578125" style="89" customWidth="1"/>
    <col min="11545" max="11545" width="0.140625" style="89" customWidth="1"/>
    <col min="11546" max="11546" width="13.5703125" style="89" customWidth="1"/>
    <col min="11547" max="11547" width="15.42578125" style="89" customWidth="1"/>
    <col min="11548" max="11550" width="0" style="89" hidden="1" customWidth="1"/>
    <col min="11551" max="11551" width="57" style="89" bestFit="1" customWidth="1"/>
    <col min="11552" max="11776" width="11.42578125" style="89"/>
    <col min="11777" max="11777" width="28.7109375" style="89" customWidth="1"/>
    <col min="11778" max="11778" width="45.140625" style="89" bestFit="1" customWidth="1"/>
    <col min="11779" max="11779" width="8.85546875" style="89" customWidth="1"/>
    <col min="11780" max="11780" width="11.85546875" style="89" customWidth="1"/>
    <col min="11781" max="11782" width="0" style="89" hidden="1" customWidth="1"/>
    <col min="11783" max="11783" width="15.140625" style="89" customWidth="1"/>
    <col min="11784" max="11784" width="11.7109375" style="89" customWidth="1"/>
    <col min="11785" max="11785" width="12.7109375" style="89" customWidth="1"/>
    <col min="11786" max="11786" width="13.85546875" style="89" customWidth="1"/>
    <col min="11787" max="11789" width="0" style="89" hidden="1" customWidth="1"/>
    <col min="11790" max="11790" width="13.5703125" style="89" customWidth="1"/>
    <col min="11791" max="11791" width="17" style="89" customWidth="1"/>
    <col min="11792" max="11796" width="0" style="89" hidden="1" customWidth="1"/>
    <col min="11797" max="11797" width="13.5703125" style="89" customWidth="1"/>
    <col min="11798" max="11799" width="16.7109375" style="89" customWidth="1"/>
    <col min="11800" max="11800" width="15.42578125" style="89" customWidth="1"/>
    <col min="11801" max="11801" width="0.140625" style="89" customWidth="1"/>
    <col min="11802" max="11802" width="13.5703125" style="89" customWidth="1"/>
    <col min="11803" max="11803" width="15.42578125" style="89" customWidth="1"/>
    <col min="11804" max="11806" width="0" style="89" hidden="1" customWidth="1"/>
    <col min="11807" max="11807" width="57" style="89" bestFit="1" customWidth="1"/>
    <col min="11808" max="12032" width="11.42578125" style="89"/>
    <col min="12033" max="12033" width="28.7109375" style="89" customWidth="1"/>
    <col min="12034" max="12034" width="45.140625" style="89" bestFit="1" customWidth="1"/>
    <col min="12035" max="12035" width="8.85546875" style="89" customWidth="1"/>
    <col min="12036" max="12036" width="11.85546875" style="89" customWidth="1"/>
    <col min="12037" max="12038" width="0" style="89" hidden="1" customWidth="1"/>
    <col min="12039" max="12039" width="15.140625" style="89" customWidth="1"/>
    <col min="12040" max="12040" width="11.7109375" style="89" customWidth="1"/>
    <col min="12041" max="12041" width="12.7109375" style="89" customWidth="1"/>
    <col min="12042" max="12042" width="13.85546875" style="89" customWidth="1"/>
    <col min="12043" max="12045" width="0" style="89" hidden="1" customWidth="1"/>
    <col min="12046" max="12046" width="13.5703125" style="89" customWidth="1"/>
    <col min="12047" max="12047" width="17" style="89" customWidth="1"/>
    <col min="12048" max="12052" width="0" style="89" hidden="1" customWidth="1"/>
    <col min="12053" max="12053" width="13.5703125" style="89" customWidth="1"/>
    <col min="12054" max="12055" width="16.7109375" style="89" customWidth="1"/>
    <col min="12056" max="12056" width="15.42578125" style="89" customWidth="1"/>
    <col min="12057" max="12057" width="0.140625" style="89" customWidth="1"/>
    <col min="12058" max="12058" width="13.5703125" style="89" customWidth="1"/>
    <col min="12059" max="12059" width="15.42578125" style="89" customWidth="1"/>
    <col min="12060" max="12062" width="0" style="89" hidden="1" customWidth="1"/>
    <col min="12063" max="12063" width="57" style="89" bestFit="1" customWidth="1"/>
    <col min="12064" max="12288" width="11.42578125" style="89"/>
    <col min="12289" max="12289" width="28.7109375" style="89" customWidth="1"/>
    <col min="12290" max="12290" width="45.140625" style="89" bestFit="1" customWidth="1"/>
    <col min="12291" max="12291" width="8.85546875" style="89" customWidth="1"/>
    <col min="12292" max="12292" width="11.85546875" style="89" customWidth="1"/>
    <col min="12293" max="12294" width="0" style="89" hidden="1" customWidth="1"/>
    <col min="12295" max="12295" width="15.140625" style="89" customWidth="1"/>
    <col min="12296" max="12296" width="11.7109375" style="89" customWidth="1"/>
    <col min="12297" max="12297" width="12.7109375" style="89" customWidth="1"/>
    <col min="12298" max="12298" width="13.85546875" style="89" customWidth="1"/>
    <col min="12299" max="12301" width="0" style="89" hidden="1" customWidth="1"/>
    <col min="12302" max="12302" width="13.5703125" style="89" customWidth="1"/>
    <col min="12303" max="12303" width="17" style="89" customWidth="1"/>
    <col min="12304" max="12308" width="0" style="89" hidden="1" customWidth="1"/>
    <col min="12309" max="12309" width="13.5703125" style="89" customWidth="1"/>
    <col min="12310" max="12311" width="16.7109375" style="89" customWidth="1"/>
    <col min="12312" max="12312" width="15.42578125" style="89" customWidth="1"/>
    <col min="12313" max="12313" width="0.140625" style="89" customWidth="1"/>
    <col min="12314" max="12314" width="13.5703125" style="89" customWidth="1"/>
    <col min="12315" max="12315" width="15.42578125" style="89" customWidth="1"/>
    <col min="12316" max="12318" width="0" style="89" hidden="1" customWidth="1"/>
    <col min="12319" max="12319" width="57" style="89" bestFit="1" customWidth="1"/>
    <col min="12320" max="12544" width="11.42578125" style="89"/>
    <col min="12545" max="12545" width="28.7109375" style="89" customWidth="1"/>
    <col min="12546" max="12546" width="45.140625" style="89" bestFit="1" customWidth="1"/>
    <col min="12547" max="12547" width="8.85546875" style="89" customWidth="1"/>
    <col min="12548" max="12548" width="11.85546875" style="89" customWidth="1"/>
    <col min="12549" max="12550" width="0" style="89" hidden="1" customWidth="1"/>
    <col min="12551" max="12551" width="15.140625" style="89" customWidth="1"/>
    <col min="12552" max="12552" width="11.7109375" style="89" customWidth="1"/>
    <col min="12553" max="12553" width="12.7109375" style="89" customWidth="1"/>
    <col min="12554" max="12554" width="13.85546875" style="89" customWidth="1"/>
    <col min="12555" max="12557" width="0" style="89" hidden="1" customWidth="1"/>
    <col min="12558" max="12558" width="13.5703125" style="89" customWidth="1"/>
    <col min="12559" max="12559" width="17" style="89" customWidth="1"/>
    <col min="12560" max="12564" width="0" style="89" hidden="1" customWidth="1"/>
    <col min="12565" max="12565" width="13.5703125" style="89" customWidth="1"/>
    <col min="12566" max="12567" width="16.7109375" style="89" customWidth="1"/>
    <col min="12568" max="12568" width="15.42578125" style="89" customWidth="1"/>
    <col min="12569" max="12569" width="0.140625" style="89" customWidth="1"/>
    <col min="12570" max="12570" width="13.5703125" style="89" customWidth="1"/>
    <col min="12571" max="12571" width="15.42578125" style="89" customWidth="1"/>
    <col min="12572" max="12574" width="0" style="89" hidden="1" customWidth="1"/>
    <col min="12575" max="12575" width="57" style="89" bestFit="1" customWidth="1"/>
    <col min="12576" max="12800" width="11.42578125" style="89"/>
    <col min="12801" max="12801" width="28.7109375" style="89" customWidth="1"/>
    <col min="12802" max="12802" width="45.140625" style="89" bestFit="1" customWidth="1"/>
    <col min="12803" max="12803" width="8.85546875" style="89" customWidth="1"/>
    <col min="12804" max="12804" width="11.85546875" style="89" customWidth="1"/>
    <col min="12805" max="12806" width="0" style="89" hidden="1" customWidth="1"/>
    <col min="12807" max="12807" width="15.140625" style="89" customWidth="1"/>
    <col min="12808" max="12808" width="11.7109375" style="89" customWidth="1"/>
    <col min="12809" max="12809" width="12.7109375" style="89" customWidth="1"/>
    <col min="12810" max="12810" width="13.85546875" style="89" customWidth="1"/>
    <col min="12811" max="12813" width="0" style="89" hidden="1" customWidth="1"/>
    <col min="12814" max="12814" width="13.5703125" style="89" customWidth="1"/>
    <col min="12815" max="12815" width="17" style="89" customWidth="1"/>
    <col min="12816" max="12820" width="0" style="89" hidden="1" customWidth="1"/>
    <col min="12821" max="12821" width="13.5703125" style="89" customWidth="1"/>
    <col min="12822" max="12823" width="16.7109375" style="89" customWidth="1"/>
    <col min="12824" max="12824" width="15.42578125" style="89" customWidth="1"/>
    <col min="12825" max="12825" width="0.140625" style="89" customWidth="1"/>
    <col min="12826" max="12826" width="13.5703125" style="89" customWidth="1"/>
    <col min="12827" max="12827" width="15.42578125" style="89" customWidth="1"/>
    <col min="12828" max="12830" width="0" style="89" hidden="1" customWidth="1"/>
    <col min="12831" max="12831" width="57" style="89" bestFit="1" customWidth="1"/>
    <col min="12832" max="13056" width="11.42578125" style="89"/>
    <col min="13057" max="13057" width="28.7109375" style="89" customWidth="1"/>
    <col min="13058" max="13058" width="45.140625" style="89" bestFit="1" customWidth="1"/>
    <col min="13059" max="13059" width="8.85546875" style="89" customWidth="1"/>
    <col min="13060" max="13060" width="11.85546875" style="89" customWidth="1"/>
    <col min="13061" max="13062" width="0" style="89" hidden="1" customWidth="1"/>
    <col min="13063" max="13063" width="15.140625" style="89" customWidth="1"/>
    <col min="13064" max="13064" width="11.7109375" style="89" customWidth="1"/>
    <col min="13065" max="13065" width="12.7109375" style="89" customWidth="1"/>
    <col min="13066" max="13066" width="13.85546875" style="89" customWidth="1"/>
    <col min="13067" max="13069" width="0" style="89" hidden="1" customWidth="1"/>
    <col min="13070" max="13070" width="13.5703125" style="89" customWidth="1"/>
    <col min="13071" max="13071" width="17" style="89" customWidth="1"/>
    <col min="13072" max="13076" width="0" style="89" hidden="1" customWidth="1"/>
    <col min="13077" max="13077" width="13.5703125" style="89" customWidth="1"/>
    <col min="13078" max="13079" width="16.7109375" style="89" customWidth="1"/>
    <col min="13080" max="13080" width="15.42578125" style="89" customWidth="1"/>
    <col min="13081" max="13081" width="0.140625" style="89" customWidth="1"/>
    <col min="13082" max="13082" width="13.5703125" style="89" customWidth="1"/>
    <col min="13083" max="13083" width="15.42578125" style="89" customWidth="1"/>
    <col min="13084" max="13086" width="0" style="89" hidden="1" customWidth="1"/>
    <col min="13087" max="13087" width="57" style="89" bestFit="1" customWidth="1"/>
    <col min="13088" max="13312" width="11.42578125" style="89"/>
    <col min="13313" max="13313" width="28.7109375" style="89" customWidth="1"/>
    <col min="13314" max="13314" width="45.140625" style="89" bestFit="1" customWidth="1"/>
    <col min="13315" max="13315" width="8.85546875" style="89" customWidth="1"/>
    <col min="13316" max="13316" width="11.85546875" style="89" customWidth="1"/>
    <col min="13317" max="13318" width="0" style="89" hidden="1" customWidth="1"/>
    <col min="13319" max="13319" width="15.140625" style="89" customWidth="1"/>
    <col min="13320" max="13320" width="11.7109375" style="89" customWidth="1"/>
    <col min="13321" max="13321" width="12.7109375" style="89" customWidth="1"/>
    <col min="13322" max="13322" width="13.85546875" style="89" customWidth="1"/>
    <col min="13323" max="13325" width="0" style="89" hidden="1" customWidth="1"/>
    <col min="13326" max="13326" width="13.5703125" style="89" customWidth="1"/>
    <col min="13327" max="13327" width="17" style="89" customWidth="1"/>
    <col min="13328" max="13332" width="0" style="89" hidden="1" customWidth="1"/>
    <col min="13333" max="13333" width="13.5703125" style="89" customWidth="1"/>
    <col min="13334" max="13335" width="16.7109375" style="89" customWidth="1"/>
    <col min="13336" max="13336" width="15.42578125" style="89" customWidth="1"/>
    <col min="13337" max="13337" width="0.140625" style="89" customWidth="1"/>
    <col min="13338" max="13338" width="13.5703125" style="89" customWidth="1"/>
    <col min="13339" max="13339" width="15.42578125" style="89" customWidth="1"/>
    <col min="13340" max="13342" width="0" style="89" hidden="1" customWidth="1"/>
    <col min="13343" max="13343" width="57" style="89" bestFit="1" customWidth="1"/>
    <col min="13344" max="13568" width="11.42578125" style="89"/>
    <col min="13569" max="13569" width="28.7109375" style="89" customWidth="1"/>
    <col min="13570" max="13570" width="45.140625" style="89" bestFit="1" customWidth="1"/>
    <col min="13571" max="13571" width="8.85546875" style="89" customWidth="1"/>
    <col min="13572" max="13572" width="11.85546875" style="89" customWidth="1"/>
    <col min="13573" max="13574" width="0" style="89" hidden="1" customWidth="1"/>
    <col min="13575" max="13575" width="15.140625" style="89" customWidth="1"/>
    <col min="13576" max="13576" width="11.7109375" style="89" customWidth="1"/>
    <col min="13577" max="13577" width="12.7109375" style="89" customWidth="1"/>
    <col min="13578" max="13578" width="13.85546875" style="89" customWidth="1"/>
    <col min="13579" max="13581" width="0" style="89" hidden="1" customWidth="1"/>
    <col min="13582" max="13582" width="13.5703125" style="89" customWidth="1"/>
    <col min="13583" max="13583" width="17" style="89" customWidth="1"/>
    <col min="13584" max="13588" width="0" style="89" hidden="1" customWidth="1"/>
    <col min="13589" max="13589" width="13.5703125" style="89" customWidth="1"/>
    <col min="13590" max="13591" width="16.7109375" style="89" customWidth="1"/>
    <col min="13592" max="13592" width="15.42578125" style="89" customWidth="1"/>
    <col min="13593" max="13593" width="0.140625" style="89" customWidth="1"/>
    <col min="13594" max="13594" width="13.5703125" style="89" customWidth="1"/>
    <col min="13595" max="13595" width="15.42578125" style="89" customWidth="1"/>
    <col min="13596" max="13598" width="0" style="89" hidden="1" customWidth="1"/>
    <col min="13599" max="13599" width="57" style="89" bestFit="1" customWidth="1"/>
    <col min="13600" max="13824" width="11.42578125" style="89"/>
    <col min="13825" max="13825" width="28.7109375" style="89" customWidth="1"/>
    <col min="13826" max="13826" width="45.140625" style="89" bestFit="1" customWidth="1"/>
    <col min="13827" max="13827" width="8.85546875" style="89" customWidth="1"/>
    <col min="13828" max="13828" width="11.85546875" style="89" customWidth="1"/>
    <col min="13829" max="13830" width="0" style="89" hidden="1" customWidth="1"/>
    <col min="13831" max="13831" width="15.140625" style="89" customWidth="1"/>
    <col min="13832" max="13832" width="11.7109375" style="89" customWidth="1"/>
    <col min="13833" max="13833" width="12.7109375" style="89" customWidth="1"/>
    <col min="13834" max="13834" width="13.85546875" style="89" customWidth="1"/>
    <col min="13835" max="13837" width="0" style="89" hidden="1" customWidth="1"/>
    <col min="13838" max="13838" width="13.5703125" style="89" customWidth="1"/>
    <col min="13839" max="13839" width="17" style="89" customWidth="1"/>
    <col min="13840" max="13844" width="0" style="89" hidden="1" customWidth="1"/>
    <col min="13845" max="13845" width="13.5703125" style="89" customWidth="1"/>
    <col min="13846" max="13847" width="16.7109375" style="89" customWidth="1"/>
    <col min="13848" max="13848" width="15.42578125" style="89" customWidth="1"/>
    <col min="13849" max="13849" width="0.140625" style="89" customWidth="1"/>
    <col min="13850" max="13850" width="13.5703125" style="89" customWidth="1"/>
    <col min="13851" max="13851" width="15.42578125" style="89" customWidth="1"/>
    <col min="13852" max="13854" width="0" style="89" hidden="1" customWidth="1"/>
    <col min="13855" max="13855" width="57" style="89" bestFit="1" customWidth="1"/>
    <col min="13856" max="14080" width="11.42578125" style="89"/>
    <col min="14081" max="14081" width="28.7109375" style="89" customWidth="1"/>
    <col min="14082" max="14082" width="45.140625" style="89" bestFit="1" customWidth="1"/>
    <col min="14083" max="14083" width="8.85546875" style="89" customWidth="1"/>
    <col min="14084" max="14084" width="11.85546875" style="89" customWidth="1"/>
    <col min="14085" max="14086" width="0" style="89" hidden="1" customWidth="1"/>
    <col min="14087" max="14087" width="15.140625" style="89" customWidth="1"/>
    <col min="14088" max="14088" width="11.7109375" style="89" customWidth="1"/>
    <col min="14089" max="14089" width="12.7109375" style="89" customWidth="1"/>
    <col min="14090" max="14090" width="13.85546875" style="89" customWidth="1"/>
    <col min="14091" max="14093" width="0" style="89" hidden="1" customWidth="1"/>
    <col min="14094" max="14094" width="13.5703125" style="89" customWidth="1"/>
    <col min="14095" max="14095" width="17" style="89" customWidth="1"/>
    <col min="14096" max="14100" width="0" style="89" hidden="1" customWidth="1"/>
    <col min="14101" max="14101" width="13.5703125" style="89" customWidth="1"/>
    <col min="14102" max="14103" width="16.7109375" style="89" customWidth="1"/>
    <col min="14104" max="14104" width="15.42578125" style="89" customWidth="1"/>
    <col min="14105" max="14105" width="0.140625" style="89" customWidth="1"/>
    <col min="14106" max="14106" width="13.5703125" style="89" customWidth="1"/>
    <col min="14107" max="14107" width="15.42578125" style="89" customWidth="1"/>
    <col min="14108" max="14110" width="0" style="89" hidden="1" customWidth="1"/>
    <col min="14111" max="14111" width="57" style="89" bestFit="1" customWidth="1"/>
    <col min="14112" max="14336" width="11.42578125" style="89"/>
    <col min="14337" max="14337" width="28.7109375" style="89" customWidth="1"/>
    <col min="14338" max="14338" width="45.140625" style="89" bestFit="1" customWidth="1"/>
    <col min="14339" max="14339" width="8.85546875" style="89" customWidth="1"/>
    <col min="14340" max="14340" width="11.85546875" style="89" customWidth="1"/>
    <col min="14341" max="14342" width="0" style="89" hidden="1" customWidth="1"/>
    <col min="14343" max="14343" width="15.140625" style="89" customWidth="1"/>
    <col min="14344" max="14344" width="11.7109375" style="89" customWidth="1"/>
    <col min="14345" max="14345" width="12.7109375" style="89" customWidth="1"/>
    <col min="14346" max="14346" width="13.85546875" style="89" customWidth="1"/>
    <col min="14347" max="14349" width="0" style="89" hidden="1" customWidth="1"/>
    <col min="14350" max="14350" width="13.5703125" style="89" customWidth="1"/>
    <col min="14351" max="14351" width="17" style="89" customWidth="1"/>
    <col min="14352" max="14356" width="0" style="89" hidden="1" customWidth="1"/>
    <col min="14357" max="14357" width="13.5703125" style="89" customWidth="1"/>
    <col min="14358" max="14359" width="16.7109375" style="89" customWidth="1"/>
    <col min="14360" max="14360" width="15.42578125" style="89" customWidth="1"/>
    <col min="14361" max="14361" width="0.140625" style="89" customWidth="1"/>
    <col min="14362" max="14362" width="13.5703125" style="89" customWidth="1"/>
    <col min="14363" max="14363" width="15.42578125" style="89" customWidth="1"/>
    <col min="14364" max="14366" width="0" style="89" hidden="1" customWidth="1"/>
    <col min="14367" max="14367" width="57" style="89" bestFit="1" customWidth="1"/>
    <col min="14368" max="14592" width="11.42578125" style="89"/>
    <col min="14593" max="14593" width="28.7109375" style="89" customWidth="1"/>
    <col min="14594" max="14594" width="45.140625" style="89" bestFit="1" customWidth="1"/>
    <col min="14595" max="14595" width="8.85546875" style="89" customWidth="1"/>
    <col min="14596" max="14596" width="11.85546875" style="89" customWidth="1"/>
    <col min="14597" max="14598" width="0" style="89" hidden="1" customWidth="1"/>
    <col min="14599" max="14599" width="15.140625" style="89" customWidth="1"/>
    <col min="14600" max="14600" width="11.7109375" style="89" customWidth="1"/>
    <col min="14601" max="14601" width="12.7109375" style="89" customWidth="1"/>
    <col min="14602" max="14602" width="13.85546875" style="89" customWidth="1"/>
    <col min="14603" max="14605" width="0" style="89" hidden="1" customWidth="1"/>
    <col min="14606" max="14606" width="13.5703125" style="89" customWidth="1"/>
    <col min="14607" max="14607" width="17" style="89" customWidth="1"/>
    <col min="14608" max="14612" width="0" style="89" hidden="1" customWidth="1"/>
    <col min="14613" max="14613" width="13.5703125" style="89" customWidth="1"/>
    <col min="14614" max="14615" width="16.7109375" style="89" customWidth="1"/>
    <col min="14616" max="14616" width="15.42578125" style="89" customWidth="1"/>
    <col min="14617" max="14617" width="0.140625" style="89" customWidth="1"/>
    <col min="14618" max="14618" width="13.5703125" style="89" customWidth="1"/>
    <col min="14619" max="14619" width="15.42578125" style="89" customWidth="1"/>
    <col min="14620" max="14622" width="0" style="89" hidden="1" customWidth="1"/>
    <col min="14623" max="14623" width="57" style="89" bestFit="1" customWidth="1"/>
    <col min="14624" max="14848" width="11.42578125" style="89"/>
    <col min="14849" max="14849" width="28.7109375" style="89" customWidth="1"/>
    <col min="14850" max="14850" width="45.140625" style="89" bestFit="1" customWidth="1"/>
    <col min="14851" max="14851" width="8.85546875" style="89" customWidth="1"/>
    <col min="14852" max="14852" width="11.85546875" style="89" customWidth="1"/>
    <col min="14853" max="14854" width="0" style="89" hidden="1" customWidth="1"/>
    <col min="14855" max="14855" width="15.140625" style="89" customWidth="1"/>
    <col min="14856" max="14856" width="11.7109375" style="89" customWidth="1"/>
    <col min="14857" max="14857" width="12.7109375" style="89" customWidth="1"/>
    <col min="14858" max="14858" width="13.85546875" style="89" customWidth="1"/>
    <col min="14859" max="14861" width="0" style="89" hidden="1" customWidth="1"/>
    <col min="14862" max="14862" width="13.5703125" style="89" customWidth="1"/>
    <col min="14863" max="14863" width="17" style="89" customWidth="1"/>
    <col min="14864" max="14868" width="0" style="89" hidden="1" customWidth="1"/>
    <col min="14869" max="14869" width="13.5703125" style="89" customWidth="1"/>
    <col min="14870" max="14871" width="16.7109375" style="89" customWidth="1"/>
    <col min="14872" max="14872" width="15.42578125" style="89" customWidth="1"/>
    <col min="14873" max="14873" width="0.140625" style="89" customWidth="1"/>
    <col min="14874" max="14874" width="13.5703125" style="89" customWidth="1"/>
    <col min="14875" max="14875" width="15.42578125" style="89" customWidth="1"/>
    <col min="14876" max="14878" width="0" style="89" hidden="1" customWidth="1"/>
    <col min="14879" max="14879" width="57" style="89" bestFit="1" customWidth="1"/>
    <col min="14880" max="15104" width="11.42578125" style="89"/>
    <col min="15105" max="15105" width="28.7109375" style="89" customWidth="1"/>
    <col min="15106" max="15106" width="45.140625" style="89" bestFit="1" customWidth="1"/>
    <col min="15107" max="15107" width="8.85546875" style="89" customWidth="1"/>
    <col min="15108" max="15108" width="11.85546875" style="89" customWidth="1"/>
    <col min="15109" max="15110" width="0" style="89" hidden="1" customWidth="1"/>
    <col min="15111" max="15111" width="15.140625" style="89" customWidth="1"/>
    <col min="15112" max="15112" width="11.7109375" style="89" customWidth="1"/>
    <col min="15113" max="15113" width="12.7109375" style="89" customWidth="1"/>
    <col min="15114" max="15114" width="13.85546875" style="89" customWidth="1"/>
    <col min="15115" max="15117" width="0" style="89" hidden="1" customWidth="1"/>
    <col min="15118" max="15118" width="13.5703125" style="89" customWidth="1"/>
    <col min="15119" max="15119" width="17" style="89" customWidth="1"/>
    <col min="15120" max="15124" width="0" style="89" hidden="1" customWidth="1"/>
    <col min="15125" max="15125" width="13.5703125" style="89" customWidth="1"/>
    <col min="15126" max="15127" width="16.7109375" style="89" customWidth="1"/>
    <col min="15128" max="15128" width="15.42578125" style="89" customWidth="1"/>
    <col min="15129" max="15129" width="0.140625" style="89" customWidth="1"/>
    <col min="15130" max="15130" width="13.5703125" style="89" customWidth="1"/>
    <col min="15131" max="15131" width="15.42578125" style="89" customWidth="1"/>
    <col min="15132" max="15134" width="0" style="89" hidden="1" customWidth="1"/>
    <col min="15135" max="15135" width="57" style="89" bestFit="1" customWidth="1"/>
    <col min="15136" max="15360" width="11.42578125" style="89"/>
    <col min="15361" max="15361" width="28.7109375" style="89" customWidth="1"/>
    <col min="15362" max="15362" width="45.140625" style="89" bestFit="1" customWidth="1"/>
    <col min="15363" max="15363" width="8.85546875" style="89" customWidth="1"/>
    <col min="15364" max="15364" width="11.85546875" style="89" customWidth="1"/>
    <col min="15365" max="15366" width="0" style="89" hidden="1" customWidth="1"/>
    <col min="15367" max="15367" width="15.140625" style="89" customWidth="1"/>
    <col min="15368" max="15368" width="11.7109375" style="89" customWidth="1"/>
    <col min="15369" max="15369" width="12.7109375" style="89" customWidth="1"/>
    <col min="15370" max="15370" width="13.85546875" style="89" customWidth="1"/>
    <col min="15371" max="15373" width="0" style="89" hidden="1" customWidth="1"/>
    <col min="15374" max="15374" width="13.5703125" style="89" customWidth="1"/>
    <col min="15375" max="15375" width="17" style="89" customWidth="1"/>
    <col min="15376" max="15380" width="0" style="89" hidden="1" customWidth="1"/>
    <col min="15381" max="15381" width="13.5703125" style="89" customWidth="1"/>
    <col min="15382" max="15383" width="16.7109375" style="89" customWidth="1"/>
    <col min="15384" max="15384" width="15.42578125" style="89" customWidth="1"/>
    <col min="15385" max="15385" width="0.140625" style="89" customWidth="1"/>
    <col min="15386" max="15386" width="13.5703125" style="89" customWidth="1"/>
    <col min="15387" max="15387" width="15.42578125" style="89" customWidth="1"/>
    <col min="15388" max="15390" width="0" style="89" hidden="1" customWidth="1"/>
    <col min="15391" max="15391" width="57" style="89" bestFit="1" customWidth="1"/>
    <col min="15392" max="15616" width="11.42578125" style="89"/>
    <col min="15617" max="15617" width="28.7109375" style="89" customWidth="1"/>
    <col min="15618" max="15618" width="45.140625" style="89" bestFit="1" customWidth="1"/>
    <col min="15619" max="15619" width="8.85546875" style="89" customWidth="1"/>
    <col min="15620" max="15620" width="11.85546875" style="89" customWidth="1"/>
    <col min="15621" max="15622" width="0" style="89" hidden="1" customWidth="1"/>
    <col min="15623" max="15623" width="15.140625" style="89" customWidth="1"/>
    <col min="15624" max="15624" width="11.7109375" style="89" customWidth="1"/>
    <col min="15625" max="15625" width="12.7109375" style="89" customWidth="1"/>
    <col min="15626" max="15626" width="13.85546875" style="89" customWidth="1"/>
    <col min="15627" max="15629" width="0" style="89" hidden="1" customWidth="1"/>
    <col min="15630" max="15630" width="13.5703125" style="89" customWidth="1"/>
    <col min="15631" max="15631" width="17" style="89" customWidth="1"/>
    <col min="15632" max="15636" width="0" style="89" hidden="1" customWidth="1"/>
    <col min="15637" max="15637" width="13.5703125" style="89" customWidth="1"/>
    <col min="15638" max="15639" width="16.7109375" style="89" customWidth="1"/>
    <col min="15640" max="15640" width="15.42578125" style="89" customWidth="1"/>
    <col min="15641" max="15641" width="0.140625" style="89" customWidth="1"/>
    <col min="15642" max="15642" width="13.5703125" style="89" customWidth="1"/>
    <col min="15643" max="15643" width="15.42578125" style="89" customWidth="1"/>
    <col min="15644" max="15646" width="0" style="89" hidden="1" customWidth="1"/>
    <col min="15647" max="15647" width="57" style="89" bestFit="1" customWidth="1"/>
    <col min="15648" max="15872" width="11.42578125" style="89"/>
    <col min="15873" max="15873" width="28.7109375" style="89" customWidth="1"/>
    <col min="15874" max="15874" width="45.140625" style="89" bestFit="1" customWidth="1"/>
    <col min="15875" max="15875" width="8.85546875" style="89" customWidth="1"/>
    <col min="15876" max="15876" width="11.85546875" style="89" customWidth="1"/>
    <col min="15877" max="15878" width="0" style="89" hidden="1" customWidth="1"/>
    <col min="15879" max="15879" width="15.140625" style="89" customWidth="1"/>
    <col min="15880" max="15880" width="11.7109375" style="89" customWidth="1"/>
    <col min="15881" max="15881" width="12.7109375" style="89" customWidth="1"/>
    <col min="15882" max="15882" width="13.85546875" style="89" customWidth="1"/>
    <col min="15883" max="15885" width="0" style="89" hidden="1" customWidth="1"/>
    <col min="15886" max="15886" width="13.5703125" style="89" customWidth="1"/>
    <col min="15887" max="15887" width="17" style="89" customWidth="1"/>
    <col min="15888" max="15892" width="0" style="89" hidden="1" customWidth="1"/>
    <col min="15893" max="15893" width="13.5703125" style="89" customWidth="1"/>
    <col min="15894" max="15895" width="16.7109375" style="89" customWidth="1"/>
    <col min="15896" max="15896" width="15.42578125" style="89" customWidth="1"/>
    <col min="15897" max="15897" width="0.140625" style="89" customWidth="1"/>
    <col min="15898" max="15898" width="13.5703125" style="89" customWidth="1"/>
    <col min="15899" max="15899" width="15.42578125" style="89" customWidth="1"/>
    <col min="15900" max="15902" width="0" style="89" hidden="1" customWidth="1"/>
    <col min="15903" max="15903" width="57" style="89" bestFit="1" customWidth="1"/>
    <col min="15904" max="16128" width="11.42578125" style="89"/>
    <col min="16129" max="16129" width="28.7109375" style="89" customWidth="1"/>
    <col min="16130" max="16130" width="45.140625" style="89" bestFit="1" customWidth="1"/>
    <col min="16131" max="16131" width="8.85546875" style="89" customWidth="1"/>
    <col min="16132" max="16132" width="11.85546875" style="89" customWidth="1"/>
    <col min="16133" max="16134" width="0" style="89" hidden="1" customWidth="1"/>
    <col min="16135" max="16135" width="15.140625" style="89" customWidth="1"/>
    <col min="16136" max="16136" width="11.7109375" style="89" customWidth="1"/>
    <col min="16137" max="16137" width="12.7109375" style="89" customWidth="1"/>
    <col min="16138" max="16138" width="13.85546875" style="89" customWidth="1"/>
    <col min="16139" max="16141" width="0" style="89" hidden="1" customWidth="1"/>
    <col min="16142" max="16142" width="13.5703125" style="89" customWidth="1"/>
    <col min="16143" max="16143" width="17" style="89" customWidth="1"/>
    <col min="16144" max="16148" width="0" style="89" hidden="1" customWidth="1"/>
    <col min="16149" max="16149" width="13.5703125" style="89" customWidth="1"/>
    <col min="16150" max="16151" width="16.7109375" style="89" customWidth="1"/>
    <col min="16152" max="16152" width="15.42578125" style="89" customWidth="1"/>
    <col min="16153" max="16153" width="0.140625" style="89" customWidth="1"/>
    <col min="16154" max="16154" width="13.5703125" style="89" customWidth="1"/>
    <col min="16155" max="16155" width="15.42578125" style="89" customWidth="1"/>
    <col min="16156" max="16158" width="0" style="89" hidden="1" customWidth="1"/>
    <col min="16159" max="16159" width="57" style="89" bestFit="1" customWidth="1"/>
    <col min="16160" max="16384" width="11.42578125" style="89"/>
  </cols>
  <sheetData>
    <row r="1" spans="1:49" s="68" customFormat="1" x14ac:dyDescent="0.25">
      <c r="A1" s="64" t="s">
        <v>166</v>
      </c>
      <c r="B1" s="64"/>
      <c r="C1" s="64"/>
      <c r="D1" s="65"/>
      <c r="E1" s="65"/>
      <c r="F1" s="65"/>
      <c r="G1" s="65"/>
      <c r="H1" s="65"/>
      <c r="I1" s="66"/>
      <c r="J1" s="66"/>
      <c r="K1" s="66"/>
      <c r="L1" s="66"/>
      <c r="M1" s="66"/>
      <c r="N1" s="66"/>
      <c r="O1" s="67"/>
      <c r="P1" s="66"/>
      <c r="Q1" s="66"/>
      <c r="R1" s="66"/>
      <c r="S1" s="66"/>
      <c r="T1" s="66"/>
      <c r="U1" s="66"/>
      <c r="V1" s="67"/>
      <c r="W1" s="66"/>
      <c r="X1" s="67"/>
      <c r="Y1" s="66"/>
      <c r="Z1" s="66"/>
      <c r="AA1" s="67"/>
      <c r="AB1" s="134"/>
      <c r="AC1" s="134"/>
    </row>
    <row r="2" spans="1:49" s="68" customFormat="1" x14ac:dyDescent="0.25">
      <c r="A2" s="69" t="s">
        <v>167</v>
      </c>
      <c r="B2" s="69"/>
      <c r="C2" s="69"/>
      <c r="D2" s="70"/>
      <c r="E2" s="70"/>
      <c r="F2" s="70"/>
      <c r="G2" s="70"/>
      <c r="H2" s="70"/>
      <c r="I2" s="66"/>
      <c r="J2" s="66"/>
      <c r="K2" s="66"/>
      <c r="L2" s="66"/>
      <c r="M2" s="66"/>
      <c r="N2" s="66"/>
      <c r="O2" s="67"/>
      <c r="P2" s="66" t="s">
        <v>168</v>
      </c>
      <c r="Q2" s="66"/>
      <c r="R2" s="66"/>
      <c r="S2" s="66"/>
      <c r="T2" s="66"/>
      <c r="U2" s="66"/>
      <c r="V2" s="67"/>
      <c r="W2" s="66"/>
      <c r="X2" s="67"/>
      <c r="Y2" s="66"/>
      <c r="Z2" s="66"/>
      <c r="AA2" s="67"/>
      <c r="AB2" s="134"/>
      <c r="AC2" s="134"/>
    </row>
    <row r="3" spans="1:49" s="68" customFormat="1" x14ac:dyDescent="0.25">
      <c r="A3" s="71" t="s">
        <v>285</v>
      </c>
      <c r="B3" s="71"/>
      <c r="C3" s="71"/>
      <c r="D3" s="72"/>
      <c r="E3" s="72"/>
      <c r="F3" s="72"/>
      <c r="G3" s="72"/>
      <c r="H3" s="72"/>
      <c r="I3" s="66"/>
      <c r="J3" s="66"/>
      <c r="K3" s="66"/>
      <c r="L3" s="66"/>
      <c r="M3" s="66"/>
      <c r="N3" s="66"/>
      <c r="O3" s="67"/>
      <c r="P3" s="66"/>
      <c r="Q3" s="66"/>
      <c r="R3" s="66"/>
      <c r="S3" s="66"/>
      <c r="T3" s="66"/>
      <c r="U3" s="66"/>
      <c r="V3" s="67"/>
      <c r="W3" s="66"/>
      <c r="X3" s="67"/>
      <c r="Y3" s="66"/>
      <c r="Z3" s="66"/>
      <c r="AA3" s="67"/>
      <c r="AB3" s="134"/>
      <c r="AC3" s="134"/>
    </row>
    <row r="4" spans="1:49" s="73" customFormat="1" x14ac:dyDescent="0.25">
      <c r="I4" s="74"/>
      <c r="J4" s="74"/>
      <c r="K4" s="74"/>
      <c r="L4" s="74"/>
      <c r="M4" s="74"/>
      <c r="N4" s="74"/>
      <c r="O4" s="75"/>
      <c r="P4" s="74"/>
      <c r="Q4" s="74"/>
      <c r="R4" s="74"/>
      <c r="S4" s="74"/>
      <c r="T4" s="74"/>
      <c r="U4" s="74"/>
      <c r="V4" s="75"/>
      <c r="W4" s="74"/>
      <c r="X4" s="75"/>
      <c r="Y4" s="74"/>
      <c r="Z4" s="74"/>
      <c r="AA4" s="75"/>
      <c r="AB4" s="135"/>
      <c r="AC4" s="135"/>
    </row>
    <row r="5" spans="1:49" s="280" customFormat="1" ht="28.5" customHeight="1" x14ac:dyDescent="0.25">
      <c r="A5" s="270" t="s">
        <v>169</v>
      </c>
      <c r="B5" s="270" t="s">
        <v>124</v>
      </c>
      <c r="C5" s="271" t="s">
        <v>170</v>
      </c>
      <c r="D5" s="271" t="s">
        <v>171</v>
      </c>
      <c r="E5" s="272" t="s">
        <v>172</v>
      </c>
      <c r="F5" s="272" t="s">
        <v>173</v>
      </c>
      <c r="G5" s="273" t="s">
        <v>189</v>
      </c>
      <c r="H5" s="272" t="s">
        <v>190</v>
      </c>
      <c r="I5" s="273" t="s">
        <v>174</v>
      </c>
      <c r="J5" s="273" t="s">
        <v>149</v>
      </c>
      <c r="K5" s="274"/>
      <c r="L5" s="272" t="s">
        <v>175</v>
      </c>
      <c r="M5" s="272" t="s">
        <v>176</v>
      </c>
      <c r="N5" s="272" t="s">
        <v>177</v>
      </c>
      <c r="O5" s="273" t="s">
        <v>178</v>
      </c>
      <c r="P5" s="272" t="s">
        <v>179</v>
      </c>
      <c r="Q5" s="272" t="s">
        <v>283</v>
      </c>
      <c r="R5" s="272" t="s">
        <v>180</v>
      </c>
      <c r="S5" s="272" t="s">
        <v>181</v>
      </c>
      <c r="T5" s="272" t="s">
        <v>182</v>
      </c>
      <c r="U5" s="272" t="s">
        <v>125</v>
      </c>
      <c r="V5" s="272" t="s">
        <v>183</v>
      </c>
      <c r="W5" s="272" t="s">
        <v>184</v>
      </c>
      <c r="X5" s="272" t="s">
        <v>185</v>
      </c>
      <c r="Y5" s="272" t="s">
        <v>186</v>
      </c>
      <c r="Z5" s="272" t="s">
        <v>187</v>
      </c>
      <c r="AA5" s="272" t="s">
        <v>188</v>
      </c>
      <c r="AB5" s="275" t="s">
        <v>286</v>
      </c>
      <c r="AC5" s="276"/>
      <c r="AD5" s="277" t="s">
        <v>287</v>
      </c>
      <c r="AE5" s="278" t="s">
        <v>288</v>
      </c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</row>
    <row r="6" spans="1:49" s="280" customFormat="1" ht="39" customHeight="1" x14ac:dyDescent="0.25">
      <c r="A6" s="270"/>
      <c r="B6" s="270"/>
      <c r="C6" s="281"/>
      <c r="D6" s="281"/>
      <c r="E6" s="282"/>
      <c r="F6" s="282"/>
      <c r="G6" s="283"/>
      <c r="H6" s="282"/>
      <c r="I6" s="283"/>
      <c r="J6" s="283"/>
      <c r="K6" s="284" t="s">
        <v>289</v>
      </c>
      <c r="L6" s="282"/>
      <c r="M6" s="282"/>
      <c r="N6" s="282"/>
      <c r="O6" s="283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5" t="s">
        <v>189</v>
      </c>
      <c r="AC6" s="285" t="s">
        <v>190</v>
      </c>
      <c r="AD6" s="277"/>
      <c r="AE6" s="278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</row>
    <row r="7" spans="1:49" x14ac:dyDescent="0.25">
      <c r="A7" s="77" t="s">
        <v>201</v>
      </c>
      <c r="B7" s="77" t="s">
        <v>366</v>
      </c>
      <c r="C7" s="78"/>
      <c r="D7" s="77" t="s">
        <v>367</v>
      </c>
      <c r="E7" s="77"/>
      <c r="F7" s="91"/>
      <c r="G7" s="79">
        <v>1237.24</v>
      </c>
      <c r="H7" s="91">
        <v>1262.76</v>
      </c>
      <c r="I7" s="79">
        <f>+G7+H7</f>
        <v>2500</v>
      </c>
      <c r="J7" s="79">
        <v>16700</v>
      </c>
      <c r="K7" s="79"/>
      <c r="L7" s="94"/>
      <c r="M7" s="92"/>
      <c r="N7" s="80">
        <v>45.15</v>
      </c>
      <c r="O7" s="81">
        <f>SUM(I7:M7)-N7</f>
        <v>19154.849999999999</v>
      </c>
      <c r="P7" s="82"/>
      <c r="Q7" s="83"/>
      <c r="R7" s="83"/>
      <c r="S7" s="83"/>
      <c r="T7" s="84"/>
      <c r="U7" s="286">
        <f>115.26*2</f>
        <v>230.52</v>
      </c>
      <c r="V7" s="81">
        <f>+O7-SUM(P7:U7)</f>
        <v>18924.329999999998</v>
      </c>
      <c r="W7" s="85">
        <f>IF(O7&gt;4500,O7*0.1,0)</f>
        <v>1915.4849999999999</v>
      </c>
      <c r="X7" s="81">
        <f>+V7-W7</f>
        <v>17008.844999999998</v>
      </c>
      <c r="Y7" s="86">
        <f>IF(O7&lt;4500,O7*0.1,0)</f>
        <v>0</v>
      </c>
      <c r="Z7" s="85">
        <f>G7*0.02</f>
        <v>24.744800000000001</v>
      </c>
      <c r="AA7" s="81">
        <f>+O7+Y7+Z7</f>
        <v>19179.594799999999</v>
      </c>
      <c r="AB7" s="138"/>
      <c r="AC7" s="138"/>
      <c r="AD7" s="140"/>
      <c r="AE7" s="93"/>
      <c r="AF7" s="93"/>
      <c r="AG7" s="93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</row>
    <row r="8" spans="1:49" x14ac:dyDescent="0.25">
      <c r="A8" s="97"/>
      <c r="B8" s="77"/>
      <c r="C8" s="91"/>
      <c r="D8" s="77"/>
      <c r="E8" s="77"/>
      <c r="F8" s="77"/>
      <c r="G8" s="77"/>
      <c r="H8" s="77"/>
      <c r="I8" s="79"/>
      <c r="J8" s="79"/>
      <c r="K8" s="79"/>
      <c r="L8" s="79"/>
      <c r="M8" s="79"/>
      <c r="N8" s="80"/>
      <c r="O8" s="81">
        <f>SUM(I8:M8)-N8</f>
        <v>0</v>
      </c>
      <c r="P8" s="82"/>
      <c r="Q8" s="83"/>
      <c r="R8" s="83"/>
      <c r="S8" s="83"/>
      <c r="T8" s="85"/>
      <c r="U8" s="85"/>
      <c r="V8" s="81">
        <f>+O8-SUM(P8:U8)</f>
        <v>0</v>
      </c>
      <c r="W8" s="85">
        <f>IF(O8&gt;4500,O8*0.1,0)</f>
        <v>0</v>
      </c>
      <c r="X8" s="81">
        <f>+V8-W8</f>
        <v>0</v>
      </c>
      <c r="Y8" s="86">
        <f>IF(O8&lt;4500,O8*0.1,0)</f>
        <v>0</v>
      </c>
      <c r="Z8" s="85"/>
      <c r="AA8" s="81">
        <f>+O8+Y8+Z8</f>
        <v>0</v>
      </c>
      <c r="AB8" s="138"/>
      <c r="AC8" s="138"/>
      <c r="AD8" s="139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</row>
    <row r="9" spans="1:49" s="87" customFormat="1" x14ac:dyDescent="0.25">
      <c r="A9" s="97"/>
      <c r="B9" s="98"/>
      <c r="C9" s="98"/>
      <c r="D9" s="98"/>
      <c r="E9" s="98"/>
      <c r="F9" s="98"/>
      <c r="G9" s="98"/>
      <c r="H9" s="98"/>
      <c r="I9" s="99"/>
      <c r="J9" s="99"/>
      <c r="K9" s="99"/>
      <c r="L9" s="99"/>
      <c r="M9" s="99"/>
      <c r="N9" s="99"/>
      <c r="O9" s="100"/>
      <c r="P9" s="99"/>
      <c r="Q9" s="85"/>
      <c r="R9" s="85"/>
      <c r="S9" s="85"/>
      <c r="T9" s="85"/>
      <c r="U9" s="85"/>
      <c r="V9" s="101"/>
      <c r="W9" s="85"/>
      <c r="X9" s="100"/>
      <c r="Y9" s="85"/>
      <c r="Z9" s="85"/>
      <c r="AA9" s="100"/>
      <c r="AB9" s="138"/>
      <c r="AC9" s="138"/>
    </row>
    <row r="10" spans="1:49" ht="16.5" thickBot="1" x14ac:dyDescent="0.3">
      <c r="B10" s="102" t="s">
        <v>268</v>
      </c>
      <c r="C10" s="102"/>
      <c r="D10" s="102"/>
      <c r="E10" s="102"/>
      <c r="F10" s="102"/>
      <c r="G10" s="102"/>
      <c r="H10" s="102"/>
      <c r="I10" s="103">
        <f>SUM(I7:I7)</f>
        <v>2500</v>
      </c>
      <c r="J10" s="103">
        <f>SUM(J7:J7)</f>
        <v>16700</v>
      </c>
      <c r="K10" s="103">
        <f t="shared" ref="K10:AC10" si="0">SUM(K7:K7)</f>
        <v>0</v>
      </c>
      <c r="L10" s="103">
        <f t="shared" si="0"/>
        <v>0</v>
      </c>
      <c r="M10" s="103">
        <f t="shared" si="0"/>
        <v>0</v>
      </c>
      <c r="N10" s="103">
        <f>SUM(N7:N7)</f>
        <v>45.15</v>
      </c>
      <c r="O10" s="103">
        <f>SUM(O7:O7)</f>
        <v>19154.849999999999</v>
      </c>
      <c r="P10" s="103">
        <f t="shared" si="0"/>
        <v>0</v>
      </c>
      <c r="Q10" s="103">
        <f t="shared" si="0"/>
        <v>0</v>
      </c>
      <c r="R10" s="103">
        <f t="shared" si="0"/>
        <v>0</v>
      </c>
      <c r="S10" s="103">
        <f t="shared" si="0"/>
        <v>0</v>
      </c>
      <c r="T10" s="103">
        <f t="shared" si="0"/>
        <v>0</v>
      </c>
      <c r="U10" s="103">
        <f>SUM(U7:U7)</f>
        <v>230.52</v>
      </c>
      <c r="V10" s="103">
        <f>SUM(V7:V7)</f>
        <v>18924.329999999998</v>
      </c>
      <c r="W10" s="103">
        <f>SUM(W7:W7)</f>
        <v>1915.4849999999999</v>
      </c>
      <c r="X10" s="103">
        <f t="shared" si="0"/>
        <v>17008.844999999998</v>
      </c>
      <c r="Y10" s="103">
        <f t="shared" si="0"/>
        <v>0</v>
      </c>
      <c r="Z10" s="103">
        <f t="shared" si="0"/>
        <v>24.744800000000001</v>
      </c>
      <c r="AA10" s="103">
        <f>SUM(AA7:AA7)</f>
        <v>19179.594799999999</v>
      </c>
      <c r="AB10" s="138"/>
      <c r="AC10" s="138"/>
      <c r="AD10" s="87"/>
    </row>
    <row r="11" spans="1:49" ht="16.5" hidden="1" thickTop="1" x14ac:dyDescent="0.25">
      <c r="AB11" s="138"/>
      <c r="AC11" s="138"/>
      <c r="AD11" s="87"/>
    </row>
    <row r="12" spans="1:49" ht="16.5" hidden="1" thickTop="1" x14ac:dyDescent="0.25">
      <c r="A12" s="263" t="s">
        <v>303</v>
      </c>
      <c r="B12" s="263"/>
      <c r="W12" s="74">
        <f>+W10-W11</f>
        <v>1915.4849999999999</v>
      </c>
    </row>
    <row r="13" spans="1:49" ht="16.5" hidden="1" thickTop="1" x14ac:dyDescent="0.25">
      <c r="A13" s="97"/>
      <c r="B13" s="91"/>
      <c r="C13" s="91"/>
      <c r="D13" s="91"/>
      <c r="E13" s="91"/>
      <c r="F13" s="91"/>
      <c r="G13" s="91"/>
      <c r="H13" s="91"/>
      <c r="I13" s="92"/>
      <c r="J13" s="92"/>
      <c r="K13" s="92"/>
      <c r="L13" s="92"/>
      <c r="M13" s="92"/>
      <c r="N13" s="92"/>
      <c r="O13" s="81">
        <f>SUM(I13:N13)</f>
        <v>0</v>
      </c>
      <c r="P13" s="82"/>
      <c r="Q13" s="83"/>
      <c r="R13" s="83"/>
      <c r="S13" s="83"/>
      <c r="T13" s="83"/>
      <c r="U13" s="83"/>
      <c r="V13" s="81">
        <f>+O13-P13</f>
        <v>0</v>
      </c>
      <c r="W13" s="85">
        <f>+V13*0.05</f>
        <v>0</v>
      </c>
      <c r="X13" s="81">
        <f>+V13-R13-U13</f>
        <v>0</v>
      </c>
      <c r="Y13" s="86">
        <f>IF(V13&lt;3000,V13*0.1,0)</f>
        <v>0</v>
      </c>
      <c r="Z13" s="85">
        <v>0</v>
      </c>
      <c r="AA13" s="81">
        <f>+V13+Y13+Z13</f>
        <v>0</v>
      </c>
    </row>
    <row r="14" spans="1:49" ht="16.5" hidden="1" thickTop="1" x14ac:dyDescent="0.25">
      <c r="AA14" s="75">
        <f>SUM(AA13:AA13)</f>
        <v>0</v>
      </c>
    </row>
    <row r="15" spans="1:49" ht="16.5" hidden="1" thickTop="1" x14ac:dyDescent="0.25">
      <c r="B15" s="104" t="s">
        <v>270</v>
      </c>
      <c r="C15" s="104"/>
      <c r="AA15" s="75">
        <f>+AA14*0.16</f>
        <v>0</v>
      </c>
    </row>
    <row r="16" spans="1:49" ht="16.5" hidden="1" thickTop="1" x14ac:dyDescent="0.25">
      <c r="B16" s="104"/>
      <c r="C16" s="104"/>
      <c r="AA16" s="75">
        <f>+AA14+AA15</f>
        <v>0</v>
      </c>
    </row>
    <row r="17" spans="1:27" ht="16.5" hidden="1" thickTop="1" x14ac:dyDescent="0.25">
      <c r="B17" s="104"/>
      <c r="C17" s="104"/>
    </row>
    <row r="18" spans="1:27" ht="16.5" hidden="1" thickTop="1" x14ac:dyDescent="0.25">
      <c r="B18" s="104" t="s">
        <v>271</v>
      </c>
      <c r="C18" s="104"/>
      <c r="AA18" s="75">
        <f>+AA12+AA16</f>
        <v>0</v>
      </c>
    </row>
    <row r="19" spans="1:27" ht="16.5" hidden="1" thickTop="1" x14ac:dyDescent="0.25"/>
    <row r="20" spans="1:27" ht="16.5" hidden="1" thickTop="1" x14ac:dyDescent="0.25"/>
    <row r="21" spans="1:27" ht="16.5" hidden="1" thickTop="1" x14ac:dyDescent="0.25"/>
    <row r="22" spans="1:27" ht="16.5" thickTop="1" x14ac:dyDescent="0.25"/>
    <row r="25" spans="1:27" x14ac:dyDescent="0.25">
      <c r="A25" s="89" t="s">
        <v>272</v>
      </c>
      <c r="B25" s="287">
        <v>2885831555</v>
      </c>
    </row>
    <row r="26" spans="1:27" x14ac:dyDescent="0.25">
      <c r="A26" s="89" t="s">
        <v>273</v>
      </c>
      <c r="B26" s="74"/>
    </row>
    <row r="27" spans="1:27" x14ac:dyDescent="0.25">
      <c r="A27" s="89" t="s">
        <v>274</v>
      </c>
      <c r="B27" s="74"/>
    </row>
    <row r="28" spans="1:27" x14ac:dyDescent="0.25">
      <c r="A28" s="89" t="s">
        <v>275</v>
      </c>
      <c r="B28" s="74"/>
    </row>
    <row r="29" spans="1:27" x14ac:dyDescent="0.25">
      <c r="A29" s="89" t="s">
        <v>276</v>
      </c>
      <c r="B29" s="74"/>
    </row>
    <row r="30" spans="1:27" x14ac:dyDescent="0.25">
      <c r="A30" s="89" t="s">
        <v>277</v>
      </c>
      <c r="B30" s="74"/>
    </row>
    <row r="41" spans="1:49" s="135" customForma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</row>
    <row r="42" spans="1:49" s="135" customForma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</row>
    <row r="43" spans="1:49" s="135" customFormat="1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</row>
    <row r="44" spans="1:49" s="135" customFormat="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</row>
    <row r="45" spans="1:49" s="135" customForma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</row>
    <row r="46" spans="1:49" s="135" customFormat="1" x14ac:dyDescent="0.25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</row>
    <row r="47" spans="1:49" s="135" customFormat="1" x14ac:dyDescent="0.25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</row>
    <row r="48" spans="1:49" s="135" customForma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</row>
    <row r="49" spans="1:49" s="135" customForma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</row>
    <row r="50" spans="1:49" s="135" customFormat="1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</row>
    <row r="51" spans="1:49" s="135" customFormat="1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</row>
    <row r="52" spans="1:49" s="135" customFormat="1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</row>
    <row r="53" spans="1:49" s="135" customFormat="1" x14ac:dyDescent="0.25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</row>
    <row r="54" spans="1:49" s="135" customFormat="1" x14ac:dyDescent="0.25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</row>
    <row r="55" spans="1:49" s="135" customFormat="1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</row>
    <row r="56" spans="1:49" s="135" customFormat="1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</row>
    <row r="57" spans="1:49" s="135" customFormat="1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</row>
    <row r="58" spans="1:49" s="135" customFormat="1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</row>
    <row r="59" spans="1:49" s="135" customFormat="1" x14ac:dyDescent="0.25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</row>
    <row r="60" spans="1:49" s="135" customFormat="1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</row>
    <row r="61" spans="1:49" s="135" customFormat="1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</row>
    <row r="62" spans="1:49" s="135" customFormat="1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</row>
    <row r="63" spans="1:49" s="135" customFormat="1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</row>
    <row r="64" spans="1:49" s="135" customFormat="1" x14ac:dyDescent="0.25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</row>
    <row r="65" spans="1:49" s="135" customFormat="1" x14ac:dyDescent="0.25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</row>
    <row r="66" spans="1:49" s="135" customFormat="1" x14ac:dyDescent="0.25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</row>
    <row r="67" spans="1:49" s="135" customFormat="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</row>
    <row r="68" spans="1:49" s="135" customFormat="1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</row>
    <row r="69" spans="1:49" s="135" customFormat="1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</row>
    <row r="70" spans="1:49" s="135" customFormat="1" x14ac:dyDescent="0.25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</row>
    <row r="71" spans="1:49" s="135" customFormat="1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</row>
    <row r="72" spans="1:49" s="135" customFormat="1" x14ac:dyDescent="0.25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</row>
    <row r="73" spans="1:49" s="135" customFormat="1" x14ac:dyDescent="0.25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</row>
    <row r="74" spans="1:49" s="135" customFormat="1" x14ac:dyDescent="0.25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</row>
    <row r="75" spans="1:49" s="135" customFormat="1" x14ac:dyDescent="0.25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</row>
    <row r="76" spans="1:49" s="135" customFormat="1" x14ac:dyDescent="0.25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</row>
    <row r="77" spans="1:49" s="135" customFormat="1" x14ac:dyDescent="0.25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</row>
    <row r="78" spans="1:49" s="135" customFormat="1" x14ac:dyDescent="0.25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</row>
    <row r="79" spans="1:49" s="135" customForma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</row>
    <row r="80" spans="1:49" s="135" customFormat="1" x14ac:dyDescent="0.25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</row>
    <row r="81" spans="1:49" s="135" customFormat="1" x14ac:dyDescent="0.25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</row>
    <row r="82" spans="1:49" s="135" customFormat="1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</row>
    <row r="83" spans="1:49" s="135" customForma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</row>
    <row r="84" spans="1:49" s="135" customFormat="1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</row>
    <row r="85" spans="1:49" s="135" customFormat="1" x14ac:dyDescent="0.25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</row>
    <row r="86" spans="1:49" s="135" customFormat="1" x14ac:dyDescent="0.25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</row>
    <row r="87" spans="1:49" s="135" customFormat="1" x14ac:dyDescent="0.25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</row>
    <row r="88" spans="1:49" s="135" customFormat="1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</row>
    <row r="89" spans="1:49" s="135" customFormat="1" x14ac:dyDescent="0.25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</row>
    <row r="90" spans="1:49" s="135" customFormat="1" x14ac:dyDescent="0.25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89"/>
      <c r="AV90" s="89"/>
      <c r="AW90" s="89"/>
    </row>
    <row r="91" spans="1:49" s="135" customFormat="1" x14ac:dyDescent="0.25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89"/>
      <c r="AR91" s="89"/>
      <c r="AS91" s="89"/>
      <c r="AT91" s="89"/>
      <c r="AU91" s="89"/>
      <c r="AV91" s="89"/>
      <c r="AW91" s="89"/>
    </row>
    <row r="92" spans="1:49" s="135" customForma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</row>
    <row r="93" spans="1:49" s="135" customFormat="1" x14ac:dyDescent="0.25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</row>
    <row r="94" spans="1:49" s="135" customFormat="1" x14ac:dyDescent="0.25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</row>
    <row r="95" spans="1:49" s="135" customFormat="1" x14ac:dyDescent="0.25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89"/>
    </row>
    <row r="96" spans="1:49" s="135" customFormat="1" x14ac:dyDescent="0.25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</row>
    <row r="97" spans="1:49" s="135" customFormat="1" x14ac:dyDescent="0.25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</row>
    <row r="98" spans="1:49" s="135" customFormat="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</row>
    <row r="99" spans="1:49" s="135" customFormat="1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</row>
    <row r="100" spans="1:49" s="135" customFormat="1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</row>
    <row r="101" spans="1:49" s="135" customFormat="1" x14ac:dyDescent="0.25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</row>
    <row r="102" spans="1:49" s="135" customFormat="1" x14ac:dyDescent="0.25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89"/>
      <c r="AR102" s="89"/>
      <c r="AS102" s="89"/>
      <c r="AT102" s="89"/>
      <c r="AU102" s="89"/>
      <c r="AV102" s="89"/>
      <c r="AW102" s="89"/>
    </row>
    <row r="103" spans="1:49" s="135" customFormat="1" x14ac:dyDescent="0.25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</row>
    <row r="104" spans="1:49" s="135" customFormat="1" x14ac:dyDescent="0.25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</row>
    <row r="105" spans="1:49" s="135" customFormat="1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</row>
    <row r="106" spans="1:49" s="135" customFormat="1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</row>
    <row r="107" spans="1:49" s="135" customFormat="1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</row>
    <row r="108" spans="1:49" s="135" customFormat="1" x14ac:dyDescent="0.25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</row>
    <row r="109" spans="1:49" s="135" customFormat="1" x14ac:dyDescent="0.25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</row>
    <row r="110" spans="1:49" s="135" customFormat="1" x14ac:dyDescent="0.25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</row>
    <row r="111" spans="1:49" s="135" customFormat="1" x14ac:dyDescent="0.25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</row>
    <row r="112" spans="1:49" s="135" customFormat="1" x14ac:dyDescent="0.25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</row>
    <row r="113" spans="1:49" s="135" customFormat="1" x14ac:dyDescent="0.25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</row>
    <row r="114" spans="1:49" s="135" customFormat="1" x14ac:dyDescent="0.25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</row>
    <row r="115" spans="1:49" s="135" customFormat="1" x14ac:dyDescent="0.25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</row>
    <row r="116" spans="1:49" s="135" customFormat="1" x14ac:dyDescent="0.25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</row>
    <row r="117" spans="1:49" s="135" customFormat="1" x14ac:dyDescent="0.25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D117" s="89"/>
      <c r="AE117" s="89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</row>
    <row r="118" spans="1:49" s="135" customFormat="1" x14ac:dyDescent="0.25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</row>
    <row r="119" spans="1:49" s="135" customFormat="1" x14ac:dyDescent="0.25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89"/>
      <c r="AR119" s="89"/>
      <c r="AS119" s="89"/>
      <c r="AT119" s="89"/>
      <c r="AU119" s="89"/>
      <c r="AV119" s="89"/>
      <c r="AW119" s="89"/>
    </row>
    <row r="120" spans="1:49" s="135" customFormat="1" x14ac:dyDescent="0.25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89"/>
      <c r="AR120" s="89"/>
      <c r="AS120" s="89"/>
      <c r="AT120" s="89"/>
      <c r="AU120" s="89"/>
      <c r="AV120" s="89"/>
      <c r="AW120" s="89"/>
    </row>
    <row r="121" spans="1:49" s="135" customFormat="1" x14ac:dyDescent="0.25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89"/>
      <c r="AR121" s="89"/>
      <c r="AS121" s="89"/>
      <c r="AT121" s="89"/>
      <c r="AU121" s="89"/>
      <c r="AV121" s="89"/>
      <c r="AW121" s="89"/>
    </row>
    <row r="122" spans="1:49" s="135" customFormat="1" x14ac:dyDescent="0.25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</row>
    <row r="123" spans="1:49" s="135" customFormat="1" x14ac:dyDescent="0.25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</row>
    <row r="124" spans="1:49" s="135" customFormat="1" x14ac:dyDescent="0.25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89"/>
      <c r="AV124" s="89"/>
      <c r="AW124" s="89"/>
    </row>
    <row r="125" spans="1:49" s="135" customFormat="1" x14ac:dyDescent="0.25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89"/>
      <c r="AV125" s="89"/>
      <c r="AW125" s="89"/>
    </row>
    <row r="126" spans="1:49" s="135" customFormat="1" x14ac:dyDescent="0.25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  <c r="AR126" s="89"/>
      <c r="AS126" s="89"/>
      <c r="AT126" s="89"/>
      <c r="AU126" s="89"/>
      <c r="AV126" s="89"/>
      <c r="AW126" s="89"/>
    </row>
    <row r="127" spans="1:49" s="135" customFormat="1" x14ac:dyDescent="0.25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  <c r="AA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89"/>
      <c r="AV127" s="89"/>
      <c r="AW127" s="89"/>
    </row>
    <row r="128" spans="1:49" s="135" customFormat="1" x14ac:dyDescent="0.25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89"/>
      <c r="AV128" s="89"/>
      <c r="AW128" s="89"/>
    </row>
    <row r="129" spans="1:49" s="135" customFormat="1" x14ac:dyDescent="0.25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  <c r="AU129" s="89"/>
      <c r="AV129" s="89"/>
      <c r="AW129" s="89"/>
    </row>
    <row r="130" spans="1:49" s="135" customFormat="1" x14ac:dyDescent="0.25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89"/>
      <c r="AR130" s="89"/>
      <c r="AS130" s="89"/>
      <c r="AT130" s="89"/>
      <c r="AU130" s="89"/>
      <c r="AV130" s="89"/>
      <c r="AW130" s="89"/>
    </row>
    <row r="131" spans="1:49" s="135" customFormat="1" x14ac:dyDescent="0.25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D131" s="89"/>
      <c r="AE131" s="89"/>
      <c r="AF131" s="89"/>
      <c r="AG131" s="89"/>
      <c r="AH131" s="89"/>
      <c r="AI131" s="89"/>
      <c r="AJ131" s="89"/>
      <c r="AK131" s="89"/>
      <c r="AL131" s="89"/>
      <c r="AM131" s="89"/>
      <c r="AN131" s="89"/>
      <c r="AO131" s="89"/>
      <c r="AP131" s="89"/>
      <c r="AQ131" s="89"/>
      <c r="AR131" s="89"/>
      <c r="AS131" s="89"/>
      <c r="AT131" s="89"/>
      <c r="AU131" s="89"/>
      <c r="AV131" s="89"/>
      <c r="AW131" s="89"/>
    </row>
    <row r="132" spans="1:49" s="135" customFormat="1" x14ac:dyDescent="0.25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</row>
    <row r="133" spans="1:49" s="135" customFormat="1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89"/>
      <c r="AR133" s="89"/>
      <c r="AS133" s="89"/>
      <c r="AT133" s="89"/>
      <c r="AU133" s="89"/>
      <c r="AV133" s="89"/>
      <c r="AW133" s="89"/>
    </row>
    <row r="134" spans="1:49" s="135" customFormat="1" x14ac:dyDescent="0.25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  <c r="AR134" s="89"/>
      <c r="AS134" s="89"/>
      <c r="AT134" s="89"/>
      <c r="AU134" s="89"/>
      <c r="AV134" s="89"/>
      <c r="AW134" s="89"/>
    </row>
    <row r="135" spans="1:49" s="135" customFormat="1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89"/>
      <c r="AW135" s="89"/>
    </row>
    <row r="136" spans="1:49" s="135" customFormat="1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</row>
    <row r="137" spans="1:49" s="135" customFormat="1" x14ac:dyDescent="0.25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</row>
    <row r="138" spans="1:49" s="135" customFormat="1" x14ac:dyDescent="0.25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</row>
    <row r="139" spans="1:49" s="135" customFormat="1" x14ac:dyDescent="0.25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</row>
    <row r="140" spans="1:49" s="135" customFormat="1" x14ac:dyDescent="0.25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</row>
    <row r="141" spans="1:49" s="135" customFormat="1" x14ac:dyDescent="0.25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</row>
    <row r="142" spans="1:49" s="135" customFormat="1" x14ac:dyDescent="0.25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</row>
    <row r="143" spans="1:49" s="135" customFormat="1" x14ac:dyDescent="0.25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</row>
    <row r="144" spans="1:49" s="135" customFormat="1" x14ac:dyDescent="0.25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89"/>
      <c r="AR144" s="89"/>
      <c r="AS144" s="89"/>
      <c r="AT144" s="89"/>
      <c r="AU144" s="89"/>
      <c r="AV144" s="89"/>
      <c r="AW144" s="89"/>
    </row>
    <row r="145" spans="1:49" s="135" customFormat="1" x14ac:dyDescent="0.25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  <c r="AA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</row>
    <row r="146" spans="1:49" s="135" customFormat="1" x14ac:dyDescent="0.25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89"/>
      <c r="AR146" s="89"/>
      <c r="AS146" s="89"/>
      <c r="AT146" s="89"/>
      <c r="AU146" s="89"/>
      <c r="AV146" s="89"/>
      <c r="AW146" s="89"/>
    </row>
    <row r="147" spans="1:49" s="135" customFormat="1" x14ac:dyDescent="0.25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89"/>
      <c r="AV147" s="89"/>
      <c r="AW147" s="89"/>
    </row>
    <row r="148" spans="1:49" s="135" customFormat="1" x14ac:dyDescent="0.25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89"/>
      <c r="AR148" s="89"/>
      <c r="AS148" s="89"/>
      <c r="AT148" s="89"/>
      <c r="AU148" s="89"/>
      <c r="AV148" s="89"/>
      <c r="AW148" s="89"/>
    </row>
    <row r="149" spans="1:49" s="135" customFormat="1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89"/>
      <c r="AR149" s="89"/>
      <c r="AS149" s="89"/>
      <c r="AT149" s="89"/>
      <c r="AU149" s="89"/>
      <c r="AV149" s="89"/>
      <c r="AW149" s="89"/>
    </row>
    <row r="150" spans="1:49" s="135" customFormat="1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89"/>
      <c r="AR150" s="89"/>
      <c r="AS150" s="89"/>
      <c r="AT150" s="89"/>
      <c r="AU150" s="89"/>
      <c r="AV150" s="89"/>
      <c r="AW150" s="89"/>
    </row>
    <row r="151" spans="1:49" s="135" customFormat="1" x14ac:dyDescent="0.25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89"/>
      <c r="AR151" s="89"/>
      <c r="AS151" s="89"/>
      <c r="AT151" s="89"/>
      <c r="AU151" s="89"/>
      <c r="AV151" s="89"/>
      <c r="AW151" s="89"/>
    </row>
    <row r="152" spans="1:49" s="135" customFormat="1" x14ac:dyDescent="0.25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89"/>
      <c r="AO152" s="89"/>
      <c r="AP152" s="89"/>
      <c r="AQ152" s="89"/>
      <c r="AR152" s="89"/>
      <c r="AS152" s="89"/>
      <c r="AT152" s="89"/>
      <c r="AU152" s="89"/>
      <c r="AV152" s="89"/>
      <c r="AW152" s="89"/>
    </row>
    <row r="153" spans="1:49" s="135" customFormat="1" x14ac:dyDescent="0.25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/>
      <c r="AQ153" s="89"/>
      <c r="AR153" s="89"/>
      <c r="AS153" s="89"/>
      <c r="AT153" s="89"/>
      <c r="AU153" s="89"/>
      <c r="AV153" s="89"/>
      <c r="AW153" s="89"/>
    </row>
    <row r="154" spans="1:49" s="135" customFormat="1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D154" s="89"/>
      <c r="AE154" s="89"/>
      <c r="AF154" s="89"/>
      <c r="AG154" s="89"/>
      <c r="AH154" s="89"/>
      <c r="AI154" s="89"/>
      <c r="AJ154" s="89"/>
      <c r="AK154" s="89"/>
      <c r="AL154" s="89"/>
      <c r="AM154" s="89"/>
      <c r="AN154" s="89"/>
      <c r="AO154" s="89"/>
      <c r="AP154" s="89"/>
      <c r="AQ154" s="89"/>
      <c r="AR154" s="89"/>
      <c r="AS154" s="89"/>
      <c r="AT154" s="89"/>
      <c r="AU154" s="89"/>
      <c r="AV154" s="89"/>
      <c r="AW154" s="89"/>
    </row>
    <row r="155" spans="1:49" s="135" customFormat="1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  <c r="AD155" s="89"/>
      <c r="AE155" s="89"/>
      <c r="AF155" s="89"/>
      <c r="AG155" s="89"/>
      <c r="AH155" s="89"/>
      <c r="AI155" s="89"/>
      <c r="AJ155" s="89"/>
      <c r="AK155" s="89"/>
      <c r="AL155" s="89"/>
      <c r="AM155" s="89"/>
      <c r="AN155" s="89"/>
      <c r="AO155" s="89"/>
      <c r="AP155" s="89"/>
      <c r="AQ155" s="89"/>
      <c r="AR155" s="89"/>
      <c r="AS155" s="89"/>
      <c r="AT155" s="89"/>
      <c r="AU155" s="89"/>
      <c r="AV155" s="89"/>
      <c r="AW155" s="89"/>
    </row>
    <row r="156" spans="1:49" s="135" customFormat="1" x14ac:dyDescent="0.25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</row>
    <row r="157" spans="1:49" s="135" customFormat="1" x14ac:dyDescent="0.25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</row>
    <row r="158" spans="1:49" s="135" customFormat="1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</row>
    <row r="159" spans="1:49" s="135" customFormat="1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  <c r="AA159" s="89"/>
      <c r="AD159" s="89"/>
      <c r="AE159" s="89"/>
      <c r="AF159" s="89"/>
      <c r="AG159" s="89"/>
      <c r="AH159" s="89"/>
      <c r="AI159" s="89"/>
      <c r="AJ159" s="89"/>
      <c r="AK159" s="89"/>
      <c r="AL159" s="89"/>
      <c r="AM159" s="89"/>
      <c r="AN159" s="89"/>
      <c r="AO159" s="89"/>
      <c r="AP159" s="89"/>
      <c r="AQ159" s="89"/>
      <c r="AR159" s="89"/>
      <c r="AS159" s="89"/>
      <c r="AT159" s="89"/>
      <c r="AU159" s="89"/>
      <c r="AV159" s="89"/>
      <c r="AW159" s="89"/>
    </row>
    <row r="160" spans="1:49" s="135" customFormat="1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  <c r="AA160" s="89"/>
      <c r="AD160" s="89"/>
      <c r="AE160" s="89"/>
      <c r="AF160" s="89"/>
      <c r="AG160" s="89"/>
      <c r="AH160" s="89"/>
      <c r="AI160" s="89"/>
      <c r="AJ160" s="89"/>
      <c r="AK160" s="89"/>
      <c r="AL160" s="89"/>
      <c r="AM160" s="89"/>
      <c r="AN160" s="89"/>
      <c r="AO160" s="89"/>
      <c r="AP160" s="89"/>
      <c r="AQ160" s="89"/>
      <c r="AR160" s="89"/>
      <c r="AS160" s="89"/>
      <c r="AT160" s="89"/>
      <c r="AU160" s="89"/>
      <c r="AV160" s="89"/>
      <c r="AW160" s="89"/>
    </row>
    <row r="161" spans="1:49" s="135" customFormat="1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D161" s="89"/>
      <c r="AE161" s="89"/>
      <c r="AF161" s="89"/>
      <c r="AG161" s="89"/>
      <c r="AH161" s="89"/>
      <c r="AI161" s="89"/>
      <c r="AJ161" s="89"/>
      <c r="AK161" s="89"/>
      <c r="AL161" s="89"/>
      <c r="AM161" s="89"/>
      <c r="AN161" s="89"/>
      <c r="AO161" s="89"/>
      <c r="AP161" s="89"/>
      <c r="AQ161" s="89"/>
      <c r="AR161" s="89"/>
      <c r="AS161" s="89"/>
      <c r="AT161" s="89"/>
      <c r="AU161" s="89"/>
      <c r="AV161" s="89"/>
      <c r="AW161" s="89"/>
    </row>
    <row r="162" spans="1:49" s="135" customFormat="1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D162" s="89"/>
      <c r="AE162" s="89"/>
      <c r="AF162" s="89"/>
      <c r="AG162" s="89"/>
      <c r="AH162" s="89"/>
      <c r="AI162" s="89"/>
      <c r="AJ162" s="89"/>
      <c r="AK162" s="89"/>
      <c r="AL162" s="89"/>
      <c r="AM162" s="89"/>
      <c r="AN162" s="89"/>
      <c r="AO162" s="89"/>
      <c r="AP162" s="89"/>
      <c r="AQ162" s="89"/>
      <c r="AR162" s="89"/>
      <c r="AS162" s="89"/>
      <c r="AT162" s="89"/>
      <c r="AU162" s="89"/>
      <c r="AV162" s="89"/>
      <c r="AW162" s="89"/>
    </row>
    <row r="163" spans="1:49" s="135" customFormat="1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89"/>
      <c r="AT163" s="89"/>
      <c r="AU163" s="89"/>
      <c r="AV163" s="89"/>
      <c r="AW163" s="89"/>
    </row>
    <row r="164" spans="1:49" s="135" customFormat="1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D164" s="89"/>
      <c r="AE164" s="89"/>
      <c r="AF164" s="89"/>
      <c r="AG164" s="89"/>
      <c r="AH164" s="89"/>
      <c r="AI164" s="89"/>
      <c r="AJ164" s="89"/>
      <c r="AK164" s="89"/>
      <c r="AL164" s="89"/>
      <c r="AM164" s="89"/>
      <c r="AN164" s="89"/>
      <c r="AO164" s="89"/>
      <c r="AP164" s="89"/>
      <c r="AQ164" s="89"/>
      <c r="AR164" s="89"/>
      <c r="AS164" s="89"/>
      <c r="AT164" s="89"/>
      <c r="AU164" s="89"/>
      <c r="AV164" s="89"/>
      <c r="AW164" s="89"/>
    </row>
    <row r="165" spans="1:49" s="135" customFormat="1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D165" s="89"/>
      <c r="AE165" s="89"/>
      <c r="AF165" s="89"/>
      <c r="AG165" s="89"/>
      <c r="AH165" s="89"/>
      <c r="AI165" s="89"/>
      <c r="AJ165" s="89"/>
      <c r="AK165" s="89"/>
      <c r="AL165" s="89"/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</row>
    <row r="166" spans="1:49" s="135" customFormat="1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D166" s="89"/>
      <c r="AE166" s="89"/>
      <c r="AF166" s="89"/>
      <c r="AG166" s="89"/>
      <c r="AH166" s="89"/>
      <c r="AI166" s="89"/>
      <c r="AJ166" s="89"/>
      <c r="AK166" s="89"/>
      <c r="AL166" s="89"/>
      <c r="AM166" s="89"/>
      <c r="AN166" s="89"/>
      <c r="AO166" s="89"/>
      <c r="AP166" s="89"/>
      <c r="AQ166" s="89"/>
      <c r="AR166" s="89"/>
      <c r="AS166" s="89"/>
      <c r="AT166" s="89"/>
      <c r="AU166" s="89"/>
      <c r="AV166" s="89"/>
      <c r="AW166" s="89"/>
    </row>
    <row r="167" spans="1:49" s="135" customFormat="1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D167" s="89"/>
      <c r="AE167" s="89"/>
      <c r="AF167" s="89"/>
      <c r="AG167" s="89"/>
      <c r="AH167" s="89"/>
      <c r="AI167" s="89"/>
      <c r="AJ167" s="89"/>
      <c r="AK167" s="89"/>
      <c r="AL167" s="89"/>
      <c r="AM167" s="89"/>
      <c r="AN167" s="89"/>
      <c r="AO167" s="89"/>
      <c r="AP167" s="89"/>
      <c r="AQ167" s="89"/>
      <c r="AR167" s="89"/>
      <c r="AS167" s="89"/>
      <c r="AT167" s="89"/>
      <c r="AU167" s="89"/>
      <c r="AV167" s="89"/>
      <c r="AW167" s="89"/>
    </row>
    <row r="168" spans="1:49" s="135" customFormat="1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D168" s="89"/>
      <c r="AE168" s="89"/>
      <c r="AF168" s="89"/>
      <c r="AG168" s="89"/>
      <c r="AH168" s="89"/>
      <c r="AI168" s="89"/>
      <c r="AJ168" s="89"/>
      <c r="AK168" s="89"/>
      <c r="AL168" s="89"/>
      <c r="AM168" s="89"/>
      <c r="AN168" s="89"/>
      <c r="AO168" s="89"/>
      <c r="AP168" s="89"/>
      <c r="AQ168" s="89"/>
      <c r="AR168" s="89"/>
      <c r="AS168" s="89"/>
      <c r="AT168" s="89"/>
      <c r="AU168" s="89"/>
      <c r="AV168" s="89"/>
      <c r="AW168" s="89"/>
    </row>
    <row r="169" spans="1:49" s="135" customFormat="1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</row>
    <row r="170" spans="1:49" s="135" customFormat="1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</row>
    <row r="171" spans="1:49" s="135" customFormat="1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</row>
    <row r="172" spans="1:49" s="135" customFormat="1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89"/>
      <c r="AO172" s="89"/>
      <c r="AP172" s="89"/>
      <c r="AQ172" s="89"/>
      <c r="AR172" s="89"/>
      <c r="AS172" s="89"/>
      <c r="AT172" s="89"/>
      <c r="AU172" s="89"/>
      <c r="AV172" s="89"/>
      <c r="AW172" s="89"/>
    </row>
    <row r="173" spans="1:49" s="135" customFormat="1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D173" s="89"/>
      <c r="AE173" s="89"/>
      <c r="AF173" s="89"/>
      <c r="AG173" s="89"/>
      <c r="AH173" s="89"/>
      <c r="AI173" s="89"/>
      <c r="AJ173" s="89"/>
      <c r="AK173" s="89"/>
      <c r="AL173" s="89"/>
      <c r="AM173" s="89"/>
      <c r="AN173" s="89"/>
      <c r="AO173" s="89"/>
      <c r="AP173" s="89"/>
      <c r="AQ173" s="89"/>
      <c r="AR173" s="89"/>
      <c r="AS173" s="89"/>
      <c r="AT173" s="89"/>
      <c r="AU173" s="89"/>
      <c r="AV173" s="89"/>
      <c r="AW173" s="89"/>
    </row>
    <row r="174" spans="1:49" s="135" customFormat="1" x14ac:dyDescent="0.25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D174" s="89"/>
      <c r="AE174" s="89"/>
      <c r="AF174" s="89"/>
      <c r="AG174" s="89"/>
      <c r="AH174" s="89"/>
      <c r="AI174" s="89"/>
      <c r="AJ174" s="89"/>
      <c r="AK174" s="89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</row>
    <row r="175" spans="1:49" s="135" customFormat="1" x14ac:dyDescent="0.25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</row>
    <row r="176" spans="1:49" s="135" customFormat="1" x14ac:dyDescent="0.25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D176" s="89"/>
      <c r="AE176" s="89"/>
      <c r="AF176" s="89"/>
      <c r="AG176" s="89"/>
      <c r="AH176" s="89"/>
      <c r="AI176" s="89"/>
      <c r="AJ176" s="89"/>
      <c r="AK176" s="89"/>
      <c r="AL176" s="89"/>
      <c r="AM176" s="89"/>
      <c r="AN176" s="89"/>
      <c r="AO176" s="89"/>
      <c r="AP176" s="89"/>
      <c r="AQ176" s="89"/>
      <c r="AR176" s="89"/>
      <c r="AS176" s="89"/>
      <c r="AT176" s="89"/>
      <c r="AU176" s="89"/>
      <c r="AV176" s="89"/>
      <c r="AW176" s="89"/>
    </row>
    <row r="177" spans="1:49" s="135" customFormat="1" x14ac:dyDescent="0.25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D177" s="89"/>
      <c r="AE177" s="89"/>
      <c r="AF177" s="89"/>
      <c r="AG177" s="89"/>
      <c r="AH177" s="89"/>
      <c r="AI177" s="89"/>
      <c r="AJ177" s="89"/>
      <c r="AK177" s="89"/>
      <c r="AL177" s="89"/>
      <c r="AM177" s="89"/>
      <c r="AN177" s="89"/>
      <c r="AO177" s="89"/>
      <c r="AP177" s="89"/>
      <c r="AQ177" s="89"/>
      <c r="AR177" s="89"/>
      <c r="AS177" s="89"/>
      <c r="AT177" s="89"/>
      <c r="AU177" s="89"/>
      <c r="AV177" s="89"/>
      <c r="AW177" s="89"/>
    </row>
    <row r="178" spans="1:49" s="135" customFormat="1" x14ac:dyDescent="0.25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D178" s="89"/>
      <c r="AE178" s="89"/>
      <c r="AF178" s="89"/>
      <c r="AG178" s="89"/>
      <c r="AH178" s="89"/>
      <c r="AI178" s="89"/>
      <c r="AJ178" s="89"/>
      <c r="AK178" s="89"/>
      <c r="AL178" s="89"/>
      <c r="AM178" s="89"/>
      <c r="AN178" s="89"/>
      <c r="AO178" s="89"/>
      <c r="AP178" s="89"/>
      <c r="AQ178" s="89"/>
      <c r="AR178" s="89"/>
      <c r="AS178" s="89"/>
      <c r="AT178" s="89"/>
      <c r="AU178" s="89"/>
      <c r="AV178" s="89"/>
      <c r="AW178" s="89"/>
    </row>
    <row r="179" spans="1:49" s="135" customFormat="1" x14ac:dyDescent="0.25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D179" s="89"/>
      <c r="AE179" s="89"/>
      <c r="AF179" s="89"/>
      <c r="AG179" s="89"/>
      <c r="AH179" s="89"/>
      <c r="AI179" s="89"/>
      <c r="AJ179" s="89"/>
      <c r="AK179" s="89"/>
      <c r="AL179" s="89"/>
      <c r="AM179" s="89"/>
      <c r="AN179" s="89"/>
      <c r="AO179" s="89"/>
      <c r="AP179" s="89"/>
      <c r="AQ179" s="89"/>
      <c r="AR179" s="89"/>
      <c r="AS179" s="89"/>
      <c r="AT179" s="89"/>
      <c r="AU179" s="89"/>
      <c r="AV179" s="89"/>
      <c r="AW179" s="89"/>
    </row>
    <row r="180" spans="1:49" s="135" customFormat="1" x14ac:dyDescent="0.25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D180" s="89"/>
      <c r="AE180" s="89"/>
      <c r="AF180" s="89"/>
      <c r="AG180" s="89"/>
      <c r="AH180" s="89"/>
      <c r="AI180" s="89"/>
      <c r="AJ180" s="89"/>
      <c r="AK180" s="89"/>
      <c r="AL180" s="89"/>
      <c r="AM180" s="89"/>
      <c r="AN180" s="89"/>
      <c r="AO180" s="89"/>
      <c r="AP180" s="89"/>
      <c r="AQ180" s="89"/>
      <c r="AR180" s="89"/>
      <c r="AS180" s="89"/>
      <c r="AT180" s="89"/>
      <c r="AU180" s="89"/>
      <c r="AV180" s="89"/>
      <c r="AW180" s="89"/>
    </row>
    <row r="181" spans="1:49" s="135" customFormat="1" x14ac:dyDescent="0.25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D181" s="89"/>
      <c r="AE181" s="89"/>
      <c r="AF181" s="89"/>
      <c r="AG181" s="89"/>
      <c r="AH181" s="89"/>
      <c r="AI181" s="89"/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</row>
    <row r="182" spans="1:49" s="135" customFormat="1" x14ac:dyDescent="0.25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/>
      <c r="AQ182" s="89"/>
      <c r="AR182" s="89"/>
      <c r="AS182" s="89"/>
      <c r="AT182" s="89"/>
      <c r="AU182" s="89"/>
      <c r="AV182" s="89"/>
      <c r="AW182" s="89"/>
    </row>
    <row r="183" spans="1:49" s="135" customFormat="1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89"/>
      <c r="AP183" s="89"/>
      <c r="AQ183" s="89"/>
      <c r="AR183" s="89"/>
      <c r="AS183" s="89"/>
      <c r="AT183" s="89"/>
      <c r="AU183" s="89"/>
      <c r="AV183" s="89"/>
      <c r="AW183" s="89"/>
    </row>
    <row r="184" spans="1:49" s="135" customFormat="1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89"/>
      <c r="AP184" s="89"/>
      <c r="AQ184" s="89"/>
      <c r="AR184" s="89"/>
      <c r="AS184" s="89"/>
      <c r="AT184" s="89"/>
      <c r="AU184" s="89"/>
      <c r="AV184" s="89"/>
      <c r="AW184" s="89"/>
    </row>
    <row r="185" spans="1:49" s="135" customFormat="1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</row>
    <row r="186" spans="1:49" s="135" customFormat="1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D186" s="89"/>
      <c r="AE186" s="89"/>
      <c r="AF186" s="89"/>
      <c r="AG186" s="89"/>
      <c r="AH186" s="89"/>
      <c r="AI186" s="89"/>
      <c r="AJ186" s="89"/>
      <c r="AK186" s="89"/>
      <c r="AL186" s="89"/>
      <c r="AM186" s="89"/>
      <c r="AN186" s="89"/>
      <c r="AO186" s="89"/>
      <c r="AP186" s="89"/>
      <c r="AQ186" s="89"/>
      <c r="AR186" s="89"/>
      <c r="AS186" s="89"/>
      <c r="AT186" s="89"/>
      <c r="AU186" s="89"/>
      <c r="AV186" s="89"/>
      <c r="AW186" s="89"/>
    </row>
    <row r="187" spans="1:49" s="135" customFormat="1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D187" s="89"/>
      <c r="AE187" s="89"/>
      <c r="AF187" s="89"/>
      <c r="AG187" s="89"/>
      <c r="AH187" s="89"/>
      <c r="AI187" s="89"/>
      <c r="AJ187" s="89"/>
      <c r="AK187" s="89"/>
      <c r="AL187" s="89"/>
      <c r="AM187" s="89"/>
      <c r="AN187" s="89"/>
      <c r="AO187" s="89"/>
      <c r="AP187" s="89"/>
      <c r="AQ187" s="89"/>
      <c r="AR187" s="89"/>
      <c r="AS187" s="89"/>
      <c r="AT187" s="89"/>
      <c r="AU187" s="89"/>
      <c r="AV187" s="89"/>
      <c r="AW187" s="89"/>
    </row>
    <row r="188" spans="1:49" s="135" customFormat="1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D188" s="89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89"/>
      <c r="AS188" s="89"/>
      <c r="AT188" s="89"/>
      <c r="AU188" s="89"/>
      <c r="AV188" s="89"/>
      <c r="AW188" s="89"/>
    </row>
    <row r="189" spans="1:49" s="135" customFormat="1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D189" s="89"/>
      <c r="AE189" s="89"/>
      <c r="AF189" s="89"/>
      <c r="AG189" s="89"/>
      <c r="AH189" s="89"/>
      <c r="AI189" s="89"/>
      <c r="AJ189" s="89"/>
      <c r="AK189" s="89"/>
      <c r="AL189" s="89"/>
      <c r="AM189" s="89"/>
      <c r="AN189" s="89"/>
      <c r="AO189" s="89"/>
      <c r="AP189" s="89"/>
      <c r="AQ189" s="89"/>
      <c r="AR189" s="89"/>
      <c r="AS189" s="89"/>
      <c r="AT189" s="89"/>
      <c r="AU189" s="89"/>
      <c r="AV189" s="89"/>
      <c r="AW189" s="89"/>
    </row>
    <row r="190" spans="1:49" s="135" customFormat="1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D190" s="89"/>
      <c r="AE190" s="89"/>
      <c r="AF190" s="89"/>
      <c r="AG190" s="89"/>
      <c r="AH190" s="89"/>
      <c r="AI190" s="89"/>
      <c r="AJ190" s="89"/>
      <c r="AK190" s="89"/>
      <c r="AL190" s="89"/>
      <c r="AM190" s="89"/>
      <c r="AN190" s="89"/>
      <c r="AO190" s="89"/>
      <c r="AP190" s="89"/>
      <c r="AQ190" s="89"/>
      <c r="AR190" s="89"/>
      <c r="AS190" s="89"/>
      <c r="AT190" s="89"/>
      <c r="AU190" s="89"/>
      <c r="AV190" s="89"/>
      <c r="AW190" s="89"/>
    </row>
    <row r="191" spans="1:49" s="135" customFormat="1" x14ac:dyDescent="0.25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D191" s="89"/>
      <c r="AE191" s="89"/>
      <c r="AF191" s="89"/>
      <c r="AG191" s="89"/>
      <c r="AH191" s="89"/>
      <c r="AI191" s="89"/>
      <c r="AJ191" s="89"/>
      <c r="AK191" s="89"/>
      <c r="AL191" s="89"/>
      <c r="AM191" s="89"/>
      <c r="AN191" s="89"/>
      <c r="AO191" s="89"/>
      <c r="AP191" s="89"/>
      <c r="AQ191" s="89"/>
      <c r="AR191" s="89"/>
      <c r="AS191" s="89"/>
      <c r="AT191" s="89"/>
      <c r="AU191" s="89"/>
      <c r="AV191" s="89"/>
      <c r="AW191" s="89"/>
    </row>
    <row r="192" spans="1:49" s="135" customFormat="1" x14ac:dyDescent="0.25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  <c r="AA192" s="89"/>
      <c r="AD192" s="89"/>
      <c r="AE192" s="89"/>
      <c r="AF192" s="89"/>
      <c r="AG192" s="89"/>
      <c r="AH192" s="89"/>
      <c r="AI192" s="89"/>
      <c r="AJ192" s="89"/>
      <c r="AK192" s="89"/>
      <c r="AL192" s="89"/>
      <c r="AM192" s="89"/>
      <c r="AN192" s="89"/>
      <c r="AO192" s="89"/>
      <c r="AP192" s="89"/>
      <c r="AQ192" s="89"/>
      <c r="AR192" s="89"/>
      <c r="AS192" s="89"/>
      <c r="AT192" s="89"/>
      <c r="AU192" s="89"/>
      <c r="AV192" s="89"/>
      <c r="AW192" s="89"/>
    </row>
    <row r="193" spans="1:49" s="135" customFormat="1" x14ac:dyDescent="0.25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  <c r="AA193" s="89"/>
      <c r="AD193" s="89"/>
      <c r="AE193" s="89"/>
      <c r="AF193" s="89"/>
      <c r="AG193" s="89"/>
      <c r="AH193" s="89"/>
      <c r="AI193" s="89"/>
      <c r="AJ193" s="89"/>
      <c r="AK193" s="89"/>
      <c r="AL193" s="89"/>
      <c r="AM193" s="89"/>
      <c r="AN193" s="89"/>
      <c r="AO193" s="89"/>
      <c r="AP193" s="89"/>
      <c r="AQ193" s="89"/>
      <c r="AR193" s="89"/>
      <c r="AS193" s="89"/>
      <c r="AT193" s="89"/>
      <c r="AU193" s="89"/>
      <c r="AV193" s="89"/>
      <c r="AW193" s="89"/>
    </row>
    <row r="194" spans="1:49" s="135" customFormat="1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  <c r="AA194" s="89"/>
      <c r="AD194" s="89"/>
      <c r="AE194" s="89"/>
      <c r="AF194" s="89"/>
      <c r="AG194" s="89"/>
      <c r="AH194" s="89"/>
      <c r="AI194" s="89"/>
      <c r="AJ194" s="89"/>
      <c r="AK194" s="89"/>
      <c r="AL194" s="89"/>
      <c r="AM194" s="89"/>
      <c r="AN194" s="89"/>
      <c r="AO194" s="89"/>
      <c r="AP194" s="89"/>
      <c r="AQ194" s="89"/>
      <c r="AR194" s="89"/>
      <c r="AS194" s="89"/>
      <c r="AT194" s="89"/>
      <c r="AU194" s="89"/>
      <c r="AV194" s="89"/>
      <c r="AW194" s="89"/>
    </row>
    <row r="195" spans="1:49" s="135" customFormat="1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  <c r="AA195" s="89"/>
      <c r="AD195" s="89"/>
      <c r="AE195" s="89"/>
      <c r="AF195" s="89"/>
      <c r="AG195" s="89"/>
      <c r="AH195" s="89"/>
      <c r="AI195" s="89"/>
      <c r="AJ195" s="89"/>
      <c r="AK195" s="89"/>
      <c r="AL195" s="89"/>
      <c r="AM195" s="89"/>
      <c r="AN195" s="89"/>
      <c r="AO195" s="89"/>
      <c r="AP195" s="89"/>
      <c r="AQ195" s="89"/>
      <c r="AR195" s="89"/>
      <c r="AS195" s="89"/>
      <c r="AT195" s="89"/>
      <c r="AU195" s="89"/>
      <c r="AV195" s="89"/>
      <c r="AW195" s="89"/>
    </row>
    <row r="196" spans="1:49" s="135" customFormat="1" x14ac:dyDescent="0.25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D196" s="89"/>
      <c r="AE196" s="89"/>
      <c r="AF196" s="89"/>
      <c r="AG196" s="89"/>
      <c r="AH196" s="89"/>
      <c r="AI196" s="89"/>
      <c r="AJ196" s="89"/>
      <c r="AK196" s="89"/>
      <c r="AL196" s="89"/>
      <c r="AM196" s="89"/>
      <c r="AN196" s="89"/>
      <c r="AO196" s="89"/>
      <c r="AP196" s="89"/>
      <c r="AQ196" s="89"/>
      <c r="AR196" s="89"/>
      <c r="AS196" s="89"/>
      <c r="AT196" s="89"/>
      <c r="AU196" s="89"/>
      <c r="AV196" s="89"/>
      <c r="AW196" s="89"/>
    </row>
    <row r="197" spans="1:49" s="135" customFormat="1" x14ac:dyDescent="0.25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  <c r="AA197" s="89"/>
      <c r="AD197" s="89"/>
      <c r="AE197" s="89"/>
      <c r="AF197" s="89"/>
      <c r="AG197" s="89"/>
      <c r="AH197" s="89"/>
      <c r="AI197" s="89"/>
      <c r="AJ197" s="89"/>
      <c r="AK197" s="89"/>
      <c r="AL197" s="89"/>
      <c r="AM197" s="89"/>
      <c r="AN197" s="89"/>
      <c r="AO197" s="89"/>
      <c r="AP197" s="89"/>
      <c r="AQ197" s="89"/>
      <c r="AR197" s="89"/>
      <c r="AS197" s="89"/>
      <c r="AT197" s="89"/>
      <c r="AU197" s="89"/>
      <c r="AV197" s="89"/>
      <c r="AW197" s="89"/>
    </row>
    <row r="198" spans="1:49" s="135" customFormat="1" x14ac:dyDescent="0.25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</row>
    <row r="199" spans="1:49" s="135" customFormat="1" x14ac:dyDescent="0.25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  <c r="AD199" s="89"/>
      <c r="AE199" s="89"/>
      <c r="AF199" s="89"/>
      <c r="AG199" s="89"/>
      <c r="AH199" s="89"/>
      <c r="AI199" s="89"/>
      <c r="AJ199" s="89"/>
      <c r="AK199" s="89"/>
      <c r="AL199" s="89"/>
      <c r="AM199" s="89"/>
      <c r="AN199" s="89"/>
      <c r="AO199" s="89"/>
      <c r="AP199" s="89"/>
      <c r="AQ199" s="89"/>
      <c r="AR199" s="89"/>
      <c r="AS199" s="89"/>
      <c r="AT199" s="89"/>
      <c r="AU199" s="89"/>
      <c r="AV199" s="89"/>
      <c r="AW199" s="89"/>
    </row>
    <row r="200" spans="1:49" s="135" customFormat="1" x14ac:dyDescent="0.25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  <c r="AD200" s="89"/>
      <c r="AE200" s="89"/>
      <c r="AF200" s="89"/>
      <c r="AG200" s="89"/>
      <c r="AH200" s="89"/>
      <c r="AI200" s="89"/>
      <c r="AJ200" s="89"/>
      <c r="AK200" s="89"/>
      <c r="AL200" s="89"/>
      <c r="AM200" s="89"/>
      <c r="AN200" s="89"/>
      <c r="AO200" s="89"/>
      <c r="AP200" s="89"/>
      <c r="AQ200" s="89"/>
      <c r="AR200" s="89"/>
      <c r="AS200" s="89"/>
      <c r="AT200" s="89"/>
      <c r="AU200" s="89"/>
      <c r="AV200" s="89"/>
      <c r="AW200" s="89"/>
    </row>
    <row r="201" spans="1:49" s="135" customFormat="1" x14ac:dyDescent="0.25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  <c r="AD201" s="89"/>
      <c r="AE201" s="89"/>
      <c r="AF201" s="89"/>
      <c r="AG201" s="89"/>
      <c r="AH201" s="89"/>
      <c r="AI201" s="89"/>
      <c r="AJ201" s="89"/>
      <c r="AK201" s="89"/>
      <c r="AL201" s="89"/>
      <c r="AM201" s="89"/>
      <c r="AN201" s="89"/>
      <c r="AO201" s="89"/>
      <c r="AP201" s="89"/>
      <c r="AQ201" s="89"/>
      <c r="AR201" s="89"/>
      <c r="AS201" s="89"/>
      <c r="AT201" s="89"/>
      <c r="AU201" s="89"/>
      <c r="AV201" s="89"/>
      <c r="AW201" s="89"/>
    </row>
    <row r="202" spans="1:49" s="135" customFormat="1" x14ac:dyDescent="0.25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/>
      <c r="AQ202" s="89"/>
      <c r="AR202" s="89"/>
      <c r="AS202" s="89"/>
      <c r="AT202" s="89"/>
      <c r="AU202" s="89"/>
      <c r="AV202" s="89"/>
      <c r="AW202" s="89"/>
    </row>
    <row r="203" spans="1:49" s="135" customFormat="1" x14ac:dyDescent="0.25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  <c r="AA203" s="89"/>
      <c r="AD203" s="89"/>
      <c r="AE203" s="89"/>
      <c r="AF203" s="89"/>
      <c r="AG203" s="89"/>
      <c r="AH203" s="89"/>
      <c r="AI203" s="89"/>
      <c r="AJ203" s="89"/>
      <c r="AK203" s="89"/>
      <c r="AL203" s="89"/>
      <c r="AM203" s="89"/>
      <c r="AN203" s="89"/>
      <c r="AO203" s="89"/>
      <c r="AP203" s="89"/>
      <c r="AQ203" s="89"/>
      <c r="AR203" s="89"/>
      <c r="AS203" s="89"/>
      <c r="AT203" s="89"/>
      <c r="AU203" s="89"/>
      <c r="AV203" s="89"/>
      <c r="AW203" s="89"/>
    </row>
    <row r="204" spans="1:49" s="135" customFormat="1" x14ac:dyDescent="0.25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  <c r="AA204" s="89"/>
      <c r="AD204" s="89"/>
      <c r="AE204" s="89"/>
      <c r="AF204" s="89"/>
      <c r="AG204" s="89"/>
      <c r="AH204" s="89"/>
      <c r="AI204" s="89"/>
      <c r="AJ204" s="89"/>
      <c r="AK204" s="89"/>
      <c r="AL204" s="89"/>
      <c r="AM204" s="89"/>
      <c r="AN204" s="89"/>
      <c r="AO204" s="89"/>
      <c r="AP204" s="89"/>
      <c r="AQ204" s="89"/>
      <c r="AR204" s="89"/>
      <c r="AS204" s="89"/>
      <c r="AT204" s="89"/>
      <c r="AU204" s="89"/>
      <c r="AV204" s="89"/>
      <c r="AW204" s="89"/>
    </row>
    <row r="205" spans="1:49" s="135" customFormat="1" x14ac:dyDescent="0.25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  <c r="AA205" s="89"/>
      <c r="AD205" s="89"/>
      <c r="AE205" s="89"/>
      <c r="AF205" s="89"/>
      <c r="AG205" s="89"/>
      <c r="AH205" s="89"/>
      <c r="AI205" s="89"/>
      <c r="AJ205" s="89"/>
      <c r="AK205" s="89"/>
      <c r="AL205" s="89"/>
      <c r="AM205" s="89"/>
      <c r="AN205" s="89"/>
      <c r="AO205" s="89"/>
      <c r="AP205" s="89"/>
      <c r="AQ205" s="89"/>
      <c r="AR205" s="89"/>
      <c r="AS205" s="89"/>
      <c r="AT205" s="89"/>
      <c r="AU205" s="89"/>
      <c r="AV205" s="89"/>
      <c r="AW205" s="89"/>
    </row>
    <row r="206" spans="1:49" s="135" customFormat="1" x14ac:dyDescent="0.25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89"/>
      <c r="AO206" s="89"/>
      <c r="AP206" s="89"/>
      <c r="AQ206" s="89"/>
      <c r="AR206" s="89"/>
      <c r="AS206" s="89"/>
      <c r="AT206" s="89"/>
      <c r="AU206" s="89"/>
      <c r="AV206" s="89"/>
      <c r="AW206" s="89"/>
    </row>
    <row r="207" spans="1:49" s="135" customFormat="1" x14ac:dyDescent="0.25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  <c r="AA207" s="89"/>
      <c r="AD207" s="89"/>
      <c r="AE207" s="89"/>
      <c r="AF207" s="89"/>
      <c r="AG207" s="89"/>
      <c r="AH207" s="89"/>
      <c r="AI207" s="89"/>
      <c r="AJ207" s="89"/>
      <c r="AK207" s="89"/>
      <c r="AL207" s="89"/>
      <c r="AM207" s="89"/>
      <c r="AN207" s="89"/>
      <c r="AO207" s="89"/>
      <c r="AP207" s="89"/>
      <c r="AQ207" s="89"/>
      <c r="AR207" s="89"/>
      <c r="AS207" s="89"/>
      <c r="AT207" s="89"/>
      <c r="AU207" s="89"/>
      <c r="AV207" s="89"/>
      <c r="AW207" s="89"/>
    </row>
    <row r="208" spans="1:49" s="135" customFormat="1" x14ac:dyDescent="0.25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  <c r="AA208" s="89"/>
      <c r="AD208" s="89"/>
      <c r="AE208" s="89"/>
      <c r="AF208" s="89"/>
      <c r="AG208" s="89"/>
      <c r="AH208" s="89"/>
      <c r="AI208" s="89"/>
      <c r="AJ208" s="89"/>
      <c r="AK208" s="89"/>
      <c r="AL208" s="89"/>
      <c r="AM208" s="89"/>
      <c r="AN208" s="89"/>
      <c r="AO208" s="89"/>
      <c r="AP208" s="89"/>
      <c r="AQ208" s="89"/>
      <c r="AR208" s="89"/>
      <c r="AS208" s="89"/>
      <c r="AT208" s="89"/>
      <c r="AU208" s="89"/>
      <c r="AV208" s="89"/>
      <c r="AW208" s="89"/>
    </row>
    <row r="209" spans="1:49" s="135" customFormat="1" x14ac:dyDescent="0.25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  <c r="AD209" s="89"/>
      <c r="AE209" s="89"/>
      <c r="AF209" s="89"/>
      <c r="AG209" s="89"/>
      <c r="AH209" s="89"/>
      <c r="AI209" s="89"/>
      <c r="AJ209" s="89"/>
      <c r="AK209" s="89"/>
      <c r="AL209" s="89"/>
      <c r="AM209" s="89"/>
      <c r="AN209" s="89"/>
      <c r="AO209" s="89"/>
      <c r="AP209" s="89"/>
      <c r="AQ209" s="89"/>
      <c r="AR209" s="89"/>
      <c r="AS209" s="89"/>
      <c r="AT209" s="89"/>
      <c r="AU209" s="89"/>
      <c r="AV209" s="89"/>
      <c r="AW209" s="89"/>
    </row>
    <row r="210" spans="1:49" s="135" customFormat="1" x14ac:dyDescent="0.25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  <c r="AD210" s="89"/>
      <c r="AE210" s="89"/>
      <c r="AF210" s="89"/>
      <c r="AG210" s="89"/>
      <c r="AH210" s="89"/>
      <c r="AI210" s="89"/>
      <c r="AJ210" s="89"/>
      <c r="AK210" s="89"/>
      <c r="AL210" s="89"/>
      <c r="AM210" s="89"/>
      <c r="AN210" s="89"/>
      <c r="AO210" s="89"/>
      <c r="AP210" s="89"/>
      <c r="AQ210" s="89"/>
      <c r="AR210" s="89"/>
      <c r="AS210" s="89"/>
      <c r="AT210" s="89"/>
      <c r="AU210" s="89"/>
      <c r="AV210" s="89"/>
      <c r="AW210" s="89"/>
    </row>
    <row r="211" spans="1:49" s="135" customFormat="1" x14ac:dyDescent="0.25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89"/>
      <c r="AV211" s="89"/>
      <c r="AW211" s="89"/>
    </row>
    <row r="212" spans="1:49" s="135" customFormat="1" x14ac:dyDescent="0.25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  <c r="AD212" s="89"/>
      <c r="AE212" s="89"/>
      <c r="AF212" s="89"/>
      <c r="AG212" s="89"/>
      <c r="AH212" s="89"/>
      <c r="AI212" s="89"/>
      <c r="AJ212" s="89"/>
      <c r="AK212" s="89"/>
      <c r="AL212" s="89"/>
      <c r="AM212" s="89"/>
      <c r="AN212" s="89"/>
      <c r="AO212" s="89"/>
      <c r="AP212" s="89"/>
      <c r="AQ212" s="89"/>
      <c r="AR212" s="89"/>
      <c r="AS212" s="89"/>
      <c r="AT212" s="89"/>
      <c r="AU212" s="89"/>
      <c r="AV212" s="89"/>
      <c r="AW212" s="89"/>
    </row>
    <row r="213" spans="1:49" s="135" customFormat="1" x14ac:dyDescent="0.25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D213" s="89"/>
      <c r="AE213" s="89"/>
      <c r="AF213" s="89"/>
      <c r="AG213" s="89"/>
      <c r="AH213" s="89"/>
      <c r="AI213" s="89"/>
      <c r="AJ213" s="89"/>
      <c r="AK213" s="89"/>
      <c r="AL213" s="89"/>
      <c r="AM213" s="89"/>
      <c r="AN213" s="89"/>
      <c r="AO213" s="89"/>
      <c r="AP213" s="89"/>
      <c r="AQ213" s="89"/>
      <c r="AR213" s="89"/>
      <c r="AS213" s="89"/>
      <c r="AT213" s="89"/>
      <c r="AU213" s="89"/>
      <c r="AV213" s="89"/>
      <c r="AW213" s="89"/>
    </row>
    <row r="214" spans="1:49" s="135" customFormat="1" x14ac:dyDescent="0.25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  <c r="AA214" s="89"/>
      <c r="AD214" s="89"/>
      <c r="AE214" s="89"/>
      <c r="AF214" s="89"/>
      <c r="AG214" s="89"/>
      <c r="AH214" s="89"/>
      <c r="AI214" s="89"/>
      <c r="AJ214" s="89"/>
      <c r="AK214" s="89"/>
      <c r="AL214" s="89"/>
      <c r="AM214" s="89"/>
      <c r="AN214" s="89"/>
      <c r="AO214" s="89"/>
      <c r="AP214" s="89"/>
      <c r="AQ214" s="89"/>
      <c r="AR214" s="89"/>
      <c r="AS214" s="89"/>
      <c r="AT214" s="89"/>
      <c r="AU214" s="89"/>
      <c r="AV214" s="89"/>
      <c r="AW214" s="89"/>
    </row>
    <row r="215" spans="1:49" s="135" customFormat="1" x14ac:dyDescent="0.25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  <c r="AA215" s="89"/>
      <c r="AD215" s="89"/>
      <c r="AE215" s="89"/>
      <c r="AF215" s="89"/>
      <c r="AG215" s="89"/>
      <c r="AH215" s="89"/>
      <c r="AI215" s="89"/>
      <c r="AJ215" s="89"/>
      <c r="AK215" s="89"/>
      <c r="AL215" s="89"/>
      <c r="AM215" s="89"/>
      <c r="AN215" s="89"/>
      <c r="AO215" s="89"/>
      <c r="AP215" s="89"/>
      <c r="AQ215" s="89"/>
      <c r="AR215" s="89"/>
      <c r="AS215" s="89"/>
      <c r="AT215" s="89"/>
      <c r="AU215" s="89"/>
      <c r="AV215" s="89"/>
      <c r="AW215" s="89"/>
    </row>
    <row r="216" spans="1:49" s="135" customFormat="1" x14ac:dyDescent="0.25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  <c r="AA216" s="89"/>
      <c r="AD216" s="89"/>
      <c r="AE216" s="89"/>
      <c r="AF216" s="89"/>
      <c r="AG216" s="89"/>
      <c r="AH216" s="89"/>
      <c r="AI216" s="89"/>
      <c r="AJ216" s="89"/>
      <c r="AK216" s="89"/>
      <c r="AL216" s="89"/>
      <c r="AM216" s="89"/>
      <c r="AN216" s="89"/>
      <c r="AO216" s="89"/>
      <c r="AP216" s="89"/>
      <c r="AQ216" s="89"/>
      <c r="AR216" s="89"/>
      <c r="AS216" s="89"/>
      <c r="AT216" s="89"/>
      <c r="AU216" s="89"/>
      <c r="AV216" s="89"/>
      <c r="AW216" s="89"/>
    </row>
    <row r="217" spans="1:49" s="135" customFormat="1" x14ac:dyDescent="0.25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  <c r="AD217" s="89"/>
      <c r="AE217" s="89"/>
      <c r="AF217" s="89"/>
      <c r="AG217" s="89"/>
      <c r="AH217" s="89"/>
      <c r="AI217" s="89"/>
      <c r="AJ217" s="89"/>
      <c r="AK217" s="89"/>
      <c r="AL217" s="89"/>
      <c r="AM217" s="89"/>
      <c r="AN217" s="89"/>
      <c r="AO217" s="89"/>
      <c r="AP217" s="89"/>
      <c r="AQ217" s="89"/>
      <c r="AR217" s="89"/>
      <c r="AS217" s="89"/>
      <c r="AT217" s="89"/>
      <c r="AU217" s="89"/>
      <c r="AV217" s="89"/>
      <c r="AW217" s="89"/>
    </row>
    <row r="218" spans="1:49" s="135" customFormat="1" x14ac:dyDescent="0.25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  <c r="AD218" s="89"/>
      <c r="AE218" s="89"/>
      <c r="AF218" s="89"/>
      <c r="AG218" s="89"/>
      <c r="AH218" s="89"/>
      <c r="AI218" s="89"/>
      <c r="AJ218" s="89"/>
      <c r="AK218" s="89"/>
      <c r="AL218" s="89"/>
      <c r="AM218" s="89"/>
      <c r="AN218" s="89"/>
      <c r="AO218" s="89"/>
      <c r="AP218" s="89"/>
      <c r="AQ218" s="89"/>
      <c r="AR218" s="89"/>
      <c r="AS218" s="89"/>
      <c r="AT218" s="89"/>
      <c r="AU218" s="89"/>
      <c r="AV218" s="89"/>
      <c r="AW218" s="89"/>
    </row>
    <row r="219" spans="1:49" s="135" customFormat="1" x14ac:dyDescent="0.25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</row>
    <row r="220" spans="1:49" s="135" customFormat="1" x14ac:dyDescent="0.25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  <c r="AD220" s="89"/>
      <c r="AE220" s="89"/>
      <c r="AF220" s="89"/>
      <c r="AG220" s="89"/>
      <c r="AH220" s="89"/>
      <c r="AI220" s="89"/>
      <c r="AJ220" s="89"/>
      <c r="AK220" s="89"/>
      <c r="AL220" s="89"/>
      <c r="AM220" s="89"/>
      <c r="AN220" s="89"/>
      <c r="AO220" s="89"/>
      <c r="AP220" s="89"/>
      <c r="AQ220" s="89"/>
      <c r="AR220" s="89"/>
      <c r="AS220" s="89"/>
      <c r="AT220" s="89"/>
      <c r="AU220" s="89"/>
      <c r="AV220" s="89"/>
      <c r="AW220" s="89"/>
    </row>
    <row r="221" spans="1:49" s="135" customFormat="1" x14ac:dyDescent="0.25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89"/>
      <c r="AN221" s="89"/>
      <c r="AO221" s="89"/>
      <c r="AP221" s="89"/>
      <c r="AQ221" s="89"/>
      <c r="AR221" s="89"/>
      <c r="AS221" s="89"/>
      <c r="AT221" s="89"/>
      <c r="AU221" s="89"/>
      <c r="AV221" s="89"/>
      <c r="AW221" s="89"/>
    </row>
    <row r="222" spans="1:49" s="135" customFormat="1" x14ac:dyDescent="0.25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  <c r="AD222" s="89"/>
      <c r="AE222" s="89"/>
      <c r="AF222" s="89"/>
      <c r="AG222" s="89"/>
      <c r="AH222" s="89"/>
      <c r="AI222" s="89"/>
      <c r="AJ222" s="89"/>
      <c r="AK222" s="89"/>
      <c r="AL222" s="89"/>
      <c r="AM222" s="89"/>
      <c r="AN222" s="89"/>
      <c r="AO222" s="89"/>
      <c r="AP222" s="89"/>
      <c r="AQ222" s="89"/>
      <c r="AR222" s="89"/>
      <c r="AS222" s="89"/>
      <c r="AT222" s="89"/>
      <c r="AU222" s="89"/>
      <c r="AV222" s="89"/>
      <c r="AW222" s="89"/>
    </row>
    <row r="223" spans="1:49" s="135" customFormat="1" x14ac:dyDescent="0.25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  <c r="AA223" s="89"/>
      <c r="AD223" s="89"/>
      <c r="AE223" s="89"/>
      <c r="AF223" s="89"/>
      <c r="AG223" s="89"/>
      <c r="AH223" s="89"/>
      <c r="AI223" s="89"/>
      <c r="AJ223" s="89"/>
      <c r="AK223" s="89"/>
      <c r="AL223" s="89"/>
      <c r="AM223" s="89"/>
      <c r="AN223" s="89"/>
      <c r="AO223" s="89"/>
      <c r="AP223" s="89"/>
      <c r="AQ223" s="89"/>
      <c r="AR223" s="89"/>
      <c r="AS223" s="89"/>
      <c r="AT223" s="89"/>
      <c r="AU223" s="89"/>
      <c r="AV223" s="89"/>
      <c r="AW223" s="89"/>
    </row>
    <row r="224" spans="1:49" s="135" customFormat="1" x14ac:dyDescent="0.25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  <c r="AA224" s="89"/>
      <c r="AD224" s="89"/>
      <c r="AE224" s="89"/>
      <c r="AF224" s="89"/>
      <c r="AG224" s="89"/>
      <c r="AH224" s="89"/>
      <c r="AI224" s="89"/>
      <c r="AJ224" s="89"/>
      <c r="AK224" s="89"/>
      <c r="AL224" s="89"/>
      <c r="AM224" s="89"/>
      <c r="AN224" s="89"/>
      <c r="AO224" s="89"/>
      <c r="AP224" s="89"/>
      <c r="AQ224" s="89"/>
      <c r="AR224" s="89"/>
      <c r="AS224" s="89"/>
      <c r="AT224" s="89"/>
      <c r="AU224" s="89"/>
      <c r="AV224" s="89"/>
      <c r="AW224" s="89"/>
    </row>
    <row r="225" spans="1:49" s="135" customFormat="1" x14ac:dyDescent="0.25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  <c r="AA225" s="89"/>
      <c r="AD225" s="89"/>
      <c r="AE225" s="89"/>
      <c r="AF225" s="89"/>
      <c r="AG225" s="89"/>
      <c r="AH225" s="89"/>
      <c r="AI225" s="89"/>
      <c r="AJ225" s="89"/>
      <c r="AK225" s="89"/>
      <c r="AL225" s="89"/>
      <c r="AM225" s="89"/>
      <c r="AN225" s="89"/>
      <c r="AO225" s="89"/>
      <c r="AP225" s="89"/>
      <c r="AQ225" s="89"/>
      <c r="AR225" s="89"/>
      <c r="AS225" s="89"/>
      <c r="AT225" s="89"/>
      <c r="AU225" s="89"/>
      <c r="AV225" s="89"/>
      <c r="AW225" s="89"/>
    </row>
    <row r="226" spans="1:49" s="135" customFormat="1" x14ac:dyDescent="0.25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  <c r="AA226" s="89"/>
      <c r="AD226" s="89"/>
      <c r="AE226" s="89"/>
      <c r="AF226" s="89"/>
      <c r="AG226" s="89"/>
      <c r="AH226" s="89"/>
      <c r="AI226" s="89"/>
      <c r="AJ226" s="89"/>
      <c r="AK226" s="89"/>
      <c r="AL226" s="89"/>
      <c r="AM226" s="89"/>
      <c r="AN226" s="89"/>
      <c r="AO226" s="89"/>
      <c r="AP226" s="89"/>
      <c r="AQ226" s="89"/>
      <c r="AR226" s="89"/>
      <c r="AS226" s="89"/>
      <c r="AT226" s="89"/>
      <c r="AU226" s="89"/>
      <c r="AV226" s="89"/>
      <c r="AW226" s="89"/>
    </row>
    <row r="227" spans="1:49" s="135" customFormat="1" x14ac:dyDescent="0.25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  <c r="AD227" s="89"/>
      <c r="AE227" s="89"/>
      <c r="AF227" s="89"/>
      <c r="AG227" s="89"/>
      <c r="AH227" s="89"/>
      <c r="AI227" s="89"/>
      <c r="AJ227" s="89"/>
      <c r="AK227" s="89"/>
      <c r="AL227" s="89"/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</row>
    <row r="228" spans="1:49" s="135" customFormat="1" x14ac:dyDescent="0.25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  <c r="AD228" s="89"/>
      <c r="AE228" s="89"/>
      <c r="AF228" s="89"/>
      <c r="AG228" s="89"/>
      <c r="AH228" s="89"/>
      <c r="AI228" s="89"/>
      <c r="AJ228" s="89"/>
      <c r="AK228" s="89"/>
      <c r="AL228" s="89"/>
      <c r="AM228" s="89"/>
      <c r="AN228" s="89"/>
      <c r="AO228" s="89"/>
      <c r="AP228" s="89"/>
      <c r="AQ228" s="89"/>
      <c r="AR228" s="89"/>
      <c r="AS228" s="89"/>
      <c r="AT228" s="89"/>
      <c r="AU228" s="89"/>
      <c r="AV228" s="89"/>
      <c r="AW228" s="89"/>
    </row>
    <row r="229" spans="1:49" s="135" customFormat="1" x14ac:dyDescent="0.25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  <c r="AD229" s="89"/>
      <c r="AE229" s="89"/>
      <c r="AF229" s="89"/>
      <c r="AG229" s="89"/>
      <c r="AH229" s="89"/>
      <c r="AI229" s="89"/>
      <c r="AJ229" s="89"/>
      <c r="AK229" s="89"/>
      <c r="AL229" s="89"/>
      <c r="AM229" s="89"/>
      <c r="AN229" s="89"/>
      <c r="AO229" s="89"/>
      <c r="AP229" s="89"/>
      <c r="AQ229" s="89"/>
      <c r="AR229" s="89"/>
      <c r="AS229" s="89"/>
      <c r="AT229" s="89"/>
      <c r="AU229" s="89"/>
      <c r="AV229" s="89"/>
      <c r="AW229" s="89"/>
    </row>
    <row r="230" spans="1:49" s="135" customFormat="1" x14ac:dyDescent="0.25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  <c r="AD230" s="89"/>
      <c r="AE230" s="89"/>
      <c r="AF230" s="89"/>
      <c r="AG230" s="89"/>
      <c r="AH230" s="89"/>
      <c r="AI230" s="89"/>
      <c r="AJ230" s="89"/>
      <c r="AK230" s="89"/>
      <c r="AL230" s="89"/>
      <c r="AM230" s="89"/>
      <c r="AN230" s="89"/>
      <c r="AO230" s="89"/>
      <c r="AP230" s="89"/>
      <c r="AQ230" s="89"/>
      <c r="AR230" s="89"/>
      <c r="AS230" s="89"/>
      <c r="AT230" s="89"/>
      <c r="AU230" s="89"/>
      <c r="AV230" s="89"/>
      <c r="AW230" s="89"/>
    </row>
    <row r="231" spans="1:49" s="135" customFormat="1" x14ac:dyDescent="0.25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/>
      <c r="AQ231" s="89"/>
      <c r="AR231" s="89"/>
      <c r="AS231" s="89"/>
      <c r="AT231" s="89"/>
      <c r="AU231" s="89"/>
      <c r="AV231" s="89"/>
      <c r="AW231" s="89"/>
    </row>
    <row r="232" spans="1:49" s="135" customFormat="1" x14ac:dyDescent="0.25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  <c r="AA232" s="89"/>
      <c r="AD232" s="89"/>
      <c r="AE232" s="89"/>
      <c r="AF232" s="89"/>
      <c r="AG232" s="89"/>
      <c r="AH232" s="89"/>
      <c r="AI232" s="89"/>
      <c r="AJ232" s="89"/>
      <c r="AK232" s="89"/>
      <c r="AL232" s="89"/>
      <c r="AM232" s="89"/>
      <c r="AN232" s="89"/>
      <c r="AO232" s="89"/>
      <c r="AP232" s="89"/>
      <c r="AQ232" s="89"/>
      <c r="AR232" s="89"/>
      <c r="AS232" s="89"/>
      <c r="AT232" s="89"/>
      <c r="AU232" s="89"/>
      <c r="AV232" s="89"/>
      <c r="AW232" s="89"/>
    </row>
    <row r="233" spans="1:49" s="135" customFormat="1" x14ac:dyDescent="0.25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  <c r="AA233" s="89"/>
      <c r="AD233" s="89"/>
      <c r="AE233" s="89"/>
      <c r="AF233" s="89"/>
      <c r="AG233" s="89"/>
      <c r="AH233" s="89"/>
      <c r="AI233" s="89"/>
      <c r="AJ233" s="89"/>
      <c r="AK233" s="89"/>
      <c r="AL233" s="89"/>
      <c r="AM233" s="89"/>
      <c r="AN233" s="89"/>
      <c r="AO233" s="89"/>
      <c r="AP233" s="89"/>
      <c r="AQ233" s="89"/>
      <c r="AR233" s="89"/>
      <c r="AS233" s="89"/>
      <c r="AT233" s="89"/>
      <c r="AU233" s="89"/>
      <c r="AV233" s="89"/>
      <c r="AW233" s="89"/>
    </row>
    <row r="234" spans="1:49" s="135" customFormat="1" x14ac:dyDescent="0.25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  <c r="AA234" s="89"/>
      <c r="AD234" s="89"/>
      <c r="AE234" s="89"/>
      <c r="AF234" s="89"/>
      <c r="AG234" s="89"/>
      <c r="AH234" s="89"/>
      <c r="AI234" s="89"/>
      <c r="AJ234" s="89"/>
      <c r="AK234" s="89"/>
      <c r="AL234" s="89"/>
      <c r="AM234" s="89"/>
      <c r="AN234" s="89"/>
      <c r="AO234" s="89"/>
      <c r="AP234" s="89"/>
      <c r="AQ234" s="89"/>
      <c r="AR234" s="89"/>
      <c r="AS234" s="89"/>
      <c r="AT234" s="89"/>
      <c r="AU234" s="89"/>
      <c r="AV234" s="89"/>
      <c r="AW234" s="89"/>
    </row>
    <row r="235" spans="1:49" s="135" customFormat="1" x14ac:dyDescent="0.25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  <c r="AA235" s="89"/>
      <c r="AD235" s="89"/>
      <c r="AE235" s="89"/>
      <c r="AF235" s="89"/>
      <c r="AG235" s="89"/>
      <c r="AH235" s="89"/>
      <c r="AI235" s="89"/>
      <c r="AJ235" s="89"/>
      <c r="AK235" s="89"/>
      <c r="AL235" s="89"/>
      <c r="AM235" s="89"/>
      <c r="AN235" s="89"/>
      <c r="AO235" s="89"/>
      <c r="AP235" s="89"/>
      <c r="AQ235" s="89"/>
      <c r="AR235" s="89"/>
      <c r="AS235" s="89"/>
      <c r="AT235" s="89"/>
      <c r="AU235" s="89"/>
      <c r="AV235" s="89"/>
      <c r="AW235" s="89"/>
    </row>
    <row r="236" spans="1:49" s="135" customFormat="1" x14ac:dyDescent="0.25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  <c r="AA236" s="89"/>
      <c r="AD236" s="89"/>
      <c r="AE236" s="89"/>
      <c r="AF236" s="89"/>
      <c r="AG236" s="89"/>
      <c r="AH236" s="89"/>
      <c r="AI236" s="89"/>
      <c r="AJ236" s="89"/>
      <c r="AK236" s="89"/>
      <c r="AL236" s="89"/>
      <c r="AM236" s="89"/>
      <c r="AN236" s="89"/>
      <c r="AO236" s="89"/>
      <c r="AP236" s="89"/>
      <c r="AQ236" s="89"/>
      <c r="AR236" s="89"/>
      <c r="AS236" s="89"/>
      <c r="AT236" s="89"/>
      <c r="AU236" s="89"/>
      <c r="AV236" s="89"/>
      <c r="AW236" s="89"/>
    </row>
    <row r="237" spans="1:49" s="135" customFormat="1" x14ac:dyDescent="0.25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</row>
    <row r="238" spans="1:49" s="135" customFormat="1" x14ac:dyDescent="0.25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</row>
    <row r="239" spans="1:49" s="135" customFormat="1" x14ac:dyDescent="0.25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</row>
    <row r="240" spans="1:49" s="135" customFormat="1" x14ac:dyDescent="0.25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</row>
    <row r="241" spans="1:49" s="135" customFormat="1" x14ac:dyDescent="0.25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89"/>
      <c r="AD241" s="89"/>
      <c r="AE241" s="89"/>
      <c r="AF241" s="89"/>
      <c r="AG241" s="89"/>
      <c r="AH241" s="89"/>
      <c r="AI241" s="89"/>
      <c r="AJ241" s="89"/>
      <c r="AK241" s="89"/>
      <c r="AL241" s="89"/>
      <c r="AM241" s="89"/>
      <c r="AN241" s="89"/>
      <c r="AO241" s="89"/>
      <c r="AP241" s="89"/>
      <c r="AQ241" s="89"/>
      <c r="AR241" s="89"/>
      <c r="AS241" s="89"/>
      <c r="AT241" s="89"/>
      <c r="AU241" s="89"/>
      <c r="AV241" s="89"/>
      <c r="AW241" s="89"/>
    </row>
    <row r="242" spans="1:49" s="135" customFormat="1" x14ac:dyDescent="0.25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D242" s="89"/>
      <c r="AE242" s="89"/>
      <c r="AF242" s="89"/>
      <c r="AG242" s="89"/>
      <c r="AH242" s="89"/>
      <c r="AI242" s="89"/>
      <c r="AJ242" s="89"/>
      <c r="AK242" s="89"/>
      <c r="AL242" s="89"/>
      <c r="AM242" s="89"/>
      <c r="AN242" s="89"/>
      <c r="AO242" s="89"/>
      <c r="AP242" s="89"/>
      <c r="AQ242" s="89"/>
      <c r="AR242" s="89"/>
      <c r="AS242" s="89"/>
      <c r="AT242" s="89"/>
      <c r="AU242" s="89"/>
      <c r="AV242" s="89"/>
      <c r="AW242" s="89"/>
    </row>
    <row r="243" spans="1:49" s="135" customFormat="1" x14ac:dyDescent="0.25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  <c r="AD243" s="89"/>
      <c r="AE243" s="89"/>
      <c r="AF243" s="89"/>
      <c r="AG243" s="89"/>
      <c r="AH243" s="89"/>
      <c r="AI243" s="89"/>
      <c r="AJ243" s="89"/>
      <c r="AK243" s="89"/>
      <c r="AL243" s="89"/>
      <c r="AM243" s="89"/>
      <c r="AN243" s="89"/>
      <c r="AO243" s="89"/>
      <c r="AP243" s="89"/>
      <c r="AQ243" s="89"/>
      <c r="AR243" s="89"/>
      <c r="AS243" s="89"/>
      <c r="AT243" s="89"/>
      <c r="AU243" s="89"/>
      <c r="AV243" s="89"/>
      <c r="AW243" s="89"/>
    </row>
    <row r="244" spans="1:49" s="135" customFormat="1" x14ac:dyDescent="0.25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  <c r="AD244" s="89"/>
      <c r="AE244" s="89"/>
      <c r="AF244" s="89"/>
      <c r="AG244" s="89"/>
      <c r="AH244" s="89"/>
      <c r="AI244" s="89"/>
      <c r="AJ244" s="89"/>
      <c r="AK244" s="89"/>
      <c r="AL244" s="89"/>
      <c r="AM244" s="89"/>
      <c r="AN244" s="89"/>
      <c r="AO244" s="89"/>
      <c r="AP244" s="89"/>
      <c r="AQ244" s="89"/>
      <c r="AR244" s="89"/>
      <c r="AS244" s="89"/>
      <c r="AT244" s="89"/>
      <c r="AU244" s="89"/>
      <c r="AV244" s="89"/>
      <c r="AW244" s="89"/>
    </row>
    <row r="245" spans="1:49" s="135" customFormat="1" x14ac:dyDescent="0.25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</row>
    <row r="246" spans="1:49" s="135" customFormat="1" x14ac:dyDescent="0.25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89"/>
      <c r="AP246" s="89"/>
      <c r="AQ246" s="89"/>
      <c r="AR246" s="89"/>
      <c r="AS246" s="89"/>
      <c r="AT246" s="89"/>
      <c r="AU246" s="89"/>
      <c r="AV246" s="89"/>
      <c r="AW246" s="89"/>
    </row>
    <row r="247" spans="1:49" s="135" customFormat="1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  <c r="AD247" s="89"/>
      <c r="AE247" s="89"/>
      <c r="AF247" s="89"/>
      <c r="AG247" s="89"/>
      <c r="AH247" s="89"/>
      <c r="AI247" s="89"/>
      <c r="AJ247" s="89"/>
      <c r="AK247" s="89"/>
      <c r="AL247" s="89"/>
      <c r="AM247" s="89"/>
      <c r="AN247" s="89"/>
      <c r="AO247" s="89"/>
      <c r="AP247" s="89"/>
      <c r="AQ247" s="89"/>
      <c r="AR247" s="89"/>
      <c r="AS247" s="89"/>
      <c r="AT247" s="89"/>
      <c r="AU247" s="89"/>
      <c r="AV247" s="89"/>
      <c r="AW247" s="89"/>
    </row>
    <row r="248" spans="1:49" s="135" customFormat="1" x14ac:dyDescent="0.25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  <c r="AA248" s="89"/>
      <c r="AD248" s="89"/>
      <c r="AE248" s="89"/>
      <c r="AF248" s="89"/>
      <c r="AG248" s="89"/>
      <c r="AH248" s="89"/>
      <c r="AI248" s="89"/>
      <c r="AJ248" s="89"/>
      <c r="AK248" s="89"/>
      <c r="AL248" s="89"/>
      <c r="AM248" s="89"/>
      <c r="AN248" s="89"/>
      <c r="AO248" s="89"/>
      <c r="AP248" s="89"/>
      <c r="AQ248" s="89"/>
      <c r="AR248" s="89"/>
      <c r="AS248" s="89"/>
      <c r="AT248" s="89"/>
      <c r="AU248" s="89"/>
      <c r="AV248" s="89"/>
      <c r="AW248" s="89"/>
    </row>
    <row r="249" spans="1:49" s="135" customFormat="1" x14ac:dyDescent="0.2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  <c r="AA249" s="89"/>
      <c r="AD249" s="89"/>
      <c r="AE249" s="89"/>
      <c r="AF249" s="89"/>
      <c r="AG249" s="89"/>
      <c r="AH249" s="89"/>
      <c r="AI249" s="89"/>
      <c r="AJ249" s="89"/>
      <c r="AK249" s="89"/>
      <c r="AL249" s="89"/>
      <c r="AM249" s="89"/>
      <c r="AN249" s="89"/>
      <c r="AO249" s="89"/>
      <c r="AP249" s="89"/>
      <c r="AQ249" s="89"/>
      <c r="AR249" s="89"/>
      <c r="AS249" s="89"/>
      <c r="AT249" s="89"/>
      <c r="AU249" s="89"/>
      <c r="AV249" s="89"/>
      <c r="AW249" s="89"/>
    </row>
    <row r="250" spans="1:49" s="135" customFormat="1" x14ac:dyDescent="0.25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  <c r="AA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</row>
    <row r="251" spans="1:49" s="135" customFormat="1" x14ac:dyDescent="0.25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/>
      <c r="AQ251" s="89"/>
      <c r="AR251" s="89"/>
      <c r="AS251" s="89"/>
      <c r="AT251" s="89"/>
      <c r="AU251" s="89"/>
      <c r="AV251" s="89"/>
      <c r="AW251" s="89"/>
    </row>
    <row r="252" spans="1:49" s="135" customFormat="1" x14ac:dyDescent="0.25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  <c r="AD252" s="89"/>
      <c r="AE252" s="89"/>
      <c r="AF252" s="89"/>
      <c r="AG252" s="89"/>
      <c r="AH252" s="89"/>
      <c r="AI252" s="89"/>
      <c r="AJ252" s="89"/>
      <c r="AK252" s="89"/>
      <c r="AL252" s="89"/>
      <c r="AM252" s="89"/>
      <c r="AN252" s="89"/>
      <c r="AO252" s="89"/>
      <c r="AP252" s="89"/>
      <c r="AQ252" s="89"/>
      <c r="AR252" s="89"/>
      <c r="AS252" s="89"/>
      <c r="AT252" s="89"/>
      <c r="AU252" s="89"/>
      <c r="AV252" s="89"/>
      <c r="AW252" s="89"/>
    </row>
    <row r="253" spans="1:49" s="135" customFormat="1" x14ac:dyDescent="0.25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  <c r="AD253" s="89"/>
      <c r="AE253" s="89"/>
      <c r="AF253" s="89"/>
      <c r="AG253" s="89"/>
      <c r="AH253" s="89"/>
      <c r="AI253" s="89"/>
      <c r="AJ253" s="89"/>
      <c r="AK253" s="89"/>
      <c r="AL253" s="89"/>
      <c r="AM253" s="89"/>
      <c r="AN253" s="89"/>
      <c r="AO253" s="89"/>
      <c r="AP253" s="89"/>
      <c r="AQ253" s="89"/>
      <c r="AR253" s="89"/>
      <c r="AS253" s="89"/>
      <c r="AT253" s="89"/>
      <c r="AU253" s="89"/>
      <c r="AV253" s="89"/>
      <c r="AW253" s="89"/>
    </row>
    <row r="254" spans="1:49" s="135" customFormat="1" x14ac:dyDescent="0.25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  <c r="AD254" s="89"/>
      <c r="AE254" s="89"/>
      <c r="AF254" s="89"/>
      <c r="AG254" s="89"/>
      <c r="AH254" s="89"/>
      <c r="AI254" s="89"/>
      <c r="AJ254" s="89"/>
      <c r="AK254" s="89"/>
      <c r="AL254" s="89"/>
      <c r="AM254" s="89"/>
      <c r="AN254" s="89"/>
      <c r="AO254" s="89"/>
      <c r="AP254" s="89"/>
      <c r="AQ254" s="89"/>
      <c r="AR254" s="89"/>
      <c r="AS254" s="89"/>
      <c r="AT254" s="89"/>
      <c r="AU254" s="89"/>
      <c r="AV254" s="89"/>
      <c r="AW254" s="89"/>
    </row>
    <row r="255" spans="1:49" s="135" customFormat="1" x14ac:dyDescent="0.25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  <c r="AA255" s="89"/>
      <c r="AD255" s="89"/>
      <c r="AE255" s="89"/>
      <c r="AF255" s="89"/>
      <c r="AG255" s="89"/>
      <c r="AH255" s="89"/>
      <c r="AI255" s="89"/>
      <c r="AJ255" s="89"/>
      <c r="AK255" s="89"/>
      <c r="AL255" s="89"/>
      <c r="AM255" s="89"/>
      <c r="AN255" s="89"/>
      <c r="AO255" s="89"/>
      <c r="AP255" s="89"/>
      <c r="AQ255" s="89"/>
      <c r="AR255" s="89"/>
      <c r="AS255" s="89"/>
      <c r="AT255" s="89"/>
      <c r="AU255" s="89"/>
      <c r="AV255" s="89"/>
      <c r="AW255" s="89"/>
    </row>
    <row r="256" spans="1:49" s="135" customFormat="1" x14ac:dyDescent="0.25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  <c r="AA256" s="89"/>
      <c r="AD256" s="89"/>
      <c r="AE256" s="89"/>
      <c r="AF256" s="89"/>
      <c r="AG256" s="89"/>
      <c r="AH256" s="89"/>
      <c r="AI256" s="89"/>
      <c r="AJ256" s="89"/>
      <c r="AK256" s="89"/>
      <c r="AL256" s="89"/>
      <c r="AM256" s="89"/>
      <c r="AN256" s="89"/>
      <c r="AO256" s="89"/>
      <c r="AP256" s="89"/>
      <c r="AQ256" s="89"/>
      <c r="AR256" s="89"/>
      <c r="AS256" s="89"/>
      <c r="AT256" s="89"/>
      <c r="AU256" s="89"/>
      <c r="AV256" s="89"/>
      <c r="AW256" s="89"/>
    </row>
  </sheetData>
  <mergeCells count="29">
    <mergeCell ref="Z5:Z6"/>
    <mergeCell ref="AA5:AA6"/>
    <mergeCell ref="AB5:AC5"/>
    <mergeCell ref="AD5:AD6"/>
    <mergeCell ref="A12:B12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L5:L6"/>
    <mergeCell ref="M5:M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1" width="11.42578125" style="219"/>
    <col min="2" max="2" width="32" style="219" customWidth="1"/>
    <col min="3" max="3" width="11.42578125" style="219"/>
    <col min="4" max="4" width="11" style="219" bestFit="1" customWidth="1"/>
    <col min="5" max="8" width="11.42578125" style="219" hidden="1" customWidth="1"/>
    <col min="9" max="9" width="1.85546875" style="219" customWidth="1"/>
    <col min="10" max="10" width="11.42578125" style="219"/>
    <col min="11" max="11" width="35" style="219" customWidth="1"/>
    <col min="12" max="12" width="11.42578125" style="219"/>
    <col min="13" max="13" width="11" style="219" bestFit="1" customWidth="1"/>
  </cols>
  <sheetData>
    <row r="1" spans="1:13" x14ac:dyDescent="0.25">
      <c r="A1" s="208" t="s">
        <v>0</v>
      </c>
      <c r="B1" s="288" t="s">
        <v>121</v>
      </c>
      <c r="C1" s="243"/>
      <c r="J1" s="254" t="s">
        <v>0</v>
      </c>
      <c r="K1" s="229" t="s">
        <v>121</v>
      </c>
      <c r="L1" s="243"/>
    </row>
    <row r="2" spans="1:13" ht="18" x14ac:dyDescent="0.25">
      <c r="A2" s="209" t="s">
        <v>1</v>
      </c>
      <c r="B2" s="59" t="s">
        <v>369</v>
      </c>
      <c r="C2" s="243"/>
      <c r="J2" s="255" t="s">
        <v>1</v>
      </c>
      <c r="K2" s="59" t="s">
        <v>368</v>
      </c>
      <c r="L2" s="243"/>
    </row>
    <row r="3" spans="1:13" ht="15.75" x14ac:dyDescent="0.25">
      <c r="B3" s="60" t="s">
        <v>3</v>
      </c>
      <c r="C3" s="243"/>
      <c r="J3" s="256"/>
      <c r="K3" s="60" t="s">
        <v>3</v>
      </c>
      <c r="L3" s="243"/>
    </row>
    <row r="4" spans="1:13" x14ac:dyDescent="0.25">
      <c r="B4" s="61" t="s">
        <v>311</v>
      </c>
      <c r="C4" s="243"/>
      <c r="J4" s="256"/>
      <c r="K4" s="61" t="s">
        <v>311</v>
      </c>
      <c r="L4" s="243"/>
    </row>
    <row r="5" spans="1:13" x14ac:dyDescent="0.25">
      <c r="B5" s="222"/>
      <c r="C5" s="243"/>
      <c r="D5" s="226"/>
      <c r="K5" s="222"/>
      <c r="L5" s="243"/>
      <c r="M5" s="226"/>
    </row>
    <row r="6" spans="1:13" x14ac:dyDescent="0.25">
      <c r="B6" s="222"/>
      <c r="C6" s="243"/>
      <c r="K6" s="222"/>
      <c r="L6" s="243"/>
    </row>
    <row r="8" spans="1:13" ht="15.75" thickBot="1" x14ac:dyDescent="0.3">
      <c r="A8" s="223" t="s">
        <v>6</v>
      </c>
      <c r="B8" s="224" t="s">
        <v>7</v>
      </c>
      <c r="C8" s="244" t="s">
        <v>13</v>
      </c>
      <c r="D8" s="228"/>
      <c r="E8" s="228"/>
      <c r="J8" s="223" t="s">
        <v>6</v>
      </c>
      <c r="K8" s="224" t="s">
        <v>7</v>
      </c>
      <c r="L8" s="244" t="s">
        <v>13</v>
      </c>
      <c r="M8" s="228"/>
    </row>
    <row r="9" spans="1:13" ht="15.75" thickTop="1" x14ac:dyDescent="0.25">
      <c r="C9" s="243"/>
      <c r="L9" s="243"/>
    </row>
    <row r="10" spans="1:13" s="290" customFormat="1" ht="12.75" x14ac:dyDescent="0.2">
      <c r="A10" s="290" t="s">
        <v>15</v>
      </c>
      <c r="B10" s="290" t="s">
        <v>366</v>
      </c>
      <c r="C10" s="290">
        <f>+'C&amp;A'!H66</f>
        <v>1237.1999999999998</v>
      </c>
      <c r="D10" s="292" t="s">
        <v>370</v>
      </c>
      <c r="J10" s="290" t="s">
        <v>15</v>
      </c>
      <c r="K10" s="290" t="s">
        <v>366</v>
      </c>
      <c r="L10" s="291">
        <f>+SINDICATO!M66</f>
        <v>15771.645</v>
      </c>
      <c r="M10" s="293" t="s">
        <v>370</v>
      </c>
    </row>
    <row r="11" spans="1:13" ht="15.75" thickBot="1" x14ac:dyDescent="0.3">
      <c r="A11" s="221"/>
      <c r="B11" s="220"/>
      <c r="C11" s="257">
        <f>SUM(C10:C10)</f>
        <v>1237.1999999999998</v>
      </c>
      <c r="D11" s="247"/>
      <c r="E11" s="227"/>
      <c r="J11" s="221"/>
      <c r="K11" s="220"/>
      <c r="L11" s="257">
        <f>SUM(L10:L10)</f>
        <v>15771.645</v>
      </c>
      <c r="M11" s="247"/>
    </row>
    <row r="12" spans="1:13" x14ac:dyDescent="0.25">
      <c r="A12" s="221"/>
      <c r="B12" s="220"/>
      <c r="C12" s="245"/>
      <c r="D12" s="247"/>
      <c r="E12" s="227"/>
      <c r="J12" s="221"/>
      <c r="K12" s="220"/>
      <c r="L12" s="245"/>
      <c r="M12" s="247"/>
    </row>
    <row r="13" spans="1:13" x14ac:dyDescent="0.25">
      <c r="D13" s="227"/>
      <c r="E13" s="227"/>
      <c r="M13" s="227"/>
    </row>
    <row r="14" spans="1:13" x14ac:dyDescent="0.25">
      <c r="D14" s="227"/>
      <c r="E14" s="227"/>
      <c r="M14" s="227"/>
    </row>
  </sheetData>
  <pageMargins left="0.7" right="0.7" top="0.75" bottom="0.75" header="0.3" footer="0.3"/>
  <pageSetup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Hoja1</vt:lpstr>
      <vt:lpstr>FACTURACIÓN</vt:lpstr>
      <vt:lpstr>C&amp;A</vt:lpstr>
      <vt:lpstr>SINDICATO</vt:lpstr>
      <vt:lpstr>Hoja2</vt:lpstr>
      <vt:lpstr>Hoja3</vt:lpstr>
      <vt:lpstr>Hoja4</vt:lpstr>
      <vt:lpstr>'C&amp;A'!Área_de_impresión</vt:lpstr>
      <vt:lpstr>FACTURACIÓN!Área_de_impresión</vt:lpstr>
      <vt:lpstr>Hoja2!Área_de_impresión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lily</cp:lastModifiedBy>
  <cp:lastPrinted>2016-03-15T21:15:56Z</cp:lastPrinted>
  <dcterms:created xsi:type="dcterms:W3CDTF">2016-01-16T18:25:25Z</dcterms:created>
  <dcterms:modified xsi:type="dcterms:W3CDTF">2016-03-15T21:29:28Z</dcterms:modified>
</cp:coreProperties>
</file>