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-210" windowWidth="20430" windowHeight="6900" tabRatio="881" activeTab="11"/>
  </bookViews>
  <sheets>
    <sheet name="ENERO" sheetId="1" r:id="rId1"/>
    <sheet name="FEBRERO" sheetId="2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externalReferences>
    <externalReference r:id="rId13"/>
  </externalReferences>
  <definedNames>
    <definedName name="_xlnm._FilterDatabase" localSheetId="3" hidden="1">ABRIL!$A$6:$L$310</definedName>
    <definedName name="_xlnm._FilterDatabase" localSheetId="7" hidden="1">AGOSTO!$A$6:$L$371</definedName>
    <definedName name="_xlnm._FilterDatabase" localSheetId="11" hidden="1">DICIEMBRE!$A$6:$L$713</definedName>
    <definedName name="_xlnm._FilterDatabase" localSheetId="1" hidden="1">FEBRERO!$A$6:$L$382</definedName>
    <definedName name="_xlnm._FilterDatabase" localSheetId="6" hidden="1">JULIO!$A$6:$L$98</definedName>
    <definedName name="_xlnm._FilterDatabase" localSheetId="4" hidden="1">MAYO!$A$6:$L$353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3" i="13"/>
  <c r="I963"/>
  <c r="H962"/>
  <c r="H961"/>
  <c r="H960"/>
  <c r="H959"/>
  <c r="J958"/>
  <c r="H958"/>
  <c r="H957"/>
  <c r="I956"/>
  <c r="H956"/>
  <c r="I643" i="12"/>
  <c r="H642"/>
  <c r="I641"/>
  <c r="H641"/>
  <c r="J814" i="11"/>
  <c r="I814"/>
  <c r="H813"/>
  <c r="H812"/>
  <c r="H811"/>
  <c r="I811" s="1"/>
  <c r="I535" i="10"/>
  <c r="H535" s="1"/>
  <c r="H534"/>
  <c r="H533"/>
  <c r="H532"/>
  <c r="K531"/>
  <c r="H531"/>
  <c r="I531" s="1"/>
  <c r="I539" i="9"/>
  <c r="H538"/>
  <c r="I537"/>
  <c r="H537"/>
  <c r="I545" i="8"/>
  <c r="H544"/>
  <c r="I543"/>
  <c r="H543"/>
  <c r="I519" i="6"/>
  <c r="I520" s="1"/>
  <c r="H518"/>
  <c r="H517"/>
  <c r="H51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478" i="5"/>
  <c r="H477"/>
  <c r="I530" i="4"/>
  <c r="K529"/>
  <c r="H529"/>
  <c r="H528"/>
  <c r="H527"/>
  <c r="I572" i="2"/>
  <c r="J572"/>
  <c r="H571"/>
  <c r="H570"/>
  <c r="H569"/>
  <c r="J809" i="11"/>
  <c r="J529" i="10"/>
  <c r="J535" i="9"/>
  <c r="J541" i="8"/>
  <c r="J480" i="7"/>
  <c r="J474" i="5"/>
  <c r="J524" i="4"/>
  <c r="J566" i="2"/>
  <c r="J410" i="7"/>
  <c r="L410" s="1"/>
  <c r="M410"/>
  <c r="J455" i="9"/>
  <c r="J699" i="11"/>
  <c r="L639" i="12"/>
  <c r="J559"/>
  <c r="J530"/>
  <c r="J838" i="13"/>
  <c r="J803"/>
  <c r="K838"/>
  <c r="K803"/>
  <c r="J886"/>
  <c r="K597" i="1"/>
  <c r="J597"/>
  <c r="J440" i="9"/>
  <c r="J392" i="7"/>
  <c r="K410"/>
  <c r="J431" i="6"/>
  <c r="J374" i="5"/>
  <c r="J397" i="4"/>
  <c r="J421"/>
  <c r="K479" i="1"/>
  <c r="K509"/>
  <c r="I379" i="10"/>
  <c r="J379"/>
  <c r="J724" i="13"/>
  <c r="I724"/>
  <c r="I857"/>
  <c r="I858"/>
  <c r="I338"/>
  <c r="H723"/>
  <c r="H340"/>
  <c r="I378" i="10"/>
  <c r="H72"/>
  <c r="I458" i="12"/>
  <c r="H8" i="1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722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J536" i="10" l="1"/>
  <c r="I536"/>
  <c r="J513" i="6"/>
  <c r="J639" i="12"/>
  <c r="J954" i="13"/>
  <c r="J592" i="11"/>
  <c r="I592"/>
  <c r="J389" i="2"/>
  <c r="I52"/>
  <c r="H388"/>
  <c r="K361" i="4"/>
  <c r="J719" i="13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H924" s="1"/>
  <c r="I925"/>
  <c r="I926"/>
  <c r="H926" s="1"/>
  <c r="I927"/>
  <c r="H927" s="1"/>
  <c r="I928"/>
  <c r="H928" s="1"/>
  <c r="I929"/>
  <c r="I930"/>
  <c r="H930" s="1"/>
  <c r="I931"/>
  <c r="H931" s="1"/>
  <c r="I932"/>
  <c r="H932" s="1"/>
  <c r="I933"/>
  <c r="H933" s="1"/>
  <c r="I934"/>
  <c r="H934" s="1"/>
  <c r="I935"/>
  <c r="H935" s="1"/>
  <c r="I936"/>
  <c r="H936" s="1"/>
  <c r="I937"/>
  <c r="H937" s="1"/>
  <c r="I938"/>
  <c r="H938" s="1"/>
  <c r="I939"/>
  <c r="H939" s="1"/>
  <c r="I940"/>
  <c r="H940" s="1"/>
  <c r="I941"/>
  <c r="H941" s="1"/>
  <c r="I942"/>
  <c r="H942" s="1"/>
  <c r="I943"/>
  <c r="H943" s="1"/>
  <c r="I944"/>
  <c r="H944" s="1"/>
  <c r="I945"/>
  <c r="H945" s="1"/>
  <c r="I946"/>
  <c r="H946" s="1"/>
  <c r="I947"/>
  <c r="H947" s="1"/>
  <c r="I948"/>
  <c r="H948" s="1"/>
  <c r="I949"/>
  <c r="H949" s="1"/>
  <c r="I950"/>
  <c r="H950" s="1"/>
  <c r="I951"/>
  <c r="H951" s="1"/>
  <c r="I952"/>
  <c r="H952" s="1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5"/>
  <c r="H929"/>
  <c r="I732"/>
  <c r="H732" s="1"/>
  <c r="I466" i="12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K530" s="1"/>
  <c r="L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9"/>
  <c r="H559" s="1"/>
  <c r="K559" s="1"/>
  <c r="L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596"/>
  <c r="H596" s="1"/>
  <c r="I597"/>
  <c r="H597" s="1"/>
  <c r="I598"/>
  <c r="H598" s="1"/>
  <c r="I599"/>
  <c r="H599" s="1"/>
  <c r="I600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3"/>
  <c r="H613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465"/>
  <c r="I600" i="11"/>
  <c r="H600" s="1"/>
  <c r="I601"/>
  <c r="H601" s="1"/>
  <c r="I602"/>
  <c r="H602" s="1"/>
  <c r="I603"/>
  <c r="H603" s="1"/>
  <c r="I604"/>
  <c r="H604" s="1"/>
  <c r="I605"/>
  <c r="H605" s="1"/>
  <c r="I606"/>
  <c r="H606" s="1"/>
  <c r="I607"/>
  <c r="H607" s="1"/>
  <c r="I608"/>
  <c r="H608" s="1"/>
  <c r="I609"/>
  <c r="H609" s="1"/>
  <c r="I610"/>
  <c r="H610" s="1"/>
  <c r="I611"/>
  <c r="H611" s="1"/>
  <c r="I612"/>
  <c r="H612" s="1"/>
  <c r="I614"/>
  <c r="H614" s="1"/>
  <c r="I615"/>
  <c r="H615" s="1"/>
  <c r="I616"/>
  <c r="H616" s="1"/>
  <c r="I617"/>
  <c r="H617" s="1"/>
  <c r="I618"/>
  <c r="H618" s="1"/>
  <c r="I619"/>
  <c r="H619" s="1"/>
  <c r="I620"/>
  <c r="H620" s="1"/>
  <c r="I621"/>
  <c r="H621" s="1"/>
  <c r="I622"/>
  <c r="H622" s="1"/>
  <c r="I623"/>
  <c r="H623" s="1"/>
  <c r="I624"/>
  <c r="H624" s="1"/>
  <c r="I625"/>
  <c r="H625" s="1"/>
  <c r="I626"/>
  <c r="H626" s="1"/>
  <c r="I627"/>
  <c r="H627" s="1"/>
  <c r="I628"/>
  <c r="H628" s="1"/>
  <c r="I629"/>
  <c r="H629" s="1"/>
  <c r="I630"/>
  <c r="H630" s="1"/>
  <c r="I631"/>
  <c r="H631" s="1"/>
  <c r="I632"/>
  <c r="H632" s="1"/>
  <c r="I633"/>
  <c r="H633" s="1"/>
  <c r="I634"/>
  <c r="H634" s="1"/>
  <c r="I635"/>
  <c r="H635" s="1"/>
  <c r="I636"/>
  <c r="H636" s="1"/>
  <c r="I637"/>
  <c r="H637" s="1"/>
  <c r="I638"/>
  <c r="H638" s="1"/>
  <c r="I639"/>
  <c r="H639" s="1"/>
  <c r="I640"/>
  <c r="H640" s="1"/>
  <c r="I641"/>
  <c r="H641" s="1"/>
  <c r="I642"/>
  <c r="H642" s="1"/>
  <c r="I643"/>
  <c r="H643" s="1"/>
  <c r="I644"/>
  <c r="H644" s="1"/>
  <c r="I645"/>
  <c r="H645" s="1"/>
  <c r="I646"/>
  <c r="H646" s="1"/>
  <c r="I647"/>
  <c r="H647" s="1"/>
  <c r="I648"/>
  <c r="H648" s="1"/>
  <c r="I649"/>
  <c r="H649" s="1"/>
  <c r="I650"/>
  <c r="H650" s="1"/>
  <c r="I651"/>
  <c r="H651" s="1"/>
  <c r="I652"/>
  <c r="H652" s="1"/>
  <c r="I653"/>
  <c r="H653" s="1"/>
  <c r="I654"/>
  <c r="H654" s="1"/>
  <c r="I655"/>
  <c r="H655" s="1"/>
  <c r="I656"/>
  <c r="H656" s="1"/>
  <c r="I657"/>
  <c r="H657" s="1"/>
  <c r="I658"/>
  <c r="H658" s="1"/>
  <c r="I659"/>
  <c r="H659" s="1"/>
  <c r="I660"/>
  <c r="H660" s="1"/>
  <c r="I661"/>
  <c r="H661" s="1"/>
  <c r="I662"/>
  <c r="H662" s="1"/>
  <c r="I663"/>
  <c r="H663" s="1"/>
  <c r="I664"/>
  <c r="H664" s="1"/>
  <c r="I665"/>
  <c r="H665" s="1"/>
  <c r="I666"/>
  <c r="H666" s="1"/>
  <c r="I667"/>
  <c r="H667" s="1"/>
  <c r="I668"/>
  <c r="H668" s="1"/>
  <c r="I669"/>
  <c r="H669" s="1"/>
  <c r="I670"/>
  <c r="H670" s="1"/>
  <c r="I671"/>
  <c r="H671" s="1"/>
  <c r="I672"/>
  <c r="H672" s="1"/>
  <c r="I673"/>
  <c r="H673" s="1"/>
  <c r="I674"/>
  <c r="H674" s="1"/>
  <c r="I675"/>
  <c r="H675" s="1"/>
  <c r="I676"/>
  <c r="H676" s="1"/>
  <c r="I677"/>
  <c r="H677" s="1"/>
  <c r="I678"/>
  <c r="H678" s="1"/>
  <c r="I679"/>
  <c r="H679" s="1"/>
  <c r="I680"/>
  <c r="H680" s="1"/>
  <c r="I681"/>
  <c r="H681" s="1"/>
  <c r="I682"/>
  <c r="H682" s="1"/>
  <c r="I683"/>
  <c r="H683" s="1"/>
  <c r="I684"/>
  <c r="H684" s="1"/>
  <c r="I685"/>
  <c r="H685" s="1"/>
  <c r="I686"/>
  <c r="H686" s="1"/>
  <c r="I687"/>
  <c r="H687" s="1"/>
  <c r="I688"/>
  <c r="H688" s="1"/>
  <c r="I689"/>
  <c r="H689" s="1"/>
  <c r="I690"/>
  <c r="H690" s="1"/>
  <c r="I691"/>
  <c r="H691" s="1"/>
  <c r="I692"/>
  <c r="H692" s="1"/>
  <c r="I693"/>
  <c r="H693" s="1"/>
  <c r="I694"/>
  <c r="H694" s="1"/>
  <c r="I695"/>
  <c r="H695" s="1"/>
  <c r="I696"/>
  <c r="H696" s="1"/>
  <c r="I697"/>
  <c r="H697" s="1"/>
  <c r="I698"/>
  <c r="H698" s="1"/>
  <c r="I699"/>
  <c r="H699" s="1"/>
  <c r="I700"/>
  <c r="H700" s="1"/>
  <c r="I701"/>
  <c r="H701" s="1"/>
  <c r="I702"/>
  <c r="H702" s="1"/>
  <c r="I703"/>
  <c r="H703" s="1"/>
  <c r="I704"/>
  <c r="H704" s="1"/>
  <c r="I705"/>
  <c r="H705" s="1"/>
  <c r="I706"/>
  <c r="H706" s="1"/>
  <c r="I707"/>
  <c r="H707" s="1"/>
  <c r="I708"/>
  <c r="H708" s="1"/>
  <c r="I709"/>
  <c r="H709" s="1"/>
  <c r="I710"/>
  <c r="H710" s="1"/>
  <c r="I711"/>
  <c r="H711" s="1"/>
  <c r="I712"/>
  <c r="H712" s="1"/>
  <c r="I713"/>
  <c r="H713" s="1"/>
  <c r="I714"/>
  <c r="H714" s="1"/>
  <c r="I715"/>
  <c r="H715" s="1"/>
  <c r="I716"/>
  <c r="H716" s="1"/>
  <c r="I717"/>
  <c r="H717" s="1"/>
  <c r="I718"/>
  <c r="H718" s="1"/>
  <c r="I719"/>
  <c r="H719" s="1"/>
  <c r="I720"/>
  <c r="H720" s="1"/>
  <c r="I721"/>
  <c r="H721" s="1"/>
  <c r="I722"/>
  <c r="H722" s="1"/>
  <c r="I723"/>
  <c r="H723" s="1"/>
  <c r="I724"/>
  <c r="H724" s="1"/>
  <c r="I725"/>
  <c r="H725" s="1"/>
  <c r="I726"/>
  <c r="H726" s="1"/>
  <c r="I727"/>
  <c r="H727" s="1"/>
  <c r="I728"/>
  <c r="H728" s="1"/>
  <c r="I729"/>
  <c r="H729" s="1"/>
  <c r="I730"/>
  <c r="H730" s="1"/>
  <c r="I731"/>
  <c r="H731" s="1"/>
  <c r="I732"/>
  <c r="H732" s="1"/>
  <c r="I733"/>
  <c r="H733" s="1"/>
  <c r="I734"/>
  <c r="H734" s="1"/>
  <c r="I735"/>
  <c r="H735" s="1"/>
  <c r="I736"/>
  <c r="H736" s="1"/>
  <c r="I737"/>
  <c r="H737" s="1"/>
  <c r="I738"/>
  <c r="H738" s="1"/>
  <c r="I739"/>
  <c r="H739" s="1"/>
  <c r="I740"/>
  <c r="H740" s="1"/>
  <c r="I741"/>
  <c r="H741" s="1"/>
  <c r="I742"/>
  <c r="H742" s="1"/>
  <c r="I743"/>
  <c r="H743" s="1"/>
  <c r="I744"/>
  <c r="H744" s="1"/>
  <c r="I745"/>
  <c r="H745" s="1"/>
  <c r="I746"/>
  <c r="H746" s="1"/>
  <c r="I747"/>
  <c r="H747" s="1"/>
  <c r="I748"/>
  <c r="H748" s="1"/>
  <c r="I749"/>
  <c r="H749" s="1"/>
  <c r="I750"/>
  <c r="H750" s="1"/>
  <c r="I751"/>
  <c r="H751" s="1"/>
  <c r="I752"/>
  <c r="H752" s="1"/>
  <c r="I753"/>
  <c r="H753" s="1"/>
  <c r="I754"/>
  <c r="H754" s="1"/>
  <c r="I755"/>
  <c r="H755" s="1"/>
  <c r="I756"/>
  <c r="H756" s="1"/>
  <c r="I757"/>
  <c r="H757" s="1"/>
  <c r="I758"/>
  <c r="H758" s="1"/>
  <c r="I759"/>
  <c r="H759" s="1"/>
  <c r="I760"/>
  <c r="H760" s="1"/>
  <c r="I761"/>
  <c r="H761" s="1"/>
  <c r="I762"/>
  <c r="H762" s="1"/>
  <c r="I763"/>
  <c r="H763" s="1"/>
  <c r="I764"/>
  <c r="H764" s="1"/>
  <c r="I765"/>
  <c r="H765" s="1"/>
  <c r="I766"/>
  <c r="H766" s="1"/>
  <c r="I767"/>
  <c r="H767" s="1"/>
  <c r="I768"/>
  <c r="H768" s="1"/>
  <c r="I769"/>
  <c r="H769" s="1"/>
  <c r="I770"/>
  <c r="H770" s="1"/>
  <c r="I771"/>
  <c r="H771" s="1"/>
  <c r="I772"/>
  <c r="H772" s="1"/>
  <c r="I773"/>
  <c r="H773" s="1"/>
  <c r="I774"/>
  <c r="H774" s="1"/>
  <c r="I775"/>
  <c r="H775" s="1"/>
  <c r="I776"/>
  <c r="H776" s="1"/>
  <c r="I777"/>
  <c r="H777" s="1"/>
  <c r="I778"/>
  <c r="H778" s="1"/>
  <c r="I779"/>
  <c r="H779" s="1"/>
  <c r="I780"/>
  <c r="H780" s="1"/>
  <c r="I781"/>
  <c r="H781" s="1"/>
  <c r="I782"/>
  <c r="H782" s="1"/>
  <c r="I783"/>
  <c r="H783" s="1"/>
  <c r="I784"/>
  <c r="H784" s="1"/>
  <c r="I785"/>
  <c r="H785" s="1"/>
  <c r="I786"/>
  <c r="H786" s="1"/>
  <c r="I787"/>
  <c r="H787" s="1"/>
  <c r="I788"/>
  <c r="H788" s="1"/>
  <c r="I789"/>
  <c r="H789" s="1"/>
  <c r="I790"/>
  <c r="H790" s="1"/>
  <c r="I791"/>
  <c r="H791" s="1"/>
  <c r="I792"/>
  <c r="H792" s="1"/>
  <c r="I793"/>
  <c r="H793" s="1"/>
  <c r="I794"/>
  <c r="H794" s="1"/>
  <c r="I795"/>
  <c r="H795" s="1"/>
  <c r="I796"/>
  <c r="H796" s="1"/>
  <c r="I797"/>
  <c r="H797" s="1"/>
  <c r="I798"/>
  <c r="H798" s="1"/>
  <c r="I799"/>
  <c r="H799" s="1"/>
  <c r="I800"/>
  <c r="H800" s="1"/>
  <c r="I801"/>
  <c r="H801" s="1"/>
  <c r="I802"/>
  <c r="H802" s="1"/>
  <c r="I803"/>
  <c r="H803" s="1"/>
  <c r="I804"/>
  <c r="H804" s="1"/>
  <c r="I805"/>
  <c r="H805" s="1"/>
  <c r="I806"/>
  <c r="H806" s="1"/>
  <c r="I807"/>
  <c r="H807" s="1"/>
  <c r="I599"/>
  <c r="H599" s="1"/>
  <c r="H8" i="10"/>
  <c r="H9"/>
  <c r="H10"/>
  <c r="H11"/>
  <c r="H12"/>
  <c r="H13"/>
  <c r="H14"/>
  <c r="H15"/>
  <c r="H37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376"/>
  <c r="H377"/>
  <c r="H378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7"/>
  <c r="H188"/>
  <c r="H189"/>
  <c r="H190"/>
  <c r="H191"/>
  <c r="H192"/>
  <c r="H193"/>
  <c r="H194"/>
  <c r="H195"/>
  <c r="H196"/>
  <c r="H197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8"/>
  <c r="H369"/>
  <c r="H370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388"/>
  <c r="I385" i="9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K639" i="12" l="1"/>
  <c r="K699" i="11"/>
  <c r="K455" i="9"/>
  <c r="H388" i="10"/>
  <c r="H465" i="12"/>
  <c r="I384" i="9"/>
  <c r="H384" s="1"/>
  <c r="H8" i="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387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395"/>
  <c r="I481" i="7"/>
  <c r="I482" s="1"/>
  <c r="H481"/>
  <c r="H482" s="1"/>
  <c r="I480"/>
  <c r="H480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337"/>
  <c r="I368" i="6"/>
  <c r="H368" s="1"/>
  <c r="I325" i="5"/>
  <c r="H325" s="1"/>
  <c r="I326"/>
  <c r="H326" s="1"/>
  <c r="I327"/>
  <c r="H327" s="1"/>
  <c r="I328"/>
  <c r="H328" s="1"/>
  <c r="I329"/>
  <c r="H329" s="1"/>
  <c r="I330"/>
  <c r="H330" s="1"/>
  <c r="I331"/>
  <c r="H331" s="1"/>
  <c r="I333"/>
  <c r="H333" s="1"/>
  <c r="I334"/>
  <c r="H334" s="1"/>
  <c r="I335"/>
  <c r="H335" s="1"/>
  <c r="I336"/>
  <c r="H336" s="1"/>
  <c r="I337"/>
  <c r="H337" s="1"/>
  <c r="I338"/>
  <c r="H338" s="1"/>
  <c r="I339"/>
  <c r="H339" s="1"/>
  <c r="I340"/>
  <c r="H340" s="1"/>
  <c r="I341"/>
  <c r="H341" s="1"/>
  <c r="I342"/>
  <c r="H342" s="1"/>
  <c r="I343"/>
  <c r="H343" s="1"/>
  <c r="I344"/>
  <c r="H344" s="1"/>
  <c r="I345"/>
  <c r="H345" s="1"/>
  <c r="I346"/>
  <c r="H346" s="1"/>
  <c r="I347"/>
  <c r="H347" s="1"/>
  <c r="I348"/>
  <c r="H348" s="1"/>
  <c r="I349"/>
  <c r="H349" s="1"/>
  <c r="I350"/>
  <c r="H350" s="1"/>
  <c r="I351"/>
  <c r="H351" s="1"/>
  <c r="I352"/>
  <c r="H352" s="1"/>
  <c r="I353"/>
  <c r="H353" s="1"/>
  <c r="I354"/>
  <c r="H354" s="1"/>
  <c r="I355"/>
  <c r="H355" s="1"/>
  <c r="I356"/>
  <c r="H356" s="1"/>
  <c r="I357"/>
  <c r="H357" s="1"/>
  <c r="I358"/>
  <c r="H358" s="1"/>
  <c r="I359"/>
  <c r="H359" s="1"/>
  <c r="I360"/>
  <c r="H360" s="1"/>
  <c r="I361"/>
  <c r="H361" s="1"/>
  <c r="I362"/>
  <c r="H362" s="1"/>
  <c r="I363"/>
  <c r="H363" s="1"/>
  <c r="I364"/>
  <c r="H364" s="1"/>
  <c r="I365"/>
  <c r="H365" s="1"/>
  <c r="I366"/>
  <c r="H366" s="1"/>
  <c r="I367"/>
  <c r="H367" s="1"/>
  <c r="I368"/>
  <c r="H368" s="1"/>
  <c r="I369"/>
  <c r="H369" s="1"/>
  <c r="I370"/>
  <c r="H370" s="1"/>
  <c r="I371"/>
  <c r="H371" s="1"/>
  <c r="I372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324"/>
  <c r="H324" s="1"/>
  <c r="I372" i="4"/>
  <c r="H372" s="1"/>
  <c r="I373"/>
  <c r="H373" s="1"/>
  <c r="I374"/>
  <c r="H374" s="1"/>
  <c r="I375"/>
  <c r="H375" s="1"/>
  <c r="I376"/>
  <c r="H376" s="1"/>
  <c r="I377"/>
  <c r="H377" s="1"/>
  <c r="I378"/>
  <c r="H378" s="1"/>
  <c r="I379"/>
  <c r="H379" s="1"/>
  <c r="I380"/>
  <c r="H380" s="1"/>
  <c r="I381"/>
  <c r="H381" s="1"/>
  <c r="I382"/>
  <c r="H382" s="1"/>
  <c r="I383"/>
  <c r="H383" s="1"/>
  <c r="I384"/>
  <c r="H384" s="1"/>
  <c r="I385"/>
  <c r="H385" s="1"/>
  <c r="I386"/>
  <c r="H386" s="1"/>
  <c r="I387"/>
  <c r="H387" s="1"/>
  <c r="I388"/>
  <c r="H388" s="1"/>
  <c r="I389"/>
  <c r="H389" s="1"/>
  <c r="I390"/>
  <c r="H390" s="1"/>
  <c r="I391"/>
  <c r="H391" s="1"/>
  <c r="I392"/>
  <c r="H392" s="1"/>
  <c r="I393"/>
  <c r="H393" s="1"/>
  <c r="I394"/>
  <c r="H394" s="1"/>
  <c r="I395"/>
  <c r="H395" s="1"/>
  <c r="I396"/>
  <c r="H396" s="1"/>
  <c r="I397"/>
  <c r="H397" s="1"/>
  <c r="I398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371"/>
  <c r="H371" s="1"/>
  <c r="I398" i="2"/>
  <c r="H398" s="1"/>
  <c r="I399"/>
  <c r="H399" s="1"/>
  <c r="I400"/>
  <c r="H400" s="1"/>
  <c r="I401"/>
  <c r="H401" s="1"/>
  <c r="I402"/>
  <c r="H402" s="1"/>
  <c r="I403"/>
  <c r="H403" s="1"/>
  <c r="I404"/>
  <c r="H404" s="1"/>
  <c r="I405"/>
  <c r="H405" s="1"/>
  <c r="I406"/>
  <c r="H406" s="1"/>
  <c r="I407"/>
  <c r="H407" s="1"/>
  <c r="I408"/>
  <c r="H408" s="1"/>
  <c r="I409"/>
  <c r="H409" s="1"/>
  <c r="I410"/>
  <c r="H410" s="1"/>
  <c r="I411"/>
  <c r="H411" s="1"/>
  <c r="I412"/>
  <c r="H412" s="1"/>
  <c r="I413"/>
  <c r="H413" s="1"/>
  <c r="I414"/>
  <c r="H414" s="1"/>
  <c r="I415"/>
  <c r="H415" s="1"/>
  <c r="I416"/>
  <c r="H416" s="1"/>
  <c r="I417"/>
  <c r="H417" s="1"/>
  <c r="I418"/>
  <c r="H418" s="1"/>
  <c r="I419"/>
  <c r="H419" s="1"/>
  <c r="I420"/>
  <c r="H420" s="1"/>
  <c r="I421"/>
  <c r="H421" s="1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397"/>
  <c r="I541" i="8" l="1"/>
  <c r="K431" i="6"/>
  <c r="K445" i="4"/>
  <c r="H513" i="6"/>
  <c r="H395" i="8"/>
  <c r="I513" i="6"/>
  <c r="H524" i="4"/>
  <c r="I524"/>
  <c r="I566" i="2"/>
  <c r="H397"/>
  <c r="H566" s="1"/>
  <c r="I598" i="1"/>
  <c r="H598"/>
  <c r="I422"/>
  <c r="H422" s="1"/>
  <c r="I423"/>
  <c r="H423" s="1"/>
  <c r="I424"/>
  <c r="H424" s="1"/>
  <c r="I425"/>
  <c r="H425" s="1"/>
  <c r="I426"/>
  <c r="H426" s="1"/>
  <c r="I427"/>
  <c r="H427" s="1"/>
  <c r="I428"/>
  <c r="H428" s="1"/>
  <c r="I429"/>
  <c r="H429" s="1"/>
  <c r="I430"/>
  <c r="H430" s="1"/>
  <c r="I431"/>
  <c r="H431" s="1"/>
  <c r="I432"/>
  <c r="H432" s="1"/>
  <c r="I433"/>
  <c r="H433" s="1"/>
  <c r="I434"/>
  <c r="H434" s="1"/>
  <c r="I435"/>
  <c r="H435" s="1"/>
  <c r="I436"/>
  <c r="H436" s="1"/>
  <c r="I437"/>
  <c r="H437" s="1"/>
  <c r="I438"/>
  <c r="H438" s="1"/>
  <c r="I439"/>
  <c r="H439" s="1"/>
  <c r="I440"/>
  <c r="H440" s="1"/>
  <c r="I441"/>
  <c r="H441" s="1"/>
  <c r="I442"/>
  <c r="H442" s="1"/>
  <c r="I443"/>
  <c r="H443" s="1"/>
  <c r="I444"/>
  <c r="H444" s="1"/>
  <c r="I445"/>
  <c r="H445" s="1"/>
  <c r="I446"/>
  <c r="H446" s="1"/>
  <c r="I447"/>
  <c r="H447" s="1"/>
  <c r="I448"/>
  <c r="H448" s="1"/>
  <c r="I449"/>
  <c r="H449" s="1"/>
  <c r="I450"/>
  <c r="H450" s="1"/>
  <c r="I451"/>
  <c r="H451" s="1"/>
  <c r="I452"/>
  <c r="H452" s="1"/>
  <c r="I453"/>
  <c r="H453" s="1"/>
  <c r="I454"/>
  <c r="H454" s="1"/>
  <c r="I455"/>
  <c r="H455" s="1"/>
  <c r="I456"/>
  <c r="H456" s="1"/>
  <c r="I457"/>
  <c r="H457" s="1"/>
  <c r="I458"/>
  <c r="H458" s="1"/>
  <c r="I459"/>
  <c r="H459" s="1"/>
  <c r="I460"/>
  <c r="H460" s="1"/>
  <c r="I461"/>
  <c r="H461" s="1"/>
  <c r="I462"/>
  <c r="H462" s="1"/>
  <c r="I463"/>
  <c r="H463" s="1"/>
  <c r="I464"/>
  <c r="H464" s="1"/>
  <c r="I465"/>
  <c r="H465" s="1"/>
  <c r="I466"/>
  <c r="H466" s="1"/>
  <c r="I467"/>
  <c r="H467" s="1"/>
  <c r="I468"/>
  <c r="H468" s="1"/>
  <c r="I469"/>
  <c r="H469" s="1"/>
  <c r="I470"/>
  <c r="H470" s="1"/>
  <c r="I471"/>
  <c r="H471" s="1"/>
  <c r="I472"/>
  <c r="H472" s="1"/>
  <c r="I473"/>
  <c r="H473" s="1"/>
  <c r="I474"/>
  <c r="H474" s="1"/>
  <c r="I475"/>
  <c r="H475" s="1"/>
  <c r="I476"/>
  <c r="H476" s="1"/>
  <c r="I477"/>
  <c r="H477" s="1"/>
  <c r="I478"/>
  <c r="H478" s="1"/>
  <c r="I479"/>
  <c r="H479" s="1"/>
  <c r="I480"/>
  <c r="H480" s="1"/>
  <c r="I481"/>
  <c r="H481" s="1"/>
  <c r="I482"/>
  <c r="H482" s="1"/>
  <c r="I483"/>
  <c r="H483" s="1"/>
  <c r="I484"/>
  <c r="H484" s="1"/>
  <c r="I485"/>
  <c r="H485" s="1"/>
  <c r="I486"/>
  <c r="H486" s="1"/>
  <c r="I487"/>
  <c r="H487" s="1"/>
  <c r="I488"/>
  <c r="H488" s="1"/>
  <c r="I489"/>
  <c r="H489" s="1"/>
  <c r="I490"/>
  <c r="H490" s="1"/>
  <c r="I491"/>
  <c r="H491" s="1"/>
  <c r="I492"/>
  <c r="H492" s="1"/>
  <c r="I493"/>
  <c r="H493" s="1"/>
  <c r="I494"/>
  <c r="H494" s="1"/>
  <c r="I495"/>
  <c r="H495" s="1"/>
  <c r="I496"/>
  <c r="H496" s="1"/>
  <c r="I497"/>
  <c r="H497" s="1"/>
  <c r="I498"/>
  <c r="H498" s="1"/>
  <c r="I499"/>
  <c r="H499" s="1"/>
  <c r="I500"/>
  <c r="H500" s="1"/>
  <c r="I501"/>
  <c r="H501" s="1"/>
  <c r="I502"/>
  <c r="H502" s="1"/>
  <c r="I503"/>
  <c r="H503" s="1"/>
  <c r="I504"/>
  <c r="H504" s="1"/>
  <c r="I505"/>
  <c r="H505" s="1"/>
  <c r="I506"/>
  <c r="H506" s="1"/>
  <c r="I507"/>
  <c r="H507" s="1"/>
  <c r="I508"/>
  <c r="H508" s="1"/>
  <c r="I509"/>
  <c r="H509" s="1"/>
  <c r="I510"/>
  <c r="H510" s="1"/>
  <c r="I511"/>
  <c r="H511" s="1"/>
  <c r="I512"/>
  <c r="H512" s="1"/>
  <c r="I513"/>
  <c r="H513" s="1"/>
  <c r="I514"/>
  <c r="H514" s="1"/>
  <c r="I515"/>
  <c r="H515" s="1"/>
  <c r="I516"/>
  <c r="H516" s="1"/>
  <c r="I517"/>
  <c r="H517" s="1"/>
  <c r="I518"/>
  <c r="H518" s="1"/>
  <c r="I519"/>
  <c r="H519" s="1"/>
  <c r="I520"/>
  <c r="H520" s="1"/>
  <c r="I521"/>
  <c r="H521" s="1"/>
  <c r="I522"/>
  <c r="H522" s="1"/>
  <c r="I523"/>
  <c r="H523" s="1"/>
  <c r="I524"/>
  <c r="H524" s="1"/>
  <c r="I525"/>
  <c r="H525" s="1"/>
  <c r="I526"/>
  <c r="H526" s="1"/>
  <c r="I527"/>
  <c r="H527" s="1"/>
  <c r="I528"/>
  <c r="H528" s="1"/>
  <c r="I529"/>
  <c r="H529" s="1"/>
  <c r="I530"/>
  <c r="H530" s="1"/>
  <c r="I531"/>
  <c r="H531" s="1"/>
  <c r="I532"/>
  <c r="H532" s="1"/>
  <c r="I533"/>
  <c r="H533" s="1"/>
  <c r="I534"/>
  <c r="H534" s="1"/>
  <c r="I535"/>
  <c r="H535" s="1"/>
  <c r="I536"/>
  <c r="H536" s="1"/>
  <c r="I537"/>
  <c r="H537" s="1"/>
  <c r="I538"/>
  <c r="H538" s="1"/>
  <c r="I539"/>
  <c r="H539" s="1"/>
  <c r="I540"/>
  <c r="H540" s="1"/>
  <c r="I541"/>
  <c r="H541" s="1"/>
  <c r="I542"/>
  <c r="H542" s="1"/>
  <c r="I543"/>
  <c r="H543" s="1"/>
  <c r="I544"/>
  <c r="H544" s="1"/>
  <c r="I545"/>
  <c r="H545" s="1"/>
  <c r="I546"/>
  <c r="H546" s="1"/>
  <c r="I547"/>
  <c r="H547" s="1"/>
  <c r="I548"/>
  <c r="H548" s="1"/>
  <c r="I549"/>
  <c r="H549" s="1"/>
  <c r="I550"/>
  <c r="H550" s="1"/>
  <c r="I551"/>
  <c r="H551" s="1"/>
  <c r="I552"/>
  <c r="H552" s="1"/>
  <c r="I553"/>
  <c r="H553" s="1"/>
  <c r="I554"/>
  <c r="H554" s="1"/>
  <c r="I555"/>
  <c r="H555" s="1"/>
  <c r="I556"/>
  <c r="H556" s="1"/>
  <c r="I557"/>
  <c r="H557" s="1"/>
  <c r="I558"/>
  <c r="H558" s="1"/>
  <c r="I559"/>
  <c r="H559" s="1"/>
  <c r="I560"/>
  <c r="H560" s="1"/>
  <c r="I561"/>
  <c r="H561" s="1"/>
  <c r="I562"/>
  <c r="H562" s="1"/>
  <c r="I563"/>
  <c r="H563" s="1"/>
  <c r="I564"/>
  <c r="H564" s="1"/>
  <c r="I565"/>
  <c r="H565" s="1"/>
  <c r="I566"/>
  <c r="H566" s="1"/>
  <c r="I567"/>
  <c r="H567" s="1"/>
  <c r="I568"/>
  <c r="H568" s="1"/>
  <c r="I569"/>
  <c r="H569" s="1"/>
  <c r="I570"/>
  <c r="H570" s="1"/>
  <c r="I571"/>
  <c r="H571" s="1"/>
  <c r="I572"/>
  <c r="H572" s="1"/>
  <c r="I573"/>
  <c r="H573" s="1"/>
  <c r="I574"/>
  <c r="H574" s="1"/>
  <c r="I575"/>
  <c r="H575" s="1"/>
  <c r="I576"/>
  <c r="H576" s="1"/>
  <c r="I577"/>
  <c r="H577" s="1"/>
  <c r="I578"/>
  <c r="H578" s="1"/>
  <c r="I579"/>
  <c r="H579" s="1"/>
  <c r="I580"/>
  <c r="H580" s="1"/>
  <c r="I581"/>
  <c r="H581" s="1"/>
  <c r="I582"/>
  <c r="H582" s="1"/>
  <c r="I583"/>
  <c r="H583" s="1"/>
  <c r="I584"/>
  <c r="H584" s="1"/>
  <c r="I585"/>
  <c r="H585" s="1"/>
  <c r="I586"/>
  <c r="H586" s="1"/>
  <c r="I587"/>
  <c r="H587" s="1"/>
  <c r="I588"/>
  <c r="H588" s="1"/>
  <c r="I589"/>
  <c r="H589" s="1"/>
  <c r="I590"/>
  <c r="H590" s="1"/>
  <c r="I591"/>
  <c r="H591" s="1"/>
  <c r="I592"/>
  <c r="H592" s="1"/>
  <c r="I593"/>
  <c r="H593" s="1"/>
  <c r="I594"/>
  <c r="H594" s="1"/>
  <c r="I595"/>
  <c r="H595" s="1"/>
  <c r="I421"/>
  <c r="H541" i="8" l="1"/>
  <c r="I597" i="1"/>
  <c r="I599" s="1"/>
  <c r="H421"/>
  <c r="H597" s="1"/>
  <c r="H599" s="1"/>
  <c r="K180" i="10" l="1"/>
  <c r="K106"/>
  <c r="J106"/>
  <c r="I186"/>
  <c r="J180"/>
  <c r="I559" i="13"/>
  <c r="H559" s="1"/>
  <c r="I664"/>
  <c r="I300" i="5"/>
  <c r="K305" s="1"/>
  <c r="I282"/>
  <c r="K285" s="1"/>
  <c r="I292"/>
  <c r="I297"/>
  <c r="K297" s="1"/>
  <c r="I216" i="11"/>
  <c r="K223" s="1"/>
  <c r="I90"/>
  <c r="K276" i="13"/>
  <c r="K246"/>
  <c r="H186" i="10" l="1"/>
  <c r="J186" s="1"/>
  <c r="K186"/>
  <c r="K664" i="13"/>
  <c r="H664"/>
  <c r="J664" s="1"/>
  <c r="K96" i="11"/>
  <c r="I613"/>
  <c r="K559" i="13"/>
  <c r="I815"/>
  <c r="I716"/>
  <c r="J276"/>
  <c r="J559"/>
  <c r="H90" i="11"/>
  <c r="H216"/>
  <c r="J223" s="1"/>
  <c r="J246" i="13"/>
  <c r="I955" l="1"/>
  <c r="H613" i="11"/>
  <c r="I809"/>
  <c r="H815" i="13"/>
  <c r="H954" s="1"/>
  <c r="I954"/>
  <c r="K365" i="10"/>
  <c r="I367"/>
  <c r="J365"/>
  <c r="K95"/>
  <c r="I370" i="9"/>
  <c r="I418" s="1"/>
  <c r="H418" s="1"/>
  <c r="H369"/>
  <c r="H368"/>
  <c r="H367"/>
  <c r="K207" i="6"/>
  <c r="K170"/>
  <c r="H809" i="11" l="1"/>
  <c r="H367" i="10"/>
  <c r="I450"/>
  <c r="H450" s="1"/>
  <c r="J207" i="6"/>
  <c r="K370" i="9"/>
  <c r="J367" i="10"/>
  <c r="K367"/>
  <c r="J95"/>
  <c r="H370" i="9"/>
  <c r="J370" s="1"/>
  <c r="J170" i="6"/>
  <c r="K184" i="2"/>
  <c r="H184"/>
  <c r="H183"/>
  <c r="H182"/>
  <c r="H181"/>
  <c r="H535" i="9" l="1"/>
  <c r="I535"/>
  <c r="J184" i="2"/>
  <c r="H719" i="13"/>
  <c r="K176" i="1"/>
  <c r="J176"/>
  <c r="K154" i="2"/>
  <c r="K153"/>
  <c r="K366" i="9"/>
  <c r="H366"/>
  <c r="H365"/>
  <c r="H364"/>
  <c r="H363"/>
  <c r="H362"/>
  <c r="H361"/>
  <c r="H360"/>
  <c r="H359"/>
  <c r="I198" i="10"/>
  <c r="K145"/>
  <c r="K580" i="11"/>
  <c r="J580"/>
  <c r="K327"/>
  <c r="J327"/>
  <c r="K325"/>
  <c r="J325"/>
  <c r="K292"/>
  <c r="J292"/>
  <c r="K257"/>
  <c r="J257"/>
  <c r="K249"/>
  <c r="J249"/>
  <c r="K242"/>
  <c r="J242"/>
  <c r="K210"/>
  <c r="J210"/>
  <c r="J96"/>
  <c r="K89"/>
  <c r="J89"/>
  <c r="K176" i="13"/>
  <c r="J176"/>
  <c r="K179"/>
  <c r="J179"/>
  <c r="K321"/>
  <c r="J321"/>
  <c r="K315"/>
  <c r="J315"/>
  <c r="K569"/>
  <c r="J569"/>
  <c r="K591"/>
  <c r="J591"/>
  <c r="K585"/>
  <c r="J585"/>
  <c r="K582"/>
  <c r="J582"/>
  <c r="K579"/>
  <c r="J579"/>
  <c r="K615"/>
  <c r="J615"/>
  <c r="K625"/>
  <c r="J625"/>
  <c r="K629"/>
  <c r="J629"/>
  <c r="K639"/>
  <c r="J639"/>
  <c r="K654"/>
  <c r="J654"/>
  <c r="K671"/>
  <c r="J671"/>
  <c r="K700"/>
  <c r="J700"/>
  <c r="K705"/>
  <c r="J705"/>
  <c r="K696"/>
  <c r="J696"/>
  <c r="K687"/>
  <c r="J687"/>
  <c r="K680"/>
  <c r="J680"/>
  <c r="K660"/>
  <c r="J660"/>
  <c r="K651"/>
  <c r="J651"/>
  <c r="K647"/>
  <c r="J647"/>
  <c r="K643"/>
  <c r="J643"/>
  <c r="K633"/>
  <c r="J633"/>
  <c r="K610"/>
  <c r="J610"/>
  <c r="K595"/>
  <c r="J595"/>
  <c r="K577"/>
  <c r="J577"/>
  <c r="K573"/>
  <c r="J573"/>
  <c r="K564"/>
  <c r="K565"/>
  <c r="K563"/>
  <c r="J563"/>
  <c r="K712"/>
  <c r="J712"/>
  <c r="K554"/>
  <c r="J554"/>
  <c r="I436" i="10" l="1"/>
  <c r="H198"/>
  <c r="J200" s="1"/>
  <c r="K200"/>
  <c r="K374" s="1"/>
  <c r="I373"/>
  <c r="J18" i="13"/>
  <c r="J366" i="9"/>
  <c r="K308" i="13"/>
  <c r="K304"/>
  <c r="K295"/>
  <c r="K294"/>
  <c r="K271"/>
  <c r="J271"/>
  <c r="K268"/>
  <c r="J268"/>
  <c r="K249"/>
  <c r="K248"/>
  <c r="K247"/>
  <c r="J238"/>
  <c r="K238"/>
  <c r="K225"/>
  <c r="H717"/>
  <c r="H718"/>
  <c r="H721"/>
  <c r="J228"/>
  <c r="J247"/>
  <c r="J248"/>
  <c r="J249"/>
  <c r="J294"/>
  <c r="J295"/>
  <c r="J304"/>
  <c r="J308"/>
  <c r="H720"/>
  <c r="J564"/>
  <c r="J565"/>
  <c r="H7"/>
  <c r="K262" i="12"/>
  <c r="J262"/>
  <c r="K256"/>
  <c r="J256"/>
  <c r="K191"/>
  <c r="J191"/>
  <c r="K184"/>
  <c r="H184"/>
  <c r="H183"/>
  <c r="H182"/>
  <c r="H181"/>
  <c r="H180"/>
  <c r="H179"/>
  <c r="H165"/>
  <c r="I164"/>
  <c r="H163"/>
  <c r="H162"/>
  <c r="K300"/>
  <c r="H300"/>
  <c r="H299"/>
  <c r="H298"/>
  <c r="H297"/>
  <c r="K281"/>
  <c r="K274"/>
  <c r="K269"/>
  <c r="K260"/>
  <c r="H444"/>
  <c r="H443"/>
  <c r="H442"/>
  <c r="G169"/>
  <c r="H456"/>
  <c r="I455"/>
  <c r="I640" s="1"/>
  <c r="H270"/>
  <c r="H216"/>
  <c r="H294"/>
  <c r="H295"/>
  <c r="H382"/>
  <c r="H383"/>
  <c r="H338"/>
  <c r="H215"/>
  <c r="H384"/>
  <c r="H26"/>
  <c r="H214"/>
  <c r="H137"/>
  <c r="H385"/>
  <c r="H386"/>
  <c r="H82"/>
  <c r="H176"/>
  <c r="H138"/>
  <c r="H445"/>
  <c r="H387"/>
  <c r="H388"/>
  <c r="H389"/>
  <c r="H379"/>
  <c r="H390"/>
  <c r="H123"/>
  <c r="H380"/>
  <c r="H378"/>
  <c r="H391"/>
  <c r="H392"/>
  <c r="H393"/>
  <c r="H394"/>
  <c r="H395"/>
  <c r="H396"/>
  <c r="H397"/>
  <c r="H398"/>
  <c r="H399"/>
  <c r="H400"/>
  <c r="H401"/>
  <c r="H374"/>
  <c r="H28"/>
  <c r="H402"/>
  <c r="H177"/>
  <c r="H375"/>
  <c r="H403"/>
  <c r="H32"/>
  <c r="H80"/>
  <c r="H404"/>
  <c r="H405"/>
  <c r="H70"/>
  <c r="H30"/>
  <c r="H446"/>
  <c r="H339"/>
  <c r="H406"/>
  <c r="H27"/>
  <c r="H132"/>
  <c r="H342"/>
  <c r="H407"/>
  <c r="H408"/>
  <c r="H409"/>
  <c r="H410"/>
  <c r="H411"/>
  <c r="H412"/>
  <c r="H413"/>
  <c r="H178"/>
  <c r="H72"/>
  <c r="H414"/>
  <c r="H447"/>
  <c r="H81"/>
  <c r="H415"/>
  <c r="H416"/>
  <c r="H417"/>
  <c r="H418"/>
  <c r="H29"/>
  <c r="H31"/>
  <c r="H282"/>
  <c r="H68"/>
  <c r="H419"/>
  <c r="H420"/>
  <c r="H376"/>
  <c r="H67"/>
  <c r="H66"/>
  <c r="H421"/>
  <c r="H422"/>
  <c r="H71"/>
  <c r="H423"/>
  <c r="H424"/>
  <c r="H425"/>
  <c r="H426"/>
  <c r="H427"/>
  <c r="H428"/>
  <c r="H429"/>
  <c r="H273"/>
  <c r="H131"/>
  <c r="H269"/>
  <c r="H122"/>
  <c r="H260"/>
  <c r="H430"/>
  <c r="H281"/>
  <c r="H431"/>
  <c r="H432"/>
  <c r="H433"/>
  <c r="H434"/>
  <c r="H435"/>
  <c r="H436"/>
  <c r="H437"/>
  <c r="H377"/>
  <c r="H69"/>
  <c r="H274"/>
  <c r="H24"/>
  <c r="H25"/>
  <c r="H93"/>
  <c r="H98"/>
  <c r="H99"/>
  <c r="H135"/>
  <c r="H280"/>
  <c r="H161"/>
  <c r="H79"/>
  <c r="H234"/>
  <c r="H355"/>
  <c r="H100"/>
  <c r="H97"/>
  <c r="H208"/>
  <c r="H101"/>
  <c r="H192"/>
  <c r="H102"/>
  <c r="H267"/>
  <c r="H103"/>
  <c r="H104"/>
  <c r="H105"/>
  <c r="H307"/>
  <c r="H438"/>
  <c r="H439"/>
  <c r="H457"/>
  <c r="H65"/>
  <c r="H268"/>
  <c r="H356"/>
  <c r="H353"/>
  <c r="H106"/>
  <c r="H107"/>
  <c r="H108"/>
  <c r="H317"/>
  <c r="H109"/>
  <c r="H110"/>
  <c r="H275"/>
  <c r="H76"/>
  <c r="H111"/>
  <c r="H112"/>
  <c r="H301"/>
  <c r="H370"/>
  <c r="H371"/>
  <c r="H209"/>
  <c r="H316"/>
  <c r="H440"/>
  <c r="H441"/>
  <c r="H118"/>
  <c r="H381"/>
  <c r="H113"/>
  <c r="H114"/>
  <c r="H115"/>
  <c r="H116"/>
  <c r="H117"/>
  <c r="H94"/>
  <c r="H241"/>
  <c r="H240"/>
  <c r="H95"/>
  <c r="H96"/>
  <c r="H242"/>
  <c r="H243"/>
  <c r="H244"/>
  <c r="H245"/>
  <c r="H246"/>
  <c r="H325"/>
  <c r="H127"/>
  <c r="H40"/>
  <c r="H451"/>
  <c r="H218"/>
  <c r="H219"/>
  <c r="H232"/>
  <c r="H239"/>
  <c r="H249"/>
  <c r="H33"/>
  <c r="H41"/>
  <c r="H42"/>
  <c r="H143"/>
  <c r="H364"/>
  <c r="H220"/>
  <c r="H221"/>
  <c r="H250"/>
  <c r="H263"/>
  <c r="H266"/>
  <c r="H43"/>
  <c r="H144"/>
  <c r="H168"/>
  <c r="H349"/>
  <c r="H450"/>
  <c r="H186"/>
  <c r="H195"/>
  <c r="H22"/>
  <c r="H44"/>
  <c r="H63"/>
  <c r="H145"/>
  <c r="H343"/>
  <c r="H12"/>
  <c r="H19"/>
  <c r="H45"/>
  <c r="H59"/>
  <c r="H77"/>
  <c r="H119"/>
  <c r="H146"/>
  <c r="H334"/>
  <c r="H292"/>
  <c r="H305"/>
  <c r="H17"/>
  <c r="H10"/>
  <c r="H13"/>
  <c r="H15"/>
  <c r="H34"/>
  <c r="H46"/>
  <c r="H60"/>
  <c r="H120"/>
  <c r="H136"/>
  <c r="H147"/>
  <c r="H166"/>
  <c r="H336"/>
  <c r="H368"/>
  <c r="H452"/>
  <c r="H217"/>
  <c r="H222"/>
  <c r="H248"/>
  <c r="H258"/>
  <c r="H47"/>
  <c r="H148"/>
  <c r="H187"/>
  <c r="H365"/>
  <c r="H11"/>
  <c r="H20"/>
  <c r="H48"/>
  <c r="H62"/>
  <c r="H149"/>
  <c r="H448"/>
  <c r="H35"/>
  <c r="H49"/>
  <c r="H86"/>
  <c r="H150"/>
  <c r="H366"/>
  <c r="H354"/>
  <c r="H206"/>
  <c r="H139"/>
  <c r="H167"/>
  <c r="H326"/>
  <c r="H449"/>
  <c r="H198"/>
  <c r="H199"/>
  <c r="H200"/>
  <c r="H327"/>
  <c r="H318"/>
  <c r="H90"/>
  <c r="H319"/>
  <c r="H185"/>
  <c r="H328"/>
  <c r="H329"/>
  <c r="H330"/>
  <c r="H331"/>
  <c r="H211"/>
  <c r="H223"/>
  <c r="H224"/>
  <c r="H229"/>
  <c r="H230"/>
  <c r="H231"/>
  <c r="H233"/>
  <c r="H237"/>
  <c r="H247"/>
  <c r="H251"/>
  <c r="H257"/>
  <c r="H265"/>
  <c r="H272"/>
  <c r="H276"/>
  <c r="H277"/>
  <c r="H23"/>
  <c r="H36"/>
  <c r="H50"/>
  <c r="H87"/>
  <c r="H151"/>
  <c r="H152"/>
  <c r="H210"/>
  <c r="H212"/>
  <c r="H225"/>
  <c r="H226"/>
  <c r="H252"/>
  <c r="H259"/>
  <c r="H264"/>
  <c r="H278"/>
  <c r="H283"/>
  <c r="H290"/>
  <c r="H293"/>
  <c r="H37"/>
  <c r="H51"/>
  <c r="H52"/>
  <c r="H88"/>
  <c r="H196"/>
  <c r="H16"/>
  <c r="H53"/>
  <c r="H54"/>
  <c r="H61"/>
  <c r="H362"/>
  <c r="H55"/>
  <c r="H153"/>
  <c r="H188"/>
  <c r="H357"/>
  <c r="H344"/>
  <c r="H133"/>
  <c r="H158"/>
  <c r="H121"/>
  <c r="H18"/>
  <c r="H341"/>
  <c r="H124"/>
  <c r="H372"/>
  <c r="H309"/>
  <c r="H310"/>
  <c r="H296"/>
  <c r="H134"/>
  <c r="H306"/>
  <c r="H154"/>
  <c r="H169"/>
  <c r="H197"/>
  <c r="H205"/>
  <c r="H303"/>
  <c r="H304"/>
  <c r="H315"/>
  <c r="H337"/>
  <c r="H358"/>
  <c r="H363"/>
  <c r="H369"/>
  <c r="H14"/>
  <c r="H21"/>
  <c r="H38"/>
  <c r="H155"/>
  <c r="H171"/>
  <c r="H56"/>
  <c r="H75"/>
  <c r="H89"/>
  <c r="H156"/>
  <c r="H213"/>
  <c r="H227"/>
  <c r="H228"/>
  <c r="H235"/>
  <c r="H238"/>
  <c r="H253"/>
  <c r="H279"/>
  <c r="H291"/>
  <c r="H57"/>
  <c r="H142"/>
  <c r="H189"/>
  <c r="H367"/>
  <c r="H58"/>
  <c r="H83"/>
  <c r="H157"/>
  <c r="H128"/>
  <c r="H140"/>
  <c r="H141"/>
  <c r="H129"/>
  <c r="H130"/>
  <c r="H78"/>
  <c r="H91"/>
  <c r="H350"/>
  <c r="H345"/>
  <c r="H320"/>
  <c r="H360"/>
  <c r="H207"/>
  <c r="H351"/>
  <c r="H302"/>
  <c r="H203"/>
  <c r="H313"/>
  <c r="H346"/>
  <c r="H321"/>
  <c r="H92"/>
  <c r="H347"/>
  <c r="H322"/>
  <c r="H314"/>
  <c r="H361"/>
  <c r="H84"/>
  <c r="H359"/>
  <c r="H73"/>
  <c r="H288"/>
  <c r="H174"/>
  <c r="H348"/>
  <c r="H9"/>
  <c r="H172"/>
  <c r="H332"/>
  <c r="H323"/>
  <c r="H284"/>
  <c r="H352"/>
  <c r="H201"/>
  <c r="H7"/>
  <c r="H236"/>
  <c r="H285"/>
  <c r="H160"/>
  <c r="H125"/>
  <c r="H202"/>
  <c r="H170"/>
  <c r="H74"/>
  <c r="H373"/>
  <c r="H159"/>
  <c r="H311"/>
  <c r="H193"/>
  <c r="H286"/>
  <c r="H204"/>
  <c r="H335"/>
  <c r="H85"/>
  <c r="H333"/>
  <c r="H173"/>
  <c r="H289"/>
  <c r="H312"/>
  <c r="H175"/>
  <c r="H324"/>
  <c r="H8"/>
  <c r="H194"/>
  <c r="H308"/>
  <c r="H287"/>
  <c r="H126"/>
  <c r="H39"/>
  <c r="H340"/>
  <c r="H271"/>
  <c r="K583" i="11"/>
  <c r="H583"/>
  <c r="H582"/>
  <c r="I530" i="10" l="1"/>
  <c r="H436"/>
  <c r="I529"/>
  <c r="H164" i="12"/>
  <c r="I558"/>
  <c r="H716" i="13"/>
  <c r="H955" s="1"/>
  <c r="J583" i="11"/>
  <c r="J225" i="13"/>
  <c r="I717"/>
  <c r="J184" i="12"/>
  <c r="K165"/>
  <c r="J165"/>
  <c r="J274"/>
  <c r="J260"/>
  <c r="J281"/>
  <c r="J269"/>
  <c r="J300"/>
  <c r="H455"/>
  <c r="H640" s="1"/>
  <c r="I456"/>
  <c r="K318" i="11"/>
  <c r="K317"/>
  <c r="K306"/>
  <c r="K295"/>
  <c r="K281"/>
  <c r="K282"/>
  <c r="K280"/>
  <c r="K275"/>
  <c r="K274"/>
  <c r="K273"/>
  <c r="K268"/>
  <c r="K229"/>
  <c r="H229"/>
  <c r="J229" s="1"/>
  <c r="H230"/>
  <c r="H529" i="10" l="1"/>
  <c r="H558" i="12"/>
  <c r="H639" s="1"/>
  <c r="I639"/>
  <c r="H102" i="11"/>
  <c r="H103"/>
  <c r="H104"/>
  <c r="K360" i="10"/>
  <c r="K356"/>
  <c r="K352"/>
  <c r="K348"/>
  <c r="K345"/>
  <c r="K342"/>
  <c r="K338"/>
  <c r="K334"/>
  <c r="K329"/>
  <c r="K325"/>
  <c r="K321"/>
  <c r="K318"/>
  <c r="K313"/>
  <c r="K307"/>
  <c r="K189"/>
  <c r="K172"/>
  <c r="K166"/>
  <c r="K165"/>
  <c r="K164"/>
  <c r="K168"/>
  <c r="K162"/>
  <c r="K163"/>
  <c r="K161"/>
  <c r="K144"/>
  <c r="K50"/>
  <c r="K11"/>
  <c r="H589" i="11"/>
  <c r="I588"/>
  <c r="H8"/>
  <c r="H9"/>
  <c r="H10"/>
  <c r="H11"/>
  <c r="H59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97"/>
  <c r="H98"/>
  <c r="H99"/>
  <c r="H100"/>
  <c r="H101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11"/>
  <c r="H212"/>
  <c r="H213"/>
  <c r="H214"/>
  <c r="H215"/>
  <c r="H224"/>
  <c r="H225"/>
  <c r="H226"/>
  <c r="H227"/>
  <c r="H228"/>
  <c r="H231"/>
  <c r="H232"/>
  <c r="H233"/>
  <c r="H234"/>
  <c r="H235"/>
  <c r="H236"/>
  <c r="H237"/>
  <c r="H238"/>
  <c r="H239"/>
  <c r="H240"/>
  <c r="H243"/>
  <c r="H244"/>
  <c r="H245"/>
  <c r="H246"/>
  <c r="H247"/>
  <c r="H250"/>
  <c r="H251"/>
  <c r="H252"/>
  <c r="H253"/>
  <c r="H258"/>
  <c r="H259"/>
  <c r="H260"/>
  <c r="H261"/>
  <c r="H262"/>
  <c r="H263"/>
  <c r="H264"/>
  <c r="H265"/>
  <c r="H266"/>
  <c r="H267"/>
  <c r="H268"/>
  <c r="J268" s="1"/>
  <c r="H269"/>
  <c r="H270"/>
  <c r="H271"/>
  <c r="H272"/>
  <c r="H273"/>
  <c r="J273" s="1"/>
  <c r="H274"/>
  <c r="J274" s="1"/>
  <c r="H275"/>
  <c r="J275" s="1"/>
  <c r="H276"/>
  <c r="H277"/>
  <c r="H278"/>
  <c r="H279"/>
  <c r="H280"/>
  <c r="J280" s="1"/>
  <c r="H281"/>
  <c r="J281" s="1"/>
  <c r="H282"/>
  <c r="J282" s="1"/>
  <c r="H283"/>
  <c r="H284"/>
  <c r="H285"/>
  <c r="H286"/>
  <c r="H287"/>
  <c r="H293"/>
  <c r="H294"/>
  <c r="H295"/>
  <c r="J295" s="1"/>
  <c r="H296"/>
  <c r="H297"/>
  <c r="H298"/>
  <c r="H299"/>
  <c r="H300"/>
  <c r="H301"/>
  <c r="H302"/>
  <c r="H303"/>
  <c r="H304"/>
  <c r="H305"/>
  <c r="H306"/>
  <c r="J306" s="1"/>
  <c r="H307"/>
  <c r="H308"/>
  <c r="H590"/>
  <c r="H309"/>
  <c r="H310"/>
  <c r="H311"/>
  <c r="H312"/>
  <c r="H313"/>
  <c r="H314"/>
  <c r="H315"/>
  <c r="H316"/>
  <c r="H317"/>
  <c r="J317" s="1"/>
  <c r="H318"/>
  <c r="J318" s="1"/>
  <c r="H319"/>
  <c r="H320"/>
  <c r="H321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81"/>
  <c r="H584"/>
  <c r="H585"/>
  <c r="H7"/>
  <c r="I589" l="1"/>
  <c r="I810"/>
  <c r="J356" i="10"/>
  <c r="H588" i="11"/>
  <c r="H810" s="1"/>
  <c r="J360" i="10"/>
  <c r="J352"/>
  <c r="J345"/>
  <c r="J348"/>
  <c r="J342"/>
  <c r="J338"/>
  <c r="J334"/>
  <c r="J329"/>
  <c r="J325"/>
  <c r="J321"/>
  <c r="J318"/>
  <c r="J307"/>
  <c r="J313"/>
  <c r="J189"/>
  <c r="J172"/>
  <c r="J50"/>
  <c r="J145"/>
  <c r="H7"/>
  <c r="H374"/>
  <c r="K218" i="9"/>
  <c r="K190"/>
  <c r="K191"/>
  <c r="K186"/>
  <c r="H186"/>
  <c r="H185"/>
  <c r="H184"/>
  <c r="K182"/>
  <c r="K181"/>
  <c r="J186" l="1"/>
  <c r="I374" i="10"/>
  <c r="H375" i="9"/>
  <c r="I374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376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J181" s="1"/>
  <c r="H182"/>
  <c r="J182" s="1"/>
  <c r="H183"/>
  <c r="H187"/>
  <c r="H188"/>
  <c r="H189"/>
  <c r="H190"/>
  <c r="J190" s="1"/>
  <c r="H191"/>
  <c r="J191" s="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J218" s="1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J367"/>
  <c r="H371"/>
  <c r="H7"/>
  <c r="K222" i="8"/>
  <c r="K192"/>
  <c r="K171"/>
  <c r="K161"/>
  <c r="I385"/>
  <c r="I388" s="1"/>
  <c r="H386"/>
  <c r="J192"/>
  <c r="J222"/>
  <c r="H7"/>
  <c r="H385" s="1"/>
  <c r="H542" s="1"/>
  <c r="K129" i="7"/>
  <c r="J129"/>
  <c r="K211"/>
  <c r="J211"/>
  <c r="K210"/>
  <c r="J210"/>
  <c r="K209"/>
  <c r="J209"/>
  <c r="K208"/>
  <c r="J208"/>
  <c r="K207"/>
  <c r="J207"/>
  <c r="K206"/>
  <c r="J206"/>
  <c r="K148"/>
  <c r="J148"/>
  <c r="K147"/>
  <c r="J147"/>
  <c r="K146"/>
  <c r="J146"/>
  <c r="I536" i="9" l="1"/>
  <c r="I377"/>
  <c r="I386" i="8"/>
  <c r="I542"/>
  <c r="J171"/>
  <c r="H373" i="10"/>
  <c r="H530" s="1"/>
  <c r="H374" i="9"/>
  <c r="H536" s="1"/>
  <c r="I375"/>
  <c r="J161" i="8"/>
  <c r="I329" i="7"/>
  <c r="H329"/>
  <c r="I328"/>
  <c r="H32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7"/>
  <c r="K200" i="6"/>
  <c r="K199"/>
  <c r="K198"/>
  <c r="K196"/>
  <c r="K186"/>
  <c r="H357"/>
  <c r="I356"/>
  <c r="I360" s="1"/>
  <c r="J186"/>
  <c r="J196"/>
  <c r="J198"/>
  <c r="J199"/>
  <c r="J200"/>
  <c r="H358"/>
  <c r="H359"/>
  <c r="H7"/>
  <c r="K208" i="5"/>
  <c r="H208"/>
  <c r="H207"/>
  <c r="H211"/>
  <c r="I210"/>
  <c r="K211" s="1"/>
  <c r="H209"/>
  <c r="K203"/>
  <c r="H203"/>
  <c r="H202"/>
  <c r="H151"/>
  <c r="I150"/>
  <c r="H150" s="1"/>
  <c r="H149"/>
  <c r="H148"/>
  <c r="H147"/>
  <c r="H146"/>
  <c r="I145"/>
  <c r="H144"/>
  <c r="H143"/>
  <c r="K141"/>
  <c r="K140"/>
  <c r="H139"/>
  <c r="H138"/>
  <c r="H137"/>
  <c r="H136"/>
  <c r="H135"/>
  <c r="I134"/>
  <c r="K139" s="1"/>
  <c r="H133"/>
  <c r="K123"/>
  <c r="K117"/>
  <c r="K118"/>
  <c r="K33"/>
  <c r="H33"/>
  <c r="H32"/>
  <c r="H31"/>
  <c r="H30"/>
  <c r="H29"/>
  <c r="H28"/>
  <c r="H27"/>
  <c r="H26"/>
  <c r="I25"/>
  <c r="H24"/>
  <c r="I23"/>
  <c r="H22"/>
  <c r="H300"/>
  <c r="H301"/>
  <c r="H302"/>
  <c r="H303"/>
  <c r="H304"/>
  <c r="H305"/>
  <c r="I299"/>
  <c r="H299" s="1"/>
  <c r="H298"/>
  <c r="H297"/>
  <c r="H296"/>
  <c r="H295"/>
  <c r="H294"/>
  <c r="H293"/>
  <c r="H292"/>
  <c r="H291"/>
  <c r="H290"/>
  <c r="H289"/>
  <c r="H288"/>
  <c r="H287"/>
  <c r="I286"/>
  <c r="K289" s="1"/>
  <c r="H285"/>
  <c r="H284"/>
  <c r="H283"/>
  <c r="H281"/>
  <c r="H280"/>
  <c r="H279"/>
  <c r="H278"/>
  <c r="H277"/>
  <c r="H276"/>
  <c r="H275"/>
  <c r="H274"/>
  <c r="H273"/>
  <c r="I272"/>
  <c r="K275" s="1"/>
  <c r="H271"/>
  <c r="H270"/>
  <c r="K269"/>
  <c r="H269"/>
  <c r="H268"/>
  <c r="H267"/>
  <c r="H266"/>
  <c r="H265"/>
  <c r="H264"/>
  <c r="I263"/>
  <c r="H263" s="1"/>
  <c r="H262"/>
  <c r="K261"/>
  <c r="H261"/>
  <c r="H260"/>
  <c r="H259"/>
  <c r="H258"/>
  <c r="I257"/>
  <c r="H257" s="1"/>
  <c r="H256"/>
  <c r="H255"/>
  <c r="H254"/>
  <c r="H253"/>
  <c r="I252"/>
  <c r="H252" s="1"/>
  <c r="H251"/>
  <c r="H23" l="1"/>
  <c r="I404"/>
  <c r="H404" s="1"/>
  <c r="K151"/>
  <c r="H25"/>
  <c r="I332"/>
  <c r="K146"/>
  <c r="I384"/>
  <c r="H384" s="1"/>
  <c r="I357" i="6"/>
  <c r="I514"/>
  <c r="J208" i="5"/>
  <c r="H356" i="6"/>
  <c r="H514" s="1"/>
  <c r="J203" i="5"/>
  <c r="H210"/>
  <c r="J211" s="1"/>
  <c r="H145"/>
  <c r="J146" s="1"/>
  <c r="J151"/>
  <c r="H134"/>
  <c r="J139" s="1"/>
  <c r="J33"/>
  <c r="J27"/>
  <c r="J305"/>
  <c r="K27"/>
  <c r="J297"/>
  <c r="J299"/>
  <c r="K293"/>
  <c r="H286"/>
  <c r="J289" s="1"/>
  <c r="K299"/>
  <c r="J293"/>
  <c r="H272"/>
  <c r="J275" s="1"/>
  <c r="J261"/>
  <c r="H282"/>
  <c r="J285" s="1"/>
  <c r="J269"/>
  <c r="J265"/>
  <c r="K265"/>
  <c r="J259"/>
  <c r="K259"/>
  <c r="J254"/>
  <c r="K254"/>
  <c r="H314"/>
  <c r="I313"/>
  <c r="H8"/>
  <c r="H9"/>
  <c r="H10"/>
  <c r="H11"/>
  <c r="H12"/>
  <c r="H13"/>
  <c r="H14"/>
  <c r="H15"/>
  <c r="H16"/>
  <c r="H17"/>
  <c r="H18"/>
  <c r="H19"/>
  <c r="H20"/>
  <c r="H21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315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J117" s="1"/>
  <c r="H118"/>
  <c r="J118" s="1"/>
  <c r="H119"/>
  <c r="H120"/>
  <c r="H121"/>
  <c r="H122"/>
  <c r="H123"/>
  <c r="J123" s="1"/>
  <c r="H124"/>
  <c r="H125"/>
  <c r="H126"/>
  <c r="H127"/>
  <c r="H128"/>
  <c r="H129"/>
  <c r="H130"/>
  <c r="H131"/>
  <c r="H132"/>
  <c r="H140"/>
  <c r="J140" s="1"/>
  <c r="H141"/>
  <c r="J141" s="1"/>
  <c r="H142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4"/>
  <c r="H205"/>
  <c r="H206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306"/>
  <c r="H307"/>
  <c r="H308"/>
  <c r="H309"/>
  <c r="H310"/>
  <c r="H7"/>
  <c r="K135" i="4"/>
  <c r="K154"/>
  <c r="K350"/>
  <c r="J350"/>
  <c r="K348"/>
  <c r="J348"/>
  <c r="K344"/>
  <c r="J344"/>
  <c r="K341"/>
  <c r="J341"/>
  <c r="K337"/>
  <c r="J337"/>
  <c r="K332"/>
  <c r="J332"/>
  <c r="K328"/>
  <c r="J328"/>
  <c r="K325"/>
  <c r="J325"/>
  <c r="K321"/>
  <c r="J321"/>
  <c r="K316"/>
  <c r="J316"/>
  <c r="K313"/>
  <c r="J313"/>
  <c r="K310"/>
  <c r="J310"/>
  <c r="K304"/>
  <c r="J304"/>
  <c r="K300"/>
  <c r="J300"/>
  <c r="K295"/>
  <c r="J295"/>
  <c r="K291"/>
  <c r="J291"/>
  <c r="K288"/>
  <c r="J288"/>
  <c r="K284"/>
  <c r="J284"/>
  <c r="K278"/>
  <c r="J278"/>
  <c r="I475" i="5" l="1"/>
  <c r="I316"/>
  <c r="H332"/>
  <c r="I474"/>
  <c r="K313"/>
  <c r="I314"/>
  <c r="H313"/>
  <c r="H475" s="1"/>
  <c r="H358" i="4"/>
  <c r="I357"/>
  <c r="H8"/>
  <c r="H35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360"/>
  <c r="H36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J135" s="1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J154" s="1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9"/>
  <c r="H345"/>
  <c r="H351"/>
  <c r="H352"/>
  <c r="H353"/>
  <c r="H354"/>
  <c r="H7"/>
  <c r="K175" i="2"/>
  <c r="K174"/>
  <c r="K173"/>
  <c r="K172"/>
  <c r="K171"/>
  <c r="K170"/>
  <c r="K179"/>
  <c r="H179"/>
  <c r="H178"/>
  <c r="H177"/>
  <c r="H176"/>
  <c r="K376"/>
  <c r="H376"/>
  <c r="H375"/>
  <c r="H374"/>
  <c r="H373"/>
  <c r="K372"/>
  <c r="H372"/>
  <c r="H371"/>
  <c r="H370"/>
  <c r="K369"/>
  <c r="H369"/>
  <c r="H368"/>
  <c r="H367"/>
  <c r="H366"/>
  <c r="K365"/>
  <c r="H365"/>
  <c r="H364"/>
  <c r="H363"/>
  <c r="K362"/>
  <c r="H362"/>
  <c r="H361"/>
  <c r="H360"/>
  <c r="H359"/>
  <c r="K358"/>
  <c r="H358"/>
  <c r="H357"/>
  <c r="H356"/>
  <c r="H355"/>
  <c r="K354"/>
  <c r="H354"/>
  <c r="H353"/>
  <c r="H352"/>
  <c r="H351"/>
  <c r="K350"/>
  <c r="H350"/>
  <c r="H349"/>
  <c r="H348"/>
  <c r="H347"/>
  <c r="H346"/>
  <c r="K345"/>
  <c r="H345"/>
  <c r="H344"/>
  <c r="H343"/>
  <c r="H342"/>
  <c r="K341"/>
  <c r="H341"/>
  <c r="H340"/>
  <c r="H339"/>
  <c r="H338"/>
  <c r="K337"/>
  <c r="H337"/>
  <c r="H336"/>
  <c r="H335"/>
  <c r="H334"/>
  <c r="H333"/>
  <c r="K332"/>
  <c r="H332"/>
  <c r="H331"/>
  <c r="H330"/>
  <c r="H329"/>
  <c r="H328"/>
  <c r="K327"/>
  <c r="H327"/>
  <c r="H326"/>
  <c r="H325"/>
  <c r="H324"/>
  <c r="H323"/>
  <c r="K322"/>
  <c r="H322"/>
  <c r="H321"/>
  <c r="H320"/>
  <c r="H319"/>
  <c r="H318"/>
  <c r="K317"/>
  <c r="H317"/>
  <c r="H316"/>
  <c r="H315"/>
  <c r="H314"/>
  <c r="K313"/>
  <c r="H313"/>
  <c r="H312"/>
  <c r="H311"/>
  <c r="H310"/>
  <c r="K309"/>
  <c r="H309"/>
  <c r="H308"/>
  <c r="H307"/>
  <c r="H306"/>
  <c r="H305"/>
  <c r="H304"/>
  <c r="K303"/>
  <c r="H303"/>
  <c r="H302"/>
  <c r="H301"/>
  <c r="H300"/>
  <c r="K152"/>
  <c r="K151"/>
  <c r="H151"/>
  <c r="H150"/>
  <c r="H149"/>
  <c r="H148"/>
  <c r="K47"/>
  <c r="H47"/>
  <c r="H46"/>
  <c r="H45"/>
  <c r="H44"/>
  <c r="H43"/>
  <c r="H42"/>
  <c r="H41"/>
  <c r="H40"/>
  <c r="H39"/>
  <c r="H38"/>
  <c r="K37"/>
  <c r="H37"/>
  <c r="H36"/>
  <c r="H35"/>
  <c r="H34"/>
  <c r="H33"/>
  <c r="H32"/>
  <c r="K31"/>
  <c r="H31"/>
  <c r="H30"/>
  <c r="H29"/>
  <c r="H28"/>
  <c r="H27"/>
  <c r="H26"/>
  <c r="K25"/>
  <c r="H25"/>
  <c r="H24"/>
  <c r="H23"/>
  <c r="H22"/>
  <c r="H21"/>
  <c r="H192"/>
  <c r="H69"/>
  <c r="H214"/>
  <c r="H143"/>
  <c r="H111"/>
  <c r="H117"/>
  <c r="H119"/>
  <c r="H94"/>
  <c r="H108"/>
  <c r="H225"/>
  <c r="H105"/>
  <c r="H298"/>
  <c r="H299"/>
  <c r="H106"/>
  <c r="H121"/>
  <c r="H122"/>
  <c r="H123"/>
  <c r="H124"/>
  <c r="H189"/>
  <c r="H118"/>
  <c r="H230"/>
  <c r="H145"/>
  <c r="H97"/>
  <c r="H246"/>
  <c r="H107"/>
  <c r="H8"/>
  <c r="H134"/>
  <c r="H98"/>
  <c r="H99"/>
  <c r="H226"/>
  <c r="H17"/>
  <c r="H240"/>
  <c r="H238"/>
  <c r="H197"/>
  <c r="H49"/>
  <c r="H242"/>
  <c r="H50"/>
  <c r="H193"/>
  <c r="H194"/>
  <c r="H86"/>
  <c r="H195"/>
  <c r="H190"/>
  <c r="H191"/>
  <c r="H243"/>
  <c r="H130"/>
  <c r="H219"/>
  <c r="H220"/>
  <c r="H198"/>
  <c r="H162"/>
  <c r="H199"/>
  <c r="H11"/>
  <c r="H204"/>
  <c r="H213"/>
  <c r="H237"/>
  <c r="H109"/>
  <c r="H222"/>
  <c r="H241"/>
  <c r="H96"/>
  <c r="H110"/>
  <c r="H87"/>
  <c r="H221"/>
  <c r="H10"/>
  <c r="H257"/>
  <c r="H170"/>
  <c r="J170" s="1"/>
  <c r="H258"/>
  <c r="H252"/>
  <c r="H259"/>
  <c r="H260"/>
  <c r="H9"/>
  <c r="H255"/>
  <c r="H261"/>
  <c r="H262"/>
  <c r="H263"/>
  <c r="H171"/>
  <c r="J171" s="1"/>
  <c r="H172"/>
  <c r="J172" s="1"/>
  <c r="H180"/>
  <c r="H264"/>
  <c r="H265"/>
  <c r="H266"/>
  <c r="H267"/>
  <c r="H173"/>
  <c r="J173" s="1"/>
  <c r="H268"/>
  <c r="H95"/>
  <c r="H269"/>
  <c r="H92"/>
  <c r="H251"/>
  <c r="H270"/>
  <c r="H271"/>
  <c r="H272"/>
  <c r="H378"/>
  <c r="H223"/>
  <c r="H174"/>
  <c r="J174" s="1"/>
  <c r="H239"/>
  <c r="H273"/>
  <c r="H52"/>
  <c r="H274"/>
  <c r="H275"/>
  <c r="H253"/>
  <c r="H152"/>
  <c r="J152" s="1"/>
  <c r="H256"/>
  <c r="H276"/>
  <c r="H277"/>
  <c r="H88"/>
  <c r="H278"/>
  <c r="H279"/>
  <c r="H280"/>
  <c r="H281"/>
  <c r="H282"/>
  <c r="H283"/>
  <c r="H284"/>
  <c r="H285"/>
  <c r="H153"/>
  <c r="J153" s="1"/>
  <c r="H286"/>
  <c r="H287"/>
  <c r="H288"/>
  <c r="H175"/>
  <c r="J175" s="1"/>
  <c r="H90"/>
  <c r="H289"/>
  <c r="H290"/>
  <c r="H291"/>
  <c r="H292"/>
  <c r="H13"/>
  <c r="H91"/>
  <c r="H293"/>
  <c r="H294"/>
  <c r="H51"/>
  <c r="H295"/>
  <c r="H89"/>
  <c r="H296"/>
  <c r="H144"/>
  <c r="H254"/>
  <c r="H154"/>
  <c r="J154" s="1"/>
  <c r="H159"/>
  <c r="H386"/>
  <c r="H15"/>
  <c r="H128"/>
  <c r="H70"/>
  <c r="H104"/>
  <c r="H71"/>
  <c r="H141"/>
  <c r="H247"/>
  <c r="H248"/>
  <c r="H146"/>
  <c r="H147"/>
  <c r="H72"/>
  <c r="H202"/>
  <c r="H142"/>
  <c r="H55"/>
  <c r="H201"/>
  <c r="H200"/>
  <c r="H209"/>
  <c r="H137"/>
  <c r="H224"/>
  <c r="H297"/>
  <c r="H73"/>
  <c r="H387"/>
  <c r="H74"/>
  <c r="H185"/>
  <c r="H75"/>
  <c r="H76"/>
  <c r="H77"/>
  <c r="H136"/>
  <c r="H78"/>
  <c r="H79"/>
  <c r="H18"/>
  <c r="H80"/>
  <c r="H212"/>
  <c r="H100"/>
  <c r="H228"/>
  <c r="H19"/>
  <c r="H20"/>
  <c r="H81"/>
  <c r="H249"/>
  <c r="H250"/>
  <c r="H227"/>
  <c r="H129"/>
  <c r="H186"/>
  <c r="H82"/>
  <c r="H196"/>
  <c r="H187"/>
  <c r="H139"/>
  <c r="H138"/>
  <c r="H103"/>
  <c r="H83"/>
  <c r="H84"/>
  <c r="H85"/>
  <c r="H245"/>
  <c r="H160"/>
  <c r="H161"/>
  <c r="H58"/>
  <c r="H59"/>
  <c r="H63"/>
  <c r="H57"/>
  <c r="H62"/>
  <c r="H65"/>
  <c r="H64"/>
  <c r="H60"/>
  <c r="H61"/>
  <c r="H66"/>
  <c r="H68"/>
  <c r="H67"/>
  <c r="H101"/>
  <c r="H102"/>
  <c r="H155"/>
  <c r="H156"/>
  <c r="H157"/>
  <c r="H158"/>
  <c r="H165"/>
  <c r="H135"/>
  <c r="H14"/>
  <c r="H12"/>
  <c r="H235"/>
  <c r="H131"/>
  <c r="H380"/>
  <c r="H232"/>
  <c r="H206"/>
  <c r="H125"/>
  <c r="H132"/>
  <c r="H236"/>
  <c r="H207"/>
  <c r="H53"/>
  <c r="H126"/>
  <c r="H381"/>
  <c r="H188"/>
  <c r="H377"/>
  <c r="H56"/>
  <c r="H114"/>
  <c r="H133"/>
  <c r="H203"/>
  <c r="H244"/>
  <c r="H120"/>
  <c r="H205"/>
  <c r="H166"/>
  <c r="H93"/>
  <c r="H163"/>
  <c r="H231"/>
  <c r="H112"/>
  <c r="H54"/>
  <c r="H379"/>
  <c r="H115"/>
  <c r="H215"/>
  <c r="H217"/>
  <c r="H210"/>
  <c r="H164"/>
  <c r="H167"/>
  <c r="H168"/>
  <c r="H169"/>
  <c r="H233"/>
  <c r="H216"/>
  <c r="H127"/>
  <c r="H116"/>
  <c r="H382"/>
  <c r="H208"/>
  <c r="H113"/>
  <c r="H140"/>
  <c r="H211"/>
  <c r="H218"/>
  <c r="H229"/>
  <c r="H48"/>
  <c r="H7"/>
  <c r="H234"/>
  <c r="H16"/>
  <c r="H385"/>
  <c r="I384"/>
  <c r="I389" s="1"/>
  <c r="K178" i="1"/>
  <c r="J178"/>
  <c r="K180"/>
  <c r="J180"/>
  <c r="K179"/>
  <c r="J179"/>
  <c r="K181"/>
  <c r="J181"/>
  <c r="K182"/>
  <c r="J182"/>
  <c r="K175"/>
  <c r="J175"/>
  <c r="K170"/>
  <c r="J170"/>
  <c r="K168"/>
  <c r="J168"/>
  <c r="K156"/>
  <c r="J156"/>
  <c r="K407"/>
  <c r="J407"/>
  <c r="K399"/>
  <c r="H399"/>
  <c r="H398"/>
  <c r="H397"/>
  <c r="H396"/>
  <c r="H395"/>
  <c r="H394"/>
  <c r="K393"/>
  <c r="H393"/>
  <c r="H392"/>
  <c r="H391"/>
  <c r="J393" s="1"/>
  <c r="K390"/>
  <c r="H390"/>
  <c r="H389"/>
  <c r="H388"/>
  <c r="K387"/>
  <c r="H387"/>
  <c r="H386"/>
  <c r="H385"/>
  <c r="H384"/>
  <c r="J387" s="1"/>
  <c r="H383"/>
  <c r="K382"/>
  <c r="H382"/>
  <c r="H381"/>
  <c r="H380"/>
  <c r="H379"/>
  <c r="K378"/>
  <c r="H378"/>
  <c r="H377"/>
  <c r="H376"/>
  <c r="H375"/>
  <c r="H374"/>
  <c r="J378" s="1"/>
  <c r="K373"/>
  <c r="H373"/>
  <c r="H372"/>
  <c r="J373" s="1"/>
  <c r="H371"/>
  <c r="K370"/>
  <c r="H370"/>
  <c r="H369"/>
  <c r="H368"/>
  <c r="H367"/>
  <c r="K366"/>
  <c r="H366"/>
  <c r="J366" s="1"/>
  <c r="H365"/>
  <c r="K364"/>
  <c r="H364"/>
  <c r="H363"/>
  <c r="H362"/>
  <c r="H361"/>
  <c r="H360"/>
  <c r="K359"/>
  <c r="H359"/>
  <c r="H358"/>
  <c r="H357"/>
  <c r="J359" s="1"/>
  <c r="K356"/>
  <c r="H356"/>
  <c r="H355"/>
  <c r="H354"/>
  <c r="H353"/>
  <c r="J356" s="1"/>
  <c r="K352"/>
  <c r="H352"/>
  <c r="H351"/>
  <c r="H350"/>
  <c r="H349"/>
  <c r="K348"/>
  <c r="H348"/>
  <c r="H347"/>
  <c r="H346"/>
  <c r="H345"/>
  <c r="H344"/>
  <c r="H343"/>
  <c r="K342"/>
  <c r="H342"/>
  <c r="H341"/>
  <c r="H340"/>
  <c r="H339"/>
  <c r="H338"/>
  <c r="H337"/>
  <c r="K336"/>
  <c r="H336"/>
  <c r="H335"/>
  <c r="H334"/>
  <c r="H333"/>
  <c r="H332"/>
  <c r="H331"/>
  <c r="K330"/>
  <c r="H330"/>
  <c r="H329"/>
  <c r="H328"/>
  <c r="H327"/>
  <c r="K326"/>
  <c r="H326"/>
  <c r="H325"/>
  <c r="H324"/>
  <c r="H323"/>
  <c r="K322"/>
  <c r="H322"/>
  <c r="H321"/>
  <c r="H320"/>
  <c r="H319"/>
  <c r="H318"/>
  <c r="H317"/>
  <c r="H316"/>
  <c r="H315"/>
  <c r="H314"/>
  <c r="H313"/>
  <c r="K312"/>
  <c r="H312"/>
  <c r="H311"/>
  <c r="H310"/>
  <c r="H309"/>
  <c r="H308"/>
  <c r="H307"/>
  <c r="H306"/>
  <c r="H305"/>
  <c r="H304"/>
  <c r="H303"/>
  <c r="H302"/>
  <c r="H301"/>
  <c r="K300"/>
  <c r="H300"/>
  <c r="H299"/>
  <c r="H298"/>
  <c r="K297"/>
  <c r="H297"/>
  <c r="H296"/>
  <c r="H295"/>
  <c r="H294"/>
  <c r="H293"/>
  <c r="H292"/>
  <c r="K135"/>
  <c r="J135"/>
  <c r="K83"/>
  <c r="H83"/>
  <c r="H82"/>
  <c r="H81"/>
  <c r="H80"/>
  <c r="K79"/>
  <c r="J79"/>
  <c r="H84"/>
  <c r="H85"/>
  <c r="H86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400"/>
  <c r="H401"/>
  <c r="H402"/>
  <c r="H3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7"/>
  <c r="H35"/>
  <c r="J36" s="1"/>
  <c r="K36"/>
  <c r="H411"/>
  <c r="I410"/>
  <c r="H474" i="5" l="1"/>
  <c r="I525" i="4"/>
  <c r="I526" s="1"/>
  <c r="I362"/>
  <c r="I358"/>
  <c r="H384" i="2"/>
  <c r="H567" s="1"/>
  <c r="I567"/>
  <c r="J179"/>
  <c r="H357" i="4"/>
  <c r="H525" s="1"/>
  <c r="H526" s="1"/>
  <c r="J376" i="2"/>
  <c r="J372"/>
  <c r="J369"/>
  <c r="J365"/>
  <c r="J362"/>
  <c r="J358"/>
  <c r="J354"/>
  <c r="J350"/>
  <c r="J345"/>
  <c r="J341"/>
  <c r="J337"/>
  <c r="J332"/>
  <c r="J327"/>
  <c r="J317"/>
  <c r="J322"/>
  <c r="J313"/>
  <c r="J151"/>
  <c r="J309"/>
  <c r="J303"/>
  <c r="J25"/>
  <c r="J47"/>
  <c r="J37"/>
  <c r="J31"/>
  <c r="I385"/>
  <c r="J364" i="1"/>
  <c r="J399"/>
  <c r="J382"/>
  <c r="J342"/>
  <c r="J352"/>
  <c r="J370"/>
  <c r="J390"/>
  <c r="J326"/>
  <c r="J336"/>
  <c r="J330"/>
  <c r="J348"/>
  <c r="J312"/>
  <c r="J322"/>
  <c r="J300"/>
  <c r="J297"/>
  <c r="J83"/>
  <c r="H410"/>
  <c r="I411"/>
  <c r="J144" i="10"/>
  <c r="J166"/>
  <c r="J164"/>
  <c r="J161"/>
  <c r="J165"/>
  <c r="J163"/>
  <c r="J168"/>
  <c r="J162"/>
  <c r="J11"/>
</calcChain>
</file>

<file path=xl/sharedStrings.xml><?xml version="1.0" encoding="utf-8"?>
<sst xmlns="http://schemas.openxmlformats.org/spreadsheetml/2006/main" count="30916" uniqueCount="7574">
  <si>
    <t>TOYOTA FINANCIAL SERVICES DE MEXICO</t>
  </si>
  <si>
    <t>D     31</t>
  </si>
  <si>
    <t>0330-TCN15</t>
  </si>
  <si>
    <t>TOYOMOTORS S D E  RL DE CV</t>
  </si>
  <si>
    <t>D     42</t>
  </si>
  <si>
    <t>0332-TCN15</t>
  </si>
  <si>
    <t>D     44</t>
  </si>
  <si>
    <t>0333-TCN15</t>
  </si>
  <si>
    <t>AUTOMOTRIZ  OAXACA  DE  ANTEQUERA S</t>
  </si>
  <si>
    <t>D     47</t>
  </si>
  <si>
    <t>0334-TCN15</t>
  </si>
  <si>
    <t>CEVER  TOLUCA  S  DE RL DE  CV</t>
  </si>
  <si>
    <t>D     54</t>
  </si>
  <si>
    <t>0335-TCN15</t>
  </si>
  <si>
    <t>LJIMENEZ:DALTON AUTOMOTRIZ  S  DE</t>
  </si>
  <si>
    <t>D     55</t>
  </si>
  <si>
    <t>0336-TCN15</t>
  </si>
  <si>
    <t>VALOR  MOTRIZ S  DE RL DE  CV</t>
  </si>
  <si>
    <t>D     57</t>
  </si>
  <si>
    <t>0337-TCN15</t>
  </si>
  <si>
    <t>DECADA AUTOMOTRIZ S DE RL DE CV</t>
  </si>
  <si>
    <t>D     83</t>
  </si>
  <si>
    <t>0340-TCN15</t>
  </si>
  <si>
    <t>OZ  AUTOMOTRIZ  S  DE RL DE   CV</t>
  </si>
  <si>
    <t>D     95</t>
  </si>
  <si>
    <t>0341-TCN15</t>
  </si>
  <si>
    <t>PURDY MOTOR MEXICO DF S  DE  RL DE</t>
  </si>
  <si>
    <t>D    152</t>
  </si>
  <si>
    <t>0342-TCN15</t>
  </si>
  <si>
    <t>DECADA  AUTOMOTRIZ  S  DE  RL DE CV</t>
  </si>
  <si>
    <t>D    261</t>
  </si>
  <si>
    <t>0901-TCN14</t>
  </si>
  <si>
    <t>LJIMENEZ:MEGAMOTORS NIPPON S  DE  R</t>
  </si>
  <si>
    <t>D    272</t>
  </si>
  <si>
    <t>0343-TCN15</t>
  </si>
  <si>
    <t>LIDERAZO  AUTOMOTRIZ DE PUEBLA  S D</t>
  </si>
  <si>
    <t>D    333</t>
  </si>
  <si>
    <t>0345-TCN15</t>
  </si>
  <si>
    <t>D    340</t>
  </si>
  <si>
    <t>0346-TCN15</t>
  </si>
  <si>
    <t>VALOR MOTRIZ  S  DE  RL DE  CV</t>
  </si>
  <si>
    <t>D    380</t>
  </si>
  <si>
    <t>0347-TCN15</t>
  </si>
  <si>
    <t>LJIMENEZ:OZ  AUTOMOTRIZ DE  COLIMA</t>
  </si>
  <si>
    <t>D    432</t>
  </si>
  <si>
    <t>0364-TCN15</t>
  </si>
  <si>
    <t>D    617</t>
  </si>
  <si>
    <t>0374-TCN15</t>
  </si>
  <si>
    <t>D    619</t>
  </si>
  <si>
    <t>0375-TCN15</t>
  </si>
  <si>
    <t>D    622</t>
  </si>
  <si>
    <t>0268-TCN15</t>
  </si>
  <si>
    <t>D    627</t>
  </si>
  <si>
    <t>0376-TCN15</t>
  </si>
  <si>
    <t>D    652</t>
  </si>
  <si>
    <t>0377-TCN15</t>
  </si>
  <si>
    <t>TOYOMOTORS SA DE CV</t>
  </si>
  <si>
    <t>D    696</t>
  </si>
  <si>
    <t>0378-TCN15</t>
  </si>
  <si>
    <t>D    697</t>
  </si>
  <si>
    <t>0379-TCN15</t>
  </si>
  <si>
    <t>D    698</t>
  </si>
  <si>
    <t>0380-TCN15</t>
  </si>
  <si>
    <t>D    724</t>
  </si>
  <si>
    <t>0381-TCN15</t>
  </si>
  <si>
    <t>CCD, AUTOSALES PUERTO VALLARTA S  D</t>
  </si>
  <si>
    <t>D    750</t>
  </si>
  <si>
    <t>0382-TCN15</t>
  </si>
  <si>
    <t>TOYOCOAPA  S  DE  RL DE CV</t>
  </si>
  <si>
    <t>D    757</t>
  </si>
  <si>
    <t>0383-TCN15</t>
  </si>
  <si>
    <t>AUTOMOVILES  DINAMICOS S DE  RL DE</t>
  </si>
  <si>
    <t>D    762</t>
  </si>
  <si>
    <t>0384-TCN15</t>
  </si>
  <si>
    <t>OZ  AUTOMOTRIZ S  DE  RL DE  CV</t>
  </si>
  <si>
    <t>D    785</t>
  </si>
  <si>
    <t>0385-TCN15</t>
  </si>
  <si>
    <t>DALTON  AUTOMOTRIZ S DE RL  DE CV</t>
  </si>
  <si>
    <t>D    867</t>
  </si>
  <si>
    <t>0386-TCN15</t>
  </si>
  <si>
    <t>CCD, AUTOSALES   PUERTO VALLARTA</t>
  </si>
  <si>
    <t>D    871</t>
  </si>
  <si>
    <t>0387-TCN15</t>
  </si>
  <si>
    <t>LJIMENEZ:AUTOMOTRIZ TOY DEL SURESTE</t>
  </si>
  <si>
    <t>D    910</t>
  </si>
  <si>
    <t>0388-TCN15</t>
  </si>
  <si>
    <t>OZ  AUTOMOTRIZ S  DE  RL  DE CV</t>
  </si>
  <si>
    <t>D    942</t>
  </si>
  <si>
    <t>0389-TCN15</t>
  </si>
  <si>
    <t>AUTOMOVILES DINAMICOS S  D E RL DE</t>
  </si>
  <si>
    <t>0263-TCN15</t>
  </si>
  <si>
    <t>D    970</t>
  </si>
  <si>
    <t>D    972</t>
  </si>
  <si>
    <t>0390-TCN15</t>
  </si>
  <si>
    <t>D    987</t>
  </si>
  <si>
    <t>0391-TCN15</t>
  </si>
  <si>
    <t>D  1,018</t>
  </si>
  <si>
    <t>0392-TCN15</t>
  </si>
  <si>
    <t>TOYOMOTORS SA DE  CV</t>
  </si>
  <si>
    <t>D  1,075</t>
  </si>
  <si>
    <t>0393-TCN15</t>
  </si>
  <si>
    <t>TOYOMOTORS DE  IRAPUATO S  DE  RL D</t>
  </si>
  <si>
    <t>D  1,087</t>
  </si>
  <si>
    <t>0394-TCN15</t>
  </si>
  <si>
    <t>D  1,095</t>
  </si>
  <si>
    <t>0395-TCN15</t>
  </si>
  <si>
    <t>D  1,123</t>
  </si>
  <si>
    <t>LJIMENEZ:TOYOTA FINANCIAL SERVICES</t>
  </si>
  <si>
    <t>D  1,233</t>
  </si>
  <si>
    <t>0180-TCN15</t>
  </si>
  <si>
    <t>CCD, AUTOSALES  PUERTO VALLARTA</t>
  </si>
  <si>
    <t>D  1,234</t>
  </si>
  <si>
    <t>CCD, AUTOSALES PUERTO VALLARTA  S D</t>
  </si>
  <si>
    <t>D  1,247</t>
  </si>
  <si>
    <t>0396-TCN15</t>
  </si>
  <si>
    <t>D  1,308</t>
  </si>
  <si>
    <t>0397-TCN15</t>
  </si>
  <si>
    <t>D  1,388</t>
  </si>
  <si>
    <t>0398-TCN15</t>
  </si>
  <si>
    <t>D  1,401</t>
  </si>
  <si>
    <t>0399-TCN15</t>
  </si>
  <si>
    <t>CEVER  TOLUCA  S  DE  RL DE  CV</t>
  </si>
  <si>
    <t>D  1,402</t>
  </si>
  <si>
    <t>0400-TCN15</t>
  </si>
  <si>
    <t>ALDEN SATELITE S  D E RL DE  CV</t>
  </si>
  <si>
    <t>D  1,416</t>
  </si>
  <si>
    <t>0401-TCN15</t>
  </si>
  <si>
    <t>DURANGO AUTOMOTORES  S  DE  RL DE</t>
  </si>
  <si>
    <t>D  1,430</t>
  </si>
  <si>
    <t>0403-TCN15</t>
  </si>
  <si>
    <t>D  1,431</t>
  </si>
  <si>
    <t>0402-TCN15</t>
  </si>
  <si>
    <t>D  1,453</t>
  </si>
  <si>
    <t>0404-TCN15</t>
  </si>
  <si>
    <t>D  1,460</t>
  </si>
  <si>
    <t>0405-TCN15</t>
  </si>
  <si>
    <t>D  1,751</t>
  </si>
  <si>
    <t>0406-TCN15</t>
  </si>
  <si>
    <t>D  1,800</t>
  </si>
  <si>
    <t>C.VIATICOS</t>
  </si>
  <si>
    <t>HERNANANDRES SAMBRANO VILLAREA</t>
  </si>
  <si>
    <t>D  1,827</t>
  </si>
  <si>
    <t>0408-TCN15</t>
  </si>
  <si>
    <t>D  1,867</t>
  </si>
  <si>
    <t>0409-TCN15</t>
  </si>
  <si>
    <t>GRUPO  PENNINSULA MOTORS S  DE  RL</t>
  </si>
  <si>
    <t>D  1,868</t>
  </si>
  <si>
    <t>0410-TCN15</t>
  </si>
  <si>
    <t>D  1,874</t>
  </si>
  <si>
    <t>0411-TCN15</t>
  </si>
  <si>
    <t>D  1,884</t>
  </si>
  <si>
    <t>0412-TCN15</t>
  </si>
  <si>
    <t>D  1,940</t>
  </si>
  <si>
    <t>0425-TCN15</t>
  </si>
  <si>
    <t>D  1,949</t>
  </si>
  <si>
    <t>0413-TCN15</t>
  </si>
  <si>
    <t>D  1,950</t>
  </si>
  <si>
    <t>0414-TCN15</t>
  </si>
  <si>
    <t>D  1,972</t>
  </si>
  <si>
    <t>0415-TCN15</t>
  </si>
  <si>
    <t>D  1,974</t>
  </si>
  <si>
    <t>0416-TCN15</t>
  </si>
  <si>
    <t>D  1,975</t>
  </si>
  <si>
    <t>0417-TCN15</t>
  </si>
  <si>
    <t>D  1,976</t>
  </si>
  <si>
    <t>0418-TCN15</t>
  </si>
  <si>
    <t>D  1,977</t>
  </si>
  <si>
    <t>0419-TCN15</t>
  </si>
  <si>
    <t>D  1,978</t>
  </si>
  <si>
    <t>0420-TCN15</t>
  </si>
  <si>
    <t>0421-TCN15</t>
  </si>
  <si>
    <t>D  1,983</t>
  </si>
  <si>
    <t>0426-TCN15</t>
  </si>
  <si>
    <t>LJIMENEZ:TOYOMOTORS DE IRAPUATO S D</t>
  </si>
  <si>
    <t>D  2,026</t>
  </si>
  <si>
    <t>0422-TCN15</t>
  </si>
  <si>
    <t>D  2,027</t>
  </si>
  <si>
    <t>0423-TCN15</t>
  </si>
  <si>
    <t>D  2,032</t>
  </si>
  <si>
    <t>0424-TCN15</t>
  </si>
  <si>
    <t>D  2,098</t>
  </si>
  <si>
    <t>D  2,106</t>
  </si>
  <si>
    <t>0428-TCN15</t>
  </si>
  <si>
    <t>DECADA AUTOMOTRIZ S  DE  RL DE CV</t>
  </si>
  <si>
    <t>D  2,109</t>
  </si>
  <si>
    <t>0427-TCN15</t>
  </si>
  <si>
    <t>D  2,134</t>
  </si>
  <si>
    <t>0429-TCN15</t>
  </si>
  <si>
    <t>AUTOMOVILES DINAMICOS S  DE  RL DE</t>
  </si>
  <si>
    <t>D  2,167</t>
  </si>
  <si>
    <t>0430-TCN15</t>
  </si>
  <si>
    <t>D  2,187</t>
  </si>
  <si>
    <t>0431-TCN15</t>
  </si>
  <si>
    <t>TOY MOTORS SA DE  CV</t>
  </si>
  <si>
    <t>D  2,190</t>
  </si>
  <si>
    <t>0432-TCN15</t>
  </si>
  <si>
    <t>D  2,195</t>
  </si>
  <si>
    <t>LJIMENEZ:DURAN MEJIA ARMANDO</t>
  </si>
  <si>
    <t>D  2,223</t>
  </si>
  <si>
    <t>0433-TCN15</t>
  </si>
  <si>
    <t>D  2,331</t>
  </si>
  <si>
    <t>D  2,343</t>
  </si>
  <si>
    <t>0434-TCN15</t>
  </si>
  <si>
    <t>D  2,378</t>
  </si>
  <si>
    <t>0435-TCN15</t>
  </si>
  <si>
    <t>D  2,379</t>
  </si>
  <si>
    <t>0436-TCN15</t>
  </si>
  <si>
    <t>D  2,381</t>
  </si>
  <si>
    <t>0437-TCN15</t>
  </si>
  <si>
    <t>D  2,382</t>
  </si>
  <si>
    <t>0438-TCN15</t>
  </si>
  <si>
    <t>D  2,398</t>
  </si>
  <si>
    <t>0439-TCN15</t>
  </si>
  <si>
    <t>D  2,400</t>
  </si>
  <si>
    <t>0440-TCN15</t>
  </si>
  <si>
    <t>D  2,439</t>
  </si>
  <si>
    <t>NWD0000016</t>
  </si>
  <si>
    <t>LJIMENEZ:INTERNET ENERO NWD-16</t>
  </si>
  <si>
    <t>D  2,440</t>
  </si>
  <si>
    <t>NWD0000020</t>
  </si>
  <si>
    <t>LJIMENEZ:FRAME RELAY EMERO NWD-20</t>
  </si>
  <si>
    <t>D  2,441</t>
  </si>
  <si>
    <t>NWD0000026</t>
  </si>
  <si>
    <t>LJIMENEZ:TELCEL DICIEMBRE NWD-26</t>
  </si>
  <si>
    <t>D  2,443</t>
  </si>
  <si>
    <t>C.VIATICOS ANABEL RUIZ LAGUNA</t>
  </si>
  <si>
    <t>D  2,676</t>
  </si>
  <si>
    <t>F-1606007</t>
  </si>
  <si>
    <t>LJIMENEZ:CONTRATO HILUX D-CAB BASE</t>
  </si>
  <si>
    <t>D  2,677</t>
  </si>
  <si>
    <t>F-1526076</t>
  </si>
  <si>
    <t>LJIMENEZ:CONTRATO AUTO DIFERENTE 81</t>
  </si>
  <si>
    <t>D  2,696</t>
  </si>
  <si>
    <t>CH-15610</t>
  </si>
  <si>
    <t>COMP.CH-15610 P009614</t>
  </si>
  <si>
    <t>D  2,697</t>
  </si>
  <si>
    <t>S001175</t>
  </si>
  <si>
    <t>ARMANDO DURAN MEJIA</t>
  </si>
  <si>
    <t>D  2,698</t>
  </si>
  <si>
    <t>S001183</t>
  </si>
  <si>
    <t>D  2,699</t>
  </si>
  <si>
    <t>S001163</t>
  </si>
  <si>
    <t>D  2,700</t>
  </si>
  <si>
    <t>S001199</t>
  </si>
  <si>
    <t>MA.DEL YARO FIGUEROA CORNEJO</t>
  </si>
  <si>
    <t>D  2,701</t>
  </si>
  <si>
    <t>S001165</t>
  </si>
  <si>
    <t>D  2,702</t>
  </si>
  <si>
    <t>S001167</t>
  </si>
  <si>
    <t>D  2,703</t>
  </si>
  <si>
    <t>R001889</t>
  </si>
  <si>
    <t>D  2,704</t>
  </si>
  <si>
    <t>R001884</t>
  </si>
  <si>
    <t>J.ALBERTO MESA SANTAMARIA</t>
  </si>
  <si>
    <t>D  2,705</t>
  </si>
  <si>
    <t>R001852</t>
  </si>
  <si>
    <t>D  2,706</t>
  </si>
  <si>
    <t>R-001868</t>
  </si>
  <si>
    <t>D  2,707</t>
  </si>
  <si>
    <t>VIATICOS ASESOR MARIOS CASAS A</t>
  </si>
  <si>
    <t>D  2,715</t>
  </si>
  <si>
    <t>LUIS ARMANDO MENDEZ REYNA</t>
  </si>
  <si>
    <t>D  2,716</t>
  </si>
  <si>
    <t>IMPRESIONES LASSER BEAM S DE R</t>
  </si>
  <si>
    <t>D  2,717</t>
  </si>
  <si>
    <t>D  2,718</t>
  </si>
  <si>
    <t>SOLUCIONES E INNOVACION EN TIN</t>
  </si>
  <si>
    <t>D  2,720</t>
  </si>
  <si>
    <t>GARCIA DEA</t>
  </si>
  <si>
    <t>D  2,721</t>
  </si>
  <si>
    <t>COSTCO DE MEXICO SA DE CV</t>
  </si>
  <si>
    <t>D  2,722</t>
  </si>
  <si>
    <t>D  2,725</t>
  </si>
  <si>
    <t>APOLINAR GAMIÑO JIMENEZ</t>
  </si>
  <si>
    <t>D  2,726</t>
  </si>
  <si>
    <t>FEDERICO JAIME VERA BARBOSA</t>
  </si>
  <si>
    <t>D  2,727</t>
  </si>
  <si>
    <t>MERCANTIL CERRAJERA SA DE CV</t>
  </si>
  <si>
    <t>D  2,728</t>
  </si>
  <si>
    <t>D  2,729</t>
  </si>
  <si>
    <t>D  2,731</t>
  </si>
  <si>
    <t>MARCAS NESTRLE SA DE CV</t>
  </si>
  <si>
    <t>D  2,732</t>
  </si>
  <si>
    <t>MARCAS NESTLE SA DE CV</t>
  </si>
  <si>
    <t>D  2,734</t>
  </si>
  <si>
    <t>FERRETERIA MODELO DEL BAJIO SA</t>
  </si>
  <si>
    <t>D  2,735</t>
  </si>
  <si>
    <t>SALVADOR ALEJANDRO RODRIGUEZ M</t>
  </si>
  <si>
    <t>D  2,736</t>
  </si>
  <si>
    <t>PLASTICASA SA DE CV</t>
  </si>
  <si>
    <t>D  2,737</t>
  </si>
  <si>
    <t>J.JUAN FELIPE ARVIZU MANCERA</t>
  </si>
  <si>
    <t>D  2,738</t>
  </si>
  <si>
    <t>CENTRO METALICO DEL BAJIO SA D</t>
  </si>
  <si>
    <t>D  2,739</t>
  </si>
  <si>
    <t>MARIA ELENA SANCHEZ MONDRAGON</t>
  </si>
  <si>
    <t>D  2,740</t>
  </si>
  <si>
    <t>PT CARLOS ARMANDO SOTO ANGELES</t>
  </si>
  <si>
    <t>D  2,741</t>
  </si>
  <si>
    <t>ARTURO JAVIER RICO HERNANDEZ</t>
  </si>
  <si>
    <t>D  2,743</t>
  </si>
  <si>
    <t>ALEJANDRO LOPEZ NEGRETE</t>
  </si>
  <si>
    <t>D  2,744</t>
  </si>
  <si>
    <t>D  2,745</t>
  </si>
  <si>
    <t>SISTEMAS Y FILTROS PARA AGUA S</t>
  </si>
  <si>
    <t>D  2,747</t>
  </si>
  <si>
    <t>CASETAS GERENCIA</t>
  </si>
  <si>
    <t>D  2,750</t>
  </si>
  <si>
    <t>COMERCIALIZADORA FARMACEUTICA</t>
  </si>
  <si>
    <t>D  2,752</t>
  </si>
  <si>
    <t>FARMACIAS GUADALAJARA SA DE CV</t>
  </si>
  <si>
    <t>D  2,755</t>
  </si>
  <si>
    <t>BALEROS Y RETENES SUAREZ SA DE</t>
  </si>
  <si>
    <t>D  2,756</t>
  </si>
  <si>
    <t>D  2,757</t>
  </si>
  <si>
    <t>REDPACK SA DE CV</t>
  </si>
  <si>
    <t>D  2,758</t>
  </si>
  <si>
    <t>AUTOZONE DE MEXICO S DE RL DE</t>
  </si>
  <si>
    <t>D  2,759</t>
  </si>
  <si>
    <t>GRUPO ELECTRICO CAFRAL SA DE C</t>
  </si>
  <si>
    <t>D  2,760</t>
  </si>
  <si>
    <t>OFFICE DEPOT DE MEXICO SA DE C</t>
  </si>
  <si>
    <t>D  2,761</t>
  </si>
  <si>
    <t>D  2,762</t>
  </si>
  <si>
    <t>HOME DEPOT MEXICO S DE RL DE C</t>
  </si>
  <si>
    <t>D  2,763</t>
  </si>
  <si>
    <t>HOME DEPOT MEXICO S DE RL CV</t>
  </si>
  <si>
    <t>D  2,764</t>
  </si>
  <si>
    <t>D  2,765</t>
  </si>
  <si>
    <t>D  2,769</t>
  </si>
  <si>
    <t>S001197</t>
  </si>
  <si>
    <t>SEVIBA SA DE CV</t>
  </si>
  <si>
    <t>D  2,816</t>
  </si>
  <si>
    <t>PREMIUM RESTAURANT BRANDS S DE</t>
  </si>
  <si>
    <t>D  2,817</t>
  </si>
  <si>
    <t>P009590</t>
  </si>
  <si>
    <t>JUNTA MUNICIPAL DE AGUA POTABL</t>
  </si>
  <si>
    <t>D  2,819</t>
  </si>
  <si>
    <t>P009691</t>
  </si>
  <si>
    <t>TRASLADO INV.FM177775</t>
  </si>
  <si>
    <t>D  2,821</t>
  </si>
  <si>
    <t>P009693</t>
  </si>
  <si>
    <t>TRASLADO INV.0252-TCN15</t>
  </si>
  <si>
    <t>D  2,822</t>
  </si>
  <si>
    <t>P009694</t>
  </si>
  <si>
    <t>TRASLADO INV.0180N/15</t>
  </si>
  <si>
    <t>D  2,824</t>
  </si>
  <si>
    <t>P009653</t>
  </si>
  <si>
    <t>TRASLADO INV.0426N/15</t>
  </si>
  <si>
    <t>D  2,826</t>
  </si>
  <si>
    <t>P009655</t>
  </si>
  <si>
    <t>TRASLADO INV.0401N/15</t>
  </si>
  <si>
    <t>D  2,828</t>
  </si>
  <si>
    <t>P009657</t>
  </si>
  <si>
    <t>TRASLADO INV.0408-TCN15</t>
  </si>
  <si>
    <t>D  2,830</t>
  </si>
  <si>
    <t>P009659</t>
  </si>
  <si>
    <t>TRASLADO INV.0399-TCN15</t>
  </si>
  <si>
    <t>D  2,832</t>
  </si>
  <si>
    <t>P009661</t>
  </si>
  <si>
    <t>TRASLADO INV.0347N/15</t>
  </si>
  <si>
    <t>D  2,834</t>
  </si>
  <si>
    <t>P009663</t>
  </si>
  <si>
    <t>TRASLADO INV.0384-TCN15</t>
  </si>
  <si>
    <t>D  2,836</t>
  </si>
  <si>
    <t>P009665</t>
  </si>
  <si>
    <t>TRASLADO INV.0383-TCN15</t>
  </si>
  <si>
    <t>D  2,838</t>
  </si>
  <si>
    <t>P009667</t>
  </si>
  <si>
    <t>TRASLADO INV.0386-TCN15</t>
  </si>
  <si>
    <t>D  2,840</t>
  </si>
  <si>
    <t>P009669</t>
  </si>
  <si>
    <t>TRASLADO INV.0385-TCN15</t>
  </si>
  <si>
    <t>D  2,842</t>
  </si>
  <si>
    <t>P009671</t>
  </si>
  <si>
    <t>TRASLADO INV.0319-TCN15</t>
  </si>
  <si>
    <t>D  2,844</t>
  </si>
  <si>
    <t>P009673</t>
  </si>
  <si>
    <t>TRASLADO INV.0389N/15</t>
  </si>
  <si>
    <t>D  2,846</t>
  </si>
  <si>
    <t>P009675</t>
  </si>
  <si>
    <t>TRASLADO INV.0389-TCN15</t>
  </si>
  <si>
    <t>D  2,848</t>
  </si>
  <si>
    <t>P009677</t>
  </si>
  <si>
    <t>TRASLADO INV.0400-TCN15</t>
  </si>
  <si>
    <t>D  2,850</t>
  </si>
  <si>
    <t>P009679</t>
  </si>
  <si>
    <t>TRASLADO INV.0393-TCN15</t>
  </si>
  <si>
    <t>D  2,852</t>
  </si>
  <si>
    <t>P009681</t>
  </si>
  <si>
    <t>TRASLADO INV.0313-TCN15</t>
  </si>
  <si>
    <t>D  2,854</t>
  </si>
  <si>
    <t>P009683</t>
  </si>
  <si>
    <t>TRASLADO INV.0337-TCN15</t>
  </si>
  <si>
    <t>D  2,856</t>
  </si>
  <si>
    <t>P009685</t>
  </si>
  <si>
    <t>TRASLADO INV.0323-TCN15</t>
  </si>
  <si>
    <t>D  2,858</t>
  </si>
  <si>
    <t>P009687</t>
  </si>
  <si>
    <t>TRASLADO INV.0336-TCN15</t>
  </si>
  <si>
    <t>D  2,860</t>
  </si>
  <si>
    <t>P009689</t>
  </si>
  <si>
    <t>TRASLADO INV.0328-TCN15</t>
  </si>
  <si>
    <t>D  2,864</t>
  </si>
  <si>
    <t>COMP.VIATICOS DIANA MORALES</t>
  </si>
  <si>
    <t>D  2,869</t>
  </si>
  <si>
    <t>IMPRESIONES LASSER BEAM S RL C</t>
  </si>
  <si>
    <t>D  2,870</t>
  </si>
  <si>
    <t>D  2,871</t>
  </si>
  <si>
    <t>MARILUZ HERNANDEZ BRIBIESCA</t>
  </si>
  <si>
    <t>D  2,872</t>
  </si>
  <si>
    <t>NUEVA WALMART DE MEXICO S RL C</t>
  </si>
  <si>
    <t>D  2,873</t>
  </si>
  <si>
    <t>D  2,874</t>
  </si>
  <si>
    <t>TRAPOTEX SA DE CV</t>
  </si>
  <si>
    <t>D  2,895</t>
  </si>
  <si>
    <t>0361-TCN15</t>
  </si>
  <si>
    <t>D  2,896</t>
  </si>
  <si>
    <t>0363-TCN15</t>
  </si>
  <si>
    <t>TOYOTA FINANCIAL SERVICES DE M</t>
  </si>
  <si>
    <t>D  2,940</t>
  </si>
  <si>
    <t>0084-TCU14</t>
  </si>
  <si>
    <t>PAGO EMBARQUE INV 0084U/14</t>
  </si>
  <si>
    <t>D  2,959</t>
  </si>
  <si>
    <t>0222-TCN14</t>
  </si>
  <si>
    <t>AJUSTE ALTA DE COMPRA INCORREC</t>
  </si>
  <si>
    <t>E      5</t>
  </si>
  <si>
    <t>CH-15438</t>
  </si>
  <si>
    <t>CONSULTORES &amp; ASESORES INTEGRALES S</t>
  </si>
  <si>
    <t>E      9</t>
  </si>
  <si>
    <t>CH.15442</t>
  </si>
  <si>
    <t>E     17</t>
  </si>
  <si>
    <t>CH.15452</t>
  </si>
  <si>
    <t>GARCIA OLIVOS MARIA TERESA</t>
  </si>
  <si>
    <t>E     18</t>
  </si>
  <si>
    <t>CH-15453</t>
  </si>
  <si>
    <t>TELEFONOS DE MEXICO S.A.B. DE C.V.</t>
  </si>
  <si>
    <t>E     19</t>
  </si>
  <si>
    <t>CH-15454</t>
  </si>
  <si>
    <t>E     68</t>
  </si>
  <si>
    <t>CH-15491</t>
  </si>
  <si>
    <t>PROCURADURIA FEDERAL DEL CONSUMIDOR</t>
  </si>
  <si>
    <t>E     69</t>
  </si>
  <si>
    <t>CH-15493</t>
  </si>
  <si>
    <t>E     71</t>
  </si>
  <si>
    <t>T-1271</t>
  </si>
  <si>
    <t>GRUPO ECOLOGICA, S.A. DE C.V.</t>
  </si>
  <si>
    <t>E     72</t>
  </si>
  <si>
    <t>T-1272</t>
  </si>
  <si>
    <t>OCHOA NOLASCO GUILLERMO</t>
  </si>
  <si>
    <t>E     73</t>
  </si>
  <si>
    <t>T-1273</t>
  </si>
  <si>
    <t>LJIMENEZ:SEVIBA S.A. DE C.V</t>
  </si>
  <si>
    <t>E     74</t>
  </si>
  <si>
    <t>T-1268</t>
  </si>
  <si>
    <t>INDUSTRIA DISEÑADORA DE AUTOPARTES,</t>
  </si>
  <si>
    <t>E     76</t>
  </si>
  <si>
    <t>REYES MORALES ARELI</t>
  </si>
  <si>
    <t>E     78</t>
  </si>
  <si>
    <t>T-1270</t>
  </si>
  <si>
    <t>E     79</t>
  </si>
  <si>
    <t>T-1274</t>
  </si>
  <si>
    <t>ANUNCIOS EXITOSOS EN INTERNET, S.A.</t>
  </si>
  <si>
    <t>E     80</t>
  </si>
  <si>
    <t>AUTOZONE DE MEXICO, S. DE R.L. DE C</t>
  </si>
  <si>
    <t>E     81</t>
  </si>
  <si>
    <t>T-1275</t>
  </si>
  <si>
    <t>MARCOZER SA DE CV</t>
  </si>
  <si>
    <t>E     82</t>
  </si>
  <si>
    <t>T-1276</t>
  </si>
  <si>
    <t>MONROY ESTRADA FELIPE</t>
  </si>
  <si>
    <t>E     84</t>
  </si>
  <si>
    <t>LUBRICANTES DEL BAJIO, S.A. DE C.V.</t>
  </si>
  <si>
    <t>E     85</t>
  </si>
  <si>
    <t>ROTO CRISTALES Y PARTES S.A DE C.V.</t>
  </si>
  <si>
    <t>E     86</t>
  </si>
  <si>
    <t>CMG EXCELENCIA EN SERVICIOS S DE RL</t>
  </si>
  <si>
    <t>E     90</t>
  </si>
  <si>
    <t>CH-15495</t>
  </si>
  <si>
    <t>E     91</t>
  </si>
  <si>
    <t>E     92</t>
  </si>
  <si>
    <t>E     93</t>
  </si>
  <si>
    <t>CH-15497</t>
  </si>
  <si>
    <t>E    108</t>
  </si>
  <si>
    <t>CH-15492</t>
  </si>
  <si>
    <t>BRAVO DORANTES FERNANDO</t>
  </si>
  <si>
    <t>E    116</t>
  </si>
  <si>
    <t>CH-15510</t>
  </si>
  <si>
    <t>E    117</t>
  </si>
  <si>
    <t>COMISION FEDERAL DE ELECTRICIDAD</t>
  </si>
  <si>
    <t>E    118</t>
  </si>
  <si>
    <t>CH-15512</t>
  </si>
  <si>
    <t>E    119</t>
  </si>
  <si>
    <t>CH-15513</t>
  </si>
  <si>
    <t>E    126</t>
  </si>
  <si>
    <t>CH-15524</t>
  </si>
  <si>
    <t>MARIA SARA FERNANDEZ GUAS</t>
  </si>
  <si>
    <t>E    130</t>
  </si>
  <si>
    <t>CH-15529</t>
  </si>
  <si>
    <t>E    148</t>
  </si>
  <si>
    <t>CH-15548</t>
  </si>
  <si>
    <t>E    149</t>
  </si>
  <si>
    <t>CH-15549</t>
  </si>
  <si>
    <t>GALAZ, YAMAZAKI, RUIZ URQUIZA, S.C.</t>
  </si>
  <si>
    <t>E    157</t>
  </si>
  <si>
    <t>E    158</t>
  </si>
  <si>
    <t>E    159</t>
  </si>
  <si>
    <t>CH-15539</t>
  </si>
  <si>
    <t>E    160</t>
  </si>
  <si>
    <t>CH.15537</t>
  </si>
  <si>
    <t>E    161</t>
  </si>
  <si>
    <t>CH.15540</t>
  </si>
  <si>
    <t>E    162</t>
  </si>
  <si>
    <t>CH-15541</t>
  </si>
  <si>
    <t>E    166</t>
  </si>
  <si>
    <t>E    167</t>
  </si>
  <si>
    <t>CH-15557</t>
  </si>
  <si>
    <t>STERLING ARANA EUGENIO RICARDO</t>
  </si>
  <si>
    <t>JUNTA MUNICIPAL DE AGUA POTABLE Y A</t>
  </si>
  <si>
    <t>E    171</t>
  </si>
  <si>
    <t>LOPEZ DOMINGUEZ SALVADOR</t>
  </si>
  <si>
    <t>E    172</t>
  </si>
  <si>
    <t>CH-15562</t>
  </si>
  <si>
    <t>E    173</t>
  </si>
  <si>
    <t>CH-15563</t>
  </si>
  <si>
    <t>E    174</t>
  </si>
  <si>
    <t>CH-15564</t>
  </si>
  <si>
    <t>E    175</t>
  </si>
  <si>
    <t>CH-15565</t>
  </si>
  <si>
    <t>LEAL CORONA JOSE ANTONIO</t>
  </si>
  <si>
    <t>E    176</t>
  </si>
  <si>
    <t>CH-15566</t>
  </si>
  <si>
    <t>MULDOON BABLOT CECILIA</t>
  </si>
  <si>
    <t>E    180</t>
  </si>
  <si>
    <t>CH-15570</t>
  </si>
  <si>
    <t>E    181</t>
  </si>
  <si>
    <t>E    182</t>
  </si>
  <si>
    <t>CH-15571</t>
  </si>
  <si>
    <t>ROSALES HERNANDEZ MARTINA ERIKA</t>
  </si>
  <si>
    <t>E    184</t>
  </si>
  <si>
    <t>CH-15573</t>
  </si>
  <si>
    <t>ARTE Y DISTINCION EN MUEBLES, SA DE</t>
  </si>
  <si>
    <t>E    189</t>
  </si>
  <si>
    <t>CH-15576</t>
  </si>
  <si>
    <t>MERCADO LIBRE S DE RL DE CV</t>
  </si>
  <si>
    <t>E    193</t>
  </si>
  <si>
    <t>COM.BBVA</t>
  </si>
  <si>
    <t>COMISIONES BBVA AL 26/01/2015</t>
  </si>
  <si>
    <t>E    198</t>
  </si>
  <si>
    <t>E    199</t>
  </si>
  <si>
    <t>E    200</t>
  </si>
  <si>
    <t>CH-15578</t>
  </si>
  <si>
    <t>E    201</t>
  </si>
  <si>
    <t>CH-15579</t>
  </si>
  <si>
    <t>LJIMENEZ:MARTINEZ GARZA CORDERA CES</t>
  </si>
  <si>
    <t>E    203</t>
  </si>
  <si>
    <t>CH-15581</t>
  </si>
  <si>
    <t>LJIMENEZ:CAMPERO CRUZ ALFONSO</t>
  </si>
  <si>
    <t>E    204</t>
  </si>
  <si>
    <t>CH-15582</t>
  </si>
  <si>
    <t>E    211</t>
  </si>
  <si>
    <t>CH-15589</t>
  </si>
  <si>
    <t>TAPIA CERVANTES JOSE LUIS</t>
  </si>
  <si>
    <t>E    223</t>
  </si>
  <si>
    <t>LIDERAZGO AUTOMOTRIZ DE PUEBLA S.A.</t>
  </si>
  <si>
    <t>E    224</t>
  </si>
  <si>
    <t>E    225</t>
  </si>
  <si>
    <t>CH-15601</t>
  </si>
  <si>
    <t>E    232</t>
  </si>
  <si>
    <t>CH-15607</t>
  </si>
  <si>
    <t>SERVISISTEMAS LLANTEROS S.A. DE C.V</t>
  </si>
  <si>
    <t>E    233</t>
  </si>
  <si>
    <t>CH-15608</t>
  </si>
  <si>
    <t>DISTRIBUIDORA DE TORNILLOS Y BIRLOS</t>
  </si>
  <si>
    <t>E    234</t>
  </si>
  <si>
    <t>CH-15609</t>
  </si>
  <si>
    <t>DURAN MEJIA ARMANDO</t>
  </si>
  <si>
    <t>E    235</t>
  </si>
  <si>
    <t>CH-15611</t>
  </si>
  <si>
    <t>FIGUEROA CORNEJO MA. DEL RAYO</t>
  </si>
  <si>
    <t>E    236</t>
  </si>
  <si>
    <t>CH-15612</t>
  </si>
  <si>
    <t>RAMIREZ PATIÑO ALFREDO</t>
  </si>
  <si>
    <t>E    237</t>
  </si>
  <si>
    <t>CH-15613</t>
  </si>
  <si>
    <t>LOPEZ RODRIGUEZ PAOLA</t>
  </si>
  <si>
    <t>E    238</t>
  </si>
  <si>
    <t>CH-15614</t>
  </si>
  <si>
    <t>IMPULSORA DE TRANSPORTES MEXICANOS,</t>
  </si>
  <si>
    <t>E    239</t>
  </si>
  <si>
    <t>CH-15615</t>
  </si>
  <si>
    <t>E    241</t>
  </si>
  <si>
    <t>CH-15616</t>
  </si>
  <si>
    <t>E    242</t>
  </si>
  <si>
    <t>E    243</t>
  </si>
  <si>
    <t>E    244</t>
  </si>
  <si>
    <t>CH-15618</t>
  </si>
  <si>
    <t>E    245</t>
  </si>
  <si>
    <t>CH-15620</t>
  </si>
  <si>
    <t>E    249</t>
  </si>
  <si>
    <t>COM.ENE/15</t>
  </si>
  <si>
    <t>LJIMENEZ:COMISIONES BBVA ENE/2015</t>
  </si>
  <si>
    <t>E    250</t>
  </si>
  <si>
    <t>COM.BMX</t>
  </si>
  <si>
    <t>COMISIONES BMX ENE/2015</t>
  </si>
  <si>
    <t>E    251</t>
  </si>
  <si>
    <t>COM.BAJIO</t>
  </si>
  <si>
    <t>COMISIONES BAJIO ENE/2015</t>
  </si>
  <si>
    <t>E    252</t>
  </si>
  <si>
    <t>COM.BNTE</t>
  </si>
  <si>
    <t>COMISIONES BNTE ENE/2015</t>
  </si>
  <si>
    <t>E    254</t>
  </si>
  <si>
    <t>COM.STDER</t>
  </si>
  <si>
    <t>COMISIONES STDER ENE/2015</t>
  </si>
  <si>
    <t>E    256</t>
  </si>
  <si>
    <t>COM.AMEX</t>
  </si>
  <si>
    <t>COMISIONES AMEX ENE/2015</t>
  </si>
  <si>
    <t>E    261</t>
  </si>
  <si>
    <t>CH-15517</t>
  </si>
  <si>
    <t>E    262</t>
  </si>
  <si>
    <t>CH-15526</t>
  </si>
  <si>
    <t>E    263</t>
  </si>
  <si>
    <t>CH-15445</t>
  </si>
  <si>
    <t>E    264</t>
  </si>
  <si>
    <t>CH-15444</t>
  </si>
  <si>
    <t>FERNANDO LUGO GARCIA PELAYO</t>
  </si>
  <si>
    <t>E    265</t>
  </si>
  <si>
    <t>CH-15518</t>
  </si>
  <si>
    <t>E    266</t>
  </si>
  <si>
    <t>CH-15542</t>
  </si>
  <si>
    <t>GARCIA OLIVOS MA. TERESA</t>
  </si>
  <si>
    <t>E    267</t>
  </si>
  <si>
    <t>CH-15543</t>
  </si>
  <si>
    <t>E    268</t>
  </si>
  <si>
    <t>CH-15596</t>
  </si>
  <si>
    <t>ANUNCIOS PATTISON SA DE CV</t>
  </si>
  <si>
    <t>E    271</t>
  </si>
  <si>
    <t>T-1277</t>
  </si>
  <si>
    <t>DIEZ OCHENTA Y NUEVE SA DE CV</t>
  </si>
  <si>
    <t>E    273</t>
  </si>
  <si>
    <t>E    274</t>
  </si>
  <si>
    <t>T-1278</t>
  </si>
  <si>
    <t>VASQUEZ ALCANTARA EDER OCTAVIO</t>
  </si>
  <si>
    <t>E    275</t>
  </si>
  <si>
    <t>T-1279</t>
  </si>
  <si>
    <t>OFFICE DEPOT DE MEXICO S.A DE C.V.</t>
  </si>
  <si>
    <t>E    276</t>
  </si>
  <si>
    <t>T-1280</t>
  </si>
  <si>
    <t>LJIMENEZ:ARROYO ARVIZU DIEGO ARTURO</t>
  </si>
  <si>
    <t>E    277</t>
  </si>
  <si>
    <t>JC IMAGEN AUTOMOTRIZ, S.A. DE C.V.</t>
  </si>
  <si>
    <t>E    278</t>
  </si>
  <si>
    <t>T-1281</t>
  </si>
  <si>
    <t>CEVER LOMAS VERDES S DE RL DE C.V</t>
  </si>
  <si>
    <t>E    279</t>
  </si>
  <si>
    <t>LJIMENEZ:PAGO DE FACTURA AR-15259</t>
  </si>
  <si>
    <t>E    281</t>
  </si>
  <si>
    <t>T-1283</t>
  </si>
  <si>
    <t>E    285</t>
  </si>
  <si>
    <t>T-1286</t>
  </si>
  <si>
    <t>CALATAYUD ESCALONA EDUADO</t>
  </si>
  <si>
    <t>E    286</t>
  </si>
  <si>
    <t>T-1287</t>
  </si>
  <si>
    <t>MYSTERY SHOPPER MEXICO, S.A. DE C.V</t>
  </si>
  <si>
    <t>E    287</t>
  </si>
  <si>
    <t>MONTERO RAMIREZ ELIUD</t>
  </si>
  <si>
    <t>E    290</t>
  </si>
  <si>
    <t>E    291</t>
  </si>
  <si>
    <t>T-1288</t>
  </si>
  <si>
    <t>E    293</t>
  </si>
  <si>
    <t>TRASPASO</t>
  </si>
  <si>
    <t>PAGO PROVEEDOR FAC D52234</t>
  </si>
  <si>
    <t>E    295</t>
  </si>
  <si>
    <t>CH-15594</t>
  </si>
  <si>
    <t>LJIMENEZ:CH-15594 REFACCIONES</t>
  </si>
  <si>
    <t>E    297</t>
  </si>
  <si>
    <t>CH-391</t>
  </si>
  <si>
    <t>GUTIERREZ ARMENTA MAURICIO EDMUNDO</t>
  </si>
  <si>
    <t>E    302</t>
  </si>
  <si>
    <t>T-2121</t>
  </si>
  <si>
    <t>LJIMENEZ:MHMG ABOGADOS SC</t>
  </si>
  <si>
    <t>I  1,009</t>
  </si>
  <si>
    <t>EMBARQUE13</t>
  </si>
  <si>
    <t>EMBARQUE 13</t>
  </si>
  <si>
    <t>ALECSA CELAYA, SRL DE CV</t>
  </si>
  <si>
    <t>COMPLEMENTARIA DIOT</t>
  </si>
  <si>
    <t>ENERO</t>
  </si>
  <si>
    <t>POLIZA</t>
  </si>
  <si>
    <t>FECHA</t>
  </si>
  <si>
    <t>DESCIPCION</t>
  </si>
  <si>
    <t>T</t>
  </si>
  <si>
    <t>PROVEEDOR</t>
  </si>
  <si>
    <t>RFC</t>
  </si>
  <si>
    <t>NOMBRE</t>
  </si>
  <si>
    <t>SUBTOTAL</t>
  </si>
  <si>
    <t>IVA</t>
  </si>
  <si>
    <t xml:space="preserve">ALECSA CELAYA, S DE RL  CV </t>
  </si>
  <si>
    <t>RET</t>
  </si>
  <si>
    <t>ASA020131VB9</t>
  </si>
  <si>
    <t>ALDEN SATELITE  S  DE RL DE CV</t>
  </si>
  <si>
    <t>LONA700127T42</t>
  </si>
  <si>
    <t>AEI100407PH3</t>
  </si>
  <si>
    <t>APA030815MZA</t>
  </si>
  <si>
    <t>GAJA530403QE7</t>
  </si>
  <si>
    <t>DUMA580801KN5</t>
  </si>
  <si>
    <t>ADM0607075R2</t>
  </si>
  <si>
    <t>RIHA691010CX2</t>
  </si>
  <si>
    <t>AOA040608H65</t>
  </si>
  <si>
    <t>AUTOMOTRIZ OAXACA DE ANTEQUERA S DE</t>
  </si>
  <si>
    <t>ADI090204QN7</t>
  </si>
  <si>
    <t>AUTOMOVILES DINAMICOS S DE RL DE CV</t>
  </si>
  <si>
    <t>AME970109GW0</t>
  </si>
  <si>
    <t>BRS870126P22</t>
  </si>
  <si>
    <t>BADF760427S84</t>
  </si>
  <si>
    <t>API6609273E0</t>
  </si>
  <si>
    <t>AUTOBUSES DE LA PIEDAD SA DE CV</t>
  </si>
  <si>
    <t>IPO640805KU9</t>
  </si>
  <si>
    <t>INVERSIONES POTOSINAS SA DE CV</t>
  </si>
  <si>
    <t>ROB920923T33</t>
  </si>
  <si>
    <t>RESTAURANTE OBREGON SA DE CV</t>
  </si>
  <si>
    <t>CAEE580104DC6</t>
  </si>
  <si>
    <t>CALATAYUD ESCALONA EDUARDO</t>
  </si>
  <si>
    <t>GLOBAL</t>
  </si>
  <si>
    <t>CASETAS</t>
  </si>
  <si>
    <t>CAP070517CC3</t>
  </si>
  <si>
    <t>CCD,  AUTOSALES   PUERTO  VALLARTA</t>
  </si>
  <si>
    <t>CMB9802181M3</t>
  </si>
  <si>
    <t>CTO021007DZ8</t>
  </si>
  <si>
    <t>CEVER TOLUCA SA DE CV</t>
  </si>
  <si>
    <t>CLV0602102I4</t>
  </si>
  <si>
    <t>CEE090223D54</t>
  </si>
  <si>
    <t>CFC110121742</t>
  </si>
  <si>
    <t>COMERCIALIZADORA FARMACEUTICA DE CHIAPAS SAPI DE CV</t>
  </si>
  <si>
    <t>AEC810901298</t>
  </si>
  <si>
    <t>AMERICAN EXPRESS COMPANY MEXICO, SA DE CV</t>
  </si>
  <si>
    <t>BBA940707IE1</t>
  </si>
  <si>
    <t xml:space="preserve">BANCO DEL BAJIO, SA </t>
  </si>
  <si>
    <t>BBA830831LJ2</t>
  </si>
  <si>
    <t xml:space="preserve">BBVA BANCOMER SA </t>
  </si>
  <si>
    <t>BNM840515VB1</t>
  </si>
  <si>
    <t>BANCO NACIONAL DE MEXICO, SA</t>
  </si>
  <si>
    <t>BMN930209927</t>
  </si>
  <si>
    <t>BANCO MERCANTIL DEL NORTE, SA</t>
  </si>
  <si>
    <t>BSI970519CZ2</t>
  </si>
  <si>
    <t>BANCO SANTANDER, SA</t>
  </si>
  <si>
    <t>AMO010815U41</t>
  </si>
  <si>
    <t>ABASTECEDORA LA MORENITA SA DE CV</t>
  </si>
  <si>
    <t>ZUCA810922A86</t>
  </si>
  <si>
    <t>ABRAHAM ZULUB CHULIN</t>
  </si>
  <si>
    <t>ASC1104193JA</t>
  </si>
  <si>
    <t>ALIMENTOS SANOS DEL CENTRO SA DE CV</t>
  </si>
  <si>
    <t>APU640930KV9</t>
  </si>
  <si>
    <t>AUTOS PULLMAN SA DE CV</t>
  </si>
  <si>
    <t>CMA000407SU9</t>
  </si>
  <si>
    <t>COMBUSTIBLES MAX SA DE CV</t>
  </si>
  <si>
    <t>CNM980114PI2</t>
  </si>
  <si>
    <t>COMUNICACIONES NEXTEL DE MEXICO SA DE CV</t>
  </si>
  <si>
    <t>COR940512BM6</t>
  </si>
  <si>
    <t>CORCORES SA DE CV</t>
  </si>
  <si>
    <t>CME910715UB9</t>
  </si>
  <si>
    <t>MATG6407264Q9</t>
  </si>
  <si>
    <t>GRACIELA MARTINEZ TREJO</t>
  </si>
  <si>
    <t>GCJ130205Q62</t>
  </si>
  <si>
    <t>GRUPO CJDE SA DE CV</t>
  </si>
  <si>
    <t>GHO091124SM3</t>
  </si>
  <si>
    <t>GRUPO HERRADURA OCCIDENTE SA DE CV</t>
  </si>
  <si>
    <t>LVB141009VE5</t>
  </si>
  <si>
    <t>LLANTAS VEGA BOULEVARD SA DE CV</t>
  </si>
  <si>
    <t>MNE0409226K9</t>
  </si>
  <si>
    <t>ODM950324V2A</t>
  </si>
  <si>
    <t>OGS9804218A0</t>
  </si>
  <si>
    <t>OGSA SA DE CV</t>
  </si>
  <si>
    <t>SBA030617DE0</t>
  </si>
  <si>
    <t>SERVICIO BASE AEREA SA DE CV</t>
  </si>
  <si>
    <t>SCR000404NU7</t>
  </si>
  <si>
    <t>SERVICIO DE COMBUSTIBLES RAYMEL SA DE CV</t>
  </si>
  <si>
    <t>SPO930313A13</t>
  </si>
  <si>
    <t>SERVICIO PERIFERICO ORIENTE SA DE CV</t>
  </si>
  <si>
    <t>SSJ0011225G3</t>
  </si>
  <si>
    <t>SERVICIO SAN JOSE DEL ALTO SA DE CV</t>
  </si>
  <si>
    <t>SUL601206R87</t>
  </si>
  <si>
    <t>SERVICIO ULTRAMODERNO SA DE CV</t>
  </si>
  <si>
    <t>SER950313SY8</t>
  </si>
  <si>
    <t>SERVITRIANGULO SA DE CV</t>
  </si>
  <si>
    <t>TSO991022PB6</t>
  </si>
  <si>
    <t>TIENDAS SORIANA SA DE CV</t>
  </si>
  <si>
    <t>BAZF520129RT1</t>
  </si>
  <si>
    <t>FRANCISCO JAVIER BRAVO ZAMORA</t>
  </si>
  <si>
    <t>RPP760101966</t>
  </si>
  <si>
    <t>RESTAURANTE LA PARROQUIA POTOSINA SA</t>
  </si>
  <si>
    <t>C&amp;A050406NL0</t>
  </si>
  <si>
    <t>DAU0109242TA</t>
  </si>
  <si>
    <t>DALTON  AUTMOTRIZ S  DE  RL DE  CV</t>
  </si>
  <si>
    <t>DAU030729946</t>
  </si>
  <si>
    <t>DECADA  AUTOMOTRIZ  S  DE  RL DE  C</t>
  </si>
  <si>
    <t>DON110503C57</t>
  </si>
  <si>
    <t>DTB000309B37</t>
  </si>
  <si>
    <t>DAU0511111HA</t>
  </si>
  <si>
    <t>DURANGO  AUTOMOTORES  S  DE RL DE C</t>
  </si>
  <si>
    <t>TFS011012M18</t>
  </si>
  <si>
    <t>FGU830930PD3</t>
  </si>
  <si>
    <t>FARMACIA GUADALAJARA SA DE CV</t>
  </si>
  <si>
    <t>VEBF490427NV8</t>
  </si>
  <si>
    <t>LUGF680210BX3</t>
  </si>
  <si>
    <t>FMB871228QF7</t>
  </si>
  <si>
    <t>FICR750321LL4</t>
  </si>
  <si>
    <t>GYR880101TL1</t>
  </si>
  <si>
    <t>GADE4012025L6</t>
  </si>
  <si>
    <t>CFE370814QI0</t>
  </si>
  <si>
    <t>IES0408199Y5</t>
  </si>
  <si>
    <t>INMOBILIARIA ESCOGON SA DE CV</t>
  </si>
  <si>
    <t>GJO840215UW9</t>
  </si>
  <si>
    <t>GASTRONOMICA JOSECHO SA DE CV</t>
  </si>
  <si>
    <t>GPM080609PV6</t>
  </si>
  <si>
    <t>GRUPO   PENNINSULA MOTORS S  DE  RL</t>
  </si>
  <si>
    <t>GEC091223SN6</t>
  </si>
  <si>
    <t>GEC920624ED3</t>
  </si>
  <si>
    <t>CRP870105RI7</t>
  </si>
  <si>
    <t>CAFETERIA Y RESTAURANTE EL PACIFICO SA DE CV</t>
  </si>
  <si>
    <t>PASAJES</t>
  </si>
  <si>
    <t>HDM001017AS1</t>
  </si>
  <si>
    <t>ILB130712NH3</t>
  </si>
  <si>
    <t>ITM8012013N0</t>
  </si>
  <si>
    <t>IDA8609228I7</t>
  </si>
  <si>
    <t>INDUSTRIA DISEÑADORA DE AUTOPARTES SA DE CV</t>
  </si>
  <si>
    <t>MESJ5709043NA</t>
  </si>
  <si>
    <t>AIMJ651214GR7</t>
  </si>
  <si>
    <t>JIA091120L52</t>
  </si>
  <si>
    <t>JMA840106356</t>
  </si>
  <si>
    <t>LECA340720JN4</t>
  </si>
  <si>
    <t>LAP0209255U7</t>
  </si>
  <si>
    <t>LIDERAZGO AUTOMOTRIZ  DE  PUEBLA</t>
  </si>
  <si>
    <t>QMO710112RH2</t>
  </si>
  <si>
    <t xml:space="preserve">QUERETARO MOTORS SA </t>
  </si>
  <si>
    <t>LODS700516KX9</t>
  </si>
  <si>
    <t>LORP760922EW9</t>
  </si>
  <si>
    <t>LBA880808D36</t>
  </si>
  <si>
    <t>MERL571216D49</t>
  </si>
  <si>
    <t>MAR960105E93</t>
  </si>
  <si>
    <t>SAME501118ED3</t>
  </si>
  <si>
    <t>HEBM781017UQ1</t>
  </si>
  <si>
    <t>MER991006JMA</t>
  </si>
  <si>
    <t>MCE970318REA</t>
  </si>
  <si>
    <t>MOEF731201TA1</t>
  </si>
  <si>
    <t>MORE711231DZ0</t>
  </si>
  <si>
    <t>MUBC4112283F2</t>
  </si>
  <si>
    <t>MSM010207IP3</t>
  </si>
  <si>
    <t>NWM9709244W4</t>
  </si>
  <si>
    <t>OONG650317SF9</t>
  </si>
  <si>
    <t>OAU021125H84</t>
  </si>
  <si>
    <t>OZ AUTOMOTRIZ, S DE RL DE CV</t>
  </si>
  <si>
    <t>PLA040830Q5A</t>
  </si>
  <si>
    <t>PRB100802H20</t>
  </si>
  <si>
    <t>SOAC780112US6</t>
  </si>
  <si>
    <t>PMM0805154Q1</t>
  </si>
  <si>
    <t>PURDY MOTOR MEXICO D.F. S  DE  RL D</t>
  </si>
  <si>
    <t>RAPA8110163Z0</t>
  </si>
  <si>
    <t>RED940114JX9</t>
  </si>
  <si>
    <t>REMA750219BL6</t>
  </si>
  <si>
    <t>ROHM750707I51</t>
  </si>
  <si>
    <t>RCP0611249P0</t>
  </si>
  <si>
    <t>ROMS530216186</t>
  </si>
  <si>
    <t>SLA8912211U6</t>
  </si>
  <si>
    <t>SEV040910EN3</t>
  </si>
  <si>
    <t>SFA8504152I1</t>
  </si>
  <si>
    <t>SEI100113GB0</t>
  </si>
  <si>
    <t>SOLUCIONES E INNOVACION EN TINTORERIA DEL NORTE SA DE CV</t>
  </si>
  <si>
    <t>SEAE8106183T6</t>
  </si>
  <si>
    <t>TME840315KT6</t>
  </si>
  <si>
    <t>TMO141006CP6</t>
  </si>
  <si>
    <t>TOY  MOTORS SA  DE CV</t>
  </si>
  <si>
    <t>TOY0507283C5</t>
  </si>
  <si>
    <t>TOYOCOAPA S  DE  RL DE CV</t>
  </si>
  <si>
    <t>TIR140519LT8</t>
  </si>
  <si>
    <t>TOYOMOTORS  DE  IRAPUATO S DE RL DE</t>
  </si>
  <si>
    <t>TOY030128DM7</t>
  </si>
  <si>
    <t>TOYOMOTORS  S DE  RL DE  CV</t>
  </si>
  <si>
    <t>TOYOMOTORS  SA  DE  CV</t>
  </si>
  <si>
    <t>TRA060703EB4</t>
  </si>
  <si>
    <t>AGA0006136F1</t>
  </si>
  <si>
    <t>AUTOSERVICIO GASHR SA DE CV</t>
  </si>
  <si>
    <t>CCO8605231N4</t>
  </si>
  <si>
    <t>CADENA COMERCIAL OXXO SA DE CV</t>
  </si>
  <si>
    <t>SJU010405FU0</t>
  </si>
  <si>
    <t>SERVICIO LAS JUNTAS SA DE CV</t>
  </si>
  <si>
    <t>DRO940516GC2</t>
  </si>
  <si>
    <t>DISTRIBUIDORA RIESMA SA DE CV</t>
  </si>
  <si>
    <t>HULA420421TQ8</t>
  </si>
  <si>
    <t>ANSELMA EDITH HUESCA LAGUNES</t>
  </si>
  <si>
    <t>GAPC541002778</t>
  </si>
  <si>
    <t>CRISTINA CONCEPCION DE LOS ANGELES GARCIA PUY</t>
  </si>
  <si>
    <t>GAS980515IE9</t>
  </si>
  <si>
    <t>GASMORVIL SA DE CV</t>
  </si>
  <si>
    <t>GGV140605190</t>
  </si>
  <si>
    <t>GRUPO GASOLINERO VILLAMON SA DE CV</t>
  </si>
  <si>
    <t>CAPN820703SY9</t>
  </si>
  <si>
    <t>NADYA YAZMIN CHAVEZ PEREZ</t>
  </si>
  <si>
    <t>OES070503PZ1</t>
  </si>
  <si>
    <t>OPERADORA DE ESTACIONES DE SERVICIO 20-20 SA DE CV</t>
  </si>
  <si>
    <t>OTE021014QR9</t>
  </si>
  <si>
    <t>OPERADORA TABASQUEÑA EDMAGRA SA DE CV</t>
  </si>
  <si>
    <t>ASC090914UPA</t>
  </si>
  <si>
    <t>AUTO SERVICIO CARDENAS II SA DE CV</t>
  </si>
  <si>
    <t>CYU941027P30</t>
  </si>
  <si>
    <t>COMBUSTIBLES DE YUCATAN SA DE CV</t>
  </si>
  <si>
    <t>ESG000418CS4</t>
  </si>
  <si>
    <t>ESGES SA DE CV</t>
  </si>
  <si>
    <t>RFV010207JP4</t>
  </si>
  <si>
    <t>RESTAURANTE FAMILIAR EL VERACRUZANO SA DE CV</t>
  </si>
  <si>
    <t>SCE010830455</t>
  </si>
  <si>
    <t>SERVICIOS CARRETEROS DE ESPERANZA SA DE CV</t>
  </si>
  <si>
    <t>HEGS6204255W7</t>
  </si>
  <si>
    <t>SERGIO HERNANDEZ GARCIA</t>
  </si>
  <si>
    <t>GGU920707CSA</t>
  </si>
  <si>
    <t>GAS GUERRA SA DE CV</t>
  </si>
  <si>
    <t>OME561118AA8</t>
  </si>
  <si>
    <t>OMNIBUS DE MEXICO SA DE CV</t>
  </si>
  <si>
    <t>PPA090403C75</t>
  </si>
  <si>
    <t>PARADERO DEL PARIENTE SA DE CV</t>
  </si>
  <si>
    <t>PET040903DH1</t>
  </si>
  <si>
    <t>PETROMAX SA DE CV</t>
  </si>
  <si>
    <t>SSR760906L2A</t>
  </si>
  <si>
    <t>SERVICIO SANTA MARIA DEL RIO SA DE CV</t>
  </si>
  <si>
    <t>AEB611030SN7</t>
  </si>
  <si>
    <t>AUTOBUSES ESTRELLA BLANCA SA DE CV</t>
  </si>
  <si>
    <t>COV070910694</t>
  </si>
  <si>
    <t>COVESU SA DE CV</t>
  </si>
  <si>
    <t>HMA1011256N1</t>
  </si>
  <si>
    <t>HIDROCARBUROS MARADEVI SA DE CV</t>
  </si>
  <si>
    <t>ROCM620808M6A</t>
  </si>
  <si>
    <t>MA.MERCEDES ROCHA CALDERON</t>
  </si>
  <si>
    <t>SXA041111GR2</t>
  </si>
  <si>
    <t>SERVICIO XACOBEO SA DE CV</t>
  </si>
  <si>
    <t>AGI990422EL7</t>
  </si>
  <si>
    <t>ADMINISTRADORA DE GOSOLINERAS INTERLOMAS SA DE CV</t>
  </si>
  <si>
    <t>TSC070907QS5</t>
  </si>
  <si>
    <t>TIENDA SINDICAL DE CONSUMO SECCION X SAN FRANCISCO SA DE CV</t>
  </si>
  <si>
    <t>GIN970606Q58</t>
  </si>
  <si>
    <t>GASOLINERA INSURGENTES SA DE CV</t>
  </si>
  <si>
    <t>LOLT770128EX5</t>
  </si>
  <si>
    <t>RESTAURANTE LAS TEXAS</t>
  </si>
  <si>
    <t>SAC1005185H4</t>
  </si>
  <si>
    <t>SERVICIO ACORUÑA SA DE CV</t>
  </si>
  <si>
    <t>GBA060117351</t>
  </si>
  <si>
    <t>GAS BARRIENTOS SA DE CV</t>
  </si>
  <si>
    <t>SJD070119PB4</t>
  </si>
  <si>
    <t>SERVICIO JARDINES DE DURANGO SA DE CV</t>
  </si>
  <si>
    <t>TGG070821IU8</t>
  </si>
  <si>
    <t>TORO GRUPO GASOLINERO SA DE CV</t>
  </si>
  <si>
    <t>CFO0208151V7</t>
  </si>
  <si>
    <t>COMERCIALIZADORA FELIZ DE OCCIDENTE SA DE CV</t>
  </si>
  <si>
    <t>VMT060106JC7</t>
  </si>
  <si>
    <t>VAAE850203JA2</t>
  </si>
  <si>
    <t>GEL920409FJA</t>
  </si>
  <si>
    <t>GRUPO ELKA SA DE CV</t>
  </si>
  <si>
    <t>HPS701112C35</t>
  </si>
  <si>
    <t>CACX690510NNA</t>
  </si>
  <si>
    <t>CAMPERO CRUZ ALFONSO</t>
  </si>
  <si>
    <t>ATS020806JZ3</t>
  </si>
  <si>
    <t>AUTOMOTRIZ TOY  DEL SURESTE</t>
  </si>
  <si>
    <t>DIFERENCIA</t>
  </si>
  <si>
    <t>ESE930624B79</t>
  </si>
  <si>
    <t>ESTACIONES DE SERVICIO SA DE CV</t>
  </si>
  <si>
    <t>MNI040607T43</t>
  </si>
  <si>
    <t>MEGAMOTORS NIPPON S DE RL DE  CV</t>
  </si>
  <si>
    <t>OAC041025LXA</t>
  </si>
  <si>
    <t>OZ  AUTOMOTRIZ  DE COLIMA S DE RL D</t>
  </si>
  <si>
    <t>SEVIBA S.A. DE C.V</t>
  </si>
  <si>
    <t>FEGS580628NS1</t>
  </si>
  <si>
    <t>PFC7512226Y3</t>
  </si>
  <si>
    <t>TACL800723S46</t>
  </si>
  <si>
    <t>HOTEL PLAZA DEL SOL SA DE CV</t>
  </si>
  <si>
    <t>RST030219DA1</t>
  </si>
  <si>
    <t>RESTAURANTE DE SERVICIOS TAPATIOS SA DE CV</t>
  </si>
  <si>
    <t>D    147</t>
  </si>
  <si>
    <t>0441-TCN15</t>
  </si>
  <si>
    <t>D    199</t>
  </si>
  <si>
    <t>0442-TCN15</t>
  </si>
  <si>
    <t>TOYOCOAPA  S  DE  RL  DE  CV</t>
  </si>
  <si>
    <t>D    200</t>
  </si>
  <si>
    <t>0443-TCN15</t>
  </si>
  <si>
    <t>D    201</t>
  </si>
  <si>
    <t>0444-TCN15</t>
  </si>
  <si>
    <t>D    294</t>
  </si>
  <si>
    <t>0445-TCN15</t>
  </si>
  <si>
    <t>ALDEN SATELITE  S  DE  RL DE CV</t>
  </si>
  <si>
    <t>D    398</t>
  </si>
  <si>
    <t>0446-TCN15</t>
  </si>
  <si>
    <t>TOYOMOTORS  SA  DE CV</t>
  </si>
  <si>
    <t>D    440</t>
  </si>
  <si>
    <t>0447-TCN15</t>
  </si>
  <si>
    <t>0450-TCN15</t>
  </si>
  <si>
    <t>0451-TCN15</t>
  </si>
  <si>
    <t>D    537</t>
  </si>
  <si>
    <t>0452-TCN15</t>
  </si>
  <si>
    <t>LJIMENEZ:UNITED AUTO DE  AGUASCALIE</t>
  </si>
  <si>
    <t>0453-TCN15</t>
  </si>
  <si>
    <t>D    583</t>
  </si>
  <si>
    <t>0454-TCN15</t>
  </si>
  <si>
    <t>D    584</t>
  </si>
  <si>
    <t>0455-TCN15</t>
  </si>
  <si>
    <t>D    585</t>
  </si>
  <si>
    <t>0457-TCN15</t>
  </si>
  <si>
    <t>D    589</t>
  </si>
  <si>
    <t>0458-TCN15</t>
  </si>
  <si>
    <t>D    655</t>
  </si>
  <si>
    <t>0459-TCN15</t>
  </si>
  <si>
    <t>DURANGO  AUTOMOTORES   S  DE  RL DE</t>
  </si>
  <si>
    <t>D    666</t>
  </si>
  <si>
    <t>0460-TCN15</t>
  </si>
  <si>
    <t>D    712</t>
  </si>
  <si>
    <t>0462-TCN15</t>
  </si>
  <si>
    <t>DECADA COATZACOALCOS S  DE  RL DE</t>
  </si>
  <si>
    <t>D    716</t>
  </si>
  <si>
    <t>0463-TCN15</t>
  </si>
  <si>
    <t>TOY MOTORS SA  DE  CV</t>
  </si>
  <si>
    <t>D    744</t>
  </si>
  <si>
    <t>D    751</t>
  </si>
  <si>
    <t>0464-TCN15</t>
  </si>
  <si>
    <t>D    755</t>
  </si>
  <si>
    <t>0456-TCN15</t>
  </si>
  <si>
    <t>D    903</t>
  </si>
  <si>
    <t>0465-TCN15</t>
  </si>
  <si>
    <t>D    943</t>
  </si>
  <si>
    <t>0466-TCN15</t>
  </si>
  <si>
    <t>D    991</t>
  </si>
  <si>
    <t>D  1,011</t>
  </si>
  <si>
    <t>D  1,012</t>
  </si>
  <si>
    <t>D  1,016</t>
  </si>
  <si>
    <t>0467-TCN15</t>
  </si>
  <si>
    <t>UNITED AUTO DE AGUSASCALIENTESS DE</t>
  </si>
  <si>
    <t>D  1,019</t>
  </si>
  <si>
    <t>0468-TCN15</t>
  </si>
  <si>
    <t>OZ  AUTOMOTRIZ S DE RL DE CV</t>
  </si>
  <si>
    <t>D  1,026</t>
  </si>
  <si>
    <t>0469-TCN15</t>
  </si>
  <si>
    <t>D  1,028</t>
  </si>
  <si>
    <t>0470-TCN15</t>
  </si>
  <si>
    <t>SAMURAI  MOTORS S  D E RL DE CV</t>
  </si>
  <si>
    <t>D  1,059</t>
  </si>
  <si>
    <t>D  1,109</t>
  </si>
  <si>
    <t>0471-TCN15</t>
  </si>
  <si>
    <t>D  1,117</t>
  </si>
  <si>
    <t>0472-TCN15</t>
  </si>
  <si>
    <t>CEVER LOMAS VERDES   S DE  RL DE  C</t>
  </si>
  <si>
    <t>D  1,128</t>
  </si>
  <si>
    <t>0473-TCN15</t>
  </si>
  <si>
    <t>D  1,131</t>
  </si>
  <si>
    <t>0474-TCN15</t>
  </si>
  <si>
    <t>D  1,152</t>
  </si>
  <si>
    <t>0476-TCN15</t>
  </si>
  <si>
    <t>TOYOMOTORS  DE  POLANCO  S  DE RL D</t>
  </si>
  <si>
    <t>0477-TCN15</t>
  </si>
  <si>
    <t>D  1,214</t>
  </si>
  <si>
    <t>0478-TCN15</t>
  </si>
  <si>
    <t>TOYOMOTORS DE  POLANCO  S DE  RL DE</t>
  </si>
  <si>
    <t>D  1,231</t>
  </si>
  <si>
    <t>0480-TCN15</t>
  </si>
  <si>
    <t>0479-TCN15</t>
  </si>
  <si>
    <t>0481-TCN15</t>
  </si>
  <si>
    <t>D  1,374</t>
  </si>
  <si>
    <t>0448-TCN15</t>
  </si>
  <si>
    <t>D  1,375</t>
  </si>
  <si>
    <t>0449-TCN15</t>
  </si>
  <si>
    <t>D  1,385</t>
  </si>
  <si>
    <t>0482-TCN15</t>
  </si>
  <si>
    <t>D  1,386</t>
  </si>
  <si>
    <t>0483-TCN15</t>
  </si>
  <si>
    <t>D  1,387</t>
  </si>
  <si>
    <t>0484-TCN15</t>
  </si>
  <si>
    <t>0485-TCN15</t>
  </si>
  <si>
    <t>D  1,389</t>
  </si>
  <si>
    <t>0486-TCN15</t>
  </si>
  <si>
    <t>D  1,390</t>
  </si>
  <si>
    <t>0487-TCN15</t>
  </si>
  <si>
    <t>D  1,395</t>
  </si>
  <si>
    <t>0488-TCN15</t>
  </si>
  <si>
    <t>D  1,396</t>
  </si>
  <si>
    <t>0489-TCN15</t>
  </si>
  <si>
    <t>D  1,408</t>
  </si>
  <si>
    <t>0490-TCN15</t>
  </si>
  <si>
    <t>LJIMENEZ:OZ AUTOMOTRIZ  S DE  RL D</t>
  </si>
  <si>
    <t>0491-TCN15</t>
  </si>
  <si>
    <t>D  1,411</t>
  </si>
  <si>
    <t>0492-TCN15</t>
  </si>
  <si>
    <t>D  1,413</t>
  </si>
  <si>
    <t>D  1,486</t>
  </si>
  <si>
    <t>LJIMENEZ:LIDERAZGO  AUTOMOTRIZ DE</t>
  </si>
  <si>
    <t>D  1,549</t>
  </si>
  <si>
    <t>0493-TCN15</t>
  </si>
  <si>
    <t>D  1,578</t>
  </si>
  <si>
    <t>0494-TCN15</t>
  </si>
  <si>
    <t>D  1,589</t>
  </si>
  <si>
    <t>DALTON  AUTOMOTORES S DE RL DE CV</t>
  </si>
  <si>
    <t>D  1,602</t>
  </si>
  <si>
    <t>C.VIATICOS JAVIER SANCHEZ VIAN</t>
  </si>
  <si>
    <t>D  1,615</t>
  </si>
  <si>
    <t>0495-TCN15</t>
  </si>
  <si>
    <t>DALTON AUTOMOTORES S  DE  RL DE  CV</t>
  </si>
  <si>
    <t>D  1,638</t>
  </si>
  <si>
    <t>P000009746</t>
  </si>
  <si>
    <t>LJIMENEZ:SERVICIO CENTRAL TECNOLOGI</t>
  </si>
  <si>
    <t>D  1,692</t>
  </si>
  <si>
    <t>0496-TCN15</t>
  </si>
  <si>
    <t>D  1,693</t>
  </si>
  <si>
    <t>0497-TCN15</t>
  </si>
  <si>
    <t>D  1,697</t>
  </si>
  <si>
    <t>0498-TCN15</t>
  </si>
  <si>
    <t>D  1,698</t>
  </si>
  <si>
    <t>0499-TCN15</t>
  </si>
  <si>
    <t>D  1,750</t>
  </si>
  <si>
    <t>0500-TCN15</t>
  </si>
  <si>
    <t>AUTOMOTRIZ NIHON  S.A. DE  CV.</t>
  </si>
  <si>
    <t>D  1,765</t>
  </si>
  <si>
    <t>0501-TCN15</t>
  </si>
  <si>
    <t>DALTON AUTOMOTORES S  DE  RL DE CV</t>
  </si>
  <si>
    <t>D  1,808</t>
  </si>
  <si>
    <t>0502-TCN15</t>
  </si>
  <si>
    <t>D  1,812</t>
  </si>
  <si>
    <t>0503-TCN15</t>
  </si>
  <si>
    <t>D  1,819</t>
  </si>
  <si>
    <t>0504-TCN15</t>
  </si>
  <si>
    <t>CCD,  AUTOSALES  PUERTO VALLARTA</t>
  </si>
  <si>
    <t>D  1,820</t>
  </si>
  <si>
    <t>0505-TCN15</t>
  </si>
  <si>
    <t>D  1,821</t>
  </si>
  <si>
    <t>0506-TCN15</t>
  </si>
  <si>
    <t>D  1,871</t>
  </si>
  <si>
    <t>0507-TCN15</t>
  </si>
  <si>
    <t>D  1,890</t>
  </si>
  <si>
    <t>0508-TCN15</t>
  </si>
  <si>
    <t>LJIMENEZ:DURANGO  AUTOMOTORES S  DE</t>
  </si>
  <si>
    <t>D  1,896</t>
  </si>
  <si>
    <t>0509-TCN15</t>
  </si>
  <si>
    <t>D  1,911</t>
  </si>
  <si>
    <t>0510-TCN15</t>
  </si>
  <si>
    <t>LJIMENEZ:PURDY MOTOR MEXICO DF S  D</t>
  </si>
  <si>
    <t>D  2,075</t>
  </si>
  <si>
    <t>BAJA:MHMM ABOGADOS, SC</t>
  </si>
  <si>
    <t>D  2,083</t>
  </si>
  <si>
    <t>C.VIATICOS ERIKA CAZARES CHAIR</t>
  </si>
  <si>
    <t>D  2,084</t>
  </si>
  <si>
    <t>D  2,085</t>
  </si>
  <si>
    <t>C.VIATIVOS</t>
  </si>
  <si>
    <t>C.VIATICOS JULIO CESAR PEREZ S</t>
  </si>
  <si>
    <t>D  2,129</t>
  </si>
  <si>
    <t>S001205</t>
  </si>
  <si>
    <t>D  2,130</t>
  </si>
  <si>
    <t>MA. DEL RAYO FIGUEROA CORNEJO</t>
  </si>
  <si>
    <t>D  2,131</t>
  </si>
  <si>
    <t>S001193</t>
  </si>
  <si>
    <t>D  2,132</t>
  </si>
  <si>
    <t>PINTURAS DE CELAYA SA DE CV</t>
  </si>
  <si>
    <t>FERRETERIA LA AZTECA SA DE CV</t>
  </si>
  <si>
    <t>D  2,135</t>
  </si>
  <si>
    <t>DISTRIBUIDORA LIVERPOOL SA DE</t>
  </si>
  <si>
    <t>D  2,136</t>
  </si>
  <si>
    <t>IMPORTADORA EL LECHA SA DE CV</t>
  </si>
  <si>
    <t>D  2,137</t>
  </si>
  <si>
    <t>GRUPO FERNANDO AUTOMOTRIZ SA D</t>
  </si>
  <si>
    <t>D  2,138</t>
  </si>
  <si>
    <t>LJIMENEZ:GTOS.GERENCIA</t>
  </si>
  <si>
    <t>D  2,139</t>
  </si>
  <si>
    <t>GASOLINERA EL PUEBLITO SA DE C</t>
  </si>
  <si>
    <t>D  2,140</t>
  </si>
  <si>
    <t>LJIMENEZ:COMPLEJO EMPRESARIAL 2001</t>
  </si>
  <si>
    <t>D  2,141</t>
  </si>
  <si>
    <t>NUEVA WALMART DE MEXICO S RL D</t>
  </si>
  <si>
    <t>D  2,142</t>
  </si>
  <si>
    <t>D  2,143</t>
  </si>
  <si>
    <t>P010003</t>
  </si>
  <si>
    <t>JUMAPA</t>
  </si>
  <si>
    <t>D  2,144</t>
  </si>
  <si>
    <t>COMUNICACIONES NEXTEL DE MEXIC</t>
  </si>
  <si>
    <t>D  2,145</t>
  </si>
  <si>
    <t>D  2,146</t>
  </si>
  <si>
    <t>D  2,147</t>
  </si>
  <si>
    <t>D  2,148</t>
  </si>
  <si>
    <t>D  2,149</t>
  </si>
  <si>
    <t>D  2,150</t>
  </si>
  <si>
    <t>D  2,151</t>
  </si>
  <si>
    <t>D  2,152</t>
  </si>
  <si>
    <t>D  2,153</t>
  </si>
  <si>
    <t>D  2,154</t>
  </si>
  <si>
    <t>D  2,155</t>
  </si>
  <si>
    <t>D  2,156</t>
  </si>
  <si>
    <t>LJIMENEZ:ELECTROCOMPONENTES SA DE C</t>
  </si>
  <si>
    <t>D  2,157</t>
  </si>
  <si>
    <t>ELECTROCOMPONENTES SA DE CV</t>
  </si>
  <si>
    <t>D  2,161</t>
  </si>
  <si>
    <t>SURTIDOR ELECTRICO DE MONTERRE</t>
  </si>
  <si>
    <t>D  2,162</t>
  </si>
  <si>
    <t>ACEROS Y PERFILES HERRERA SA D</t>
  </si>
  <si>
    <t>D  2,163</t>
  </si>
  <si>
    <t>FERNANDO SANCHEZ ARREOLA</t>
  </si>
  <si>
    <t>D  2,164</t>
  </si>
  <si>
    <t>ELEKTRON DEL BAJIO SA DE CV</t>
  </si>
  <si>
    <t>D  2,165</t>
  </si>
  <si>
    <t>JUAN CHAVEZ HERNANDEZ</t>
  </si>
  <si>
    <t>D  2,166</t>
  </si>
  <si>
    <t>PINTURAS ESTASE SA DE CV</t>
  </si>
  <si>
    <t>D  2,168</t>
  </si>
  <si>
    <t>P010110</t>
  </si>
  <si>
    <t>TRASLADO INV.0431-TCN15</t>
  </si>
  <si>
    <t>D  2,170</t>
  </si>
  <si>
    <t>P010112</t>
  </si>
  <si>
    <t>TRASLADO INV.0495N/15</t>
  </si>
  <si>
    <t>D  2,172</t>
  </si>
  <si>
    <t>P010114</t>
  </si>
  <si>
    <t>TRASLADO INV.0901N/14</t>
  </si>
  <si>
    <t>D  2,174</t>
  </si>
  <si>
    <t>P010116</t>
  </si>
  <si>
    <t>TRASLADO INV.0428N/15</t>
  </si>
  <si>
    <t>D  2,176</t>
  </si>
  <si>
    <t>p010118</t>
  </si>
  <si>
    <t>TRASLADO INV.0470N/15</t>
  </si>
  <si>
    <t>D  2,178</t>
  </si>
  <si>
    <t>P010120</t>
  </si>
  <si>
    <t>TRASLADO INV.0472N/15</t>
  </si>
  <si>
    <t>D  2,180</t>
  </si>
  <si>
    <t>P010122</t>
  </si>
  <si>
    <t>TRASLADO INV.0462N/15</t>
  </si>
  <si>
    <t>D  2,182</t>
  </si>
  <si>
    <t>P010124</t>
  </si>
  <si>
    <t>TRASLADO INV.0501N/15</t>
  </si>
  <si>
    <t>D  2,184</t>
  </si>
  <si>
    <t>P010126</t>
  </si>
  <si>
    <t>TRASLADO INV.0409N/15</t>
  </si>
  <si>
    <t>D  2,186</t>
  </si>
  <si>
    <t>P010128</t>
  </si>
  <si>
    <t>TRASLADO INV.0445N/15</t>
  </si>
  <si>
    <t>D  2,188</t>
  </si>
  <si>
    <t>P010130</t>
  </si>
  <si>
    <t>TRASLADO INV.0463N/15</t>
  </si>
  <si>
    <t>BAJIO TECH COPY SA DE CV</t>
  </si>
  <si>
    <t>D  2,191</t>
  </si>
  <si>
    <t>NWD0000060</t>
  </si>
  <si>
    <t>LJIMENEZ:QUERETARO MOTORS, SA</t>
  </si>
  <si>
    <t>D  2,192</t>
  </si>
  <si>
    <t>NWD0000065</t>
  </si>
  <si>
    <t>D  2,193</t>
  </si>
  <si>
    <t>NWD0000070</t>
  </si>
  <si>
    <t>D  2,194</t>
  </si>
  <si>
    <t>NWD0000083</t>
  </si>
  <si>
    <t>SANBORN HERMANOS SA</t>
  </si>
  <si>
    <t>D  2,196</t>
  </si>
  <si>
    <t>D  2,197</t>
  </si>
  <si>
    <t>D  2,198</t>
  </si>
  <si>
    <t>CASETAS DE GERENCIA</t>
  </si>
  <si>
    <t>D  2,200</t>
  </si>
  <si>
    <t>SEARS OPERADORA MEXICANA SA DE</t>
  </si>
  <si>
    <t>D  2,201</t>
  </si>
  <si>
    <t>D  2,202</t>
  </si>
  <si>
    <t>D  2,203</t>
  </si>
  <si>
    <t>D  2,206</t>
  </si>
  <si>
    <t>D  2,207</t>
  </si>
  <si>
    <t>D  2,216</t>
  </si>
  <si>
    <t>D  2,217</t>
  </si>
  <si>
    <t>D  2,218</t>
  </si>
  <si>
    <t>SEARS OPERADORA MEXICO SA DE C</t>
  </si>
  <si>
    <t>D  2,220</t>
  </si>
  <si>
    <t>JAVIER DELGADO HERNANDEZ</t>
  </si>
  <si>
    <t>D  2,222</t>
  </si>
  <si>
    <t>D  2,225</t>
  </si>
  <si>
    <t>D  2,226</t>
  </si>
  <si>
    <t>LJIMENEZ:ROBERTO CARLOS SERVIN CORN</t>
  </si>
  <si>
    <t>D  2,228</t>
  </si>
  <si>
    <t>MAURO LOPEZ MUÑOZ</t>
  </si>
  <si>
    <t>D  2,229</t>
  </si>
  <si>
    <t>D  2,230</t>
  </si>
  <si>
    <t>MIGUEL ANGEL CHAVEZ MANRIQUE</t>
  </si>
  <si>
    <t>D  2,231</t>
  </si>
  <si>
    <t>D  2,232</t>
  </si>
  <si>
    <t>RYSE DE IRAPUATO SA DE CV</t>
  </si>
  <si>
    <t>D  2,233</t>
  </si>
  <si>
    <t>D  2,235</t>
  </si>
  <si>
    <t>OPERADORA GUDE SA DE CV</t>
  </si>
  <si>
    <t>D  2,236</t>
  </si>
  <si>
    <t>D  2,237</t>
  </si>
  <si>
    <t>EDISON MAQUINARIA SA DE CV</t>
  </si>
  <si>
    <t>D  2,238</t>
  </si>
  <si>
    <t>FIX FERRETERIA</t>
  </si>
  <si>
    <t>D  2,239</t>
  </si>
  <si>
    <t>D  2,243</t>
  </si>
  <si>
    <t>D  2,245</t>
  </si>
  <si>
    <t>P010132</t>
  </si>
  <si>
    <t>TRASLADO INV.0476N/15</t>
  </si>
  <si>
    <t>D  2,247</t>
  </si>
  <si>
    <t>P010134</t>
  </si>
  <si>
    <t>TRASLADO INV.0452N/15</t>
  </si>
  <si>
    <t>D  2,249</t>
  </si>
  <si>
    <t>P010136</t>
  </si>
  <si>
    <t>TRASLADO INV.0490N/15</t>
  </si>
  <si>
    <t>D  2,251</t>
  </si>
  <si>
    <t>P010138</t>
  </si>
  <si>
    <t>TRASLADO INV.0477-TCN15</t>
  </si>
  <si>
    <t>D  2,253</t>
  </si>
  <si>
    <t>P010140</t>
  </si>
  <si>
    <t>TRASLADO INV.0478-TCN15</t>
  </si>
  <si>
    <t>D  2,255</t>
  </si>
  <si>
    <t>P010142</t>
  </si>
  <si>
    <t>TRASLADO INV.0510-TCN15</t>
  </si>
  <si>
    <t>D  2,257</t>
  </si>
  <si>
    <t>P010144</t>
  </si>
  <si>
    <t>TRASLADO INV.0517N/15</t>
  </si>
  <si>
    <t>D  2,259</t>
  </si>
  <si>
    <t>P010146</t>
  </si>
  <si>
    <t>LJIMENEZ:TRASPASO INV.0446N/15</t>
  </si>
  <si>
    <t>D  2,262</t>
  </si>
  <si>
    <t>A19131</t>
  </si>
  <si>
    <t>LJIMENEZ:RENTA DE PLACAS TRASLADO</t>
  </si>
  <si>
    <t>D  2,265</t>
  </si>
  <si>
    <t>C 465</t>
  </si>
  <si>
    <t>INSTALACION DE PELICULA AVANZA</t>
  </si>
  <si>
    <t>D  2,292</t>
  </si>
  <si>
    <t>VIATICOS</t>
  </si>
  <si>
    <t>LJIMENEZ:VIATICOS JAVIER RENE BLANC</t>
  </si>
  <si>
    <t>D  2,301</t>
  </si>
  <si>
    <t>AJUSIVA13</t>
  </si>
  <si>
    <t>AJUSTE IVA ACRE COM SEM 2013</t>
  </si>
  <si>
    <t>E      1</t>
  </si>
  <si>
    <t>CH-15621</t>
  </si>
  <si>
    <t>EVOLUCION E INOVACION EMPRESARIA SC</t>
  </si>
  <si>
    <t>E      6</t>
  </si>
  <si>
    <t>CH-15625</t>
  </si>
  <si>
    <t>E      8</t>
  </si>
  <si>
    <t>E     14</t>
  </si>
  <si>
    <t>CH-15629</t>
  </si>
  <si>
    <t>E     16</t>
  </si>
  <si>
    <t>CH-15638</t>
  </si>
  <si>
    <t>LJIMENEZ:ESPINOZA FLORES JAVIER MAR</t>
  </si>
  <si>
    <t>CH-15637</t>
  </si>
  <si>
    <t>CH-15634</t>
  </si>
  <si>
    <t>E     20</t>
  </si>
  <si>
    <t>CH-15633</t>
  </si>
  <si>
    <t>E     25</t>
  </si>
  <si>
    <t>CH-15640</t>
  </si>
  <si>
    <t>E     32</t>
  </si>
  <si>
    <t>CH-300</t>
  </si>
  <si>
    <t>E     33</t>
  </si>
  <si>
    <t>CH-15647</t>
  </si>
  <si>
    <t>MHMG ABOGADOS SC</t>
  </si>
  <si>
    <t>E     34</t>
  </si>
  <si>
    <t>CH-15648</t>
  </si>
  <si>
    <t>LJIMENEZ:COMISION FEDERAL DE ELECTR</t>
  </si>
  <si>
    <t>E     50</t>
  </si>
  <si>
    <t>CH-15662</t>
  </si>
  <si>
    <t>E     51</t>
  </si>
  <si>
    <t>CH-15663</t>
  </si>
  <si>
    <t>MEXICO INYECCION DE COMBUSTIBLE SA</t>
  </si>
  <si>
    <t>E     54</t>
  </si>
  <si>
    <t>CH-15666</t>
  </si>
  <si>
    <t>E     57</t>
  </si>
  <si>
    <t>CH-15668</t>
  </si>
  <si>
    <t>E     58</t>
  </si>
  <si>
    <t>CH-15669</t>
  </si>
  <si>
    <t>E     59</t>
  </si>
  <si>
    <t>CH-15670</t>
  </si>
  <si>
    <t>PARABRISAS ARAMBURO S.A. DE C.V.</t>
  </si>
  <si>
    <t>E     63</t>
  </si>
  <si>
    <t>CH-15673</t>
  </si>
  <si>
    <t>TOYOTA FINANCIAL SERVICES MEXICO SA</t>
  </si>
  <si>
    <t>CH-15677</t>
  </si>
  <si>
    <t>CH-15678</t>
  </si>
  <si>
    <t>DTMAC COMERCIALIZADORA SA DE CV</t>
  </si>
  <si>
    <t>CH-15679</t>
  </si>
  <si>
    <t>CH-15681</t>
  </si>
  <si>
    <t>LOPEZ REYES JUANA ANGELICA</t>
  </si>
  <si>
    <t>E     87</t>
  </si>
  <si>
    <t>CH-15689</t>
  </si>
  <si>
    <t>E     88</t>
  </si>
  <si>
    <t>CH-15690</t>
  </si>
  <si>
    <t>E     89</t>
  </si>
  <si>
    <t>CH-15691</t>
  </si>
  <si>
    <t>CH-15693</t>
  </si>
  <si>
    <t>E    102</t>
  </si>
  <si>
    <t>CH-15701</t>
  </si>
  <si>
    <t>E    103</t>
  </si>
  <si>
    <t>CH-15702</t>
  </si>
  <si>
    <t>E    125</t>
  </si>
  <si>
    <t>CH-15722</t>
  </si>
  <si>
    <t>CH-15718</t>
  </si>
  <si>
    <t>NAVARRETE GALVAN GERMAN HORACIO</t>
  </si>
  <si>
    <t>E    127</t>
  </si>
  <si>
    <t>CH-15721</t>
  </si>
  <si>
    <t>E    128</t>
  </si>
  <si>
    <t>CH-15719</t>
  </si>
  <si>
    <t>ELMEX ILUMINACION QUERETARO S.A. DE</t>
  </si>
  <si>
    <t>E    129</t>
  </si>
  <si>
    <t>CH-15720</t>
  </si>
  <si>
    <t>PROYIN S.A. DE C.V.</t>
  </si>
  <si>
    <t>CH-15717</t>
  </si>
  <si>
    <t>E    131</t>
  </si>
  <si>
    <t>CH-15724</t>
  </si>
  <si>
    <t>E    132</t>
  </si>
  <si>
    <t>COMISIONES BBVA AL 23/02/2015</t>
  </si>
  <si>
    <t>E    139</t>
  </si>
  <si>
    <t>E    140</t>
  </si>
  <si>
    <t>CH-15727</t>
  </si>
  <si>
    <t>E    141</t>
  </si>
  <si>
    <t>CH-15728</t>
  </si>
  <si>
    <t>E    142</t>
  </si>
  <si>
    <t>CH-15729</t>
  </si>
  <si>
    <t>PLOMERIA Y CERAMICA DE QUERETARO SA</t>
  </si>
  <si>
    <t>E    143</t>
  </si>
  <si>
    <t>CH-15730</t>
  </si>
  <si>
    <t>INTERCAMBIOS VIA CORTA SA DE CV</t>
  </si>
  <si>
    <t>E    144</t>
  </si>
  <si>
    <t>CH-15731</t>
  </si>
  <si>
    <t>E    156</t>
  </si>
  <si>
    <t>CH-15740</t>
  </si>
  <si>
    <t>CH-15741</t>
  </si>
  <si>
    <t>ESPACIOS DE DISEÑO Y MUEBLES S.A. D</t>
  </si>
  <si>
    <t>CH-15746</t>
  </si>
  <si>
    <t>CH-15751</t>
  </si>
  <si>
    <t>LJIMENEZ:ALFREDO AYALA ZARAGOZA</t>
  </si>
  <si>
    <t>E    168</t>
  </si>
  <si>
    <t>CH-15753</t>
  </si>
  <si>
    <t>LJIMENEZ:AFFAJA CONSULTORES S.A. DE</t>
  </si>
  <si>
    <t>CH-15755</t>
  </si>
  <si>
    <t>COM.BBVA AL 27/02/2015</t>
  </si>
  <si>
    <t>CH-921</t>
  </si>
  <si>
    <t>LJIMENEZ:REYES MORALES ARELI</t>
  </si>
  <si>
    <t>E    177</t>
  </si>
  <si>
    <t>E    178</t>
  </si>
  <si>
    <t>CH-15757</t>
  </si>
  <si>
    <t>E    179</t>
  </si>
  <si>
    <t>CH-15758</t>
  </si>
  <si>
    <t>CH-15759</t>
  </si>
  <si>
    <t>COMISIONES BMX AL 27/02/2015</t>
  </si>
  <si>
    <t>COMISIONES BAJIO</t>
  </si>
  <si>
    <t>E    183</t>
  </si>
  <si>
    <t>COMISIONES BANORTE</t>
  </si>
  <si>
    <t>COMISIONES STDER</t>
  </si>
  <si>
    <t>E    185</t>
  </si>
  <si>
    <t>T-1290</t>
  </si>
  <si>
    <t>CIA PERIODISTICA DEL SOL DE CELAYA,</t>
  </si>
  <si>
    <t>E    186</t>
  </si>
  <si>
    <t>E    187</t>
  </si>
  <si>
    <t>T-1282</t>
  </si>
  <si>
    <t>E    188</t>
  </si>
  <si>
    <t>WURTH MEXICO, S.A. DE C.V.</t>
  </si>
  <si>
    <t>T-1291</t>
  </si>
  <si>
    <t>E    191</t>
  </si>
  <si>
    <t>T-1292</t>
  </si>
  <si>
    <t>TRASLADOS DINASTIAS SA DE CV</t>
  </si>
  <si>
    <t>E    192</t>
  </si>
  <si>
    <t>T-1293</t>
  </si>
  <si>
    <t>T-1294</t>
  </si>
  <si>
    <t>E    194</t>
  </si>
  <si>
    <t>T-1284</t>
  </si>
  <si>
    <t>E    195</t>
  </si>
  <si>
    <t>T-1285</t>
  </si>
  <si>
    <t>E    196</t>
  </si>
  <si>
    <t>T-1295</t>
  </si>
  <si>
    <t>IMPRESIONES FINAS DEL CENTRO SA DE</t>
  </si>
  <si>
    <t>E    197</t>
  </si>
  <si>
    <t>T-1296</t>
  </si>
  <si>
    <t>T-1297</t>
  </si>
  <si>
    <t>T-1298</t>
  </si>
  <si>
    <t>T-1299</t>
  </si>
  <si>
    <t>LJIMENEZ:SERVICIO AUDITORIO SA DE C</t>
  </si>
  <si>
    <t>E    202</t>
  </si>
  <si>
    <t>COMISIONES AMEX FEB/2015</t>
  </si>
  <si>
    <t>COM.INVLT</t>
  </si>
  <si>
    <t>COMISIONES INVERLAT</t>
  </si>
  <si>
    <t>COMISIONES SANTANDER</t>
  </si>
  <si>
    <t>E    206</t>
  </si>
  <si>
    <t>COMISIONES BMX</t>
  </si>
  <si>
    <t>E    207</t>
  </si>
  <si>
    <t>E    210</t>
  </si>
  <si>
    <t>T-1300</t>
  </si>
  <si>
    <t>REDPACK, S.A. DE C.V.</t>
  </si>
  <si>
    <t>E    213</t>
  </si>
  <si>
    <t>E    214</t>
  </si>
  <si>
    <t>T-1302</t>
  </si>
  <si>
    <t>GRANJA LOPEZ ANDRES</t>
  </si>
  <si>
    <t>E    215</t>
  </si>
  <si>
    <t>T-1303</t>
  </si>
  <si>
    <t>E    216</t>
  </si>
  <si>
    <t>T-1304</t>
  </si>
  <si>
    <t>E    217</t>
  </si>
  <si>
    <t>T-1289</t>
  </si>
  <si>
    <t>E    218</t>
  </si>
  <si>
    <t>T-1305</t>
  </si>
  <si>
    <t>E    219</t>
  </si>
  <si>
    <t>T-1306</t>
  </si>
  <si>
    <t>E    220</t>
  </si>
  <si>
    <t>E    221</t>
  </si>
  <si>
    <t>T-1307</t>
  </si>
  <si>
    <t>E    222</t>
  </si>
  <si>
    <t>T-1308</t>
  </si>
  <si>
    <t>T-1309</t>
  </si>
  <si>
    <t>E    227</t>
  </si>
  <si>
    <t>T-1311</t>
  </si>
  <si>
    <t>E    228</t>
  </si>
  <si>
    <t>E    229</t>
  </si>
  <si>
    <t>T-1312</t>
  </si>
  <si>
    <t>E    230</t>
  </si>
  <si>
    <t>T-1313</t>
  </si>
  <si>
    <t>E    231</t>
  </si>
  <si>
    <t>SOTERO ARANDA FERRO</t>
  </si>
  <si>
    <t>T-1314</t>
  </si>
  <si>
    <t>T-1315</t>
  </si>
  <si>
    <t>T-1316</t>
  </si>
  <si>
    <t>T-1317</t>
  </si>
  <si>
    <t>T-1318</t>
  </si>
  <si>
    <t>T-1319</t>
  </si>
  <si>
    <t>E    240</t>
  </si>
  <si>
    <t>T-1320</t>
  </si>
  <si>
    <t>T-1321</t>
  </si>
  <si>
    <t>T-1322</t>
  </si>
  <si>
    <t>QUALIA TECH SA DE CV</t>
  </si>
  <si>
    <t>T-1323</t>
  </si>
  <si>
    <t>1915 AUDITORIA Y FINANZAS, S.C.</t>
  </si>
  <si>
    <t>E    248</t>
  </si>
  <si>
    <t>COMISIONES BBVA</t>
  </si>
  <si>
    <t>CH-15715</t>
  </si>
  <si>
    <t>BOCANEGRA ALVAREZ JUAN</t>
  </si>
  <si>
    <t>CH-15631</t>
  </si>
  <si>
    <t>LJIMENEZ:CH-15631 REFACCIONES</t>
  </si>
  <si>
    <t>E    259</t>
  </si>
  <si>
    <t>BAJA</t>
  </si>
  <si>
    <t>BAJA:COMISIONES BBVA</t>
  </si>
  <si>
    <t>I    761</t>
  </si>
  <si>
    <t>EMB.29</t>
  </si>
  <si>
    <t>EMBARQUE 29</t>
  </si>
  <si>
    <t>FEBRERO</t>
  </si>
  <si>
    <t>MNQ101025MC4</t>
  </si>
  <si>
    <t>APH120131S56</t>
  </si>
  <si>
    <t>ANI140616N87</t>
  </si>
  <si>
    <t>AUTOMOTRIZ NIHON SA  DE CV</t>
  </si>
  <si>
    <t>BCO120309C60</t>
  </si>
  <si>
    <t>BOAJ7512114L7</t>
  </si>
  <si>
    <t>MVI890109558</t>
  </si>
  <si>
    <t>MESON DEL VIRREY S DE RL DE CV</t>
  </si>
  <si>
    <t>ISR101020SBA</t>
  </si>
  <si>
    <t>ISRAELDEZ SA DE CV</t>
  </si>
  <si>
    <t>OFC001010JD5</t>
  </si>
  <si>
    <t>OPERADORA Y FRANQUICIAS DEL CENTRO SA DE CV</t>
  </si>
  <si>
    <t>GGV120605DH8</t>
  </si>
  <si>
    <t>GRUPO GASTRONOMICO VAME S DE RL DE CV</t>
  </si>
  <si>
    <t>GARG861204E59</t>
  </si>
  <si>
    <t>CCO130605R24</t>
  </si>
  <si>
    <t>COMERCIALIZADORA LA CONSAGRADA SA DE CV</t>
  </si>
  <si>
    <t>SSL040309B32</t>
  </si>
  <si>
    <t>SUPER SERVICIO LAJA BAJIO SA DE CV</t>
  </si>
  <si>
    <t>SSP8202165K3</t>
  </si>
  <si>
    <t>SUPER SERVICIO DEL POTOSI SA DE CV</t>
  </si>
  <si>
    <t>SCA850730KW8</t>
  </si>
  <si>
    <t>SUPERCHALITA SA DE CV</t>
  </si>
  <si>
    <t>CPS780919KCA</t>
  </si>
  <si>
    <t>SIN9412025I4</t>
  </si>
  <si>
    <t>SCOTIABANK INVERLAT SA</t>
  </si>
  <si>
    <t>DAU031117FM5</t>
  </si>
  <si>
    <t>DALTON AUTOMOTORES S  DE RL DE CV</t>
  </si>
  <si>
    <t>DCO050712KV5</t>
  </si>
  <si>
    <t>DECADA   COATZACOALCOS  S DE RL DE</t>
  </si>
  <si>
    <t>DLI931201MI9</t>
  </si>
  <si>
    <t>DCO050303BG1</t>
  </si>
  <si>
    <t>EMA831223PF7</t>
  </si>
  <si>
    <t>ELE011009716</t>
  </si>
  <si>
    <t>EBA8202225C7</t>
  </si>
  <si>
    <t>EIQ921023UY2</t>
  </si>
  <si>
    <t>EDM070301262</t>
  </si>
  <si>
    <t>EIE0209109X9</t>
  </si>
  <si>
    <t>SAAF8605302K0</t>
  </si>
  <si>
    <t>FAZ8608051T4</t>
  </si>
  <si>
    <t>FNM000504R36</t>
  </si>
  <si>
    <t>GPU000731HEA</t>
  </si>
  <si>
    <t>GALA8206226I3</t>
  </si>
  <si>
    <t>GFA050929612</t>
  </si>
  <si>
    <t>ILE070712D2A</t>
  </si>
  <si>
    <t>IFC011107L9A</t>
  </si>
  <si>
    <t>IVC110131T83</t>
  </si>
  <si>
    <t>DEHJ580405Q33</t>
  </si>
  <si>
    <t>CAHJ460612F21</t>
  </si>
  <si>
    <t>CED9405173P9</t>
  </si>
  <si>
    <t>COMPLEJO EMPRESARIAL 2001 SA D</t>
  </si>
  <si>
    <t>MMO931025EF1</t>
  </si>
  <si>
    <t>MULTISERVICIOS DE MORELIA SA DE CV</t>
  </si>
  <si>
    <t>PIGG5503282L6</t>
  </si>
  <si>
    <t>PINTOR GONZALEZ GERARDAGUADALUPE ELVIA</t>
  </si>
  <si>
    <t>GIX970918NC8</t>
  </si>
  <si>
    <t>GASOLINERA IXTAPA SA DE CV</t>
  </si>
  <si>
    <t>QUERETARO MOTORS, SA</t>
  </si>
  <si>
    <t>LORJ6409301N1</t>
  </si>
  <si>
    <t>LOMM631121C79</t>
  </si>
  <si>
    <t>MIC1312203V1</t>
  </si>
  <si>
    <t>MAB070816NS7</t>
  </si>
  <si>
    <t>CAMM880825PU8</t>
  </si>
  <si>
    <t>NAGG6703305T6</t>
  </si>
  <si>
    <t>OGU120814HQ8</t>
  </si>
  <si>
    <t>PAR821106JP2</t>
  </si>
  <si>
    <t>PCE890410B99</t>
  </si>
  <si>
    <t>PES9001033K1</t>
  </si>
  <si>
    <t>PCQ900419346</t>
  </si>
  <si>
    <t>PRO100824V77</t>
  </si>
  <si>
    <t>QTE120608GX1</t>
  </si>
  <si>
    <t>RIR810420H38</t>
  </si>
  <si>
    <t>SMO040908TU4</t>
  </si>
  <si>
    <t>SAMURAI MOTORS S DE RL DE CV</t>
  </si>
  <si>
    <t>SHE190630V37</t>
  </si>
  <si>
    <t>SOM101125UEA</t>
  </si>
  <si>
    <t>AAFS620103EL3</t>
  </si>
  <si>
    <t>SEM760301LY5</t>
  </si>
  <si>
    <t>TPO0701266T0</t>
  </si>
  <si>
    <t>TOYOMOTORS  DE POLANCO  S   DE  RL</t>
  </si>
  <si>
    <t>GTO051103HL8</t>
  </si>
  <si>
    <t>GASOLINERA TOCUILA SA DE CV</t>
  </si>
  <si>
    <t>SMA020528IFA</t>
  </si>
  <si>
    <t>SERVICIO MALIBRAN SA DE CV</t>
  </si>
  <si>
    <t>PCS071026A78</t>
  </si>
  <si>
    <t>PETRO 107 SA DE CV</t>
  </si>
  <si>
    <t>VEN930329559</t>
  </si>
  <si>
    <t>VALORES ENERGETICOS SA DE CV</t>
  </si>
  <si>
    <t>SERVICIO ULTRAMODERNOSA DE CV</t>
  </si>
  <si>
    <t>SGM950714DC2</t>
  </si>
  <si>
    <t>SERVICIOS GASOLINEROS DE MEXICO SA DE CV</t>
  </si>
  <si>
    <t>LUPJ941209ES8</t>
  </si>
  <si>
    <t>JORGE ARMANDO LURIA PEREZ</t>
  </si>
  <si>
    <t>SRC8905249J7</t>
  </si>
  <si>
    <t>SERVICIO RIO CALZADAS SA DE CV</t>
  </si>
  <si>
    <t>SERVICIOS CARRETEROS DE ESOERANZA SA DE CV</t>
  </si>
  <si>
    <t>SCA981117398</t>
  </si>
  <si>
    <t>SERVICIO LOS CAFETOS SA DE CV</t>
  </si>
  <si>
    <t>GQL941129CY5</t>
  </si>
  <si>
    <t>GRUPO QL SA DE CV</t>
  </si>
  <si>
    <t>ASA990212AQ5</t>
  </si>
  <si>
    <t>AUTOSERVICIO ANGELOPOLIS SA DE CV</t>
  </si>
  <si>
    <t>VAJF710919CC1</t>
  </si>
  <si>
    <t>FELIX GABRIEL VAZQUEZ JIMENEZ</t>
  </si>
  <si>
    <t>USL9307122X1</t>
  </si>
  <si>
    <t>ULTRA SERVICIO LOMAS SA DE CV</t>
  </si>
  <si>
    <t>ROGJ940906LC1</t>
  </si>
  <si>
    <t>JONATHAN RICARDO DE LA ROCHA GONZALEZ</t>
  </si>
  <si>
    <t>MCI070720G67</t>
  </si>
  <si>
    <t>MARISCOS CHILO SA DE CV</t>
  </si>
  <si>
    <t>GPA8010254LA</t>
  </si>
  <si>
    <t>GASOLINERA LAS PALMAS SA DE CV</t>
  </si>
  <si>
    <t>SGG931011MF4</t>
  </si>
  <si>
    <t>SUPER GASOLINERA GUERRERO SA DE CV</t>
  </si>
  <si>
    <t>TDI070329KR8</t>
  </si>
  <si>
    <t>UAA011124IL4</t>
  </si>
  <si>
    <t>UNITED AUTO DE AGUASCALIENTES S  DE</t>
  </si>
  <si>
    <t>WME9003078U2</t>
  </si>
  <si>
    <t>SECR830908MY1</t>
  </si>
  <si>
    <t>ROBERTO CARLOS SERVIN CORNEJO</t>
  </si>
  <si>
    <t>SAU960320HC4</t>
  </si>
  <si>
    <t>SERVICIO AUDITORIO SA DE CV</t>
  </si>
  <si>
    <t>D     41</t>
  </si>
  <si>
    <t>0511-TCN15</t>
  </si>
  <si>
    <t>DALTON AUTOMOTORES  S DE  RL DE CV</t>
  </si>
  <si>
    <t>0512-TCN15</t>
  </si>
  <si>
    <t>OZ  AUTOMOTRIZ DE COLIMA S  DE  RL</t>
  </si>
  <si>
    <t>0513-TCN15</t>
  </si>
  <si>
    <t>0515-TCN15</t>
  </si>
  <si>
    <t>D    215</t>
  </si>
  <si>
    <t>0516-TCN15</t>
  </si>
  <si>
    <t>D    303</t>
  </si>
  <si>
    <t>0517-TCN15</t>
  </si>
  <si>
    <t>0518-TCN15</t>
  </si>
  <si>
    <t>D    331</t>
  </si>
  <si>
    <t>D    358</t>
  </si>
  <si>
    <t>0519-TCN15</t>
  </si>
  <si>
    <t>D    360</t>
  </si>
  <si>
    <t>0520-TCN15</t>
  </si>
  <si>
    <t>D    361</t>
  </si>
  <si>
    <t>0521-TCN15</t>
  </si>
  <si>
    <t>D    362</t>
  </si>
  <si>
    <t>0523-TCN15</t>
  </si>
  <si>
    <t>D    363</t>
  </si>
  <si>
    <t>0522-TCN15</t>
  </si>
  <si>
    <t>D    385</t>
  </si>
  <si>
    <t>D    455</t>
  </si>
  <si>
    <t>0524-TCN15</t>
  </si>
  <si>
    <t>CEVER  TOLUCA  S  DE  RL DE CV</t>
  </si>
  <si>
    <t>D    546</t>
  </si>
  <si>
    <t>0525-TCN15</t>
  </si>
  <si>
    <t>D    565</t>
  </si>
  <si>
    <t>0526-TCN15</t>
  </si>
  <si>
    <t>LJIMENEZ:AUTOMOTRIZ TOY S.A DE  CV.</t>
  </si>
  <si>
    <t>D    638</t>
  </si>
  <si>
    <t>0527-TCN15</t>
  </si>
  <si>
    <t>AUTOMOTRIZ TOY DEL SURESTE S  DE  R</t>
  </si>
  <si>
    <t>D    648</t>
  </si>
  <si>
    <t>0528-TCN15</t>
  </si>
  <si>
    <t>D    650</t>
  </si>
  <si>
    <t>0529-TCN15</t>
  </si>
  <si>
    <t>0530-TCN15</t>
  </si>
  <si>
    <t>D    775</t>
  </si>
  <si>
    <t>0531-TCN15</t>
  </si>
  <si>
    <t>CCD, AUTOSALES  PUERTO   VALLARTA</t>
  </si>
  <si>
    <t>D    798</t>
  </si>
  <si>
    <t>D    799</t>
  </si>
  <si>
    <t>0532-TCN15</t>
  </si>
  <si>
    <t>0533-TCN15</t>
  </si>
  <si>
    <t>AUTOMOTRIZ NIHON , S.A DE C.V.</t>
  </si>
  <si>
    <t>D  1,122</t>
  </si>
  <si>
    <t>D  1,133</t>
  </si>
  <si>
    <t>0534-TCN15</t>
  </si>
  <si>
    <t>D  1,136</t>
  </si>
  <si>
    <t>D  1,140</t>
  </si>
  <si>
    <t>0535-TCN15</t>
  </si>
  <si>
    <t>D  1,143</t>
  </si>
  <si>
    <t>0536-TCN15</t>
  </si>
  <si>
    <t>D  1,147</t>
  </si>
  <si>
    <t>0537-TCN15</t>
  </si>
  <si>
    <t>D  1,183</t>
  </si>
  <si>
    <t>0538-TCN15</t>
  </si>
  <si>
    <t>D  1,240</t>
  </si>
  <si>
    <t>0539-TCN15</t>
  </si>
  <si>
    <t>0540-TCN15</t>
  </si>
  <si>
    <t>D  1,263</t>
  </si>
  <si>
    <t>0541-TCN15</t>
  </si>
  <si>
    <t>D  1,264</t>
  </si>
  <si>
    <t>0542-TCN15</t>
  </si>
  <si>
    <t>D  1,266</t>
  </si>
  <si>
    <t>0543-TCN15</t>
  </si>
  <si>
    <t>DURANGO  AUTOMOTORES  S DE RL DE  C</t>
  </si>
  <si>
    <t>D  1,279</t>
  </si>
  <si>
    <t>0544-TCN15</t>
  </si>
  <si>
    <t>LIDERAZGO  AUTOMOTRIZ S  DE  RL CV</t>
  </si>
  <si>
    <t>D  1,314</t>
  </si>
  <si>
    <t>0545-TCN15</t>
  </si>
  <si>
    <t>D  1,317</t>
  </si>
  <si>
    <t>D  1,335</t>
  </si>
  <si>
    <t>D  1,362</t>
  </si>
  <si>
    <t>0546-TCN15</t>
  </si>
  <si>
    <t>D  1,366</t>
  </si>
  <si>
    <t>0547-TCN15</t>
  </si>
  <si>
    <t>D  1,367</t>
  </si>
  <si>
    <t>0548-TCN15</t>
  </si>
  <si>
    <t>D  1,414</t>
  </si>
  <si>
    <t>0549-TCN15</t>
  </si>
  <si>
    <t>D  1,426</t>
  </si>
  <si>
    <t>0552-TCN15</t>
  </si>
  <si>
    <t>OZ  AUTOMOTRIZ S DE RL DE  CV</t>
  </si>
  <si>
    <t>D  1,515</t>
  </si>
  <si>
    <t>0553-TCN15</t>
  </si>
  <si>
    <t>ALDEN  QUERETARO  S  DE  RL DE  CV</t>
  </si>
  <si>
    <t>D  1,520</t>
  </si>
  <si>
    <t>0554-TCN15</t>
  </si>
  <si>
    <t>TOYOMOTORS S  DE  RL DE  CV</t>
  </si>
  <si>
    <t>D  1,544</t>
  </si>
  <si>
    <t>D  1,553</t>
  </si>
  <si>
    <t>0555-TCN15</t>
  </si>
  <si>
    <t>D  1,555</t>
  </si>
  <si>
    <t>0556-TCN15</t>
  </si>
  <si>
    <t>D  1,593</t>
  </si>
  <si>
    <t>0557-TCN15</t>
  </si>
  <si>
    <t>D  1,599</t>
  </si>
  <si>
    <t>0558-TCN15</t>
  </si>
  <si>
    <t>PROMOTORA  AUTOMOTRIZ  DE IRAPUATO</t>
  </si>
  <si>
    <t>D  1,630</t>
  </si>
  <si>
    <t>0559-TCN15</t>
  </si>
  <si>
    <t>D  1,645</t>
  </si>
  <si>
    <t>0560-TCN15</t>
  </si>
  <si>
    <t>D  1,647</t>
  </si>
  <si>
    <t>0561-TCN15</t>
  </si>
  <si>
    <t>D  1,654</t>
  </si>
  <si>
    <t>0562-TCN15</t>
  </si>
  <si>
    <t>D  1,701</t>
  </si>
  <si>
    <t>0563-TCN15</t>
  </si>
  <si>
    <t>AUTOMOTRIZ TOY S.A. DE  CV.</t>
  </si>
  <si>
    <t>D  1,752</t>
  </si>
  <si>
    <t>0564-TCN15</t>
  </si>
  <si>
    <t>ALDEN QUERETARO  S  DE  RL DE  CV</t>
  </si>
  <si>
    <t>D  1,754</t>
  </si>
  <si>
    <t>0565-TCN15</t>
  </si>
  <si>
    <t>D  1,781</t>
  </si>
  <si>
    <t>0566-TCN15</t>
  </si>
  <si>
    <t>D  1,792</t>
  </si>
  <si>
    <t>D  1,828</t>
  </si>
  <si>
    <t>0567-TCN15</t>
  </si>
  <si>
    <t>D  1,840</t>
  </si>
  <si>
    <t>0568-TCN15</t>
  </si>
  <si>
    <t>D  1,841</t>
  </si>
  <si>
    <t>0569-TCN15</t>
  </si>
  <si>
    <t>D  1,842</t>
  </si>
  <si>
    <t>0570-TCN15</t>
  </si>
  <si>
    <t>D  1,843</t>
  </si>
  <si>
    <t>0571-TCN15</t>
  </si>
  <si>
    <t>D  1,844</t>
  </si>
  <si>
    <t>0572-TCN15</t>
  </si>
  <si>
    <t>D  1,846</t>
  </si>
  <si>
    <t>0573-TCN15</t>
  </si>
  <si>
    <t>D  1,876</t>
  </si>
  <si>
    <t>F-1670961</t>
  </si>
  <si>
    <t>LJIMENEZ:COROLLA 8100CU</t>
  </si>
  <si>
    <t>D  1,880</t>
  </si>
  <si>
    <t>F-1608628</t>
  </si>
  <si>
    <t>LJIMENEZ:SIENNA 984AP</t>
  </si>
  <si>
    <t>D  1,883</t>
  </si>
  <si>
    <t>F-1685429</t>
  </si>
  <si>
    <t>LJIMENEZ:HILUX 181608CD</t>
  </si>
  <si>
    <t>D  1,931</t>
  </si>
  <si>
    <t>0574-TCN15</t>
  </si>
  <si>
    <t>UNITED AUTO  DE AGUASCALIENTES S  D</t>
  </si>
  <si>
    <t>D  1,954</t>
  </si>
  <si>
    <t>0577-TCN15</t>
  </si>
  <si>
    <t>D  1,956</t>
  </si>
  <si>
    <t>0575-TCN15</t>
  </si>
  <si>
    <t>D  1,967</t>
  </si>
  <si>
    <t>0576-TCN15</t>
  </si>
  <si>
    <t>D  1,968</t>
  </si>
  <si>
    <t>0578-TCN15</t>
  </si>
  <si>
    <t>D  1,987</t>
  </si>
  <si>
    <t>0580-TCN15</t>
  </si>
  <si>
    <t>D  1,998</t>
  </si>
  <si>
    <t>0581-TCN15</t>
  </si>
  <si>
    <t>AUTOMOTRIZ OAXACA DE  ANTEQUERA S</t>
  </si>
  <si>
    <t>D  2,091</t>
  </si>
  <si>
    <t>0582-TCN15</t>
  </si>
  <si>
    <t>D  2,158</t>
  </si>
  <si>
    <t>0583-TCN15</t>
  </si>
  <si>
    <t>0584-TCN15</t>
  </si>
  <si>
    <t>0585-TCN15</t>
  </si>
  <si>
    <t>0586-TCN15</t>
  </si>
  <si>
    <t>D  2,185</t>
  </si>
  <si>
    <t>0587-TCN15</t>
  </si>
  <si>
    <t>0589-TCN15</t>
  </si>
  <si>
    <t>0588-TCN15</t>
  </si>
  <si>
    <t>D  2,213</t>
  </si>
  <si>
    <t>0579-TCN15</t>
  </si>
  <si>
    <t>D  2,362</t>
  </si>
  <si>
    <t>S001239</t>
  </si>
  <si>
    <t>D  2,363</t>
  </si>
  <si>
    <t>R002031</t>
  </si>
  <si>
    <t>D  2,364</t>
  </si>
  <si>
    <t>S001230</t>
  </si>
  <si>
    <t>D  2,365</t>
  </si>
  <si>
    <t>S001229</t>
  </si>
  <si>
    <t>MA.DEL RAYO FIGUEROA CORNEJO</t>
  </si>
  <si>
    <t>D  2,366</t>
  </si>
  <si>
    <t>S001228</t>
  </si>
  <si>
    <t>D  2,367</t>
  </si>
  <si>
    <t>S001232</t>
  </si>
  <si>
    <t>D  2,368</t>
  </si>
  <si>
    <t>R001972</t>
  </si>
  <si>
    <t>D  2,369</t>
  </si>
  <si>
    <t>R001977</t>
  </si>
  <si>
    <t>D  2,370</t>
  </si>
  <si>
    <t>R001986</t>
  </si>
  <si>
    <t>D  2,371</t>
  </si>
  <si>
    <t>S001227</t>
  </si>
  <si>
    <t>D  2,372</t>
  </si>
  <si>
    <t>P9432</t>
  </si>
  <si>
    <t>IMPULSORA DE TRANSPORTES MEXIC</t>
  </si>
  <si>
    <t>D  2,373</t>
  </si>
  <si>
    <t>P10167</t>
  </si>
  <si>
    <t>D  2,374</t>
  </si>
  <si>
    <t>D  2,375</t>
  </si>
  <si>
    <t>D  2,376</t>
  </si>
  <si>
    <t>COPIZZA S DE RL DE CV</t>
  </si>
  <si>
    <t>D  2,377</t>
  </si>
  <si>
    <t>GLORIA VALLE DAMIAN</t>
  </si>
  <si>
    <t>MA.GUADALUPE AYALA ARROYO</t>
  </si>
  <si>
    <t>D  2,380</t>
  </si>
  <si>
    <t>FABIOLA TRUJILLO SANCHEZ</t>
  </si>
  <si>
    <t>NUEVA WALMART DE MEXICO S DE R</t>
  </si>
  <si>
    <t>D  2,383</t>
  </si>
  <si>
    <t>D  2,384</t>
  </si>
  <si>
    <t>P010181</t>
  </si>
  <si>
    <t>JUAN RODRIGUEZ RODRIGUEZ</t>
  </si>
  <si>
    <t>D  2,385</t>
  </si>
  <si>
    <t>D  2,386</t>
  </si>
  <si>
    <t>D  2,387</t>
  </si>
  <si>
    <t>CENTRO METALICO DEL BAJIO SA C</t>
  </si>
  <si>
    <t>D  2,389</t>
  </si>
  <si>
    <t>D  2,391</t>
  </si>
  <si>
    <t>EBORDEX S DE RL DE CV</t>
  </si>
  <si>
    <t>D  2,392</t>
  </si>
  <si>
    <t>COMICX CELAYA SA DE CV</t>
  </si>
  <si>
    <t>D  2,393</t>
  </si>
  <si>
    <t>ALEJANDRO DIEGO RODRIGUEZ AREL</t>
  </si>
  <si>
    <t>D  2,394</t>
  </si>
  <si>
    <t>NUEVA EALMART DE MEXICO S RL C</t>
  </si>
  <si>
    <t>D  2,395</t>
  </si>
  <si>
    <t>IMPRESIONES LASSER BEAM S RL D</t>
  </si>
  <si>
    <t>D  2,396</t>
  </si>
  <si>
    <t>P010195</t>
  </si>
  <si>
    <t>RAUL CASTELLANO MANDUJANO</t>
  </si>
  <si>
    <t>D  2,397</t>
  </si>
  <si>
    <t>D  2,399</t>
  </si>
  <si>
    <t>FERRETERIA LA FRAGUA SA DE CV</t>
  </si>
  <si>
    <t>D  2,401</t>
  </si>
  <si>
    <t>P010200</t>
  </si>
  <si>
    <t>D  2,402</t>
  </si>
  <si>
    <t>P010201</t>
  </si>
  <si>
    <t>D  2,404</t>
  </si>
  <si>
    <t>P010202</t>
  </si>
  <si>
    <t>TRASLADO INV.0532N/15</t>
  </si>
  <si>
    <t>D  2,405</t>
  </si>
  <si>
    <t>P010204</t>
  </si>
  <si>
    <t>TRASLADO INV.0508N/15</t>
  </si>
  <si>
    <t>D  2,407</t>
  </si>
  <si>
    <t>P010206</t>
  </si>
  <si>
    <t>TRASLADO INV.0526N/15</t>
  </si>
  <si>
    <t>D  2,409</t>
  </si>
  <si>
    <t>P010208</t>
  </si>
  <si>
    <t>TRASLADO INV.0524N/15</t>
  </si>
  <si>
    <t>D  2,411</t>
  </si>
  <si>
    <t>P010210</t>
  </si>
  <si>
    <t>TRASLADO INV.0459N/15</t>
  </si>
  <si>
    <t>D  2,413</t>
  </si>
  <si>
    <t>P010212</t>
  </si>
  <si>
    <t>TRASLADO INV.0509N/15</t>
  </si>
  <si>
    <t>D  2,414</t>
  </si>
  <si>
    <t>P010213</t>
  </si>
  <si>
    <t>TRASLADO INV.0511N/15</t>
  </si>
  <si>
    <t>D  2,416</t>
  </si>
  <si>
    <t>P010215</t>
  </si>
  <si>
    <t>TRASLADO INV.0512N/15</t>
  </si>
  <si>
    <t>D  2,418</t>
  </si>
  <si>
    <t>AUDATEX LTN S RL CV</t>
  </si>
  <si>
    <t>D  2,419</t>
  </si>
  <si>
    <t>AUDATEX LTN S DE RL CV</t>
  </si>
  <si>
    <t>D  2,420</t>
  </si>
  <si>
    <t>P010218</t>
  </si>
  <si>
    <t>RAUL CASTELANO MANDUJANO</t>
  </si>
  <si>
    <t>D  2,421</t>
  </si>
  <si>
    <t>D  2,425</t>
  </si>
  <si>
    <t>D  2,427</t>
  </si>
  <si>
    <t>BALDERAS RODRIGUEZ MARLYN GUAD</t>
  </si>
  <si>
    <t>D  2,428</t>
  </si>
  <si>
    <t>LJIMENEZ:GASOLINERA PANAMERICANA SA</t>
  </si>
  <si>
    <t>D  2,429</t>
  </si>
  <si>
    <t>GASOLINERA PANAMERICANA SA DE</t>
  </si>
  <si>
    <t>D  2,430</t>
  </si>
  <si>
    <t>D  2,431</t>
  </si>
  <si>
    <t>D  2,432</t>
  </si>
  <si>
    <t>D  2,433</t>
  </si>
  <si>
    <t>D  2,434</t>
  </si>
  <si>
    <t>D  2,435</t>
  </si>
  <si>
    <t>INMOBILIARIA IGOVA SA DE CV</t>
  </si>
  <si>
    <t>D  2,436</t>
  </si>
  <si>
    <t>D  2,437</t>
  </si>
  <si>
    <t>AUDATEX LTN S DE RL DE CV</t>
  </si>
  <si>
    <t>D  2,438</t>
  </si>
  <si>
    <t>OPERADORA VIPS S DE RL DE CV</t>
  </si>
  <si>
    <t>D  2,444</t>
  </si>
  <si>
    <t>D  2,445</t>
  </si>
  <si>
    <t>D  2,454</t>
  </si>
  <si>
    <t>ARTURO JAVIER RICO HERNADEZ</t>
  </si>
  <si>
    <t>D  2,455</t>
  </si>
  <si>
    <t>ANTONIO DURAN ARREGUIN</t>
  </si>
  <si>
    <t>D  2,457</t>
  </si>
  <si>
    <t>TANIA GABRIELA MARTINEZ CASTIL</t>
  </si>
  <si>
    <t>D  2,459</t>
  </si>
  <si>
    <t>D  2,461</t>
  </si>
  <si>
    <t>D  2,462</t>
  </si>
  <si>
    <t>D  2,464</t>
  </si>
  <si>
    <t>P010278</t>
  </si>
  <si>
    <t>TRASLADO COROLLA GRIS CASETA</t>
  </si>
  <si>
    <t>D  2,466</t>
  </si>
  <si>
    <t>D  2,467</t>
  </si>
  <si>
    <t>SERVICIO COMERCIAL GARIS SA DE</t>
  </si>
  <si>
    <t>D  2,468</t>
  </si>
  <si>
    <t>D  2,469</t>
  </si>
  <si>
    <t>D  2,470</t>
  </si>
  <si>
    <t>D  2,471</t>
  </si>
  <si>
    <t>D  2,472</t>
  </si>
  <si>
    <t>D  2,474</t>
  </si>
  <si>
    <t>D  2,475</t>
  </si>
  <si>
    <t>D  2,476</t>
  </si>
  <si>
    <t>D  2,478</t>
  </si>
  <si>
    <t>EDUARDO MERCADO GONZALEZ</t>
  </si>
  <si>
    <t>D  2,479</t>
  </si>
  <si>
    <t>D  2,480</t>
  </si>
  <si>
    <t>D  2,481</t>
  </si>
  <si>
    <t>D  2,482</t>
  </si>
  <si>
    <t>PARADOR CUESTA CHINA SA DE CV</t>
  </si>
  <si>
    <t>D  2,483</t>
  </si>
  <si>
    <t>FIX FERRETERIAS FIX CELAYA</t>
  </si>
  <si>
    <t>D  2,484</t>
  </si>
  <si>
    <t>FIX FERRETERIAS CELAYA</t>
  </si>
  <si>
    <t>D  2,487</t>
  </si>
  <si>
    <t>P010302</t>
  </si>
  <si>
    <t>D  2,488</t>
  </si>
  <si>
    <t>P010303</t>
  </si>
  <si>
    <t>TRASLADO INV.0478N/15</t>
  </si>
  <si>
    <t>D  2,489</t>
  </si>
  <si>
    <t>P010304</t>
  </si>
  <si>
    <t>TRASLADO VIN.F0054334</t>
  </si>
  <si>
    <t>D  2,491</t>
  </si>
  <si>
    <t>P010306</t>
  </si>
  <si>
    <t>TRASLADO INV.0558N/15</t>
  </si>
  <si>
    <t>D  2,494</t>
  </si>
  <si>
    <t>P010308</t>
  </si>
  <si>
    <t>TRASLADO INV.VIN.FS585606</t>
  </si>
  <si>
    <t>D  2,496</t>
  </si>
  <si>
    <t>P010310</t>
  </si>
  <si>
    <t>TRASLADO INV.0574N/15</t>
  </si>
  <si>
    <t>D  2,498</t>
  </si>
  <si>
    <t>P010312</t>
  </si>
  <si>
    <t>TRASLADO INV.0543N/15</t>
  </si>
  <si>
    <t>D  2,500</t>
  </si>
  <si>
    <t>P010314</t>
  </si>
  <si>
    <t>TRASPASO INV.0560N/15</t>
  </si>
  <si>
    <t>D  2,501</t>
  </si>
  <si>
    <t>P010315</t>
  </si>
  <si>
    <t>TRASPASO INV.0577N/15</t>
  </si>
  <si>
    <t>D  2,503</t>
  </si>
  <si>
    <t>P010317</t>
  </si>
  <si>
    <t>TRASPASO INV.0564N/15</t>
  </si>
  <si>
    <t>D  2,504</t>
  </si>
  <si>
    <t>P010318</t>
  </si>
  <si>
    <t>TRASLADO INV.0557N/15</t>
  </si>
  <si>
    <t>D  2,506</t>
  </si>
  <si>
    <t>P010320</t>
  </si>
  <si>
    <t>TRASLADOINV.0544N/15</t>
  </si>
  <si>
    <t>D  2,507</t>
  </si>
  <si>
    <t>P010321</t>
  </si>
  <si>
    <t>TRASLADO INV.0533N/15</t>
  </si>
  <si>
    <t>D  2,509</t>
  </si>
  <si>
    <t>P010323</t>
  </si>
  <si>
    <t>TRASLADO INV.0538N/15</t>
  </si>
  <si>
    <t>D  2,511</t>
  </si>
  <si>
    <t>P010325</t>
  </si>
  <si>
    <t>TRASPASO INV.0555N/15</t>
  </si>
  <si>
    <t>D  2,512</t>
  </si>
  <si>
    <t>P010326</t>
  </si>
  <si>
    <t>LJIMENEZ:TRASPASO INV.0548N/15</t>
  </si>
  <si>
    <t>D  2,514</t>
  </si>
  <si>
    <t>D  2,515</t>
  </si>
  <si>
    <t>D  2,516</t>
  </si>
  <si>
    <t>D  2,541</t>
  </si>
  <si>
    <t>P10295</t>
  </si>
  <si>
    <t>BAJA PD2480/03 P 10295</t>
  </si>
  <si>
    <t>D  2,543</t>
  </si>
  <si>
    <t>AJUSIVA15</t>
  </si>
  <si>
    <t>AJUSTE IVA 2014 USADOS</t>
  </si>
  <si>
    <t>CH-15761</t>
  </si>
  <si>
    <t>LJIMENEZ:CONSTRUCCIONES METALICAS D</t>
  </si>
  <si>
    <t>CH-15760</t>
  </si>
  <si>
    <t>E     11</t>
  </si>
  <si>
    <t>CH-15764</t>
  </si>
  <si>
    <t>E     12</t>
  </si>
  <si>
    <t>CH-15765</t>
  </si>
  <si>
    <t>E     15</t>
  </si>
  <si>
    <t>CH-15768</t>
  </si>
  <si>
    <t>CH-15769</t>
  </si>
  <si>
    <t>MARTINEZ GARZA CORDERA CESAR RODOLF</t>
  </si>
  <si>
    <t>E     24</t>
  </si>
  <si>
    <t>CH-15773</t>
  </si>
  <si>
    <t>CH-15771</t>
  </si>
  <si>
    <t>INNES HUERTA JORGE RICARDO</t>
  </si>
  <si>
    <t>E     49</t>
  </si>
  <si>
    <t>CH-15799</t>
  </si>
  <si>
    <t>CH-15807</t>
  </si>
  <si>
    <t>CH-15808</t>
  </si>
  <si>
    <t>CH-15809</t>
  </si>
  <si>
    <t>E     60</t>
  </si>
  <si>
    <t>CH-15810</t>
  </si>
  <si>
    <t>E     61</t>
  </si>
  <si>
    <t>CH-15811</t>
  </si>
  <si>
    <t>CIMA CONSULTORIA EMPRESARIAL SC</t>
  </si>
  <si>
    <t>E     62</t>
  </si>
  <si>
    <t>CH-15812</t>
  </si>
  <si>
    <t>CH-15813</t>
  </si>
  <si>
    <t>E     65</t>
  </si>
  <si>
    <t>CH-15816</t>
  </si>
  <si>
    <t>E     70</t>
  </si>
  <si>
    <t>CH-15819</t>
  </si>
  <si>
    <t>CH-15820</t>
  </si>
  <si>
    <t>CH-15821</t>
  </si>
  <si>
    <t>CH-15826</t>
  </si>
  <si>
    <t>CH-15827</t>
  </si>
  <si>
    <t>LATAMAUTOS MEXICO, S. DE R.L. DE C.</t>
  </si>
  <si>
    <t>CH-15831</t>
  </si>
  <si>
    <t>E     83</t>
  </si>
  <si>
    <t>CH-15832</t>
  </si>
  <si>
    <t>CH-15833</t>
  </si>
  <si>
    <t>LJIMENEZ:MUN YONG SUB</t>
  </si>
  <si>
    <t>CH-15835</t>
  </si>
  <si>
    <t>E     94</t>
  </si>
  <si>
    <t>T-1327</t>
  </si>
  <si>
    <t>COMPUCARE DE MEXICO, S.A. DE C.V.</t>
  </si>
  <si>
    <t>E     95</t>
  </si>
  <si>
    <t>T-1328</t>
  </si>
  <si>
    <t>E     97</t>
  </si>
  <si>
    <t>T-1329</t>
  </si>
  <si>
    <t>E     98</t>
  </si>
  <si>
    <t>E     99</t>
  </si>
  <si>
    <t>T-1330</t>
  </si>
  <si>
    <t>E    100</t>
  </si>
  <si>
    <t>T-1331</t>
  </si>
  <si>
    <t>T-1332</t>
  </si>
  <si>
    <t>T-1333</t>
  </si>
  <si>
    <t>E    104</t>
  </si>
  <si>
    <t>T-1334</t>
  </si>
  <si>
    <t>BERNAL VALLE TERESA LIZBETH</t>
  </si>
  <si>
    <t>E    105</t>
  </si>
  <si>
    <t>T-1335</t>
  </si>
  <si>
    <t>E    106</t>
  </si>
  <si>
    <t>T-1336</t>
  </si>
  <si>
    <t>IPSOS BIMSA SA DE CV</t>
  </si>
  <si>
    <t>E    107</t>
  </si>
  <si>
    <t>T-1337</t>
  </si>
  <si>
    <t>E    109</t>
  </si>
  <si>
    <t>T-1338</t>
  </si>
  <si>
    <t>TOYOCOAPA, S. DE R.L. DE C.V.</t>
  </si>
  <si>
    <t>E    110</t>
  </si>
  <si>
    <t>E    111</t>
  </si>
  <si>
    <t>RECTIFICACIONES VAZCO S.A. DE C.V.</t>
  </si>
  <si>
    <t>E    112</t>
  </si>
  <si>
    <t>T-1339</t>
  </si>
  <si>
    <t>E    113</t>
  </si>
  <si>
    <t>T-1340</t>
  </si>
  <si>
    <t>E    114</t>
  </si>
  <si>
    <t>T-1341</t>
  </si>
  <si>
    <t>E    115</t>
  </si>
  <si>
    <t>T-1342</t>
  </si>
  <si>
    <t>T-1344</t>
  </si>
  <si>
    <t>T-1345</t>
  </si>
  <si>
    <t>E    120</t>
  </si>
  <si>
    <t>T-1346</t>
  </si>
  <si>
    <t>E    121</t>
  </si>
  <si>
    <t>T-1324</t>
  </si>
  <si>
    <t>E    122</t>
  </si>
  <si>
    <t>T-1325</t>
  </si>
  <si>
    <t>GRUPO DE PRESTIGIO EN AUDIO Y VIDEO</t>
  </si>
  <si>
    <t>E    123</t>
  </si>
  <si>
    <t>T-1347</t>
  </si>
  <si>
    <t>E    124</t>
  </si>
  <si>
    <t>T-1348</t>
  </si>
  <si>
    <t>T-1349</t>
  </si>
  <si>
    <t>2LM NACIONAL SA DE CV</t>
  </si>
  <si>
    <t>T-1350</t>
  </si>
  <si>
    <t>E    136</t>
  </si>
  <si>
    <t>CH-15814</t>
  </si>
  <si>
    <t>ALECSA CELAYA S DE RL DE CV</t>
  </si>
  <si>
    <t>CH-927</t>
  </si>
  <si>
    <t>LJIMENEZ:MARIA SUSANA HILARIA RAMIR</t>
  </si>
  <si>
    <t>E    145</t>
  </si>
  <si>
    <t>BAJA: IMPULSORA DE TRANSPORTES MEXI</t>
  </si>
  <si>
    <t>E    146</t>
  </si>
  <si>
    <t>CH-15852</t>
  </si>
  <si>
    <t>HIDROLIMPIADORAS LEON S.A. DE C.V.</t>
  </si>
  <si>
    <t>CH-15848</t>
  </si>
  <si>
    <t>CH-15847</t>
  </si>
  <si>
    <t>E    154</t>
  </si>
  <si>
    <t>CH-15856</t>
  </si>
  <si>
    <t>E    155</t>
  </si>
  <si>
    <t>CH-15862</t>
  </si>
  <si>
    <t>CH-15863</t>
  </si>
  <si>
    <t>T-1326</t>
  </si>
  <si>
    <t>T-1351</t>
  </si>
  <si>
    <t>LJIMENEZ:OPERADORA ALAMEDA PARK, S.</t>
  </si>
  <si>
    <t>CH-15766</t>
  </si>
  <si>
    <t>CH-15876</t>
  </si>
  <si>
    <t>GARCIA OLIVOS MA TERESA</t>
  </si>
  <si>
    <t>CH-15877</t>
  </si>
  <si>
    <t>CH-15857</t>
  </si>
  <si>
    <t>CH-15774</t>
  </si>
  <si>
    <t>CH-15844</t>
  </si>
  <si>
    <t>MAPFRE TEPEYAC SA</t>
  </si>
  <si>
    <t>CH-15858</t>
  </si>
  <si>
    <t>T-1352</t>
  </si>
  <si>
    <t>T-1353</t>
  </si>
  <si>
    <t>T-1354</t>
  </si>
  <si>
    <t>E    205</t>
  </si>
  <si>
    <t>E    208</t>
  </si>
  <si>
    <t>T-1356</t>
  </si>
  <si>
    <t>E    209</t>
  </si>
  <si>
    <t>T-1357</t>
  </si>
  <si>
    <t>T-1358</t>
  </si>
  <si>
    <t>T-1359</t>
  </si>
  <si>
    <t>E    212</t>
  </si>
  <si>
    <t>T-1360</t>
  </si>
  <si>
    <t>T-1361</t>
  </si>
  <si>
    <t>T-1363</t>
  </si>
  <si>
    <t>T-1364</t>
  </si>
  <si>
    <t>T-218</t>
  </si>
  <si>
    <t>LJIMENEZ:MARY FANY VALLE SANCHEZ</t>
  </si>
  <si>
    <t>LJIMENEZ:COMISIONES BBVA AL 31/03/2</t>
  </si>
  <si>
    <t>COMISIONES AMEX MAZO/2015</t>
  </si>
  <si>
    <t>COMISIONES BMX AL 31/03/2015</t>
  </si>
  <si>
    <t>COMISIONES BAJIO AL 31/03/2015</t>
  </si>
  <si>
    <t>E    226</t>
  </si>
  <si>
    <t>COMISIONES BANORTE AL 31/03/20</t>
  </si>
  <si>
    <t>COMISIONES STDER AL 31/03/2015</t>
  </si>
  <si>
    <t>CH.15842</t>
  </si>
  <si>
    <t>LJIMENEZ:CH.15842 REFACCIONES</t>
  </si>
  <si>
    <t>MARZO</t>
  </si>
  <si>
    <t>LNA130523EN6</t>
  </si>
  <si>
    <t>AQU030811UM4</t>
  </si>
  <si>
    <t>ALDEN QUERETARO   S DE  RL DE  CV</t>
  </si>
  <si>
    <t>ROAA840915TS5</t>
  </si>
  <si>
    <t>DUAA710502AH0</t>
  </si>
  <si>
    <t>ALT030210LV9</t>
  </si>
  <si>
    <t>ATO0108161E1</t>
  </si>
  <si>
    <t>AUTOMOTRIZ TOY S.A  DE C.V</t>
  </si>
  <si>
    <t>SI ESTA FALTA RFC</t>
  </si>
  <si>
    <t>BARM9311227F1</t>
  </si>
  <si>
    <t>BEVT8309183A9</t>
  </si>
  <si>
    <t>CCE080808TW2</t>
  </si>
  <si>
    <t>CCE130320UQ6</t>
  </si>
  <si>
    <t>CME001204KS6</t>
  </si>
  <si>
    <t>COP060201DL4</t>
  </si>
  <si>
    <t>EBO090624DA8</t>
  </si>
  <si>
    <t>MEGE6610197J0</t>
  </si>
  <si>
    <t>TUSF681215SEA</t>
  </si>
  <si>
    <t>FFR810330JX9</t>
  </si>
  <si>
    <t>GPA0007314Q2</t>
  </si>
  <si>
    <t>GASOLINERA PANAMERICANA SA</t>
  </si>
  <si>
    <t>VADG570615HU8</t>
  </si>
  <si>
    <t>GPA0810247F3</t>
  </si>
  <si>
    <t>HLE130130451</t>
  </si>
  <si>
    <t>IIG090126G30</t>
  </si>
  <si>
    <t>IEHJ580905PR4</t>
  </si>
  <si>
    <t>BIM850201QI0</t>
  </si>
  <si>
    <t>RORJ710131DZ6</t>
  </si>
  <si>
    <t>LME140930HRA</t>
  </si>
  <si>
    <t>AAAG7203031N4</t>
  </si>
  <si>
    <t>MTE440316E54</t>
  </si>
  <si>
    <t>OVI800131GQ6</t>
  </si>
  <si>
    <t>PCC0801181HA</t>
  </si>
  <si>
    <t>PAI060427TP7</t>
  </si>
  <si>
    <t>PROMOTORA  AUTOMOTRIZ DE IRAPUATO</t>
  </si>
  <si>
    <t>CAMR7004154J8</t>
  </si>
  <si>
    <t>RVA820930462</t>
  </si>
  <si>
    <t>SCG820209HP4</t>
  </si>
  <si>
    <t>MACT880227TE2</t>
  </si>
  <si>
    <t>GSA140603SJ3</t>
  </si>
  <si>
    <t>GASOL SALTILLO SA DE CV</t>
  </si>
  <si>
    <t>RTK890921M97</t>
  </si>
  <si>
    <t>RESTAURANT TIPICO EL KILO SA CV</t>
  </si>
  <si>
    <t>SJA940827A32</t>
  </si>
  <si>
    <t>SERVICIO JACARANDA SA DE CV</t>
  </si>
  <si>
    <t>OMC100818GZ7</t>
  </si>
  <si>
    <t>OPERADORA DE MINIESTACIONES COMBUSERV SA DE CV</t>
  </si>
  <si>
    <t>SMA950103FQA</t>
  </si>
  <si>
    <t>SERVICIO MAYELI SA DE CV</t>
  </si>
  <si>
    <t>GCI7602217U5</t>
  </si>
  <si>
    <t>GASOLINERA CIUDAD INDUSTRIAL DE DURANGO SA</t>
  </si>
  <si>
    <t>SRM950127QT9</t>
  </si>
  <si>
    <t>SERVICIO REFORMA DE MORELIA SA DE CV</t>
  </si>
  <si>
    <t>SVI810112T87</t>
  </si>
  <si>
    <t>SERVICIOS VILLALOBOS SA</t>
  </si>
  <si>
    <t>ALI081114AN2</t>
  </si>
  <si>
    <t>ALIMENTOS COMPANY S DE RL DE CV</t>
  </si>
  <si>
    <t>GOM040622F26</t>
  </si>
  <si>
    <t>GASOLINERA OMEGA MATEHUALA I SA DE CV</t>
  </si>
  <si>
    <t>ONO9507278T4</t>
  </si>
  <si>
    <t>ORSAN DEL NORTE SA DE CV</t>
  </si>
  <si>
    <t>STE9109029AA</t>
  </si>
  <si>
    <t>SERVICIO TEPEACA SA DE CV</t>
  </si>
  <si>
    <t>EST000107SZ2</t>
  </si>
  <si>
    <t>ESTACION DE SERVICIO TEXMELUCAN SA CV</t>
  </si>
  <si>
    <t>DISTRIBUIDORA ROESMA SA DE CV</t>
  </si>
  <si>
    <t>OAP08050277A</t>
  </si>
  <si>
    <t>OPERADORA ALAMEDA PARK, S.A. DE C.V</t>
  </si>
  <si>
    <t>D     12</t>
  </si>
  <si>
    <t>0590-TCN15</t>
  </si>
  <si>
    <t>D     43</t>
  </si>
  <si>
    <t>0591-TCN15</t>
  </si>
  <si>
    <t>SAMURAI  MOTORS S  DE  RL DE  CV</t>
  </si>
  <si>
    <t>D     56</t>
  </si>
  <si>
    <t>0593-TCN15</t>
  </si>
  <si>
    <t>D    154</t>
  </si>
  <si>
    <t>F-1680007</t>
  </si>
  <si>
    <t>LJIMENEZ:MENSUALIDAD 29 COROLLA</t>
  </si>
  <si>
    <t>D    155</t>
  </si>
  <si>
    <t>F-1686890</t>
  </si>
  <si>
    <t>LJIMENEZ:MENSUALIDAD HILUX</t>
  </si>
  <si>
    <t>D    157</t>
  </si>
  <si>
    <t>F-1686605</t>
  </si>
  <si>
    <t>LJIMENEZ:MENSUALIDAD SIENNA</t>
  </si>
  <si>
    <t>D    197</t>
  </si>
  <si>
    <t>0594-TCN15</t>
  </si>
  <si>
    <t>D    204</t>
  </si>
  <si>
    <t>0595-TCN15</t>
  </si>
  <si>
    <t>D    242</t>
  </si>
  <si>
    <t>0596-TCN15</t>
  </si>
  <si>
    <t>D    291</t>
  </si>
  <si>
    <t>0597-TCN15</t>
  </si>
  <si>
    <t>AUTOMOVILES VALLEJO S DE  RL DE  CV</t>
  </si>
  <si>
    <t>D    320</t>
  </si>
  <si>
    <t>0598-TCN15</t>
  </si>
  <si>
    <t>PURDY MOTORS MEXICO D.F. S  DE  RL</t>
  </si>
  <si>
    <t>D    395</t>
  </si>
  <si>
    <t>0599-TCN15</t>
  </si>
  <si>
    <t>D    444</t>
  </si>
  <si>
    <t>0600-TCN15</t>
  </si>
  <si>
    <t>PENNINSULA   MOTORS  S  D E RL DE</t>
  </si>
  <si>
    <t>D    447</t>
  </si>
  <si>
    <t>0601-TCN15</t>
  </si>
  <si>
    <t>VALOR MOTRIZ S DE  RL DE  CV</t>
  </si>
  <si>
    <t>D    478</t>
  </si>
  <si>
    <t>0602-TCN15</t>
  </si>
  <si>
    <t>LJIMENEZ:GRUPO PENNINSULA MOTORS S</t>
  </si>
  <si>
    <t>D    543</t>
  </si>
  <si>
    <t>0603-TCN15</t>
  </si>
  <si>
    <t>D    544</t>
  </si>
  <si>
    <t>0604-TCN15</t>
  </si>
  <si>
    <t>D    552</t>
  </si>
  <si>
    <t>0605-TCN15</t>
  </si>
  <si>
    <t>D    553</t>
  </si>
  <si>
    <t>0606-TCN15</t>
  </si>
  <si>
    <t>D    579</t>
  </si>
  <si>
    <t>0607-TCN15</t>
  </si>
  <si>
    <t>D    580</t>
  </si>
  <si>
    <t>0608-TCN15</t>
  </si>
  <si>
    <t>0609-TCN15</t>
  </si>
  <si>
    <t>D    591</t>
  </si>
  <si>
    <t>0610-TCN15</t>
  </si>
  <si>
    <t>D    592</t>
  </si>
  <si>
    <t>0611-TCN15</t>
  </si>
  <si>
    <t>D    593</t>
  </si>
  <si>
    <t>0612-TCN15</t>
  </si>
  <si>
    <t>D    594</t>
  </si>
  <si>
    <t>0613-TCN15</t>
  </si>
  <si>
    <t>D    595</t>
  </si>
  <si>
    <t>0614-TCN15</t>
  </si>
  <si>
    <t>D    758</t>
  </si>
  <si>
    <t>0615-TCN15</t>
  </si>
  <si>
    <t>D    792</t>
  </si>
  <si>
    <t>C.VIATICOS DIANA SUSANA RAMIRE</t>
  </si>
  <si>
    <t>D    907</t>
  </si>
  <si>
    <t>0616-TCN15</t>
  </si>
  <si>
    <t>D    917</t>
  </si>
  <si>
    <t>0617-TCN15</t>
  </si>
  <si>
    <t>D    971</t>
  </si>
  <si>
    <t>0618-TCN15</t>
  </si>
  <si>
    <t>DURANGO AUTOMOTORES S  DE  RL DE  C</t>
  </si>
  <si>
    <t>D    992</t>
  </si>
  <si>
    <t>0619-TCN15</t>
  </si>
  <si>
    <t>ALDEN  QUERETARO S DE  RL  DE CV</t>
  </si>
  <si>
    <t>0620-TCN15</t>
  </si>
  <si>
    <t>D  1,134</t>
  </si>
  <si>
    <t>SAMURAI  MOTORS S DE  RL  DE  CV</t>
  </si>
  <si>
    <t>C.VIATICOS JAVIER SANCHEZ VEAN</t>
  </si>
  <si>
    <t>D  1,244</t>
  </si>
  <si>
    <t>0621-TCN15</t>
  </si>
  <si>
    <t>LJIMENEZ:AUTOMOTRIZ TOY S.A  DE CV.</t>
  </si>
  <si>
    <t>D  1,291</t>
  </si>
  <si>
    <t>0622-TCN15</t>
  </si>
  <si>
    <t>D  1,357</t>
  </si>
  <si>
    <t>0623-TCN15</t>
  </si>
  <si>
    <t>D  1,382</t>
  </si>
  <si>
    <t>0624-TCN15</t>
  </si>
  <si>
    <t>D  1,423</t>
  </si>
  <si>
    <t>0625-TCN15</t>
  </si>
  <si>
    <t>0626-TCN15</t>
  </si>
  <si>
    <t>LJIMENEZ:AUTOMOTRIZ TOY S.A  DE  C.</t>
  </si>
  <si>
    <t>0627-TCN15</t>
  </si>
  <si>
    <t>D  1,557</t>
  </si>
  <si>
    <t>0628-TCN15</t>
  </si>
  <si>
    <t>D  1,560</t>
  </si>
  <si>
    <t>0629-TCN15</t>
  </si>
  <si>
    <t>D  1,566</t>
  </si>
  <si>
    <t>0630-TCN15</t>
  </si>
  <si>
    <t>D  1,619</t>
  </si>
  <si>
    <t>0631-TCN15</t>
  </si>
  <si>
    <t>D  1,620</t>
  </si>
  <si>
    <t>0632-TCN15</t>
  </si>
  <si>
    <t>D  1,624</t>
  </si>
  <si>
    <t>D  1,651</t>
  </si>
  <si>
    <t>0633-TCN15</t>
  </si>
  <si>
    <t>AUTOMOTRIZ TOY SA  DE  CV</t>
  </si>
  <si>
    <t>D  1,663</t>
  </si>
  <si>
    <t>0634-TCN15</t>
  </si>
  <si>
    <t>D  1,678</t>
  </si>
  <si>
    <t>0635-TCN15</t>
  </si>
  <si>
    <t>D  1,681</t>
  </si>
  <si>
    <t>0636-TCN15</t>
  </si>
  <si>
    <t>D  1,712</t>
  </si>
  <si>
    <t>D  1,714</t>
  </si>
  <si>
    <t>0637-TCN15</t>
  </si>
  <si>
    <t>D  1,715</t>
  </si>
  <si>
    <t>0638-TCN15</t>
  </si>
  <si>
    <t>OTRAS AGENCIAS</t>
  </si>
  <si>
    <t>CH-15892</t>
  </si>
  <si>
    <t>LJIMENEZ:PAGO REFACCIONES MARZO 201</t>
  </si>
  <si>
    <t>D  1,915</t>
  </si>
  <si>
    <t>MA DEL RAYO FIGUEROA CORNEJO</t>
  </si>
  <si>
    <t>D  1,916</t>
  </si>
  <si>
    <t>R002039</t>
  </si>
  <si>
    <t>AUTOPARTES Y MAS SA DE CV</t>
  </si>
  <si>
    <t>D  1,917</t>
  </si>
  <si>
    <t>R002079</t>
  </si>
  <si>
    <t>D  1,918</t>
  </si>
  <si>
    <t>S001247</t>
  </si>
  <si>
    <t>FIGUEROA CORNEJO MA DEL RAYO</t>
  </si>
  <si>
    <t>D  1,919</t>
  </si>
  <si>
    <t>R002061</t>
  </si>
  <si>
    <t>D  1,920</t>
  </si>
  <si>
    <t>S001250</t>
  </si>
  <si>
    <t>D  1,921</t>
  </si>
  <si>
    <t>S001258</t>
  </si>
  <si>
    <t>D  1,922</t>
  </si>
  <si>
    <t>S001266</t>
  </si>
  <si>
    <t>D  1,923</t>
  </si>
  <si>
    <t>P10361</t>
  </si>
  <si>
    <t>LJIMENEZ:VERA BARBOSA FEDERICO JAIM</t>
  </si>
  <si>
    <t>D  1,924</t>
  </si>
  <si>
    <t>P10363</t>
  </si>
  <si>
    <t>LJIMENEZ:AYALA ARROYO MA GUADALUPE</t>
  </si>
  <si>
    <t>D  1,925</t>
  </si>
  <si>
    <t>P10364</t>
  </si>
  <si>
    <t>LJIMENEZ:DISTRIBUIDORA DE TORNILLO</t>
  </si>
  <si>
    <t>D  1,926</t>
  </si>
  <si>
    <t>P10365</t>
  </si>
  <si>
    <t>LJIMENEZ:SEPULVEDA MARTINEZ VICTOR</t>
  </si>
  <si>
    <t>D  1,927</t>
  </si>
  <si>
    <t>P10366</t>
  </si>
  <si>
    <t>LJIMENEZ:SOLIS VALLE JORHUS HUGO</t>
  </si>
  <si>
    <t>D  1,928</t>
  </si>
  <si>
    <t>P10367</t>
  </si>
  <si>
    <t>LJIMENEZ:FERRETERIA MODELO DEL BAJI</t>
  </si>
  <si>
    <t>D  1,929</t>
  </si>
  <si>
    <t>P10368</t>
  </si>
  <si>
    <t>D  1,930</t>
  </si>
  <si>
    <t>P10369</t>
  </si>
  <si>
    <t>GLORIA VALLE DAMINA</t>
  </si>
  <si>
    <t>P10370</t>
  </si>
  <si>
    <t>D  1,932</t>
  </si>
  <si>
    <t>P10371</t>
  </si>
  <si>
    <t>MENDEZ REYNA LUIS ARMANDO</t>
  </si>
  <si>
    <t>D  1,933</t>
  </si>
  <si>
    <t>P10372</t>
  </si>
  <si>
    <t>D  1,934</t>
  </si>
  <si>
    <t>P10373</t>
  </si>
  <si>
    <t>HERNANDEZ BRIBIESCA MARILUZ</t>
  </si>
  <si>
    <t>D  1,935</t>
  </si>
  <si>
    <t>P10374</t>
  </si>
  <si>
    <t>D  1,936</t>
  </si>
  <si>
    <t>P10375</t>
  </si>
  <si>
    <t>D  1,937</t>
  </si>
  <si>
    <t>P10376</t>
  </si>
  <si>
    <t>D  1,938</t>
  </si>
  <si>
    <t>P10377</t>
  </si>
  <si>
    <t>REFACIONES AUTOMOTICES</t>
  </si>
  <si>
    <t>D  1,939</t>
  </si>
  <si>
    <t>P10378</t>
  </si>
  <si>
    <t>RESTAURANTES CALIFORNIA SA DE</t>
  </si>
  <si>
    <t>P10379</t>
  </si>
  <si>
    <t>D  1,941</t>
  </si>
  <si>
    <t>P10380</t>
  </si>
  <si>
    <t>BALBUENA SALAZAR PATRICIA</t>
  </si>
  <si>
    <t>D  1,942</t>
  </si>
  <si>
    <t>P10381</t>
  </si>
  <si>
    <t>VEGMAR PINTURAS SA DE CV</t>
  </si>
  <si>
    <t>D  1,943</t>
  </si>
  <si>
    <t>P10382</t>
  </si>
  <si>
    <t>DELGADO MORENO EDGAR EDUARDO</t>
  </si>
  <si>
    <t>D  1,944</t>
  </si>
  <si>
    <t>P10548</t>
  </si>
  <si>
    <t>NUEVA WAL MART DE MEXICO S DE</t>
  </si>
  <si>
    <t>D  1,945</t>
  </si>
  <si>
    <t>P10549</t>
  </si>
  <si>
    <t>D  1,946</t>
  </si>
  <si>
    <t>P10550</t>
  </si>
  <si>
    <t>ESTAFETA MEXICANA SA DE CV</t>
  </si>
  <si>
    <t>P10554</t>
  </si>
  <si>
    <t>D  1,951</t>
  </si>
  <si>
    <t>P10555</t>
  </si>
  <si>
    <t>D  1,952</t>
  </si>
  <si>
    <t>P10557</t>
  </si>
  <si>
    <t>FONDO NACIONAL DE INFRAESTRUCT</t>
  </si>
  <si>
    <t>D  1,953</t>
  </si>
  <si>
    <t>P10558</t>
  </si>
  <si>
    <t>ELECTROPURAS S DE RL DE CV</t>
  </si>
  <si>
    <t>P10559</t>
  </si>
  <si>
    <t>D  1,955</t>
  </si>
  <si>
    <t>P10561</t>
  </si>
  <si>
    <t>P10562</t>
  </si>
  <si>
    <t>D  1,959</t>
  </si>
  <si>
    <t>P10563</t>
  </si>
  <si>
    <t>D  1,960</t>
  </si>
  <si>
    <t>P10399</t>
  </si>
  <si>
    <t>D  1,961</t>
  </si>
  <si>
    <t>P10384</t>
  </si>
  <si>
    <t>PRODUCTOS METALICOS SUAREZ SA</t>
  </si>
  <si>
    <t>D  1,962</t>
  </si>
  <si>
    <t>P10386</t>
  </si>
  <si>
    <t>IMPRESIONES LASSER BEAN S DE R</t>
  </si>
  <si>
    <t>D  1,965</t>
  </si>
  <si>
    <t>P10390</t>
  </si>
  <si>
    <t>P10392</t>
  </si>
  <si>
    <t>P10393</t>
  </si>
  <si>
    <t>VERA BARBOSA FEDERICO JAIME</t>
  </si>
  <si>
    <t>D  1,969</t>
  </si>
  <si>
    <t>P10394</t>
  </si>
  <si>
    <t>D  1,970</t>
  </si>
  <si>
    <t>P10395</t>
  </si>
  <si>
    <t>D  1,971</t>
  </si>
  <si>
    <t>P10396</t>
  </si>
  <si>
    <t>P10397</t>
  </si>
  <si>
    <t>D  1,973</t>
  </si>
  <si>
    <t>P10398</t>
  </si>
  <si>
    <t>DEA GARCIA</t>
  </si>
  <si>
    <t>P10400</t>
  </si>
  <si>
    <t>P10501</t>
  </si>
  <si>
    <t>FIX FERRETERIA CELAYA</t>
  </si>
  <si>
    <t>D  1,979</t>
  </si>
  <si>
    <t>P10505</t>
  </si>
  <si>
    <t>LOPEZ NEGRETE ALEJANDRO</t>
  </si>
  <si>
    <t>D  1,980</t>
  </si>
  <si>
    <t>P10506</t>
  </si>
  <si>
    <t>D  1,981</t>
  </si>
  <si>
    <t>P10507</t>
  </si>
  <si>
    <t>D  1,985</t>
  </si>
  <si>
    <t>P10511</t>
  </si>
  <si>
    <t>D  1,990</t>
  </si>
  <si>
    <t>P10517</t>
  </si>
  <si>
    <t>D  1,991</t>
  </si>
  <si>
    <t>P10521</t>
  </si>
  <si>
    <t>LJIMENEZ:TRASLADO RAV4 0600-TCN15</t>
  </si>
  <si>
    <t>D  1,993</t>
  </si>
  <si>
    <t>P10523</t>
  </si>
  <si>
    <t>LJIMENEZ:TRASLADO YARIS 0591-TCN15</t>
  </si>
  <si>
    <t>D  1,995</t>
  </si>
  <si>
    <t>P10525</t>
  </si>
  <si>
    <t>TRASPASO YARIS 0618-TCN15</t>
  </si>
  <si>
    <t>D  1,996</t>
  </si>
  <si>
    <t>P10526</t>
  </si>
  <si>
    <t>TRASPSO 0618-TCN15</t>
  </si>
  <si>
    <t>P10528</t>
  </si>
  <si>
    <t>TRASPASO HILUX 0621-TCN15</t>
  </si>
  <si>
    <t>D  2,000</t>
  </si>
  <si>
    <t>P10530</t>
  </si>
  <si>
    <t>TRASLADO PRIUS 0619-TCN15</t>
  </si>
  <si>
    <t>D  2,001</t>
  </si>
  <si>
    <t>P10531</t>
  </si>
  <si>
    <t>TRASLADO YARIS 0562-TCN15</t>
  </si>
  <si>
    <t>D  2,003</t>
  </si>
  <si>
    <t>P10533</t>
  </si>
  <si>
    <t>TRASLADO YARIS 0597-TCN15</t>
  </si>
  <si>
    <t>D  2,005</t>
  </si>
  <si>
    <t>P10535</t>
  </si>
  <si>
    <t>TRASLADO COROLLA 0598-TCN15</t>
  </si>
  <si>
    <t>D  2,007</t>
  </si>
  <si>
    <t>P10537</t>
  </si>
  <si>
    <t>TRASLADO RAV4 0602-TCN15</t>
  </si>
  <si>
    <t>D  2,009</t>
  </si>
  <si>
    <t>P10539</t>
  </si>
  <si>
    <t>TRASLADO TUNDRA 0581-TCN15</t>
  </si>
  <si>
    <t>D  2,011</t>
  </si>
  <si>
    <t>P10541</t>
  </si>
  <si>
    <t>TRASLADO TACOMA 0554-TCN15</t>
  </si>
  <si>
    <t>D  2,012</t>
  </si>
  <si>
    <t>P10542</t>
  </si>
  <si>
    <t>TERASLADO COROLLA 0593-TCN15</t>
  </si>
  <si>
    <t>D  2,014</t>
  </si>
  <si>
    <t>P10544</t>
  </si>
  <si>
    <t>TRASLADO TACOMA 0601-TCN15</t>
  </si>
  <si>
    <t>D  2,016</t>
  </si>
  <si>
    <t>P10546</t>
  </si>
  <si>
    <t>TRASLADO COROLLA 0616-TCN15</t>
  </si>
  <si>
    <t>D  2,018</t>
  </si>
  <si>
    <t>LJIMENEZ:TOLEDO PEREZ JOSE FRANCISC</t>
  </si>
  <si>
    <t>D  2,019</t>
  </si>
  <si>
    <t>TIERRABLANCA SANCHEZ VICTOR HU</t>
  </si>
  <si>
    <t>D  2,020</t>
  </si>
  <si>
    <t>STEFANONI CASTRO MARIA DEL CAR</t>
  </si>
  <si>
    <t>D  2,021</t>
  </si>
  <si>
    <t>SAMBRANO VILLARREAL HERNAN AND</t>
  </si>
  <si>
    <t>D  2,022</t>
  </si>
  <si>
    <t>P10385</t>
  </si>
  <si>
    <t>TRAPO PARA TALLER</t>
  </si>
  <si>
    <t>D  2,042</t>
  </si>
  <si>
    <t>GPO INTERN</t>
  </si>
  <si>
    <t>GRUPO INTERNET</t>
  </si>
  <si>
    <t>D  2,051</t>
  </si>
  <si>
    <t>P13993</t>
  </si>
  <si>
    <t>CH-15884</t>
  </si>
  <si>
    <t>E      3</t>
  </si>
  <si>
    <t>CH-15886</t>
  </si>
  <si>
    <t>CH-15890</t>
  </si>
  <si>
    <t>CH-15887</t>
  </si>
  <si>
    <t>CH-15888</t>
  </si>
  <si>
    <t>E     10</t>
  </si>
  <si>
    <t>CH-15889</t>
  </si>
  <si>
    <t>CH-15902</t>
  </si>
  <si>
    <t>LJIMENEZ:POWERTRONICS S.A. DE C.V.</t>
  </si>
  <si>
    <t>E     26</t>
  </si>
  <si>
    <t>CH-15908</t>
  </si>
  <si>
    <t>E     27</t>
  </si>
  <si>
    <t>CH-15909</t>
  </si>
  <si>
    <t>T-1365</t>
  </si>
  <si>
    <t>E     35</t>
  </si>
  <si>
    <t>T-1366</t>
  </si>
  <si>
    <t>E     36</t>
  </si>
  <si>
    <t>E     37</t>
  </si>
  <si>
    <t>E     41</t>
  </si>
  <si>
    <t>T-1367</t>
  </si>
  <si>
    <t>E     42</t>
  </si>
  <si>
    <t>T-1368</t>
  </si>
  <si>
    <t>GUTIERREZ GONZALEZ ENRIQUE FRANCISC</t>
  </si>
  <si>
    <t>E     43</t>
  </si>
  <si>
    <t>T-1369</t>
  </si>
  <si>
    <t>E     44</t>
  </si>
  <si>
    <t>E     45</t>
  </si>
  <si>
    <t>T-1370</t>
  </si>
  <si>
    <t>E     46</t>
  </si>
  <si>
    <t>T-1371</t>
  </si>
  <si>
    <t>E     47</t>
  </si>
  <si>
    <t>T-1372</t>
  </si>
  <si>
    <t>E     48</t>
  </si>
  <si>
    <t>CH-15915</t>
  </si>
  <si>
    <t>CH-15916</t>
  </si>
  <si>
    <t>CH-15917</t>
  </si>
  <si>
    <t>E     52</t>
  </si>
  <si>
    <t>CH-15918</t>
  </si>
  <si>
    <t>CH-15922</t>
  </si>
  <si>
    <t>CH-15923</t>
  </si>
  <si>
    <t>CH-15926</t>
  </si>
  <si>
    <t>E     64</t>
  </si>
  <si>
    <t>CH-15927</t>
  </si>
  <si>
    <t>CH-15928</t>
  </si>
  <si>
    <t>E     66</t>
  </si>
  <si>
    <t>CH-15929</t>
  </si>
  <si>
    <t>E     67</t>
  </si>
  <si>
    <t>CH-15930</t>
  </si>
  <si>
    <t>CH-15931</t>
  </si>
  <si>
    <t>CH-15932</t>
  </si>
  <si>
    <t>T-1374</t>
  </si>
  <si>
    <t>E     75</t>
  </si>
  <si>
    <t>T-1375</t>
  </si>
  <si>
    <t>T-1376</t>
  </si>
  <si>
    <t>T-1377</t>
  </si>
  <si>
    <t>T-1378</t>
  </si>
  <si>
    <t>T-1379</t>
  </si>
  <si>
    <t>T-1380</t>
  </si>
  <si>
    <t>T-1381</t>
  </si>
  <si>
    <t>T-1382</t>
  </si>
  <si>
    <t>T-1383</t>
  </si>
  <si>
    <t>T-1384</t>
  </si>
  <si>
    <t>T-1385</t>
  </si>
  <si>
    <t>E     96</t>
  </si>
  <si>
    <t>CH-15938</t>
  </si>
  <si>
    <t>CH-15940</t>
  </si>
  <si>
    <t>CH-15941</t>
  </si>
  <si>
    <t>CH-15943</t>
  </si>
  <si>
    <t>CH-15944</t>
  </si>
  <si>
    <t>CH-15945</t>
  </si>
  <si>
    <t>T-1386</t>
  </si>
  <si>
    <t>T-1387</t>
  </si>
  <si>
    <t>T-1388</t>
  </si>
  <si>
    <t>T-1389</t>
  </si>
  <si>
    <t>T-1390</t>
  </si>
  <si>
    <t>T-1391</t>
  </si>
  <si>
    <t>T-1392</t>
  </si>
  <si>
    <t>CORPORATIVO DE SERVICIOS TECNICO CO</t>
  </si>
  <si>
    <t>T-1393</t>
  </si>
  <si>
    <t>CH-15947</t>
  </si>
  <si>
    <t>CH-15949</t>
  </si>
  <si>
    <t>T-1395</t>
  </si>
  <si>
    <t>E    135</t>
  </si>
  <si>
    <t>CH-15951</t>
  </si>
  <si>
    <t>CH-15952</t>
  </si>
  <si>
    <t>CH-936</t>
  </si>
  <si>
    <t>E    147</t>
  </si>
  <si>
    <t>CH-15957</t>
  </si>
  <si>
    <t>CH-15958</t>
  </si>
  <si>
    <t>E    153</t>
  </si>
  <si>
    <t>CH-15959</t>
  </si>
  <si>
    <t>SEPULVEDA MARTINEZ VICTOR MANUEL</t>
  </si>
  <si>
    <t>CH-15960</t>
  </si>
  <si>
    <t>PEÑA HUERTA LIDIA MONSERRAT</t>
  </si>
  <si>
    <t>CH-15961</t>
  </si>
  <si>
    <t>E    164</t>
  </si>
  <si>
    <t>CH-15967</t>
  </si>
  <si>
    <t>E    165</t>
  </si>
  <si>
    <t>CH-15968</t>
  </si>
  <si>
    <t>CH-15969</t>
  </si>
  <si>
    <t>CH-15972</t>
  </si>
  <si>
    <t>CH-15973</t>
  </si>
  <si>
    <t>CH-15974</t>
  </si>
  <si>
    <t>CH-15975</t>
  </si>
  <si>
    <t>CH-15976</t>
  </si>
  <si>
    <t>CH-15978</t>
  </si>
  <si>
    <t>COM.BANCAR</t>
  </si>
  <si>
    <t>LJIMENEZ:COM.BANCARIA BBVA AL 30-04</t>
  </si>
  <si>
    <t>COM.BANCARIA SANTANDER AL 30-0</t>
  </si>
  <si>
    <t>COM.BANCARIA BANORTE AL 30-04-</t>
  </si>
  <si>
    <t>COM.BANCARIA BANAMEX AL 30-04-</t>
  </si>
  <si>
    <t>COM.BANCARIA BANBAJIO AL 30-04</t>
  </si>
  <si>
    <t>CH-15956</t>
  </si>
  <si>
    <t>AGUILA MENDEZ PEDRO SERGIO</t>
  </si>
  <si>
    <t>E    190</t>
  </si>
  <si>
    <t>COMISIONES AMEX ABRIL/2015</t>
  </si>
  <si>
    <t>I    252</t>
  </si>
  <si>
    <t>EMB.65</t>
  </si>
  <si>
    <t>EMBARQUE 65</t>
  </si>
  <si>
    <t>AUMP360418JT8</t>
  </si>
  <si>
    <t>AUTOMOTRIZ TOY S.A  DE  C.V</t>
  </si>
  <si>
    <t>AVA040106CP7</t>
  </si>
  <si>
    <t>APM8805092U9</t>
  </si>
  <si>
    <t>CST020618JV9</t>
  </si>
  <si>
    <t>DEME8403155C8</t>
  </si>
  <si>
    <t>ELE9012281G2</t>
  </si>
  <si>
    <t>EME880309SK5</t>
  </si>
  <si>
    <t>GUGE6311182H3</t>
  </si>
  <si>
    <t>GRUPO PENNINSULA MOTORS S  DE RL</t>
  </si>
  <si>
    <t>PEHL890427LD1</t>
  </si>
  <si>
    <t>ROVJ710710QB3</t>
  </si>
  <si>
    <t>RCA950901KWA</t>
  </si>
  <si>
    <t>SEMV510928M25</t>
  </si>
  <si>
    <t>TRAPO TALLE</t>
  </si>
  <si>
    <t>VPI040122DU8</t>
  </si>
  <si>
    <t xml:space="preserve">HERNANDEZ GARCIA SERGIO </t>
  </si>
  <si>
    <t>OEAE5404042R2</t>
  </si>
  <si>
    <t>EVELIA ORTEGA AGUIRRE</t>
  </si>
  <si>
    <t>SFT021204LHA</t>
  </si>
  <si>
    <t>SERVICIO FUGAS DE TEXCOCO SA DE CV</t>
  </si>
  <si>
    <t>MA MERCEDES ROCHA CALDERON</t>
  </si>
  <si>
    <t>ALIMENTARIA COMPANY S DE RL DE CV</t>
  </si>
  <si>
    <t>SME930607863</t>
  </si>
  <si>
    <t>SERVICIOS META SA DE CV</t>
  </si>
  <si>
    <t>TGC980126DN1</t>
  </si>
  <si>
    <t>TIENDAS GES DE CONVENIENCIA SA DE CV</t>
  </si>
  <si>
    <t>LEME770221DB5</t>
  </si>
  <si>
    <t xml:space="preserve">EVELIN DAMARIS LEON MELCHOR </t>
  </si>
  <si>
    <t>CAMM731010BL1</t>
  </si>
  <si>
    <t>MARTHA ALICIA CHAVEZ MORENO</t>
  </si>
  <si>
    <t>CMI100423CC4</t>
  </si>
  <si>
    <t>CIELO MIXTECO SA DE CV</t>
  </si>
  <si>
    <t>SCU080512296</t>
  </si>
  <si>
    <t>SERVICIO LOS CUES SA DE CV</t>
  </si>
  <si>
    <t>DIFRENCIA</t>
  </si>
  <si>
    <t>SHC680813656</t>
  </si>
  <si>
    <t>SERVICIOS LOS HEROES DE CHURUBUSCO</t>
  </si>
  <si>
    <t>TIENDA SINDICAL DE CONSUMO SECCION X</t>
  </si>
  <si>
    <t>GOM040622MRA</t>
  </si>
  <si>
    <t>GASOLINERIA OMEGA MATEHUALA II SA DE CV</t>
  </si>
  <si>
    <t>GATF491004TL7</t>
  </si>
  <si>
    <t>FRANCISCA GARCIA TORRES</t>
  </si>
  <si>
    <t>SERVICIOS JARDINES DE DURANGO SA DE CV</t>
  </si>
  <si>
    <t>SCA9301296S4</t>
  </si>
  <si>
    <t>SERVICIOS CASTELLANOS SA DE CV</t>
  </si>
  <si>
    <t>OSE110824C75</t>
  </si>
  <si>
    <t>OLEUM SERVICE SA DE CV</t>
  </si>
  <si>
    <t>MAHR7004188F5</t>
  </si>
  <si>
    <t>MARTINEZ HERNANDEZ RICARDO</t>
  </si>
  <si>
    <t>ODO910311U70</t>
  </si>
  <si>
    <t>ORGANIZACIÓN DOT SA DE CV</t>
  </si>
  <si>
    <t>FHE050126HC1</t>
  </si>
  <si>
    <t>FRANQUICIAS HERA S DE RL DE CV</t>
  </si>
  <si>
    <t>SERVICIO SANTA MARIA DEL RIO SA CV</t>
  </si>
  <si>
    <t>NDG071019LH4</t>
  </si>
  <si>
    <t>LAS NUEVAS DELICIAS GASTRONOMICAS S DE</t>
  </si>
  <si>
    <t>SSL000704968</t>
  </si>
  <si>
    <t>STAR SAN LUIS SA DE CV</t>
  </si>
  <si>
    <t>COMERCIALIZADORA LA CONSAGRADA</t>
  </si>
  <si>
    <t>AYALA ARROYO MA GUADALUPE</t>
  </si>
  <si>
    <t>DISTRIBUIDORA DE TORNILLO</t>
  </si>
  <si>
    <t>FERRETERIA MODELO DEL BAJI</t>
  </si>
  <si>
    <t>TMS010508RX0</t>
  </si>
  <si>
    <t>TOYOTA MOTOR SALES DE MEXICO SA DE CV</t>
  </si>
  <si>
    <t>SOVJ900602UW4</t>
  </si>
  <si>
    <t>SOLIS VALLE JORHUS HUGO</t>
  </si>
  <si>
    <t>GURR570309RD8</t>
  </si>
  <si>
    <t>ROSALBA GUERRERO RODRIGUEZ</t>
  </si>
  <si>
    <t>RESTAURANT OBREGON SA DE CV</t>
  </si>
  <si>
    <t>NPA140312E40</t>
  </si>
  <si>
    <t>LA NUEVA PARROQUIA AVENIDA SA DE CV</t>
  </si>
  <si>
    <t>CAFETERIA Y RESTAURANTE EL PACIFICO</t>
  </si>
  <si>
    <t>CAL980826GA3</t>
  </si>
  <si>
    <t>COMERCIALIZADORA ALEXA SA DE CV</t>
  </si>
  <si>
    <t>CGA010307N18</t>
  </si>
  <si>
    <t>CENTRO GASOLINERO ANIMAS SA DE CV</t>
  </si>
  <si>
    <t>OET0806125B1</t>
  </si>
  <si>
    <t>OPERADORA DE ESTANCIAS TURISTICAS SC</t>
  </si>
  <si>
    <t>TLU080610C81</t>
  </si>
  <si>
    <t>ETN TURISTAR LUJO SA DE CV</t>
  </si>
  <si>
    <t>D      1</t>
  </si>
  <si>
    <t>F-1507264</t>
  </si>
  <si>
    <t>LJIMENEZ:CONTRATO SIENNA LIMITED 98</t>
  </si>
  <si>
    <t>D     99</t>
  </si>
  <si>
    <t>F-1710036</t>
  </si>
  <si>
    <t>LJIMENEZ:MENSUALIDAD COROLLA</t>
  </si>
  <si>
    <t>D    100</t>
  </si>
  <si>
    <t>0639-TCN15</t>
  </si>
  <si>
    <t>LJIMENEZ:LIDERAZGO AUTOMOTRIZ S  DE</t>
  </si>
  <si>
    <t>D    122</t>
  </si>
  <si>
    <t>F-1701586</t>
  </si>
  <si>
    <t>D    124</t>
  </si>
  <si>
    <t>F-1723767</t>
  </si>
  <si>
    <t>D    138</t>
  </si>
  <si>
    <t>0640-TCN15</t>
  </si>
  <si>
    <t>UNITED AUTO DE  MONTERREY S DE RL D</t>
  </si>
  <si>
    <t>D    143</t>
  </si>
  <si>
    <t>0641-TCN15</t>
  </si>
  <si>
    <t>D    144</t>
  </si>
  <si>
    <t>0642-TCN15</t>
  </si>
  <si>
    <t>D    145</t>
  </si>
  <si>
    <t>0643-TCN15</t>
  </si>
  <si>
    <t>D    146</t>
  </si>
  <si>
    <t>0644-TCN15</t>
  </si>
  <si>
    <t>D    150</t>
  </si>
  <si>
    <t>0645-TCN15</t>
  </si>
  <si>
    <t>D    151</t>
  </si>
  <si>
    <t>0646-TCN15</t>
  </si>
  <si>
    <t>0647-TCN15</t>
  </si>
  <si>
    <t>D    276</t>
  </si>
  <si>
    <t>0648-TCN15</t>
  </si>
  <si>
    <t>D    284</t>
  </si>
  <si>
    <t>D    286</t>
  </si>
  <si>
    <t>D    332</t>
  </si>
  <si>
    <t>0650-TCN15</t>
  </si>
  <si>
    <t>D    570</t>
  </si>
  <si>
    <t>0651-TCN15</t>
  </si>
  <si>
    <t>DALTON AUTOMOTRIZ S  DE  RL DE CV</t>
  </si>
  <si>
    <t>D    586</t>
  </si>
  <si>
    <t>0652-TCN15</t>
  </si>
  <si>
    <t>GRUPO PENNINSULA  MOTORS S DE  RL D</t>
  </si>
  <si>
    <t>D    587</t>
  </si>
  <si>
    <t>0653-TCN15</t>
  </si>
  <si>
    <t>DALTON AUTOMOTRIZ S DE RL DE  CV</t>
  </si>
  <si>
    <t>D    760</t>
  </si>
  <si>
    <t>0654-TCN15</t>
  </si>
  <si>
    <t>0655-TCN15</t>
  </si>
  <si>
    <t>D    803</t>
  </si>
  <si>
    <t>0656-TCN15</t>
  </si>
  <si>
    <t>LJIMENEZ:LIDERAZGO  AUTOMOTRIZ  DE</t>
  </si>
  <si>
    <t>D    819</t>
  </si>
  <si>
    <t>D    823</t>
  </si>
  <si>
    <t>D    892</t>
  </si>
  <si>
    <t>0658-TCN15</t>
  </si>
  <si>
    <t>D    912</t>
  </si>
  <si>
    <t>0657-TCN15</t>
  </si>
  <si>
    <t>TOYOMOTORS  S  DE  RL  DE  CV</t>
  </si>
  <si>
    <t>D    915</t>
  </si>
  <si>
    <t>0659-TCN15</t>
  </si>
  <si>
    <t>D    953</t>
  </si>
  <si>
    <t>0660-TCN15</t>
  </si>
  <si>
    <t>0661-TCN15</t>
  </si>
  <si>
    <t>D  1,107</t>
  </si>
  <si>
    <t>0662-TCN15</t>
  </si>
  <si>
    <t>D  1,125</t>
  </si>
  <si>
    <t>0663-TCN15</t>
  </si>
  <si>
    <t>D  1,127</t>
  </si>
  <si>
    <t>0664-TCN15</t>
  </si>
  <si>
    <t>0665-TCN15</t>
  </si>
  <si>
    <t>OZ AUTOMOTRIZ S  DE  RL DE  CV</t>
  </si>
  <si>
    <t>0666-TCN15</t>
  </si>
  <si>
    <t>D  1,154</t>
  </si>
  <si>
    <t>0667-TCN15</t>
  </si>
  <si>
    <t>D  1,158</t>
  </si>
  <si>
    <t>0668-TCN15</t>
  </si>
  <si>
    <t>0669-TCN15</t>
  </si>
  <si>
    <t>D  1,184</t>
  </si>
  <si>
    <t>0670-TCN15</t>
  </si>
  <si>
    <t>D  1,204</t>
  </si>
  <si>
    <t>0671-TCN15</t>
  </si>
  <si>
    <t>D  1,206</t>
  </si>
  <si>
    <t>0672-TCN15</t>
  </si>
  <si>
    <t>0673-TCN15</t>
  </si>
  <si>
    <t>D  1,230</t>
  </si>
  <si>
    <t>D  1,265</t>
  </si>
  <si>
    <t>0674-TCN15</t>
  </si>
  <si>
    <t>D  1,336</t>
  </si>
  <si>
    <t>S001251</t>
  </si>
  <si>
    <t>D  1,392</t>
  </si>
  <si>
    <t>0675-TCN15</t>
  </si>
  <si>
    <t>DURANGO AUTOMOTORES  S DE  RL DE  C</t>
  </si>
  <si>
    <t>D  1,405</t>
  </si>
  <si>
    <t>P10362</t>
  </si>
  <si>
    <t>LJIMENEZ:MARCAS NESTLE SA DE CV</t>
  </si>
  <si>
    <t>D  1,406</t>
  </si>
  <si>
    <t>0676-TCN15</t>
  </si>
  <si>
    <t>TOYOMOTORS SA  DE CV</t>
  </si>
  <si>
    <t>D  1,417</t>
  </si>
  <si>
    <t>0677-TCN15</t>
  </si>
  <si>
    <t>D  1,519</t>
  </si>
  <si>
    <t>0678-TCN15</t>
  </si>
  <si>
    <t>VALOR MOTRIZ S  DE  RL DE  CV</t>
  </si>
  <si>
    <t>D  1,577</t>
  </si>
  <si>
    <t>0679-TCN15</t>
  </si>
  <si>
    <t>AUTOMOTRIZ OAXACA  DE  ANTEQUERA</t>
  </si>
  <si>
    <t>0680-TCN15</t>
  </si>
  <si>
    <t>0682-TCN15</t>
  </si>
  <si>
    <t>D  1,661</t>
  </si>
  <si>
    <t>ALECSA  PACHUCA  S  DE  RL DE  CV</t>
  </si>
  <si>
    <t>D  1,690</t>
  </si>
  <si>
    <t>0683-TCN15</t>
  </si>
  <si>
    <t>D  1,694</t>
  </si>
  <si>
    <t>0684-TCN15</t>
  </si>
  <si>
    <t>0685-TCN15</t>
  </si>
  <si>
    <t>D  1,764</t>
  </si>
  <si>
    <t>0686-TCN15</t>
  </si>
  <si>
    <t>D  1,766</t>
  </si>
  <si>
    <t>0687-TCN15</t>
  </si>
  <si>
    <t>D  1,770</t>
  </si>
  <si>
    <t>0688-TCN15</t>
  </si>
  <si>
    <t>D  1,771</t>
  </si>
  <si>
    <t>0689-TCN15</t>
  </si>
  <si>
    <t>D  1,774</t>
  </si>
  <si>
    <t>0690-TCN15</t>
  </si>
  <si>
    <t>D  1,775</t>
  </si>
  <si>
    <t>0691-TCN15</t>
  </si>
  <si>
    <t>D  1,788</t>
  </si>
  <si>
    <t>0692-TCN15</t>
  </si>
  <si>
    <t>D  1,789</t>
  </si>
  <si>
    <t>0693-TCN15</t>
  </si>
  <si>
    <t>0694-TCN15</t>
  </si>
  <si>
    <t>LJIMENEZ:TOYOMOTORS DE IRAPUATO S</t>
  </si>
  <si>
    <t>0695-TCN15</t>
  </si>
  <si>
    <t>TOYOMOTORS S.A  DE  C.V</t>
  </si>
  <si>
    <t>D  1,847</t>
  </si>
  <si>
    <t>0696-TCN15</t>
  </si>
  <si>
    <t>D  1,849</t>
  </si>
  <si>
    <t>0697-TCN15</t>
  </si>
  <si>
    <t>D  1,850</t>
  </si>
  <si>
    <t>0698-TCN15</t>
  </si>
  <si>
    <t>D  1,875</t>
  </si>
  <si>
    <t>0699-TCN15</t>
  </si>
  <si>
    <t>0700-TCN15</t>
  </si>
  <si>
    <t>0701-TCN15</t>
  </si>
  <si>
    <t>0703-TCN15</t>
  </si>
  <si>
    <t>D  2,044</t>
  </si>
  <si>
    <t>CAP. DIANA</t>
  </si>
  <si>
    <t>LJIMENEZ:CAP. DIANA SUSANA RAMIREZ</t>
  </si>
  <si>
    <t>D  2,045</t>
  </si>
  <si>
    <t>LJIMENEZ:VIATICOS HERNAN ANDRES SAM</t>
  </si>
  <si>
    <t>D  2,100</t>
  </si>
  <si>
    <t>CH-16070</t>
  </si>
  <si>
    <t>LJIMENEZ:PAGO REFACCIONES ABRIL</t>
  </si>
  <si>
    <t>D  2,116</t>
  </si>
  <si>
    <t>P10772</t>
  </si>
  <si>
    <t>D  2,117</t>
  </si>
  <si>
    <t>P10775</t>
  </si>
  <si>
    <t>D  2,118</t>
  </si>
  <si>
    <t>P10776</t>
  </si>
  <si>
    <t>D  2,119</t>
  </si>
  <si>
    <t>P10777</t>
  </si>
  <si>
    <t>D  2,120</t>
  </si>
  <si>
    <t>P10778</t>
  </si>
  <si>
    <t>D  2,121</t>
  </si>
  <si>
    <t>P10779</t>
  </si>
  <si>
    <t>D  2,122</t>
  </si>
  <si>
    <t>P10780</t>
  </si>
  <si>
    <t>CONTRAPESOS Y ACCESORIOS RYS S</t>
  </si>
  <si>
    <t>D  2,123</t>
  </si>
  <si>
    <t>P10781</t>
  </si>
  <si>
    <t>D  2,124</t>
  </si>
  <si>
    <t>P10782</t>
  </si>
  <si>
    <t>D  2,125</t>
  </si>
  <si>
    <t>P10784</t>
  </si>
  <si>
    <t>D  2,127</t>
  </si>
  <si>
    <t>P10788</t>
  </si>
  <si>
    <t>APOLINAR GAMINO JIMENEZ</t>
  </si>
  <si>
    <t>D  2,128</t>
  </si>
  <si>
    <t>P10789</t>
  </si>
  <si>
    <t>P10790</t>
  </si>
  <si>
    <t>P10791</t>
  </si>
  <si>
    <t>R2129</t>
  </si>
  <si>
    <t>R2128</t>
  </si>
  <si>
    <t>D  2,133</t>
  </si>
  <si>
    <t>P10600</t>
  </si>
  <si>
    <t>R2127</t>
  </si>
  <si>
    <t>R2119</t>
  </si>
  <si>
    <t>P10701</t>
  </si>
  <si>
    <t>P10702</t>
  </si>
  <si>
    <t>S1309</t>
  </si>
  <si>
    <t>ARNABDO DURAN MEJIA</t>
  </si>
  <si>
    <t>S1283</t>
  </si>
  <si>
    <t>S1268</t>
  </si>
  <si>
    <t>RECTIFICACIONES VAZCO SA DE CV</t>
  </si>
  <si>
    <t>P10704</t>
  </si>
  <si>
    <t>P10792</t>
  </si>
  <si>
    <t>INV 0692-TCN15 SEVIBA SA DE CV</t>
  </si>
  <si>
    <t>P10705</t>
  </si>
  <si>
    <t>IMPORTADORA MEDICA HOSPITALARI</t>
  </si>
  <si>
    <t>P10706</t>
  </si>
  <si>
    <t>P10707</t>
  </si>
  <si>
    <t>P10708</t>
  </si>
  <si>
    <t>P10709</t>
  </si>
  <si>
    <t>P10711</t>
  </si>
  <si>
    <t>P10793</t>
  </si>
  <si>
    <t>CASETA</t>
  </si>
  <si>
    <t>ESTACIONES DE SERVICIO SA DE C</t>
  </si>
  <si>
    <t>P10715</t>
  </si>
  <si>
    <t>P10717</t>
  </si>
  <si>
    <t>D  2,159</t>
  </si>
  <si>
    <t>P10719</t>
  </si>
  <si>
    <t>D  2,160</t>
  </si>
  <si>
    <t>P10794-795</t>
  </si>
  <si>
    <t>ESTACION DE SERVICIOS LUNA Y S</t>
  </si>
  <si>
    <t>MULTISERVICIO SA ROBERTO SA DE</t>
  </si>
  <si>
    <t>PRADERO EL PARIENTE SA DE CV</t>
  </si>
  <si>
    <t>P10722</t>
  </si>
  <si>
    <t>P10723</t>
  </si>
  <si>
    <t>P10725</t>
  </si>
  <si>
    <t>JAUREGUI SANTUARIO JOSE FRANCI</t>
  </si>
  <si>
    <t>P10796-797</t>
  </si>
  <si>
    <t>AUTOBUSES DE LA PIEDAD SA DE C</t>
  </si>
  <si>
    <t>MA MERCEDES ROCHO CALDERON</t>
  </si>
  <si>
    <t>SERVICIO SAN JOSE DEL ALTO SA</t>
  </si>
  <si>
    <t>P10726</t>
  </si>
  <si>
    <t>AUTOZONE DE MEXICO SA DE R L D</t>
  </si>
  <si>
    <t>D  2,169</t>
  </si>
  <si>
    <t>P10798-799</t>
  </si>
  <si>
    <t>SERVICIOS MAYELI SA DE CV</t>
  </si>
  <si>
    <t>P10728</t>
  </si>
  <si>
    <t>P10800-801</t>
  </si>
  <si>
    <t>AUTOBUSES ESTRELLA BLANCA SA D</t>
  </si>
  <si>
    <t>TIENDA SINDICAL DE CONSUMO SEC</t>
  </si>
  <si>
    <t>D  2,175</t>
  </si>
  <si>
    <t>P10732</t>
  </si>
  <si>
    <t>SEPULVEDA MARTINEZ VICTOR MANU</t>
  </si>
  <si>
    <t>P10735</t>
  </si>
  <si>
    <t>P10802-803</t>
  </si>
  <si>
    <t>ALIMENTARIA COMPANY S DE RL DE</t>
  </si>
  <si>
    <t>PARADOR TURISTICO DEL ALTIPLAN</t>
  </si>
  <si>
    <t>D  2,181</t>
  </si>
  <si>
    <t>P10737</t>
  </si>
  <si>
    <t>D  2,183</t>
  </si>
  <si>
    <t>P10804</t>
  </si>
  <si>
    <t>P10739</t>
  </si>
  <si>
    <t>ALAMO MARTINEZ LUIS RICARDO</t>
  </si>
  <si>
    <t>P10740</t>
  </si>
  <si>
    <t>NUEVA WALMAT DE MEXICO S DE RL</t>
  </si>
  <si>
    <t>P10741</t>
  </si>
  <si>
    <t>P10805-806</t>
  </si>
  <si>
    <t>AUTO SERVICIO ANGELOPOLIS SA D</t>
  </si>
  <si>
    <t>FELIX GABRIEL VASQUEZ JIMENEZ</t>
  </si>
  <si>
    <t>P10746</t>
  </si>
  <si>
    <t>KRISPY KREME MEXICO S DE RL DE</t>
  </si>
  <si>
    <t>P10747</t>
  </si>
  <si>
    <t>RODRIGUEZ ARELLANO ALEJANDRO D</t>
  </si>
  <si>
    <t>P10748</t>
  </si>
  <si>
    <t>CAFE SIRENA S DE RL DE CV</t>
  </si>
  <si>
    <t>P10749</t>
  </si>
  <si>
    <t>P10750</t>
  </si>
  <si>
    <t>QUEZADA BRISEÑO RAFAEL</t>
  </si>
  <si>
    <t>P10807-808</t>
  </si>
  <si>
    <t>SERVICIO ANGEL SA DE CV</t>
  </si>
  <si>
    <t>P10751</t>
  </si>
  <si>
    <t>P10752</t>
  </si>
  <si>
    <t>D  2,199</t>
  </si>
  <si>
    <t>P10753</t>
  </si>
  <si>
    <t>P10754</t>
  </si>
  <si>
    <t>P10809-810</t>
  </si>
  <si>
    <t>SERVICIO LOS HEROES DE CHURUBU</t>
  </si>
  <si>
    <t>TIENDA SINDICAL DE CINSUMO SEC</t>
  </si>
  <si>
    <t>P10755</t>
  </si>
  <si>
    <t>P10756</t>
  </si>
  <si>
    <t>D  2,204</t>
  </si>
  <si>
    <t>P10757</t>
  </si>
  <si>
    <t>D  2,205</t>
  </si>
  <si>
    <t>P10758</t>
  </si>
  <si>
    <t>LJIMENEZ:NUEVA WALMART DE MEXICO S</t>
  </si>
  <si>
    <t>P10760</t>
  </si>
  <si>
    <t>LJIMENEZ:CASETAS</t>
  </si>
  <si>
    <t>D  2,208</t>
  </si>
  <si>
    <t>P10761</t>
  </si>
  <si>
    <t>D  2,209</t>
  </si>
  <si>
    <t>P10762</t>
  </si>
  <si>
    <t>FERRETERIA FIX CELAYA</t>
  </si>
  <si>
    <t>D  2,211</t>
  </si>
  <si>
    <t>P10764</t>
  </si>
  <si>
    <t>P10766</t>
  </si>
  <si>
    <t>D  2,214</t>
  </si>
  <si>
    <t>P10767</t>
  </si>
  <si>
    <t>D  2,215</t>
  </si>
  <si>
    <t>P10768</t>
  </si>
  <si>
    <t>DON PULCRO SA DE CV</t>
  </si>
  <si>
    <t>P10769</t>
  </si>
  <si>
    <t>P10770</t>
  </si>
  <si>
    <t>P10811</t>
  </si>
  <si>
    <t>OPERADORA SAN ISIDRO SA DE CV</t>
  </si>
  <si>
    <t>D  2,219</t>
  </si>
  <si>
    <t>P10771</t>
  </si>
  <si>
    <t>P10813-814</t>
  </si>
  <si>
    <t>D  2,221</t>
  </si>
  <si>
    <t>P10815-816</t>
  </si>
  <si>
    <t>RSJ1306261M9</t>
  </si>
  <si>
    <t>SERVICIO DEVA SA DE CV</t>
  </si>
  <si>
    <t>P10817</t>
  </si>
  <si>
    <t>P10819-820</t>
  </si>
  <si>
    <t>GASOLINERIA LOMA LINDA 0194 SA</t>
  </si>
  <si>
    <t>D  2,224</t>
  </si>
  <si>
    <t>P10821-822</t>
  </si>
  <si>
    <t>P10823-824</t>
  </si>
  <si>
    <t>P10825-826</t>
  </si>
  <si>
    <t>SERVICIOS ULTRA MODERNOS SA DE</t>
  </si>
  <si>
    <t>TIENDA SIDICAL DE CONSUMO SECC</t>
  </si>
  <si>
    <t>D  2,227</t>
  </si>
  <si>
    <t>P10827-828</t>
  </si>
  <si>
    <t>EPG020911GH9</t>
  </si>
  <si>
    <t>R2122</t>
  </si>
  <si>
    <t>D  2,252</t>
  </si>
  <si>
    <t>PRESTAMOTF</t>
  </si>
  <si>
    <t>PRESTAMO TFS CP</t>
  </si>
  <si>
    <t>D  2,254</t>
  </si>
  <si>
    <t>AM 877</t>
  </si>
  <si>
    <t>PAGO DE FACTURA AM 877</t>
  </si>
  <si>
    <t>FACT AM878</t>
  </si>
  <si>
    <t>PAGO DE FACTURA AM 878</t>
  </si>
  <si>
    <t>D  2,267</t>
  </si>
  <si>
    <t>NC 171</t>
  </si>
  <si>
    <t>NOTA DE CREDITO CONSULTORES</t>
  </si>
  <si>
    <t>D  2,269</t>
  </si>
  <si>
    <t>CH-15983</t>
  </si>
  <si>
    <t>E      7</t>
  </si>
  <si>
    <t>CH-15984</t>
  </si>
  <si>
    <t>E     13</t>
  </si>
  <si>
    <t>CH-15988</t>
  </si>
  <si>
    <t>VILLASEÑOR CANO LUIS</t>
  </si>
  <si>
    <t>CH-15989</t>
  </si>
  <si>
    <t>CH-15992</t>
  </si>
  <si>
    <t>CH-15993</t>
  </si>
  <si>
    <t>LJIMENEZ:IMPULSORA DE TRANSPORTES M</t>
  </si>
  <si>
    <t>CH-15995</t>
  </si>
  <si>
    <t>E     21</t>
  </si>
  <si>
    <t>CH-940</t>
  </si>
  <si>
    <t>T-1397</t>
  </si>
  <si>
    <t>T-1343</t>
  </si>
  <si>
    <t>E     28</t>
  </si>
  <si>
    <t>T-1398</t>
  </si>
  <si>
    <t>E     29</t>
  </si>
  <si>
    <t>T-1399</t>
  </si>
  <si>
    <t>E     30</t>
  </si>
  <si>
    <t>T-1400</t>
  </si>
  <si>
    <t>E     31</t>
  </si>
  <si>
    <t>T-1401</t>
  </si>
  <si>
    <t>T-1402</t>
  </si>
  <si>
    <t>VASQUEZ ALCANTARA YAZMIN IVONNE</t>
  </si>
  <si>
    <t>CH-16001</t>
  </si>
  <si>
    <t>E     38</t>
  </si>
  <si>
    <t>CH-16004</t>
  </si>
  <si>
    <t>CH-16010</t>
  </si>
  <si>
    <t>CH-16011</t>
  </si>
  <si>
    <t>CH-16012</t>
  </si>
  <si>
    <t>CH-16014</t>
  </si>
  <si>
    <t>COMUNICACIONES NEXTEL DE MEXICO SA</t>
  </si>
  <si>
    <t>CH-16015</t>
  </si>
  <si>
    <t>E     55</t>
  </si>
  <si>
    <t>T-1403</t>
  </si>
  <si>
    <t>E     56</t>
  </si>
  <si>
    <t>T-1404</t>
  </si>
  <si>
    <t>T-1406</t>
  </si>
  <si>
    <t>T-1407</t>
  </si>
  <si>
    <t>T-1408</t>
  </si>
  <si>
    <t>T-1409</t>
  </si>
  <si>
    <t>T-1410</t>
  </si>
  <si>
    <t>T-1411</t>
  </si>
  <si>
    <t>T-1412</t>
  </si>
  <si>
    <t>T-1413</t>
  </si>
  <si>
    <t>T-1414</t>
  </si>
  <si>
    <t>T-1416</t>
  </si>
  <si>
    <t>T-1417</t>
  </si>
  <si>
    <t>COMISION</t>
  </si>
  <si>
    <t>COMISION DEL 04-05-15</t>
  </si>
  <si>
    <t>COMISION DEL 04-05-2015</t>
  </si>
  <si>
    <t>CH-16026</t>
  </si>
  <si>
    <t>LJIMENEZ:LABORATORIOS CORYCEL S.A.</t>
  </si>
  <si>
    <t>CH-16027</t>
  </si>
  <si>
    <t>CH-16028</t>
  </si>
  <si>
    <t>E    101</t>
  </si>
  <si>
    <t>CH-16029</t>
  </si>
  <si>
    <t>CH-944</t>
  </si>
  <si>
    <t>CH-16031</t>
  </si>
  <si>
    <t>CH-16032</t>
  </si>
  <si>
    <t>CH-16034</t>
  </si>
  <si>
    <t>CH-16038</t>
  </si>
  <si>
    <t>CH-16040</t>
  </si>
  <si>
    <t>CH-16041</t>
  </si>
  <si>
    <t>CH-16045</t>
  </si>
  <si>
    <t>CH-16042</t>
  </si>
  <si>
    <t>CH-16043</t>
  </si>
  <si>
    <t>CH-16044</t>
  </si>
  <si>
    <t>T-1420</t>
  </si>
  <si>
    <t>T-1422</t>
  </si>
  <si>
    <t>T-1355</t>
  </si>
  <si>
    <t>E    133</t>
  </si>
  <si>
    <t>T-1423</t>
  </si>
  <si>
    <t>GOMEZ REY OSCAR DE JESUS</t>
  </si>
  <si>
    <t>CH-16055</t>
  </si>
  <si>
    <t>LJIMENEZ:JOSE CARREÑO ARREGUIN</t>
  </si>
  <si>
    <t>CH-16057</t>
  </si>
  <si>
    <t>CH-16058</t>
  </si>
  <si>
    <t>CH-946</t>
  </si>
  <si>
    <t>CH-16064</t>
  </si>
  <si>
    <t>CH-16065</t>
  </si>
  <si>
    <t>CH-16066</t>
  </si>
  <si>
    <t>CH-16067</t>
  </si>
  <si>
    <t>CH-16068</t>
  </si>
  <si>
    <t>MARTINEZ SUAREZ SANTOS</t>
  </si>
  <si>
    <t>CH-16069</t>
  </si>
  <si>
    <t>E    163</t>
  </si>
  <si>
    <t>CH-16071</t>
  </si>
  <si>
    <t>CH-16074</t>
  </si>
  <si>
    <t>CH-16078</t>
  </si>
  <si>
    <t>T-1424</t>
  </si>
  <si>
    <t>T-1425</t>
  </si>
  <si>
    <t>T-1426</t>
  </si>
  <si>
    <t>T-1427</t>
  </si>
  <si>
    <t>NOTARIA PUBLICA NUMERO TRES SC</t>
  </si>
  <si>
    <t>T-1428</t>
  </si>
  <si>
    <t>T-1429</t>
  </si>
  <si>
    <t>T-1430</t>
  </si>
  <si>
    <t>T-1431</t>
  </si>
  <si>
    <t>T-1432</t>
  </si>
  <si>
    <t>CH-948</t>
  </si>
  <si>
    <t>CH-16094</t>
  </si>
  <si>
    <t>CH-15994</t>
  </si>
  <si>
    <t>DESARROLLO Y CONTROL DE OBRAS S.A.</t>
  </si>
  <si>
    <t>CH-16098</t>
  </si>
  <si>
    <t>CH-16099</t>
  </si>
  <si>
    <t>CH-16100</t>
  </si>
  <si>
    <t>STERLING</t>
  </si>
  <si>
    <t>PAGO A STERLING ARANA EUGENIO</t>
  </si>
  <si>
    <t>COMISIONES</t>
  </si>
  <si>
    <t>COMISIONES BANCARIAS BANCOMER</t>
  </si>
  <si>
    <t>LJIMENEZ:COMISIONES MAYO BANAMEX</t>
  </si>
  <si>
    <t>COMISIONES MAYO BANORTE</t>
  </si>
  <si>
    <t>COMISION MAYO BAJIO</t>
  </si>
  <si>
    <t>COMISIONES MAYO INVERLAT</t>
  </si>
  <si>
    <t>COMISION MAYO SANTANDER</t>
  </si>
  <si>
    <t>COM AMERIC</t>
  </si>
  <si>
    <t>COMISION AMERICA EXPRESS</t>
  </si>
  <si>
    <t>APA040128N75</t>
  </si>
  <si>
    <t>CSI020226MV4</t>
  </si>
  <si>
    <t>CONSULTORES &amp; ASESORES INTEGRALES SC</t>
  </si>
  <si>
    <t>CAR690416420</t>
  </si>
  <si>
    <t>COSTCO DE MEXICO, S.A. DE C.V.</t>
  </si>
  <si>
    <t>DALTON AUTOMOTRIZ, S. DE RL DE C.V.</t>
  </si>
  <si>
    <t>DCO990624FS5</t>
  </si>
  <si>
    <t>DPU991209HW4</t>
  </si>
  <si>
    <t>ESL940203IW6</t>
  </si>
  <si>
    <t>GLC110908FF8</t>
  </si>
  <si>
    <t>GORO600907RG2</t>
  </si>
  <si>
    <t>IMH030130AF7</t>
  </si>
  <si>
    <t>JASF580809PN2</t>
  </si>
  <si>
    <t>KKM0304101S1</t>
  </si>
  <si>
    <t>KRISPY KREME MEXICO, S DE R.L. DE C.V.</t>
  </si>
  <si>
    <t>MSR990518KK8</t>
  </si>
  <si>
    <t>OSI0301158T0</t>
  </si>
  <si>
    <t>PTA910214MP0</t>
  </si>
  <si>
    <t>SAN9602084N8</t>
  </si>
  <si>
    <t>SDE090429M34</t>
  </si>
  <si>
    <t>TMO141008CP6</t>
  </si>
  <si>
    <t>TOY MOTORS S.A. DE C.V.</t>
  </si>
  <si>
    <t>UAM011124U83</t>
  </si>
  <si>
    <t>VAAY890313NK3</t>
  </si>
  <si>
    <t>VICL4711295D0</t>
  </si>
  <si>
    <t>QUBR610825FX9</t>
  </si>
  <si>
    <t>ARELI REYES MORALES</t>
  </si>
  <si>
    <t>MASS641103813</t>
  </si>
  <si>
    <t>AAML770412LP6</t>
  </si>
  <si>
    <t>CAAJ280806LI7</t>
  </si>
  <si>
    <t>LCO010517K91</t>
  </si>
  <si>
    <t>TOYOTA MOTOR SALES DE MEXICO S DE RL DE CV</t>
  </si>
  <si>
    <t>BANCO NACIONAL DE MEXICO, S.A.</t>
  </si>
  <si>
    <t>D      7</t>
  </si>
  <si>
    <t>F-1739586</t>
  </si>
  <si>
    <t>D      8</t>
  </si>
  <si>
    <t>F-1741016</t>
  </si>
  <si>
    <t>D      9</t>
  </si>
  <si>
    <t>F-1754349</t>
  </si>
  <si>
    <t>LJIMENEZ:MENSUSLIDAD SIENNA</t>
  </si>
  <si>
    <t>D     71</t>
  </si>
  <si>
    <t>0704-TCN15</t>
  </si>
  <si>
    <t>AUTOMOTRIZ OAXACA DE  ANTEQUERA S D</t>
  </si>
  <si>
    <t>D    141</t>
  </si>
  <si>
    <t>0705-TCN15</t>
  </si>
  <si>
    <t>D    142</t>
  </si>
  <si>
    <t>0706-TCN15</t>
  </si>
  <si>
    <t>D    162</t>
  </si>
  <si>
    <t>0707-TCN15</t>
  </si>
  <si>
    <t>CCD. AUTOSALES  PUERTO VALLARTA  S</t>
  </si>
  <si>
    <t>D    174</t>
  </si>
  <si>
    <t>0708-TCN15</t>
  </si>
  <si>
    <t>D    278</t>
  </si>
  <si>
    <t>0710-TCN15</t>
  </si>
  <si>
    <t>LJIMENEZ:AUTOMOTRIZ NIHON  SA  DE C</t>
  </si>
  <si>
    <t>D    329</t>
  </si>
  <si>
    <t>0711-TCN15</t>
  </si>
  <si>
    <t>LJIMENEZ:CCD, AUTOSALES  PUERTO  VA</t>
  </si>
  <si>
    <t>D    406</t>
  </si>
  <si>
    <t>D    407</t>
  </si>
  <si>
    <t>D    448</t>
  </si>
  <si>
    <t>0712-TCN15</t>
  </si>
  <si>
    <t>VALOR  MOTRIZ S DE  RL DE CV</t>
  </si>
  <si>
    <t>D    492</t>
  </si>
  <si>
    <t>0713-TCN15</t>
  </si>
  <si>
    <t>D    522</t>
  </si>
  <si>
    <t>0714-TCN15</t>
  </si>
  <si>
    <t>D    604</t>
  </si>
  <si>
    <t>0715-TCN15</t>
  </si>
  <si>
    <t>AUTOMOTRIZ TOY S.A DE  CV.</t>
  </si>
  <si>
    <t>D    679</t>
  </si>
  <si>
    <t>0718-TCN15</t>
  </si>
  <si>
    <t>LJIMENEZ:CCD,AUTOSALES   PUERTO VAL</t>
  </si>
  <si>
    <t>D    684</t>
  </si>
  <si>
    <t>0716-TCN15</t>
  </si>
  <si>
    <t>D    685</t>
  </si>
  <si>
    <t>0717-TCN15</t>
  </si>
  <si>
    <t>0719-TCN15</t>
  </si>
  <si>
    <t>DALTON AUTOMOTORES  S  DE  RL DE</t>
  </si>
  <si>
    <t>D    839</t>
  </si>
  <si>
    <t>0720-TCN15</t>
  </si>
  <si>
    <t>D    939</t>
  </si>
  <si>
    <t>0721-TCN15</t>
  </si>
  <si>
    <t>ALDEN  QUERETARO S DE RL DE CV</t>
  </si>
  <si>
    <t>D    952</t>
  </si>
  <si>
    <t>0722-TCN15</t>
  </si>
  <si>
    <t>LJIMENEZ:TOYOCOAPA S DE  RL DE CV</t>
  </si>
  <si>
    <t>D    956</t>
  </si>
  <si>
    <t>0723-TCN15</t>
  </si>
  <si>
    <t>D  1,004</t>
  </si>
  <si>
    <t>0724-TCN15</t>
  </si>
  <si>
    <t>0725-TCN15</t>
  </si>
  <si>
    <t>D  1,085</t>
  </si>
  <si>
    <t>0726-TCN15</t>
  </si>
  <si>
    <t>D  1,168</t>
  </si>
  <si>
    <t>0727-TCN15</t>
  </si>
  <si>
    <t>D  1,169</t>
  </si>
  <si>
    <t>0729-TCN15</t>
  </si>
  <si>
    <t>D  1,170</t>
  </si>
  <si>
    <t>0728-TCN15</t>
  </si>
  <si>
    <t>D  1,171</t>
  </si>
  <si>
    <t>0730-TCN15</t>
  </si>
  <si>
    <t>MEGAMOTORS  NIPPON  S DE RL DE CV</t>
  </si>
  <si>
    <t>0732-TCN15</t>
  </si>
  <si>
    <t>0733-TCN15</t>
  </si>
  <si>
    <t>D  1,288</t>
  </si>
  <si>
    <t>LJIMENEZ:ALDEN QUERETARO  S  DE  RL</t>
  </si>
  <si>
    <t>D  1,293</t>
  </si>
  <si>
    <t>0731-TCN15</t>
  </si>
  <si>
    <t>LJIMENEZ:TOYOMOTORS DE  POLANCO S D</t>
  </si>
  <si>
    <t>D  1,296</t>
  </si>
  <si>
    <t>0734-TCN15</t>
  </si>
  <si>
    <t>D  1,331</t>
  </si>
  <si>
    <t>0735-TCN15</t>
  </si>
  <si>
    <t>D  1,337</t>
  </si>
  <si>
    <t>0736-TCN15</t>
  </si>
  <si>
    <t>DALTON AUTOMOTORES S DE  RL DE CV</t>
  </si>
  <si>
    <t>D  1,361</t>
  </si>
  <si>
    <t>CCD. AUTOSALES  PUERTO VALLARTA</t>
  </si>
  <si>
    <t>D  1,484</t>
  </si>
  <si>
    <t>0737-TCN15</t>
  </si>
  <si>
    <t>D  1,485</t>
  </si>
  <si>
    <t>0738-TCN15</t>
  </si>
  <si>
    <t>D  1,561</t>
  </si>
  <si>
    <t>0739-TCN15</t>
  </si>
  <si>
    <t>LJIMENEZ:CCD, AUTOSALES  PUERTO VAL</t>
  </si>
  <si>
    <t>D  1,684</t>
  </si>
  <si>
    <t>0740-TCN15</t>
  </si>
  <si>
    <t>0741-TCN15</t>
  </si>
  <si>
    <t>AUTOMOVILES VALLEJO S DE  RL  DE CV</t>
  </si>
  <si>
    <t>D  1,779</t>
  </si>
  <si>
    <t>0742-TCN15</t>
  </si>
  <si>
    <t>D  1,838</t>
  </si>
  <si>
    <t>0743-TCN15</t>
  </si>
  <si>
    <t>0744-TCN15</t>
  </si>
  <si>
    <t>D  1,947</t>
  </si>
  <si>
    <t>0745-TCN15</t>
  </si>
  <si>
    <t>D  1,957</t>
  </si>
  <si>
    <t>0746-TCN15</t>
  </si>
  <si>
    <t>D  1,958</t>
  </si>
  <si>
    <t>0747-TCN15</t>
  </si>
  <si>
    <t>D  1,982</t>
  </si>
  <si>
    <t>0748-TCN15</t>
  </si>
  <si>
    <t>0749-TCN15</t>
  </si>
  <si>
    <t>0752-TCN15</t>
  </si>
  <si>
    <t>0753-TCN15</t>
  </si>
  <si>
    <t>D  2,023</t>
  </si>
  <si>
    <t>0750-TCN15</t>
  </si>
  <si>
    <t>DURANGO AUTOMOTORES S DE RL DE CV</t>
  </si>
  <si>
    <t>D  2,024</t>
  </si>
  <si>
    <t>0751-TCN15</t>
  </si>
  <si>
    <t>GRUPO PENNINSULA MOTORS S DE RL DE</t>
  </si>
  <si>
    <t>0754-TCN15</t>
  </si>
  <si>
    <t>0755-TCN15</t>
  </si>
  <si>
    <t>AUTOMOTRIZ TOY S.A DE  CV</t>
  </si>
  <si>
    <t>D  2,038</t>
  </si>
  <si>
    <t>0756-TCN15</t>
  </si>
  <si>
    <t>D  2,039</t>
  </si>
  <si>
    <t>0757-TCN15</t>
  </si>
  <si>
    <t>D  2,041</t>
  </si>
  <si>
    <t>0762-TCN15</t>
  </si>
  <si>
    <t>0765-TCN15</t>
  </si>
  <si>
    <t>D  2,043</t>
  </si>
  <si>
    <t>0763-TCN15</t>
  </si>
  <si>
    <t>0761-TCN15</t>
  </si>
  <si>
    <t>0764-TCN15</t>
  </si>
  <si>
    <t>D  2,049</t>
  </si>
  <si>
    <t>D  2,050</t>
  </si>
  <si>
    <t>0760-TCN15</t>
  </si>
  <si>
    <t>0758-TCN15</t>
  </si>
  <si>
    <t>D  2,052</t>
  </si>
  <si>
    <t>0759-TCN15</t>
  </si>
  <si>
    <t>0766-TCN15</t>
  </si>
  <si>
    <t>P10865</t>
  </si>
  <si>
    <t>LJIMENEZ:ESE930624B79</t>
  </si>
  <si>
    <t>D  2,422</t>
  </si>
  <si>
    <t>P10866</t>
  </si>
  <si>
    <t>LJIMENEZ:JMA840106356</t>
  </si>
  <si>
    <t>D  2,424</t>
  </si>
  <si>
    <t>P10868</t>
  </si>
  <si>
    <t>LJIMENEZ:RTO840921RE4</t>
  </si>
  <si>
    <t>LJIMENEZ:WFF1109012N1</t>
  </si>
  <si>
    <t>P10869</t>
  </si>
  <si>
    <t>LJIMENEZ:LONA700127T42</t>
  </si>
  <si>
    <t>D  2,426</t>
  </si>
  <si>
    <t>P10871</t>
  </si>
  <si>
    <t>LJIMENEZ:MERL571216D49</t>
  </si>
  <si>
    <t>P10873</t>
  </si>
  <si>
    <t>LJIMENEZ:CDO0509296I9</t>
  </si>
  <si>
    <t>P10874</t>
  </si>
  <si>
    <t>LJIMENEZ:ATL030210LV9</t>
  </si>
  <si>
    <t>P10875</t>
  </si>
  <si>
    <t>LJIMENEZ:CMB9802181M3</t>
  </si>
  <si>
    <t>P10876</t>
  </si>
  <si>
    <t>LJIMENEZ:VAAY890313NK3</t>
  </si>
  <si>
    <t>P10877</t>
  </si>
  <si>
    <t>LJIMENEZ:AME970109GW0</t>
  </si>
  <si>
    <t>P10878</t>
  </si>
  <si>
    <t>LJIMENEZ:GADE4012025L6</t>
  </si>
  <si>
    <t>P10879</t>
  </si>
  <si>
    <t>P10880</t>
  </si>
  <si>
    <t>LJIMENEZ:PCE890410B99</t>
  </si>
  <si>
    <t>P10882</t>
  </si>
  <si>
    <t>LJIMENEZ:CME910715UB9</t>
  </si>
  <si>
    <t>P10883</t>
  </si>
  <si>
    <t>LJIMENEZ:SOVJ900602UW4</t>
  </si>
  <si>
    <t>P10884</t>
  </si>
  <si>
    <t>LJIMENEZ:ROAA840915TS5</t>
  </si>
  <si>
    <t>P10885</t>
  </si>
  <si>
    <t>LJIMENEZ:CNM980114PI2</t>
  </si>
  <si>
    <t>P10886</t>
  </si>
  <si>
    <t>LJIMENEZ:FMB871228QF7</t>
  </si>
  <si>
    <t>P10888</t>
  </si>
  <si>
    <t>LJIMENEZ:ILB130712NH3</t>
  </si>
  <si>
    <t>D  2,447</t>
  </si>
  <si>
    <t>P10892</t>
  </si>
  <si>
    <t>D  2,449</t>
  </si>
  <si>
    <t>P10894</t>
  </si>
  <si>
    <t>P10899</t>
  </si>
  <si>
    <t>LJIMENEZ:IMPRESIONES ILB130712NH3</t>
  </si>
  <si>
    <t>P10900</t>
  </si>
  <si>
    <t>COSTCO CME910715UB9</t>
  </si>
  <si>
    <t>D  2,456</t>
  </si>
  <si>
    <t>P11001</t>
  </si>
  <si>
    <t>IMPRESIONES ILB130712NH3</t>
  </si>
  <si>
    <t>P11002</t>
  </si>
  <si>
    <t>P110003</t>
  </si>
  <si>
    <t>EDISON EMA831223PF7</t>
  </si>
  <si>
    <t>D  2,460</t>
  </si>
  <si>
    <t>P11004</t>
  </si>
  <si>
    <t>P11005</t>
  </si>
  <si>
    <t>NMQ050902HW8</t>
  </si>
  <si>
    <t>P11006</t>
  </si>
  <si>
    <t>P11008</t>
  </si>
  <si>
    <t>P11010</t>
  </si>
  <si>
    <t>P11012</t>
  </si>
  <si>
    <t>P11014</t>
  </si>
  <si>
    <t>GAS010424IDA</t>
  </si>
  <si>
    <t>SAD011105JZ4</t>
  </si>
  <si>
    <t>P11016</t>
  </si>
  <si>
    <t>ASC8408274L3</t>
  </si>
  <si>
    <t>GSU6210011S8</t>
  </si>
  <si>
    <t>GVS141121B70</t>
  </si>
  <si>
    <t>SULI650801437</t>
  </si>
  <si>
    <t>D  2,473</t>
  </si>
  <si>
    <t>P11017</t>
  </si>
  <si>
    <t>D  2,477</t>
  </si>
  <si>
    <t>P11018</t>
  </si>
  <si>
    <t>LJIMENEZ:APU640930KV9</t>
  </si>
  <si>
    <t>LJIMENEZ:COV070910694</t>
  </si>
  <si>
    <t>LJIMENEZ:CSF971215LQ5</t>
  </si>
  <si>
    <t>LJIMENEZ:ESG000418CS4</t>
  </si>
  <si>
    <t>LJIMENEZ:OGS9410276D3</t>
  </si>
  <si>
    <t>P11027</t>
  </si>
  <si>
    <t>P11021</t>
  </si>
  <si>
    <t>P11022</t>
  </si>
  <si>
    <t>P11023</t>
  </si>
  <si>
    <t>D  2,485</t>
  </si>
  <si>
    <t>P11026</t>
  </si>
  <si>
    <t>P11029</t>
  </si>
  <si>
    <t>DEM8801152E9</t>
  </si>
  <si>
    <t>P11030</t>
  </si>
  <si>
    <t>P11033</t>
  </si>
  <si>
    <t>D  2,492</t>
  </si>
  <si>
    <t>P11034</t>
  </si>
  <si>
    <t>P11036</t>
  </si>
  <si>
    <t>D  2,495</t>
  </si>
  <si>
    <t>P11037</t>
  </si>
  <si>
    <t>P11038</t>
  </si>
  <si>
    <t>D  2,497</t>
  </si>
  <si>
    <t>P11039</t>
  </si>
  <si>
    <t>P11040</t>
  </si>
  <si>
    <t>D  2,499</t>
  </si>
  <si>
    <t>COM.VIATI</t>
  </si>
  <si>
    <t>LJIMENEZ:API6609273E0</t>
  </si>
  <si>
    <t>LJIMENEZ:CCO130605R24</t>
  </si>
  <si>
    <t>LJIMENEZ:IPO640805KU9</t>
  </si>
  <si>
    <t>LJIMENEZ:OCE1309254G7</t>
  </si>
  <si>
    <t>LJIMENEZ:SSL000704968</t>
  </si>
  <si>
    <t>P11042</t>
  </si>
  <si>
    <t>D  2,502</t>
  </si>
  <si>
    <t>P11043</t>
  </si>
  <si>
    <t>P11044</t>
  </si>
  <si>
    <t>P11045</t>
  </si>
  <si>
    <t>P11049</t>
  </si>
  <si>
    <t>P11052</t>
  </si>
  <si>
    <t>CFO020815IV7</t>
  </si>
  <si>
    <t>D  2,510</t>
  </si>
  <si>
    <t>P11053</t>
  </si>
  <si>
    <t>COM.VIATIC</t>
  </si>
  <si>
    <t>LJIMENEZ:ESL9811129X8</t>
  </si>
  <si>
    <t>LJIMENEZ:GLOBAL</t>
  </si>
  <si>
    <t>LJIMENEZ:NEX131001V30</t>
  </si>
  <si>
    <t>LJIMENEZ:SSL040309B32</t>
  </si>
  <si>
    <t>P11056</t>
  </si>
  <si>
    <t>P11057</t>
  </si>
  <si>
    <t>P11058</t>
  </si>
  <si>
    <t>D  2,517</t>
  </si>
  <si>
    <t>P11059</t>
  </si>
  <si>
    <t>D  2,518</t>
  </si>
  <si>
    <t>P11060</t>
  </si>
  <si>
    <t>D  2,521</t>
  </si>
  <si>
    <t>LJIMENEZ:TLU080610C81</t>
  </si>
  <si>
    <t>LJIMENEZ:VIATICOS MARIA STEFANONI C</t>
  </si>
  <si>
    <t>D  2,522</t>
  </si>
  <si>
    <t>P11065</t>
  </si>
  <si>
    <t>CDO0509296I9</t>
  </si>
  <si>
    <t>D  2,524</t>
  </si>
  <si>
    <t>LJIMENEZ:RPP760101966</t>
  </si>
  <si>
    <t>LJIMENEZ:VAAG521212IN2</t>
  </si>
  <si>
    <t>D  2,525</t>
  </si>
  <si>
    <t>D  2,526</t>
  </si>
  <si>
    <t>S 1313</t>
  </si>
  <si>
    <t>D  2,527</t>
  </si>
  <si>
    <t>S 1273</t>
  </si>
  <si>
    <t>D  2,528</t>
  </si>
  <si>
    <t>S 1274</t>
  </si>
  <si>
    <t>D  2,529</t>
  </si>
  <si>
    <t>S 1292</t>
  </si>
  <si>
    <t>D  2,530</t>
  </si>
  <si>
    <t>S 1275</t>
  </si>
  <si>
    <t>D  2,531</t>
  </si>
  <si>
    <t>S 1287</t>
  </si>
  <si>
    <t>D  2,532</t>
  </si>
  <si>
    <t>S 1318</t>
  </si>
  <si>
    <t>D  2,533</t>
  </si>
  <si>
    <t>S 1312</t>
  </si>
  <si>
    <t>D  2,540</t>
  </si>
  <si>
    <t>EMBARQUE</t>
  </si>
  <si>
    <t>EMBARQUE 114 C00002186</t>
  </si>
  <si>
    <t>D  2,547</t>
  </si>
  <si>
    <t>EMBARQUE 15/06/2015</t>
  </si>
  <si>
    <t>D  2,571</t>
  </si>
  <si>
    <t>P14282</t>
  </si>
  <si>
    <t>CH-16101</t>
  </si>
  <si>
    <t>E      2</t>
  </si>
  <si>
    <t>CH-16102</t>
  </si>
  <si>
    <t>CH-16103</t>
  </si>
  <si>
    <t>CH-16105</t>
  </si>
  <si>
    <t>T-1433</t>
  </si>
  <si>
    <t>T-1362</t>
  </si>
  <si>
    <t>MCPA S.A. DE C.V.</t>
  </si>
  <si>
    <t>T-1434</t>
  </si>
  <si>
    <t>T-1435</t>
  </si>
  <si>
    <t>T-1436</t>
  </si>
  <si>
    <t>T-1437</t>
  </si>
  <si>
    <t>CH-16117</t>
  </si>
  <si>
    <t>CH-16118</t>
  </si>
  <si>
    <t>E     39</t>
  </si>
  <si>
    <t>CH-16119</t>
  </si>
  <si>
    <t>CH-16123</t>
  </si>
  <si>
    <t>CH-16125</t>
  </si>
  <si>
    <t>CH-16126</t>
  </si>
  <si>
    <t>CH-16129</t>
  </si>
  <si>
    <t>CH-16140</t>
  </si>
  <si>
    <t>CH-16141</t>
  </si>
  <si>
    <t>CH-16142</t>
  </si>
  <si>
    <t>CH-16146</t>
  </si>
  <si>
    <t>CH-951</t>
  </si>
  <si>
    <t>CH-952</t>
  </si>
  <si>
    <t>T-1438</t>
  </si>
  <si>
    <t>ASILO DE ANCIANOS DE CELAYA, A.C.</t>
  </si>
  <si>
    <t>T-1439</t>
  </si>
  <si>
    <t>T-1440</t>
  </si>
  <si>
    <t>T-1441</t>
  </si>
  <si>
    <t>T-1442</t>
  </si>
  <si>
    <t>T-1443</t>
  </si>
  <si>
    <t>T-1444</t>
  </si>
  <si>
    <t>T-1445</t>
  </si>
  <si>
    <t>T-1446</t>
  </si>
  <si>
    <t>T-1447</t>
  </si>
  <si>
    <t>T-1448</t>
  </si>
  <si>
    <t>T-1449</t>
  </si>
  <si>
    <t>T-1450</t>
  </si>
  <si>
    <t>CH-16153</t>
  </si>
  <si>
    <t>CH-16154</t>
  </si>
  <si>
    <t>CH-16162</t>
  </si>
  <si>
    <t>CH-16163</t>
  </si>
  <si>
    <t>CH-16164</t>
  </si>
  <si>
    <t>CH-16165</t>
  </si>
  <si>
    <t>AH STRATEGIE, S.C.</t>
  </si>
  <si>
    <t>CH-954</t>
  </si>
  <si>
    <t>LJIMENEZ:EURI790402US4</t>
  </si>
  <si>
    <t>CH-16168</t>
  </si>
  <si>
    <t>CH-16169</t>
  </si>
  <si>
    <t>CH-16170</t>
  </si>
  <si>
    <t>CH-16171</t>
  </si>
  <si>
    <t>CH-16174</t>
  </si>
  <si>
    <t>T-1452</t>
  </si>
  <si>
    <t>T-1453</t>
  </si>
  <si>
    <t>T-1454</t>
  </si>
  <si>
    <t>E    134</t>
  </si>
  <si>
    <t>T-1455</t>
  </si>
  <si>
    <t>T-1457</t>
  </si>
  <si>
    <t>E    137</t>
  </si>
  <si>
    <t>CH-16178</t>
  </si>
  <si>
    <t>SNAP-ON SUN DE MEXICO SA DE CV</t>
  </si>
  <si>
    <t>CH-16179</t>
  </si>
  <si>
    <t>GUIA AUTOMETRICA SA DE CV</t>
  </si>
  <si>
    <t>CH-16182</t>
  </si>
  <si>
    <t>E    150</t>
  </si>
  <si>
    <t>CH-16186</t>
  </si>
  <si>
    <t>E    151</t>
  </si>
  <si>
    <t>CH-16187</t>
  </si>
  <si>
    <t>LJIMENEZ:MULDOON BABLOT CECILIA</t>
  </si>
  <si>
    <t>E    152</t>
  </si>
  <si>
    <t>CH-16188</t>
  </si>
  <si>
    <t>LJIMENEZ:LEAL CORONA JOSE ANTONIO</t>
  </si>
  <si>
    <t>CH-16190</t>
  </si>
  <si>
    <t>MARIA CRISTINA CARREON FLORES</t>
  </si>
  <si>
    <t>T-1458</t>
  </si>
  <si>
    <t>T-1459</t>
  </si>
  <si>
    <t>T-1460</t>
  </si>
  <si>
    <t>T-1373</t>
  </si>
  <si>
    <t>E    169</t>
  </si>
  <si>
    <t>T-1462</t>
  </si>
  <si>
    <t>E    170</t>
  </si>
  <si>
    <t>T-1463</t>
  </si>
  <si>
    <t>T-1464</t>
  </si>
  <si>
    <t>T-1465</t>
  </si>
  <si>
    <t>T-1466</t>
  </si>
  <si>
    <t>T-1467</t>
  </si>
  <si>
    <t>T-1468</t>
  </si>
  <si>
    <t>CH-16198</t>
  </si>
  <si>
    <t>LJIMENEZ:ANDRES GRANJA LOPEZ</t>
  </si>
  <si>
    <t>CH-16206</t>
  </si>
  <si>
    <t>CH-16207</t>
  </si>
  <si>
    <t>CH-16208</t>
  </si>
  <si>
    <t>CH-16210</t>
  </si>
  <si>
    <t>CH-16211</t>
  </si>
  <si>
    <t>CH-16212</t>
  </si>
  <si>
    <t>CH-16213</t>
  </si>
  <si>
    <t>COMISIONES BBVA AL 31-06-15</t>
  </si>
  <si>
    <t>COMISION AL 30 DE JUNIO</t>
  </si>
  <si>
    <t>LJIMENEZ:COMISION AL 30 DE JUNIO</t>
  </si>
  <si>
    <t>COMISIONES BANCARIAS AL 30-06-</t>
  </si>
  <si>
    <t>COMISION AL 30-06-2015</t>
  </si>
  <si>
    <t>CHQ-16205</t>
  </si>
  <si>
    <t>LJIMENEZ:TOYOTA MOTOR SALES DE MEXI</t>
  </si>
  <si>
    <t>1915 AUDITORIA Y FINANZA S.C.</t>
  </si>
  <si>
    <t>AST120116KC0</t>
  </si>
  <si>
    <t>ALDEN QUERETARO S. DE R.L. DE C.V.</t>
  </si>
  <si>
    <t>AAC5109186X6</t>
  </si>
  <si>
    <t>ASILO DE ANCIANOS DE CELAYA AC</t>
  </si>
  <si>
    <t>AUTOMOTRIZ OAXACA DE ANTEQUERA S. DE R.L. DE C.</t>
  </si>
  <si>
    <t>AUTOMOTRIZ TOY, S.A. DE C.V</t>
  </si>
  <si>
    <t>AUTOMOVILES VALLEJO S DE RL DE CV</t>
  </si>
  <si>
    <t>CCD AUTOSALES PUERTO VALLARTA, S. DE R.L. DE C.V.</t>
  </si>
  <si>
    <t>CIA. PERIODÍSTICA DEL SOL DE CELAYA, S.A. DE C.V.</t>
  </si>
  <si>
    <t>SCOTIABANK INVERLAT, S.A.</t>
  </si>
  <si>
    <t>American Express Company (Mexico), S.A. de C.V.</t>
  </si>
  <si>
    <t>DALTON AUTOMOTORES S DE RL DE CV</t>
  </si>
  <si>
    <t>DURANGO AUTOMOTORES S. DE R.L. DE C.V.</t>
  </si>
  <si>
    <t>ORI140311PY0</t>
  </si>
  <si>
    <t>OPERADORA RIGAAL SA DE CV</t>
  </si>
  <si>
    <t>ANDRES GRANJA LOPEZ</t>
  </si>
  <si>
    <t>GRUPO DE PRESTIGIO EN AUDIO Y VIDEO, S.A. DE C.V.</t>
  </si>
  <si>
    <t>GRUPO ECOLOGICA S.A. DE C.V.</t>
  </si>
  <si>
    <t>GRUPO PENINSULA MOTORS, S.DE R.L. DE C.V.</t>
  </si>
  <si>
    <t>GAU030322BV4</t>
  </si>
  <si>
    <t>IMPRESIONES FINAS DEL CENTRO S.A. DE C.V.</t>
  </si>
  <si>
    <t>INDUSTRIA DISEÑADORA DE AUTOPARTES, SA DE CV</t>
  </si>
  <si>
    <t>IPSOS BIMSA, S.A. de C.V.</t>
  </si>
  <si>
    <t>ATL030210LV9</t>
  </si>
  <si>
    <t>AUTOMOTRIZ NIHON  SA  DE CV</t>
  </si>
  <si>
    <t>ALFONSO CAMPERO CRUZ</t>
  </si>
  <si>
    <t>CSF971215LQ5</t>
  </si>
  <si>
    <t>ESL9811129X8</t>
  </si>
  <si>
    <t>EURI790402US4</t>
  </si>
  <si>
    <t>IMPULSORA DE TRANSPORTES MEXICANOS S.A DE C.V.</t>
  </si>
  <si>
    <t>TOYOTA FINANCIAL SERVICES DE MEXICO S.A. DE C.V.</t>
  </si>
  <si>
    <t>NEX131001V30</t>
  </si>
  <si>
    <t>OCE1309254G7</t>
  </si>
  <si>
    <t>OGS9410276D3</t>
  </si>
  <si>
    <t>RTO840921RE4</t>
  </si>
  <si>
    <t>SERVICIO AUDITORIO S.A. DE C.V</t>
  </si>
  <si>
    <t>TOYOMOTORS DE POLANCO S DE RL DE CV</t>
  </si>
  <si>
    <t>VAAG521212IN2</t>
  </si>
  <si>
    <t>WFF1109012N1</t>
  </si>
  <si>
    <t>RESTAURANTE LA PARROQUIA POTOSINA S.A.</t>
  </si>
  <si>
    <t>Lubricantes del Bajío SA de CV</t>
  </si>
  <si>
    <t>MAPFRE TEPEYAC, S.A.</t>
  </si>
  <si>
    <t>MARCOZER S.A. DE C.V.</t>
  </si>
  <si>
    <t>MCP080507DW0</t>
  </si>
  <si>
    <t>MCPA SA DE CV</t>
  </si>
  <si>
    <t>MEGAMOTORS NIPPON S DE RL DE CV</t>
  </si>
  <si>
    <t>FELIPE MONROY ESTRADA</t>
  </si>
  <si>
    <t>ELIUD MONTERO RAMIREZ</t>
  </si>
  <si>
    <t>NPN070124M2A</t>
  </si>
  <si>
    <t>GUILLERMO OCHOA NOLASCO</t>
  </si>
  <si>
    <t>OFFICE DEPOT DE MEXICO S.A. DE C.V.</t>
  </si>
  <si>
    <t>RECTIFICACIONES VAZCO S.A DE C.V.</t>
  </si>
  <si>
    <t>SOS970108CW1</t>
  </si>
  <si>
    <t>SNAP-ON SUN DE MEXICO S.A. DE C.V.</t>
  </si>
  <si>
    <t>EUGENIO RICARDO STERLING ARANA</t>
  </si>
  <si>
    <t>TELEFONOS DE MEXICO S.A.B de C.V.</t>
  </si>
  <si>
    <t>UNITED AUTO DE AGUASCALIENTES S DE RL DE CV</t>
  </si>
  <si>
    <t>VALOR MOTRIZ S DE RL DE CV</t>
  </si>
  <si>
    <t>D      4</t>
  </si>
  <si>
    <t>F-1772029</t>
  </si>
  <si>
    <t>LJIMENEZ:MENSUALIDAD COROLLA 8100</t>
  </si>
  <si>
    <t>D      5</t>
  </si>
  <si>
    <t>F-1773240</t>
  </si>
  <si>
    <t>LJIMENEZ:MENSUALIDAD HILUX 181608</t>
  </si>
  <si>
    <t>D      6</t>
  </si>
  <si>
    <t>F-1790220</t>
  </si>
  <si>
    <t>LJIMENEZ:MENSUALIDAD SIENNA 984</t>
  </si>
  <si>
    <t>D    167</t>
  </si>
  <si>
    <t>0767-TCN15</t>
  </si>
  <si>
    <t>OZ AUTOMOTRIZ S  DE RL  DE CV</t>
  </si>
  <si>
    <t>D    223</t>
  </si>
  <si>
    <t>0054-TCU15</t>
  </si>
  <si>
    <t>LJIMENEZ:TECNOLOGIA ALEMANA DE SAN</t>
  </si>
  <si>
    <t>D    364</t>
  </si>
  <si>
    <t>0769-TCN15</t>
  </si>
  <si>
    <t>AUTOMOVILES  VALLEJO  S  DE  RL DE</t>
  </si>
  <si>
    <t>D    400</t>
  </si>
  <si>
    <t>0770-TCN15</t>
  </si>
  <si>
    <t>0771-TCN15</t>
  </si>
  <si>
    <t>UNITED AUTO  DE AGUASCALIENTES</t>
  </si>
  <si>
    <t>D    507</t>
  </si>
  <si>
    <t>0772-TCN15</t>
  </si>
  <si>
    <t>CCD,AUTOSALES   PUERTO VALLARTA</t>
  </si>
  <si>
    <t>0773-TCN15</t>
  </si>
  <si>
    <t>ALDEN QUERETARO  S  DE  RL DE CV</t>
  </si>
  <si>
    <t>D    576</t>
  </si>
  <si>
    <t>0775-TCN15</t>
  </si>
  <si>
    <t>0776-TCN15</t>
  </si>
  <si>
    <t>D    692</t>
  </si>
  <si>
    <t>0777-TCN15</t>
  </si>
  <si>
    <t>D    693</t>
  </si>
  <si>
    <t>0778-TCN15</t>
  </si>
  <si>
    <t>D    808</t>
  </si>
  <si>
    <t>0779-TCN15</t>
  </si>
  <si>
    <t>ALDEN QUERETARO S DE  RL DE  CV</t>
  </si>
  <si>
    <t>D    925</t>
  </si>
  <si>
    <t>0780-TCN15</t>
  </si>
  <si>
    <t>LJIMENEZ:ALDEN QUERETARO S DE RL DE</t>
  </si>
  <si>
    <t>D    976</t>
  </si>
  <si>
    <t>0781-TCN15</t>
  </si>
  <si>
    <t>D  1,032</t>
  </si>
  <si>
    <t>D  1,037</t>
  </si>
  <si>
    <t>0782-TCN15</t>
  </si>
  <si>
    <t>D  1,039</t>
  </si>
  <si>
    <t>0785-TCN15</t>
  </si>
  <si>
    <t>D  1,040</t>
  </si>
  <si>
    <t>0784-TCN15</t>
  </si>
  <si>
    <t>D  1,041</t>
  </si>
  <si>
    <t>0783-TCN15</t>
  </si>
  <si>
    <t>D  1,112</t>
  </si>
  <si>
    <t>0786-TCN15</t>
  </si>
  <si>
    <t>D  1,201</t>
  </si>
  <si>
    <t>0787-TCN15</t>
  </si>
  <si>
    <t>0788-TCN15</t>
  </si>
  <si>
    <t>D  1,282</t>
  </si>
  <si>
    <t>0789-TCN15</t>
  </si>
  <si>
    <t>D  1,322</t>
  </si>
  <si>
    <t>0790-TCN15</t>
  </si>
  <si>
    <t>D  1,334</t>
  </si>
  <si>
    <t>0792-TCN15</t>
  </si>
  <si>
    <t>D  1,343</t>
  </si>
  <si>
    <t>0793-TCN15</t>
  </si>
  <si>
    <t>VALOR  MOTRIZ S  DE RL DE CV</t>
  </si>
  <si>
    <t>D  1,358</t>
  </si>
  <si>
    <t>0794-TCN15</t>
  </si>
  <si>
    <t>D  1,368</t>
  </si>
  <si>
    <t>0795-TCN15</t>
  </si>
  <si>
    <t>D  1,483</t>
  </si>
  <si>
    <t>0796-TCN15</t>
  </si>
  <si>
    <t>D  1,501</t>
  </si>
  <si>
    <t>D  1,502</t>
  </si>
  <si>
    <t>DALTON AUTOMOTORES S DE  RL CV</t>
  </si>
  <si>
    <t>D  1,503</t>
  </si>
  <si>
    <t>0797-TCN15</t>
  </si>
  <si>
    <t>DALTON AUTOMOTORES  S  DE  RL DE  C</t>
  </si>
  <si>
    <t>D  1,504</t>
  </si>
  <si>
    <t>0798-TCN15</t>
  </si>
  <si>
    <t>UNITED  AUTO DE  AGUASCALIENTES S</t>
  </si>
  <si>
    <t>D  1,507</t>
  </si>
  <si>
    <t>0799-TCN15</t>
  </si>
  <si>
    <t>D  1,550</t>
  </si>
  <si>
    <t>0800-TCN15</t>
  </si>
  <si>
    <t>D  1,588</t>
  </si>
  <si>
    <t>0801-TCN15</t>
  </si>
  <si>
    <t>D  1,600</t>
  </si>
  <si>
    <t>0802-TCN15</t>
  </si>
  <si>
    <t>DALTON AUTOMOTORES  S  DE RL DE  CV</t>
  </si>
  <si>
    <t>D  1,748</t>
  </si>
  <si>
    <t>D  1,786</t>
  </si>
  <si>
    <t>0803-TCN15</t>
  </si>
  <si>
    <t>0804-TCN15</t>
  </si>
  <si>
    <t>0805-TCN15</t>
  </si>
  <si>
    <t>0806-TCN15</t>
  </si>
  <si>
    <t>ALDEN  QUERETARO S  DE  RL  DE  CV</t>
  </si>
  <si>
    <t>0807-TCN15</t>
  </si>
  <si>
    <t>D  2,054</t>
  </si>
  <si>
    <t>0808-TCN15</t>
  </si>
  <si>
    <t>D  2,064</t>
  </si>
  <si>
    <t>F-1795039</t>
  </si>
  <si>
    <t>LJIMENEZ:MENSUALIDAD PRIUS 2450</t>
  </si>
  <si>
    <t>D  2,072</t>
  </si>
  <si>
    <t>0809-TCN15</t>
  </si>
  <si>
    <t>D  2,073</t>
  </si>
  <si>
    <t>0810-TCN15</t>
  </si>
  <si>
    <t>D  2,092</t>
  </si>
  <si>
    <t>LJIMENEZ:NDG071019LH4</t>
  </si>
  <si>
    <t>D  2,105</t>
  </si>
  <si>
    <t>0827-TCN15</t>
  </si>
  <si>
    <t>0828-TCN15</t>
  </si>
  <si>
    <t>0829-TCN15</t>
  </si>
  <si>
    <t>LJIMENEZ:OZ AUTOMOTRIZ DE  COLIMA S</t>
  </si>
  <si>
    <t>0830-TCN15</t>
  </si>
  <si>
    <t>0811-TCN15</t>
  </si>
  <si>
    <t>0812-TCN15</t>
  </si>
  <si>
    <t>0813-TCN15</t>
  </si>
  <si>
    <t>0814-TCN15</t>
  </si>
  <si>
    <t>0815-TCN15</t>
  </si>
  <si>
    <t>0816-TCN15</t>
  </si>
  <si>
    <t>0817-TCN15</t>
  </si>
  <si>
    <t>0818-TCN15</t>
  </si>
  <si>
    <t>0819-TCN15</t>
  </si>
  <si>
    <t>0820-TCN15</t>
  </si>
  <si>
    <t>0821-TCN15</t>
  </si>
  <si>
    <t>D  2,242</t>
  </si>
  <si>
    <t>0822-TCN15</t>
  </si>
  <si>
    <t>D  2,256</t>
  </si>
  <si>
    <t>0831-TCN15</t>
  </si>
  <si>
    <t>ALECSA  PACHUCA  S DE  RL DE  CV</t>
  </si>
  <si>
    <t>0823-TCN15</t>
  </si>
  <si>
    <t>D  2,270</t>
  </si>
  <si>
    <t>0824-TCN15</t>
  </si>
  <si>
    <t>0825-TCN15</t>
  </si>
  <si>
    <t>D  2,275</t>
  </si>
  <si>
    <t>0826-TCN15</t>
  </si>
  <si>
    <t>D  2,319</t>
  </si>
  <si>
    <t>0839-TCN15</t>
  </si>
  <si>
    <t>VALOR MOTRIZ S  DE  RL DE CV</t>
  </si>
  <si>
    <t>D  2,323</t>
  </si>
  <si>
    <t>0840-TCN15</t>
  </si>
  <si>
    <t>D  2,326</t>
  </si>
  <si>
    <t>0841-TCN15</t>
  </si>
  <si>
    <t>D  2,335</t>
  </si>
  <si>
    <t>0832-TCN15</t>
  </si>
  <si>
    <t>D  2,336</t>
  </si>
  <si>
    <t>0833-TCN15</t>
  </si>
  <si>
    <t>D  2,340</t>
  </si>
  <si>
    <t>0834-TCN15</t>
  </si>
  <si>
    <t>D  2,341</t>
  </si>
  <si>
    <t>0835-TCN15</t>
  </si>
  <si>
    <t>D  2,342</t>
  </si>
  <si>
    <t>0836-TCN15</t>
  </si>
  <si>
    <t>D  2,348</t>
  </si>
  <si>
    <t>0837-TCN15</t>
  </si>
  <si>
    <t>0842-TCN15</t>
  </si>
  <si>
    <t>0843-TCN15</t>
  </si>
  <si>
    <t>0838-TCN15</t>
  </si>
  <si>
    <t>F-1804422</t>
  </si>
  <si>
    <t>F-1798425</t>
  </si>
  <si>
    <t>D  2,403</t>
  </si>
  <si>
    <t>0844-TCN15</t>
  </si>
  <si>
    <t>0845-TCN15</t>
  </si>
  <si>
    <t>0846-TCN15</t>
  </si>
  <si>
    <t>D  2,410</t>
  </si>
  <si>
    <t>0847-TCN15</t>
  </si>
  <si>
    <t>D  2,412</t>
  </si>
  <si>
    <t>0848-TCN15</t>
  </si>
  <si>
    <t>D  2,415</t>
  </si>
  <si>
    <t>0849-TCN15</t>
  </si>
  <si>
    <t>D  2,423</t>
  </si>
  <si>
    <t>0850-TCN15</t>
  </si>
  <si>
    <t>0851-TCN15</t>
  </si>
  <si>
    <t>TOYOTA FINANCIAL SERVICES</t>
  </si>
  <si>
    <t>EMBARQUE 158 0062U/15 0060U/15</t>
  </si>
  <si>
    <t>D  2,552</t>
  </si>
  <si>
    <t>PAGOREFACC</t>
  </si>
  <si>
    <t>LJIMENEZ:PAGO REFACCIONES EDO DE CT</t>
  </si>
  <si>
    <t>D  2,577</t>
  </si>
  <si>
    <t>DEPOSITO</t>
  </si>
  <si>
    <t>LJIMENEZ:PAGO GRUPO INTERNET</t>
  </si>
  <si>
    <t>D  2,581</t>
  </si>
  <si>
    <t>P11076</t>
  </si>
  <si>
    <t>GESG611221RC9</t>
  </si>
  <si>
    <t>D  2,583</t>
  </si>
  <si>
    <t>P11078</t>
  </si>
  <si>
    <t>D  2,585</t>
  </si>
  <si>
    <t>P11080</t>
  </si>
  <si>
    <t>ARE1311145W2</t>
  </si>
  <si>
    <t>D  2,587</t>
  </si>
  <si>
    <t>P11082</t>
  </si>
  <si>
    <t>D  2,589</t>
  </si>
  <si>
    <t>P11084</t>
  </si>
  <si>
    <t>BAVS690216SFA</t>
  </si>
  <si>
    <t>D  2,591</t>
  </si>
  <si>
    <t>P11086</t>
  </si>
  <si>
    <t>D  2,592</t>
  </si>
  <si>
    <t>P11088</t>
  </si>
  <si>
    <t>D  2,593</t>
  </si>
  <si>
    <t>P11089</t>
  </si>
  <si>
    <t>D  2,594</t>
  </si>
  <si>
    <t>P11090</t>
  </si>
  <si>
    <t>D  2,595</t>
  </si>
  <si>
    <t>P11091</t>
  </si>
  <si>
    <t>D  2,596</t>
  </si>
  <si>
    <t>P11092</t>
  </si>
  <si>
    <t>D  2,597</t>
  </si>
  <si>
    <t>P11093</t>
  </si>
  <si>
    <t>D  2,598</t>
  </si>
  <si>
    <t>P11204</t>
  </si>
  <si>
    <t>D  2,599</t>
  </si>
  <si>
    <t>P11205</t>
  </si>
  <si>
    <t>D  2,600</t>
  </si>
  <si>
    <t>P11206</t>
  </si>
  <si>
    <t>D  2,603</t>
  </si>
  <si>
    <t>P11208</t>
  </si>
  <si>
    <t>D  2,604</t>
  </si>
  <si>
    <t>P11209</t>
  </si>
  <si>
    <t>D  2,605</t>
  </si>
  <si>
    <t>P11210</t>
  </si>
  <si>
    <t>NMQ05092HW8</t>
  </si>
  <si>
    <t>D  2,609</t>
  </si>
  <si>
    <t>P11214</t>
  </si>
  <si>
    <t>D  2,612</t>
  </si>
  <si>
    <t>P11220</t>
  </si>
  <si>
    <t>D  2,615</t>
  </si>
  <si>
    <t>P11223</t>
  </si>
  <si>
    <t>JMA8401066356</t>
  </si>
  <si>
    <t>D  2,617</t>
  </si>
  <si>
    <t>P11226</t>
  </si>
  <si>
    <t>CGP970522EE4</t>
  </si>
  <si>
    <t>D  2,619</t>
  </si>
  <si>
    <t>P11228</t>
  </si>
  <si>
    <t>GAM941207GG0</t>
  </si>
  <si>
    <t>D  2,622</t>
  </si>
  <si>
    <t>P11232</t>
  </si>
  <si>
    <t>D  2,623</t>
  </si>
  <si>
    <t>P11233</t>
  </si>
  <si>
    <t>D  2,624</t>
  </si>
  <si>
    <t>P11234</t>
  </si>
  <si>
    <t>D  2,625</t>
  </si>
  <si>
    <t>P11235</t>
  </si>
  <si>
    <t>D  2,628</t>
  </si>
  <si>
    <t>P11242</t>
  </si>
  <si>
    <t>SSQ0512096C7</t>
  </si>
  <si>
    <t>D  2,629</t>
  </si>
  <si>
    <t>P11243</t>
  </si>
  <si>
    <t>D  2,630</t>
  </si>
  <si>
    <t>P11244</t>
  </si>
  <si>
    <t>D  2,631</t>
  </si>
  <si>
    <t>P11245</t>
  </si>
  <si>
    <t>D  2,632</t>
  </si>
  <si>
    <t>P11246</t>
  </si>
  <si>
    <t>CAQ940420CX9</t>
  </si>
  <si>
    <t>D  2,633</t>
  </si>
  <si>
    <t>P11251</t>
  </si>
  <si>
    <t>D  2,634</t>
  </si>
  <si>
    <t>P11252</t>
  </si>
  <si>
    <t>D  2,635</t>
  </si>
  <si>
    <t>P11253</t>
  </si>
  <si>
    <t>D  2,636</t>
  </si>
  <si>
    <t>P11256</t>
  </si>
  <si>
    <t>D  2,637</t>
  </si>
  <si>
    <t>P11257</t>
  </si>
  <si>
    <t>D  2,638</t>
  </si>
  <si>
    <t>P11258</t>
  </si>
  <si>
    <t>D  2,639</t>
  </si>
  <si>
    <t>P11259</t>
  </si>
  <si>
    <t>D  2,640</t>
  </si>
  <si>
    <t>P11260</t>
  </si>
  <si>
    <t>D  2,641</t>
  </si>
  <si>
    <t>P11261</t>
  </si>
  <si>
    <t>PMS010822BU2</t>
  </si>
  <si>
    <t>D  2,642</t>
  </si>
  <si>
    <t>P11262</t>
  </si>
  <si>
    <t>D  2,643</t>
  </si>
  <si>
    <t>P11263</t>
  </si>
  <si>
    <t>D  2,644</t>
  </si>
  <si>
    <t>P11264</t>
  </si>
  <si>
    <t>FQU8802086X6</t>
  </si>
  <si>
    <t>D  2,645</t>
  </si>
  <si>
    <t>P11265</t>
  </si>
  <si>
    <t>D  2,646</t>
  </si>
  <si>
    <t>P11266</t>
  </si>
  <si>
    <t>D  2,647</t>
  </si>
  <si>
    <t>P11267</t>
  </si>
  <si>
    <t>D  2,649</t>
  </si>
  <si>
    <t>P11269</t>
  </si>
  <si>
    <t>D  2,651</t>
  </si>
  <si>
    <t>IP0640805KU9</t>
  </si>
  <si>
    <t>MHR7004188F5</t>
  </si>
  <si>
    <t>TTP9209041H4</t>
  </si>
  <si>
    <t>D  2,652</t>
  </si>
  <si>
    <t>P11272</t>
  </si>
  <si>
    <t>D  2,653</t>
  </si>
  <si>
    <t>P11273</t>
  </si>
  <si>
    <t>D  2,654</t>
  </si>
  <si>
    <t>P11274</t>
  </si>
  <si>
    <t>D  2,656</t>
  </si>
  <si>
    <t>P11276</t>
  </si>
  <si>
    <t>D  2,658</t>
  </si>
  <si>
    <t>P11278</t>
  </si>
  <si>
    <t>D  2,659</t>
  </si>
  <si>
    <t>P11279</t>
  </si>
  <si>
    <t>D  2,661</t>
  </si>
  <si>
    <t>P11283</t>
  </si>
  <si>
    <t>ALIMENTOS SANOS DEL CENTRO</t>
  </si>
  <si>
    <t>SERVICIO JARDINES DE DURANGO</t>
  </si>
  <si>
    <t>TORO GRUPO GASOLINERO</t>
  </si>
  <si>
    <t>D  2,662</t>
  </si>
  <si>
    <t>P11286</t>
  </si>
  <si>
    <t>VEMF660530I6A</t>
  </si>
  <si>
    <t>D  2,665</t>
  </si>
  <si>
    <t>P11291</t>
  </si>
  <si>
    <t>D  2,667</t>
  </si>
  <si>
    <t>P11293</t>
  </si>
  <si>
    <t>D  2,669</t>
  </si>
  <si>
    <t>P11295</t>
  </si>
  <si>
    <t>FEM950814619</t>
  </si>
  <si>
    <t>D  2,671</t>
  </si>
  <si>
    <t>P11297</t>
  </si>
  <si>
    <t>AUTOBUSES DE LA PIEDAD</t>
  </si>
  <si>
    <t>FEMAL SA DE CV</t>
  </si>
  <si>
    <t>MA. MERCEDES ROCHA CALDERON</t>
  </si>
  <si>
    <t>D  2,672</t>
  </si>
  <si>
    <t>P11298</t>
  </si>
  <si>
    <t>D  2,673</t>
  </si>
  <si>
    <t>P11299</t>
  </si>
  <si>
    <t>D  2,675</t>
  </si>
  <si>
    <t>P11300</t>
  </si>
  <si>
    <t>SER760906L2A</t>
  </si>
  <si>
    <t>D  2,681</t>
  </si>
  <si>
    <t>P11313</t>
  </si>
  <si>
    <t>D  2,682</t>
  </si>
  <si>
    <t>P11314</t>
  </si>
  <si>
    <t>D  2,684</t>
  </si>
  <si>
    <t>P11316</t>
  </si>
  <si>
    <t>D  2,685</t>
  </si>
  <si>
    <t>R2258</t>
  </si>
  <si>
    <t>LJIMENEZ:DUMA580801KN5</t>
  </si>
  <si>
    <t>D  2,686</t>
  </si>
  <si>
    <t>S1347</t>
  </si>
  <si>
    <t>D  2,687</t>
  </si>
  <si>
    <t>S1328</t>
  </si>
  <si>
    <t>D  2,688</t>
  </si>
  <si>
    <t>S1326</t>
  </si>
  <si>
    <t>D  2,689</t>
  </si>
  <si>
    <t>S1289</t>
  </si>
  <si>
    <t>D  2,690</t>
  </si>
  <si>
    <t>P11271</t>
  </si>
  <si>
    <t>D  2,691</t>
  </si>
  <si>
    <t>S1359</t>
  </si>
  <si>
    <t>D  2,692</t>
  </si>
  <si>
    <t>S1334</t>
  </si>
  <si>
    <t>D  2,693</t>
  </si>
  <si>
    <t>S1335</t>
  </si>
  <si>
    <t>P11330</t>
  </si>
  <si>
    <t>PAMV611223QD2</t>
  </si>
  <si>
    <t>P11332</t>
  </si>
  <si>
    <t>P11333</t>
  </si>
  <si>
    <t>P11334</t>
  </si>
  <si>
    <t>P11336</t>
  </si>
  <si>
    <t>P11338</t>
  </si>
  <si>
    <t>P11339</t>
  </si>
  <si>
    <t>P11340</t>
  </si>
  <si>
    <t>D  2,708</t>
  </si>
  <si>
    <t>LJIMENEZ:MVI890109558</t>
  </si>
  <si>
    <t>LJIMENEZ:NPA140312E40</t>
  </si>
  <si>
    <t>LJIMENEZ:ODO910311U70</t>
  </si>
  <si>
    <t>D  2,710</t>
  </si>
  <si>
    <t>P11236</t>
  </si>
  <si>
    <t>D  2,711</t>
  </si>
  <si>
    <t>P11237</t>
  </si>
  <si>
    <t>D  2,712</t>
  </si>
  <si>
    <t>P11207</t>
  </si>
  <si>
    <t>D  2,713</t>
  </si>
  <si>
    <t>P11318</t>
  </si>
  <si>
    <t>D  2,714</t>
  </si>
  <si>
    <t>COMP. VIAT</t>
  </si>
  <si>
    <t>LJIMENEZ:COMPROBACION VIATICOS</t>
  </si>
  <si>
    <t>CH-16214</t>
  </si>
  <si>
    <t>CH-16215</t>
  </si>
  <si>
    <t>CH-16216</t>
  </si>
  <si>
    <t>CH-16226</t>
  </si>
  <si>
    <t>CH-16218</t>
  </si>
  <si>
    <t>T-1469</t>
  </si>
  <si>
    <t>LJIMENEZ:LUBRICANTES DEL BAJIO, S.A</t>
  </si>
  <si>
    <t>T-1470</t>
  </si>
  <si>
    <t>T-1471</t>
  </si>
  <si>
    <t>E     22</t>
  </si>
  <si>
    <t>T-1472</t>
  </si>
  <si>
    <t>E     23</t>
  </si>
  <si>
    <t>T-1473</t>
  </si>
  <si>
    <t>T-1474</t>
  </si>
  <si>
    <t>T-1475</t>
  </si>
  <si>
    <t>T-1476</t>
  </si>
  <si>
    <t>T-1477</t>
  </si>
  <si>
    <t>CH-16224</t>
  </si>
  <si>
    <t>CH-16232</t>
  </si>
  <si>
    <t>BAJA: TOYOTA FINANCIAL SERVICES DE</t>
  </si>
  <si>
    <t>E     40</t>
  </si>
  <si>
    <t>CH-16234</t>
  </si>
  <si>
    <t>CH-16235</t>
  </si>
  <si>
    <t>CH-16225</t>
  </si>
  <si>
    <t>CH-16242</t>
  </si>
  <si>
    <t>LJIMENEZ:GARCIA PASTRANA FERNANDO</t>
  </si>
  <si>
    <t>E     53</t>
  </si>
  <si>
    <t>T-1479</t>
  </si>
  <si>
    <t>T-1481</t>
  </si>
  <si>
    <t>T-1482</t>
  </si>
  <si>
    <t>T-1483</t>
  </si>
  <si>
    <t>T-3284457</t>
  </si>
  <si>
    <t>CH-16243</t>
  </si>
  <si>
    <t>CH-16250</t>
  </si>
  <si>
    <t>CH-16251</t>
  </si>
  <si>
    <t>CH-16259</t>
  </si>
  <si>
    <t>CH-16260</t>
  </si>
  <si>
    <t>CH-16261</t>
  </si>
  <si>
    <t>T-1489</t>
  </si>
  <si>
    <t>KRAYDENMEX SA DE CV</t>
  </si>
  <si>
    <t>T-1490</t>
  </si>
  <si>
    <t>BELTRAN MEDINA JUAN MANUEL</t>
  </si>
  <si>
    <t>T-1491</t>
  </si>
  <si>
    <t>T-1492</t>
  </si>
  <si>
    <t>T-1493</t>
  </si>
  <si>
    <t>T-1494</t>
  </si>
  <si>
    <t>T-1495</t>
  </si>
  <si>
    <t>T-1496</t>
  </si>
  <si>
    <t>CH-16262</t>
  </si>
  <si>
    <t>CH-16263</t>
  </si>
  <si>
    <t>CH-16272</t>
  </si>
  <si>
    <t>CH-16271</t>
  </si>
  <si>
    <t>CH-16275</t>
  </si>
  <si>
    <t>CH-16276</t>
  </si>
  <si>
    <t>CH-16278</t>
  </si>
  <si>
    <t>CH-16282</t>
  </si>
  <si>
    <t>DEREMATE COM DE MEXICO S DE RL</t>
  </si>
  <si>
    <t>CH-16283</t>
  </si>
  <si>
    <t>CH-16284</t>
  </si>
  <si>
    <t>CH-16285</t>
  </si>
  <si>
    <t>CH-16286</t>
  </si>
  <si>
    <t>T-1497</t>
  </si>
  <si>
    <t>T-1394</t>
  </si>
  <si>
    <t>T-1396</t>
  </si>
  <si>
    <t>T-1498</t>
  </si>
  <si>
    <t>T-1499</t>
  </si>
  <si>
    <t>T-1500</t>
  </si>
  <si>
    <t>T-1501</t>
  </si>
  <si>
    <t>T-1502</t>
  </si>
  <si>
    <t>T-1503</t>
  </si>
  <si>
    <t>E    138</t>
  </si>
  <si>
    <t>T-1504</t>
  </si>
  <si>
    <t>T-1505</t>
  </si>
  <si>
    <t>T-1507</t>
  </si>
  <si>
    <t>T-1508</t>
  </si>
  <si>
    <t>PRODUCTOS MOBILES SA DE CV</t>
  </si>
  <si>
    <t>CH-314</t>
  </si>
  <si>
    <t>CH-16287</t>
  </si>
  <si>
    <t>CH-16288</t>
  </si>
  <si>
    <t>CH-16297</t>
  </si>
  <si>
    <t>CH-16294</t>
  </si>
  <si>
    <t>CH-16303</t>
  </si>
  <si>
    <t>CH-16304</t>
  </si>
  <si>
    <t>CH-16305</t>
  </si>
  <si>
    <t>CH-16308</t>
  </si>
  <si>
    <t>CH-16314</t>
  </si>
  <si>
    <t>T-1405</t>
  </si>
  <si>
    <t>CH-16315</t>
  </si>
  <si>
    <t>CH-16317</t>
  </si>
  <si>
    <t>CH-16318</t>
  </si>
  <si>
    <t>CH-16319</t>
  </si>
  <si>
    <t>T-1509</t>
  </si>
  <si>
    <t>T-1510</t>
  </si>
  <si>
    <t>T-1511</t>
  </si>
  <si>
    <t>T-1512</t>
  </si>
  <si>
    <t>T-1513</t>
  </si>
  <si>
    <t>T-1514</t>
  </si>
  <si>
    <t>T-1515</t>
  </si>
  <si>
    <t>DAGESA EXTINTORES SA DE CV</t>
  </si>
  <si>
    <t>COMISIONE BBVA DE JULIO</t>
  </si>
  <si>
    <t>CH-16323</t>
  </si>
  <si>
    <t>CH-16321</t>
  </si>
  <si>
    <t>CH-16322</t>
  </si>
  <si>
    <t>COM BMX</t>
  </si>
  <si>
    <t>LJIMENEZ:COMISION BANAMEX</t>
  </si>
  <si>
    <t>COM BANORT</t>
  </si>
  <si>
    <t>COMISION BANORTE</t>
  </si>
  <si>
    <t>COM BAJIO</t>
  </si>
  <si>
    <t>COMISION BANCARIA BAJIO</t>
  </si>
  <si>
    <t>COM SANTAN</t>
  </si>
  <si>
    <t>COMISION SANTANDER</t>
  </si>
  <si>
    <t>COM INVERL</t>
  </si>
  <si>
    <t>COMISION BANCARIA INVERLAT</t>
  </si>
  <si>
    <t>COM TAR AM</t>
  </si>
  <si>
    <t>COMISION AMERICA EXPRES</t>
  </si>
  <si>
    <t>ALECSA PACHUCA S DE RL DE CV</t>
  </si>
  <si>
    <t>AUTOZONE DE MEXICO S DE RL DE CV</t>
  </si>
  <si>
    <t>BEMJ7105168N3</t>
  </si>
  <si>
    <t>DEX0908037C1</t>
  </si>
  <si>
    <t>DCM991109KR2</t>
  </si>
  <si>
    <t>KRA000614IU7</t>
  </si>
  <si>
    <t>CZA0908242T9</t>
  </si>
  <si>
    <t>GAPF690502HS8</t>
  </si>
  <si>
    <t>PMO1401218Y1</t>
  </si>
  <si>
    <t>0065-TCU15</t>
  </si>
  <si>
    <t>LJIMENEZ:OVIEDO VARGAS FRANCISCO</t>
  </si>
  <si>
    <t>D    381</t>
  </si>
  <si>
    <t>F-1818025</t>
  </si>
  <si>
    <t>LJIMENEZ:MENSUSLIDAD SIENNA 984</t>
  </si>
  <si>
    <t>D    382</t>
  </si>
  <si>
    <t>P000010981</t>
  </si>
  <si>
    <t>D    403</t>
  </si>
  <si>
    <t>0854-TCN15</t>
  </si>
  <si>
    <t>0001-TCN16</t>
  </si>
  <si>
    <t>0883-TCN15</t>
  </si>
  <si>
    <t>0888-TCN15</t>
  </si>
  <si>
    <t>D  1,851</t>
  </si>
  <si>
    <t>COMBANBBVA</t>
  </si>
  <si>
    <t>LJIMENEZ:COMS BANCARIAS BBVA AGOSTO</t>
  </si>
  <si>
    <t>D  1,908</t>
  </si>
  <si>
    <t>0873-TCN15</t>
  </si>
  <si>
    <t>0878-TCN15</t>
  </si>
  <si>
    <t>0898-TCN15</t>
  </si>
  <si>
    <t>0901-TCN15</t>
  </si>
  <si>
    <t>COMSION</t>
  </si>
  <si>
    <t>COMISION BANBAJIO</t>
  </si>
  <si>
    <t>COM.BANAMX</t>
  </si>
  <si>
    <t>LJIMENEZ:COMISIONES BANAMEX</t>
  </si>
  <si>
    <t>VIATICOS MIGUEL ANGEL NAVARRET</t>
  </si>
  <si>
    <t>P11347</t>
  </si>
  <si>
    <t>LJIMENEZ:ELE011009716</t>
  </si>
  <si>
    <t>P11354</t>
  </si>
  <si>
    <t>LJIMENEZ:NWM9709244W4</t>
  </si>
  <si>
    <t>P11356</t>
  </si>
  <si>
    <t>ARTICULOS DE LIMPIEZA</t>
  </si>
  <si>
    <t>D  2,173</t>
  </si>
  <si>
    <t>P11357</t>
  </si>
  <si>
    <t>P11358</t>
  </si>
  <si>
    <t>p11359</t>
  </si>
  <si>
    <t>SERVICIO DE TRANSPORTE</t>
  </si>
  <si>
    <t>D  2,177</t>
  </si>
  <si>
    <t>P11360</t>
  </si>
  <si>
    <t>CONSUMO MENSAJERO</t>
  </si>
  <si>
    <t>P11361</t>
  </si>
  <si>
    <t>D  2,179</t>
  </si>
  <si>
    <t>P11362</t>
  </si>
  <si>
    <t>P11363</t>
  </si>
  <si>
    <t>P11374</t>
  </si>
  <si>
    <t>P11376</t>
  </si>
  <si>
    <t>P11378</t>
  </si>
  <si>
    <t>MOSA8510169G9</t>
  </si>
  <si>
    <t>P11379</t>
  </si>
  <si>
    <t>P11380</t>
  </si>
  <si>
    <t>P11381</t>
  </si>
  <si>
    <t>D  2,189</t>
  </si>
  <si>
    <t>P11382</t>
  </si>
  <si>
    <t>P11383</t>
  </si>
  <si>
    <t>0853-TCN15</t>
  </si>
  <si>
    <t>0856-TCN15</t>
  </si>
  <si>
    <t>TOYOCOPA S  DE RL  DE  CV</t>
  </si>
  <si>
    <t>0857-TCN15</t>
  </si>
  <si>
    <t>0858-TCN15</t>
  </si>
  <si>
    <t>0859-TCN15</t>
  </si>
  <si>
    <t>0860-TCN15</t>
  </si>
  <si>
    <t>0862-TCN15</t>
  </si>
  <si>
    <t>0861-TCN15</t>
  </si>
  <si>
    <t>0863-TCN15</t>
  </si>
  <si>
    <t>0864-TCN15</t>
  </si>
  <si>
    <t>CCD,AUTOSALES  PUERTO  VALLARTA</t>
  </si>
  <si>
    <t>0865-TCN15</t>
  </si>
  <si>
    <t>0866-TCN15</t>
  </si>
  <si>
    <t>ALDEN SATELITE  S  DE  RL DE  CV</t>
  </si>
  <si>
    <t>0871-TCN15</t>
  </si>
  <si>
    <t>D  2,210</t>
  </si>
  <si>
    <t>0874-TCN15</t>
  </si>
  <si>
    <t>LIDERAZGO AUTOMOTRIZ DE  PUEBLA</t>
  </si>
  <si>
    <t>0875-TCN15</t>
  </si>
  <si>
    <t>D  2,212</t>
  </si>
  <si>
    <t>0876-TCN15</t>
  </si>
  <si>
    <t>MEGAMOTORS NIPPON S. DE  R.  DE C.V</t>
  </si>
  <si>
    <t>0877-TCN15</t>
  </si>
  <si>
    <t>0879-TCN15</t>
  </si>
  <si>
    <t>ALDEN QUERETARO S  DE  RL DE CV</t>
  </si>
  <si>
    <t>0880-TCN15</t>
  </si>
  <si>
    <t>ALDEN SATELITE  S  DE RL DE  CV</t>
  </si>
  <si>
    <t>0881-TCN15</t>
  </si>
  <si>
    <t>TOY MOTORS SA DE CV</t>
  </si>
  <si>
    <t>0867-TCN15</t>
  </si>
  <si>
    <t>0882-TCN15</t>
  </si>
  <si>
    <t>CEVER TOLUCA S  DE  RL DE  CV</t>
  </si>
  <si>
    <t>0884-TCN15</t>
  </si>
  <si>
    <t>0885-TCN15</t>
  </si>
  <si>
    <t>DALTON AUTOMOTRIZ S  DE  RL DE  CV</t>
  </si>
  <si>
    <t>0886-TCN15</t>
  </si>
  <si>
    <t>UNITED  AUTO DE  AGUASCALIENTES S D</t>
  </si>
  <si>
    <t>0870-TCN15</t>
  </si>
  <si>
    <t>0887-TCN15</t>
  </si>
  <si>
    <t>PURDY MOTOR MEXICO DF DE RL DE CV</t>
  </si>
  <si>
    <t>0868-TCN15</t>
  </si>
  <si>
    <t>0889-TCN15</t>
  </si>
  <si>
    <t>ALECSA PACHUCA S DE  RL DE CV</t>
  </si>
  <si>
    <t>0890-TCN15</t>
  </si>
  <si>
    <t>D  2,234</t>
  </si>
  <si>
    <t>0891-TCN15</t>
  </si>
  <si>
    <t>LJIMENEZ:DALTON AUTOMOTRIZ S  DE  R</t>
  </si>
  <si>
    <t>0002-TCN16</t>
  </si>
  <si>
    <t>0869-TCN15</t>
  </si>
  <si>
    <t>0872-TCN15</t>
  </si>
  <si>
    <t>0003-TCN16</t>
  </si>
  <si>
    <t>D  2,240</t>
  </si>
  <si>
    <t>0892-TCN15</t>
  </si>
  <si>
    <t>D  2,241</t>
  </si>
  <si>
    <t>0893-TCN15</t>
  </si>
  <si>
    <t>0894-TCN15</t>
  </si>
  <si>
    <t>0895-TCN15</t>
  </si>
  <si>
    <t>D  2,244</t>
  </si>
  <si>
    <t>0004-TCN16</t>
  </si>
  <si>
    <t>0005-TCN16</t>
  </si>
  <si>
    <t>D  2,246</t>
  </si>
  <si>
    <t>0896-TCN15</t>
  </si>
  <si>
    <t>TOYOMOTORS S  DE  RL D E CV</t>
  </si>
  <si>
    <t>D  2,248</t>
  </si>
  <si>
    <t>0006-TCN16</t>
  </si>
  <si>
    <t>TOYOCOAPA S  DE  RL DE  CV</t>
  </si>
  <si>
    <t>D  2,250</t>
  </si>
  <si>
    <t>0897-TCN15</t>
  </si>
  <si>
    <t>0007-TCN16</t>
  </si>
  <si>
    <t>0008-TCN16</t>
  </si>
  <si>
    <t>0009-TCN16</t>
  </si>
  <si>
    <t>LJIMENEZ:CEVER TOLUCA  S  DE  RL DE</t>
  </si>
  <si>
    <t>0899-TCN15</t>
  </si>
  <si>
    <t>SAMURAI MOTORS XALAPA S  DE  RL DE</t>
  </si>
  <si>
    <t>0900-TCN15</t>
  </si>
  <si>
    <t>CCD. AUTOSALES PUERTO  VALLARTA S D</t>
  </si>
  <si>
    <t>0902-TCN15</t>
  </si>
  <si>
    <t>D  2,260</t>
  </si>
  <si>
    <t>0903-TCN15</t>
  </si>
  <si>
    <t>AUTOMOVILES VALLEJO S  DE  RL DE  C</t>
  </si>
  <si>
    <t>D  2,263</t>
  </si>
  <si>
    <t>0904-TCN15</t>
  </si>
  <si>
    <t>LJIMENEZ:PURDY MOTORS MEXICO D.F S</t>
  </si>
  <si>
    <t>D  2,264</t>
  </si>
  <si>
    <t>0852-TCN15</t>
  </si>
  <si>
    <t>D  2,355</t>
  </si>
  <si>
    <t>LJIMENEZ:COMP. VIATICOS JESUS MUÑIZ</t>
  </si>
  <si>
    <t>D  2,356</t>
  </si>
  <si>
    <t>P11384</t>
  </si>
  <si>
    <t>D  2,357</t>
  </si>
  <si>
    <t>P11385</t>
  </si>
  <si>
    <t>D  2,358</t>
  </si>
  <si>
    <t>P11386</t>
  </si>
  <si>
    <t>TTI961202IM1</t>
  </si>
  <si>
    <t>D  2,359</t>
  </si>
  <si>
    <t>P11387</t>
  </si>
  <si>
    <t>BRS871026P22</t>
  </si>
  <si>
    <t>D  2,360</t>
  </si>
  <si>
    <t>P11388</t>
  </si>
  <si>
    <t>D  2,361</t>
  </si>
  <si>
    <t>P11389</t>
  </si>
  <si>
    <t>P11391</t>
  </si>
  <si>
    <t>P11396</t>
  </si>
  <si>
    <t>P11502</t>
  </si>
  <si>
    <t>P11503</t>
  </si>
  <si>
    <t>P11508</t>
  </si>
  <si>
    <t>P11509</t>
  </si>
  <si>
    <t>P11510</t>
  </si>
  <si>
    <t>P11511</t>
  </si>
  <si>
    <t>P11512</t>
  </si>
  <si>
    <t>P11525</t>
  </si>
  <si>
    <t>LJIMENEZ:CSU070301MK3</t>
  </si>
  <si>
    <t>LJIMENEZ:FFS0704166HA</t>
  </si>
  <si>
    <t>LJIMENEZ:GQL941129CY5</t>
  </si>
  <si>
    <t>LJIMENEZ:OEM920612B67</t>
  </si>
  <si>
    <t>LJIMENEZ:OVI800131GQ6</t>
  </si>
  <si>
    <t>P11526</t>
  </si>
  <si>
    <t>P11527</t>
  </si>
  <si>
    <t>P11528</t>
  </si>
  <si>
    <t>P11529</t>
  </si>
  <si>
    <t>AAVN680517DJA</t>
  </si>
  <si>
    <t>P11530</t>
  </si>
  <si>
    <t>P11531</t>
  </si>
  <si>
    <t>COE9510055R6</t>
  </si>
  <si>
    <t>P11350</t>
  </si>
  <si>
    <t>P11532</t>
  </si>
  <si>
    <t>P11533</t>
  </si>
  <si>
    <t>SGS9511175LA</t>
  </si>
  <si>
    <t>P11536</t>
  </si>
  <si>
    <t>EDM050711TY2</t>
  </si>
  <si>
    <t>P11537</t>
  </si>
  <si>
    <t>P11539</t>
  </si>
  <si>
    <t>P11541</t>
  </si>
  <si>
    <t>P11542</t>
  </si>
  <si>
    <t>D  2,406</t>
  </si>
  <si>
    <t>P11543</t>
  </si>
  <si>
    <t>D  2,408</t>
  </si>
  <si>
    <t>P11545</t>
  </si>
  <si>
    <t>P11546</t>
  </si>
  <si>
    <t>P11549</t>
  </si>
  <si>
    <t>P11553</t>
  </si>
  <si>
    <t>P11555</t>
  </si>
  <si>
    <t>P11557</t>
  </si>
  <si>
    <t>P11559</t>
  </si>
  <si>
    <t>P11561</t>
  </si>
  <si>
    <t>APC580909L82</t>
  </si>
  <si>
    <t>SGS020508BT8</t>
  </si>
  <si>
    <t>P11563</t>
  </si>
  <si>
    <t>P11565</t>
  </si>
  <si>
    <t>COM AMEX</t>
  </si>
  <si>
    <t>COMSIONES AMEX AGOSTO 2015</t>
  </si>
  <si>
    <t>P11567</t>
  </si>
  <si>
    <t>GGR1202213G0</t>
  </si>
  <si>
    <t>P11569</t>
  </si>
  <si>
    <t>P11570</t>
  </si>
  <si>
    <t>P11572</t>
  </si>
  <si>
    <t>P11574</t>
  </si>
  <si>
    <t>P11575</t>
  </si>
  <si>
    <t>P11576</t>
  </si>
  <si>
    <t>D  2,442</t>
  </si>
  <si>
    <t>P11577</t>
  </si>
  <si>
    <t>GBA1302089H2</t>
  </si>
  <si>
    <t>P11579</t>
  </si>
  <si>
    <t>P11580</t>
  </si>
  <si>
    <t>D  2,446</t>
  </si>
  <si>
    <t>P11581</t>
  </si>
  <si>
    <t>D  2,448</t>
  </si>
  <si>
    <t>P11583</t>
  </si>
  <si>
    <t>P11584</t>
  </si>
  <si>
    <t>D  2,450</t>
  </si>
  <si>
    <t>P11585</t>
  </si>
  <si>
    <t>D  2,451</t>
  </si>
  <si>
    <t>P11586</t>
  </si>
  <si>
    <t>D  2,452</t>
  </si>
  <si>
    <t>P11587</t>
  </si>
  <si>
    <t>RUFJ580116B59</t>
  </si>
  <si>
    <t>D  2,453</t>
  </si>
  <si>
    <t>P11588</t>
  </si>
  <si>
    <t>D  2,458</t>
  </si>
  <si>
    <t>P11595</t>
  </si>
  <si>
    <t>P11596</t>
  </si>
  <si>
    <t>P11597</t>
  </si>
  <si>
    <t>P11599</t>
  </si>
  <si>
    <t>D  2,463</t>
  </si>
  <si>
    <t>P11600</t>
  </si>
  <si>
    <t>XAXX010101000</t>
  </si>
  <si>
    <t>P11704</t>
  </si>
  <si>
    <t>P11705</t>
  </si>
  <si>
    <t>INTPPAGOST</t>
  </si>
  <si>
    <t>LJIMENEZ:INTERESES PLAN PISO AGOSTO</t>
  </si>
  <si>
    <t>AJUSTE COM</t>
  </si>
  <si>
    <t>AJUSTE COMPRA</t>
  </si>
  <si>
    <t>VIATICOS VICTOR BENJAMIN HERNA</t>
  </si>
  <si>
    <t>S1337</t>
  </si>
  <si>
    <t>D  2,508</t>
  </si>
  <si>
    <t>S1338</t>
  </si>
  <si>
    <t>CAHR640205HN2</t>
  </si>
  <si>
    <t>S1344</t>
  </si>
  <si>
    <t>S1345</t>
  </si>
  <si>
    <t>JUAA5604246K4</t>
  </si>
  <si>
    <t>S2346</t>
  </si>
  <si>
    <t>SAHM8108101N3</t>
  </si>
  <si>
    <t>CH-16325</t>
  </si>
  <si>
    <t>CAPITAN MENDOZA JOSE MIGUEL</t>
  </si>
  <si>
    <t>CH-16327</t>
  </si>
  <si>
    <t>CH-16339</t>
  </si>
  <si>
    <t>CH-16340</t>
  </si>
  <si>
    <t>CH-16342</t>
  </si>
  <si>
    <t>CH-16328</t>
  </si>
  <si>
    <t>t-1410</t>
  </si>
  <si>
    <t>T-1516</t>
  </si>
  <si>
    <t>OJEDA SANCHEZ MOISES</t>
  </si>
  <si>
    <t>T-1517</t>
  </si>
  <si>
    <t>T-1518</t>
  </si>
  <si>
    <t>T-1519</t>
  </si>
  <si>
    <t>T-1520</t>
  </si>
  <si>
    <t>CONTRAPESOS Y ACCESORIOS RYS SA DE</t>
  </si>
  <si>
    <t>T-1521</t>
  </si>
  <si>
    <t>T-1522</t>
  </si>
  <si>
    <t>T-1523</t>
  </si>
  <si>
    <t>T-1524</t>
  </si>
  <si>
    <t>T-1525</t>
  </si>
  <si>
    <t>T-1526</t>
  </si>
  <si>
    <t>T-1527</t>
  </si>
  <si>
    <t>CH-16343</t>
  </si>
  <si>
    <t>CH-16344</t>
  </si>
  <si>
    <t>CH-16345</t>
  </si>
  <si>
    <t>CH-16346</t>
  </si>
  <si>
    <t>CH-16329</t>
  </si>
  <si>
    <t>CH-16330</t>
  </si>
  <si>
    <t>CH-16350</t>
  </si>
  <si>
    <t>BAJA: DEREMATE COM DE MEXICO S DE R</t>
  </si>
  <si>
    <t>CH-16351</t>
  </si>
  <si>
    <t>CH-16358</t>
  </si>
  <si>
    <t>CH-16359</t>
  </si>
  <si>
    <t>LJIMENEZ:DTMAC COMERCIALIZADORA SA</t>
  </si>
  <si>
    <t>CH-16360</t>
  </si>
  <si>
    <t>CH-16361</t>
  </si>
  <si>
    <t>LJIMENEZ:CRIBEIRO MARTIN ARNALDO</t>
  </si>
  <si>
    <t>COMISION BBVA 03/08/2015</t>
  </si>
  <si>
    <t>COMISION BBVA 04/08/2015</t>
  </si>
  <si>
    <t>COMISION BBVA 05/08/2015</t>
  </si>
  <si>
    <t>COMISION BBVA 06/08/2015</t>
  </si>
  <si>
    <t>COMISION BBVA 07/08/2015</t>
  </si>
  <si>
    <t>COMISION BBVA 10/08/2015</t>
  </si>
  <si>
    <t>COMISION BBVA 11/08/2015</t>
  </si>
  <si>
    <t>COMISION BBVA 12/08/2015</t>
  </si>
  <si>
    <t>COMISION BBVA 13/08/2015</t>
  </si>
  <si>
    <t>CH-16331</t>
  </si>
  <si>
    <t>CH-16332</t>
  </si>
  <si>
    <t>CH-16365</t>
  </si>
  <si>
    <t>CH-16362</t>
  </si>
  <si>
    <t>LJIMENEZ:SEVIBA S.A. DE C.</t>
  </si>
  <si>
    <t>E     77</t>
  </si>
  <si>
    <t>T-1528</t>
  </si>
  <si>
    <t>T-1529</t>
  </si>
  <si>
    <t>DURANGO AUTOMOTORES S. DE R.L. DE C</t>
  </si>
  <si>
    <t>T-1531</t>
  </si>
  <si>
    <t>T-1532</t>
  </si>
  <si>
    <t>T-1415</t>
  </si>
  <si>
    <t>T-1534</t>
  </si>
  <si>
    <t>T-1535</t>
  </si>
  <si>
    <t>CH-16370</t>
  </si>
  <si>
    <t>CH-16371</t>
  </si>
  <si>
    <t>CH-16373</t>
  </si>
  <si>
    <t>CH-16375</t>
  </si>
  <si>
    <t>CH-16379</t>
  </si>
  <si>
    <t>T-1536</t>
  </si>
  <si>
    <t>AUTOMOTRIZ NIHON SA DE CV</t>
  </si>
  <si>
    <t>T-1418</t>
  </si>
  <si>
    <t>T-1537</t>
  </si>
  <si>
    <t>T-1538</t>
  </si>
  <si>
    <t>T-1539</t>
  </si>
  <si>
    <t>T-1540</t>
  </si>
  <si>
    <t>T-1542</t>
  </si>
  <si>
    <t>T-1543</t>
  </si>
  <si>
    <t>T-1419</t>
  </si>
  <si>
    <t>CH-16380</t>
  </si>
  <si>
    <t>CH-16383</t>
  </si>
  <si>
    <t>CH-16384</t>
  </si>
  <si>
    <t>CH-16391</t>
  </si>
  <si>
    <t>ROMERO CASTAÑEDA PATRICIA EUGENIA</t>
  </si>
  <si>
    <t>CH-16387</t>
  </si>
  <si>
    <t>CH-16404</t>
  </si>
  <si>
    <t>CH-16405</t>
  </si>
  <si>
    <t>CH-16413</t>
  </si>
  <si>
    <t>T-1545</t>
  </si>
  <si>
    <t>T-1421</t>
  </si>
  <si>
    <t>PIONEER ELECTRONICS DE MEXICO S.A.</t>
  </si>
  <si>
    <t>LJIMENEZ:SOTERO ARANDA FERRO</t>
  </si>
  <si>
    <t>T-1546</t>
  </si>
  <si>
    <t>T-1547</t>
  </si>
  <si>
    <t>LJIMENEZ:NOTARIA PUBLICA NUMERO TRE</t>
  </si>
  <si>
    <t>T-1548</t>
  </si>
  <si>
    <t>LJIMENEZ:MARCOZER SA DE CV</t>
  </si>
  <si>
    <t>LJIMENEZ:INDUSTRIA DISEÑADORA DE AU</t>
  </si>
  <si>
    <t>LJIMENEZ:MONTERO RAMIREZ ELIUD</t>
  </si>
  <si>
    <t>LJIMENEZ:OCHOA NOLASCO GUILLERMO</t>
  </si>
  <si>
    <t>CH-16418</t>
  </si>
  <si>
    <t>CH-16422</t>
  </si>
  <si>
    <t>CH-16423</t>
  </si>
  <si>
    <t>CH-16424</t>
  </si>
  <si>
    <t>CH-16425</t>
  </si>
  <si>
    <t>CH-16427</t>
  </si>
  <si>
    <t>LJIMENEZ:PAGO REFACCIONES</t>
  </si>
  <si>
    <t>CH-16426</t>
  </si>
  <si>
    <t>LJIMENEZ:GRUPO STELLA MARIS S.A. DE</t>
  </si>
  <si>
    <t>CH-16428</t>
  </si>
  <si>
    <t>AGOSTO</t>
  </si>
  <si>
    <t>JULIO</t>
  </si>
  <si>
    <t>JUNIO</t>
  </si>
  <si>
    <t>MAYO</t>
  </si>
  <si>
    <t>ABRIL</t>
  </si>
  <si>
    <t>0010-TCN16</t>
  </si>
  <si>
    <t>D     19</t>
  </si>
  <si>
    <t>D     52</t>
  </si>
  <si>
    <t>0905-TCN15</t>
  </si>
  <si>
    <t>D    140</t>
  </si>
  <si>
    <t>F-1842114</t>
  </si>
  <si>
    <t>F-1841262</t>
  </si>
  <si>
    <t>D    209</t>
  </si>
  <si>
    <t>0011-TCN16</t>
  </si>
  <si>
    <t>D    235</t>
  </si>
  <si>
    <t>0012-TCN16</t>
  </si>
  <si>
    <t>D    326</t>
  </si>
  <si>
    <t>0906-TCN15</t>
  </si>
  <si>
    <t>ALDEN SATELITE  S DE  RL DE  CV</t>
  </si>
  <si>
    <t>0014-TCN16</t>
  </si>
  <si>
    <t>LJIMENEZ:AUTOMOTRIZ NIHON S.A DE  C</t>
  </si>
  <si>
    <t>0907-TCN15</t>
  </si>
  <si>
    <t>DALTON AUTOMOTRIZ S DE RL  CV</t>
  </si>
  <si>
    <t>D    389</t>
  </si>
  <si>
    <t>0015-TCN16</t>
  </si>
  <si>
    <t>AUTOMOTRIZ NIHON, S.A DE  CV.</t>
  </si>
  <si>
    <t>0908-TCN15</t>
  </si>
  <si>
    <t>AUTOMOVILES DINAMICOS  S  DE  RL DE</t>
  </si>
  <si>
    <t>D    516</t>
  </si>
  <si>
    <t>0910-TCN15</t>
  </si>
  <si>
    <t>D    550</t>
  </si>
  <si>
    <t>0016-TCN16</t>
  </si>
  <si>
    <t>OZ AUTOMOTRIZ S  DE  RL DE CV</t>
  </si>
  <si>
    <t>D    667</t>
  </si>
  <si>
    <t>0911-TCN15</t>
  </si>
  <si>
    <t>D    701</t>
  </si>
  <si>
    <t>0912-TCN15</t>
  </si>
  <si>
    <t>LJIMENEZ:SAMURAI MOTORS S DE  RL DE</t>
  </si>
  <si>
    <t>D    738</t>
  </si>
  <si>
    <t>0913-TCN15</t>
  </si>
  <si>
    <t>0914-TCN15</t>
  </si>
  <si>
    <t>D    770</t>
  </si>
  <si>
    <t>0915-TCN15</t>
  </si>
  <si>
    <t>0017-TCN16</t>
  </si>
  <si>
    <t>0018-TCN16</t>
  </si>
  <si>
    <t>0916-TCN15</t>
  </si>
  <si>
    <t>D    777</t>
  </si>
  <si>
    <t>0917-TCN15</t>
  </si>
  <si>
    <t>D    778</t>
  </si>
  <si>
    <t>0918-TCN15</t>
  </si>
  <si>
    <t>D    779</t>
  </si>
  <si>
    <t>0919-TCN15</t>
  </si>
  <si>
    <t>D    781</t>
  </si>
  <si>
    <t>0920-TCN15</t>
  </si>
  <si>
    <t>D    782</t>
  </si>
  <si>
    <t>0921-TCN15</t>
  </si>
  <si>
    <t>D    784</t>
  </si>
  <si>
    <t>0922-TCN15</t>
  </si>
  <si>
    <t>D    788</t>
  </si>
  <si>
    <t>D    816</t>
  </si>
  <si>
    <t>D    832</t>
  </si>
  <si>
    <t>0019-TCN16</t>
  </si>
  <si>
    <t>0924-TCN15</t>
  </si>
  <si>
    <t>D    886</t>
  </si>
  <si>
    <t>D    908</t>
  </si>
  <si>
    <t>F-1851279</t>
  </si>
  <si>
    <t>LJIMENEZ:MENSUALIDAD SIENNA 984A</t>
  </si>
  <si>
    <t>0925-TCN15</t>
  </si>
  <si>
    <t>D    931</t>
  </si>
  <si>
    <t>0020-TCN16</t>
  </si>
  <si>
    <t>D    984</t>
  </si>
  <si>
    <t>0926-TCN15</t>
  </si>
  <si>
    <t>D  1,022</t>
  </si>
  <si>
    <t>0927-TCN15</t>
  </si>
  <si>
    <t>LJIMENEZ:TOYOMOTORS DE POLANCO  S D</t>
  </si>
  <si>
    <t>D  1,248</t>
  </si>
  <si>
    <t>0928-TCN15</t>
  </si>
  <si>
    <t>LJIMENEZ:CALIDAD  DE CAMPECHE  S  D</t>
  </si>
  <si>
    <t>0021-TCN16</t>
  </si>
  <si>
    <t>D  1,351</t>
  </si>
  <si>
    <t>0022-TCN16</t>
  </si>
  <si>
    <t>0023-TCN16</t>
  </si>
  <si>
    <t>ALDEN SATELITE S  DE  RL DE  CV</t>
  </si>
  <si>
    <t>D  1,412</t>
  </si>
  <si>
    <t>0024-TCN16</t>
  </si>
  <si>
    <t>AUTOMOTRIZ NIHON.S.A DE  CV</t>
  </si>
  <si>
    <t>0930-TCN15</t>
  </si>
  <si>
    <t>0025-TCN16</t>
  </si>
  <si>
    <t>D  1,477</t>
  </si>
  <si>
    <t>0931-TCN15</t>
  </si>
  <si>
    <t>0932-TCN15</t>
  </si>
  <si>
    <t>D  1,538</t>
  </si>
  <si>
    <t>D  1,546</t>
  </si>
  <si>
    <t>0027-TCN16</t>
  </si>
  <si>
    <t>0026-TCN16</t>
  </si>
  <si>
    <t>COMP. VIATICOS ISMAEL FIGUEROA</t>
  </si>
  <si>
    <t>D  1,793</t>
  </si>
  <si>
    <t>0028-TCN16</t>
  </si>
  <si>
    <t>D  1,794</t>
  </si>
  <si>
    <t>0933-TCN15</t>
  </si>
  <si>
    <t>D  1,903</t>
  </si>
  <si>
    <t>0029-TCN16</t>
  </si>
  <si>
    <t>D  1,905</t>
  </si>
  <si>
    <t>0030-TCN16</t>
  </si>
  <si>
    <t>AUTOMOTRIZ NIHON, SA DE CV</t>
  </si>
  <si>
    <t>0934-TCN15</t>
  </si>
  <si>
    <t>0031-TCN16</t>
  </si>
  <si>
    <t>0032-TCN16</t>
  </si>
  <si>
    <t>0034-TCN16</t>
  </si>
  <si>
    <t>0935-TCN15</t>
  </si>
  <si>
    <t>0035-TCN16</t>
  </si>
  <si>
    <t>0036-TCN16</t>
  </si>
  <si>
    <t>0037-TCN16</t>
  </si>
  <si>
    <t>0937-TCN15</t>
  </si>
  <si>
    <t>0938-TCN15</t>
  </si>
  <si>
    <t>0038-TCN16</t>
  </si>
  <si>
    <t>0039-TCN16</t>
  </si>
  <si>
    <t>0939-TCN15</t>
  </si>
  <si>
    <t>LJIMENEZ:TOYOMOTORS DE IRAPUATO  S</t>
  </si>
  <si>
    <t>0940-TCN15</t>
  </si>
  <si>
    <t>DALTON  AUTOMOTORES  S  DE  RL DE</t>
  </si>
  <si>
    <t>D  2,266</t>
  </si>
  <si>
    <t>0040-TCN16</t>
  </si>
  <si>
    <t>D  2,320</t>
  </si>
  <si>
    <t>0041-TCN16</t>
  </si>
  <si>
    <t>D  2,337</t>
  </si>
  <si>
    <t>0042-TCN16</t>
  </si>
  <si>
    <t>D  2,347</t>
  </si>
  <si>
    <t>0043-TCN16</t>
  </si>
  <si>
    <t>0943-TCN15</t>
  </si>
  <si>
    <t>AUTOMOTORES DE LA  LAGUNA S.A DE C.</t>
  </si>
  <si>
    <t>0944-TCN15</t>
  </si>
  <si>
    <t>DURANGO  AUTOMOTORES S  DE  RL DE</t>
  </si>
  <si>
    <t>0044-TCN16</t>
  </si>
  <si>
    <t>0045-TCN16</t>
  </si>
  <si>
    <t>D  2,523</t>
  </si>
  <si>
    <t>0046-TCN16</t>
  </si>
  <si>
    <t>D  2,551</t>
  </si>
  <si>
    <t>0047-TCN16</t>
  </si>
  <si>
    <t>AUTOMOVILES VALLEJO  S DE  RL DE  C</t>
  </si>
  <si>
    <t>D  2,575</t>
  </si>
  <si>
    <t>LJIMENEZ:VIATICOS PACHUCA</t>
  </si>
  <si>
    <t>COM BBVA</t>
  </si>
  <si>
    <t>LJIMENEZ:COMISIONES BBVA SEP 2015</t>
  </si>
  <si>
    <t>D  2,610</t>
  </si>
  <si>
    <t>COM BNX</t>
  </si>
  <si>
    <t>COMISIONES BMX SEP 2015</t>
  </si>
  <si>
    <t>D  2,611</t>
  </si>
  <si>
    <t>COMISIONES SANTANDER SEP 2015</t>
  </si>
  <si>
    <t>A000002786</t>
  </si>
  <si>
    <t>SHAMPOO DE MANZANA</t>
  </si>
  <si>
    <t>ESPUMA GRIS 1.2X1.9X.03 CMS</t>
  </si>
  <si>
    <t>D  2,670</t>
  </si>
  <si>
    <t>PAPELARIA ADMINISTRATIVOS</t>
  </si>
  <si>
    <t>PAPELERRIA ADMINISTRATIVO</t>
  </si>
  <si>
    <t>PAPELERIA ADMON</t>
  </si>
  <si>
    <t>MANTENIMIENTO DE INSTALACIONES</t>
  </si>
  <si>
    <t>D  2,678</t>
  </si>
  <si>
    <t>LJIMENEZ:PAPELERIA ADMON</t>
  </si>
  <si>
    <t>D  2,679</t>
  </si>
  <si>
    <t>MENSAJERIA DE VENTAS</t>
  </si>
  <si>
    <t>D  2,680</t>
  </si>
  <si>
    <t>TIKT</t>
  </si>
  <si>
    <t>PAPELERIA ADMINISTRATIVO</t>
  </si>
  <si>
    <t>CORTESIAS DE VENTAS</t>
  </si>
  <si>
    <t>FACT 7353</t>
  </si>
  <si>
    <t>F7592</t>
  </si>
  <si>
    <t>CORTESIA DE VENTAS</t>
  </si>
  <si>
    <t>GASTOS DIVERSOS ADMINISTRATIVO</t>
  </si>
  <si>
    <t>D  2,695</t>
  </si>
  <si>
    <t>F 7604</t>
  </si>
  <si>
    <t>F 683</t>
  </si>
  <si>
    <t>GASTOS DIVERSOS</t>
  </si>
  <si>
    <t>F 7816</t>
  </si>
  <si>
    <t>B 726</t>
  </si>
  <si>
    <t>AMA 149</t>
  </si>
  <si>
    <t>GASTOS DIVERSOS ADMON</t>
  </si>
  <si>
    <t>ARTICULOS DE LIMPIEZA PARA VEH</t>
  </si>
  <si>
    <t>A 2662</t>
  </si>
  <si>
    <t>J 327</t>
  </si>
  <si>
    <t>302-D101048</t>
  </si>
  <si>
    <t>D  2,709</t>
  </si>
  <si>
    <t>GASTOS DIVERSOS ADMINISTATIVO</t>
  </si>
  <si>
    <t>D  2,719</t>
  </si>
  <si>
    <t>F616129501</t>
  </si>
  <si>
    <t>D  2,723</t>
  </si>
  <si>
    <t>D  2,724</t>
  </si>
  <si>
    <t>GATOS DIVERSOS ADMINISTRATIVO</t>
  </si>
  <si>
    <t>HERRAMIENTAS</t>
  </si>
  <si>
    <t>D  2,730</t>
  </si>
  <si>
    <t>D  2,733</t>
  </si>
  <si>
    <t>D  2,746</t>
  </si>
  <si>
    <t>D  2,753</t>
  </si>
  <si>
    <t>D  2,766</t>
  </si>
  <si>
    <t>GASOLINA GERENCIA Y CASETAS</t>
  </si>
  <si>
    <t>D  2,767</t>
  </si>
  <si>
    <t>D  2,768</t>
  </si>
  <si>
    <t>D  2,771</t>
  </si>
  <si>
    <t>D  2,776</t>
  </si>
  <si>
    <t>FA05057701</t>
  </si>
  <si>
    <t>TRASLADO DE YARIS</t>
  </si>
  <si>
    <t>D  2,779</t>
  </si>
  <si>
    <t>FP32128901</t>
  </si>
  <si>
    <t>TRASLADO DE COROLLA</t>
  </si>
  <si>
    <t>D  2,781</t>
  </si>
  <si>
    <t>CASTILLO HUERTA ROSALBA</t>
  </si>
  <si>
    <t>D  2,782</t>
  </si>
  <si>
    <t>D  2,783</t>
  </si>
  <si>
    <t>D  2,784</t>
  </si>
  <si>
    <t>D  2,787</t>
  </si>
  <si>
    <t>D  2,790</t>
  </si>
  <si>
    <t>D  2,791</t>
  </si>
  <si>
    <t>FA04847001</t>
  </si>
  <si>
    <t>TRASLADO YARIS</t>
  </si>
  <si>
    <t>D  2,793</t>
  </si>
  <si>
    <t>G144130401</t>
  </si>
  <si>
    <t>D  2,795</t>
  </si>
  <si>
    <t>F616281101</t>
  </si>
  <si>
    <t>TRASLADO HIACE</t>
  </si>
  <si>
    <t>D  2,797</t>
  </si>
  <si>
    <t>G139045501</t>
  </si>
  <si>
    <t>TRASLADO HILUX</t>
  </si>
  <si>
    <t>D  2,799</t>
  </si>
  <si>
    <t>FW36721001</t>
  </si>
  <si>
    <t>LJIMENEZ:TRASLADO DE RAV4</t>
  </si>
  <si>
    <t>D  2,801</t>
  </si>
  <si>
    <t>FW21431101</t>
  </si>
  <si>
    <t>TRASLADO RAV4</t>
  </si>
  <si>
    <t>D  2,803</t>
  </si>
  <si>
    <t>FW36237901</t>
  </si>
  <si>
    <t>TRASLADO DE RAV4</t>
  </si>
  <si>
    <t>D  2,805</t>
  </si>
  <si>
    <t>FW20209401</t>
  </si>
  <si>
    <t>D  2,807</t>
  </si>
  <si>
    <t>FS08899401</t>
  </si>
  <si>
    <t>TRASLADO DE HIGHLANDER</t>
  </si>
  <si>
    <t>D  2,809</t>
  </si>
  <si>
    <t>FP32956501</t>
  </si>
  <si>
    <t>D  2,811</t>
  </si>
  <si>
    <t>FW35869001</t>
  </si>
  <si>
    <t>D  2,813</t>
  </si>
  <si>
    <t>FW01989801</t>
  </si>
  <si>
    <t>TRASLADO DE AVANZA</t>
  </si>
  <si>
    <t>D  2,815</t>
  </si>
  <si>
    <t>FP20056801</t>
  </si>
  <si>
    <t>AJUST COMP</t>
  </si>
  <si>
    <t>LJIMENEZ:AJUSTE SEPTIEMBRE</t>
  </si>
  <si>
    <t>D  2,866</t>
  </si>
  <si>
    <t>LJIMENEZ:VIATICOS LUIS ALBERTO LEON</t>
  </si>
  <si>
    <t>D  2,867</t>
  </si>
  <si>
    <t>VIATICOS BALBUENA SALAZAR PATR</t>
  </si>
  <si>
    <t>D  2,868</t>
  </si>
  <si>
    <t>D  2,878</t>
  </si>
  <si>
    <t>AJUSTES</t>
  </si>
  <si>
    <t>LJIMENEZ:AJUSTES DE SALDOS MENORES</t>
  </si>
  <si>
    <t>CH-16432</t>
  </si>
  <si>
    <t>LJIMENEZ:PROCURADURIA FEDERAL DEL C</t>
  </si>
  <si>
    <t>CH-16433</t>
  </si>
  <si>
    <t>CARRILLO ROMERO MARIA GUADALUPE</t>
  </si>
  <si>
    <t>E      4</t>
  </si>
  <si>
    <t>CH-16434</t>
  </si>
  <si>
    <t>CH-16442</t>
  </si>
  <si>
    <t>T-1549</t>
  </si>
  <si>
    <t>CH-16443</t>
  </si>
  <si>
    <t>CH-16444</t>
  </si>
  <si>
    <t>CH-16447</t>
  </si>
  <si>
    <t>CH-16448</t>
  </si>
  <si>
    <t>CH-16450</t>
  </si>
  <si>
    <t>NOTARIA PUBLICA NO. 32 S.C.</t>
  </si>
  <si>
    <t>CH-16458</t>
  </si>
  <si>
    <t>CH-16457</t>
  </si>
  <si>
    <t>CH-16460</t>
  </si>
  <si>
    <t>GALAZ YAMAZAKI RUIZ URQUIZA SC</t>
  </si>
  <si>
    <t>CH-16459</t>
  </si>
  <si>
    <t>CH-16456</t>
  </si>
  <si>
    <t>CH-16476</t>
  </si>
  <si>
    <t>CH-16477</t>
  </si>
  <si>
    <t>CH-16479</t>
  </si>
  <si>
    <t>CH-16480</t>
  </si>
  <si>
    <t>CH-16481</t>
  </si>
  <si>
    <t>CH-16482</t>
  </si>
  <si>
    <t>CH-16483</t>
  </si>
  <si>
    <t>CH-16494</t>
  </si>
  <si>
    <t>FLORES MALDONADO MIGUEL ANDRES</t>
  </si>
  <si>
    <t>CH-16495</t>
  </si>
  <si>
    <t>CH-16497</t>
  </si>
  <si>
    <t>CH-16502</t>
  </si>
  <si>
    <t>CH-16506</t>
  </si>
  <si>
    <t>HERRAMINETAS ALEMANAS DE CELAYA S D</t>
  </si>
  <si>
    <t>CH-16503</t>
  </si>
  <si>
    <t>CH-16509</t>
  </si>
  <si>
    <t>CH-16510</t>
  </si>
  <si>
    <t>CH-16512</t>
  </si>
  <si>
    <t>T-1551</t>
  </si>
  <si>
    <t>T-1552</t>
  </si>
  <si>
    <t>T-1553</t>
  </si>
  <si>
    <t>T-1554</t>
  </si>
  <si>
    <t>T-1555</t>
  </si>
  <si>
    <t>T-1556</t>
  </si>
  <si>
    <t>CH-16504</t>
  </si>
  <si>
    <t>T-1557</t>
  </si>
  <si>
    <t>T-1559</t>
  </si>
  <si>
    <t>T-1561</t>
  </si>
  <si>
    <t>T-1562</t>
  </si>
  <si>
    <t>CH-16515</t>
  </si>
  <si>
    <t>CH-16518</t>
  </si>
  <si>
    <t>CH-16522</t>
  </si>
  <si>
    <t>CH-16524</t>
  </si>
  <si>
    <t>LJIMENEZ:MADRIGAL CAMPOS JOSE LUIS</t>
  </si>
  <si>
    <t>T-1564</t>
  </si>
  <si>
    <t>ESPINOSA MONSALVO MARIANA</t>
  </si>
  <si>
    <t>T-1565</t>
  </si>
  <si>
    <t>T-1566</t>
  </si>
  <si>
    <t>ROMERO VEGA LETICIA DEL CARMEN</t>
  </si>
  <si>
    <t>CH-16532</t>
  </si>
  <si>
    <t>LJIMENEZ:PAGO REFACCIONES EDO CTA A</t>
  </si>
  <si>
    <t>CH-16531</t>
  </si>
  <si>
    <t>CH-16537</t>
  </si>
  <si>
    <t>CH-16538</t>
  </si>
  <si>
    <t>LJIMENEZ:ENSUEñO HOTELERIA DE CELAY</t>
  </si>
  <si>
    <t>CH-16541</t>
  </si>
  <si>
    <t>CH-16542</t>
  </si>
  <si>
    <t>CH-16543</t>
  </si>
  <si>
    <t>CH-16556</t>
  </si>
  <si>
    <t>CH-16557</t>
  </si>
  <si>
    <t>CH-16559</t>
  </si>
  <si>
    <t>LJIMENEZ:MENDEZ MARTINEZ ROBERTO</t>
  </si>
  <si>
    <t>CH-16561</t>
  </si>
  <si>
    <t>CH-16562</t>
  </si>
  <si>
    <t>CH-16563</t>
  </si>
  <si>
    <t>CH-16564</t>
  </si>
  <si>
    <t>CH-16566</t>
  </si>
  <si>
    <t>T-1567</t>
  </si>
  <si>
    <t>T-1568</t>
  </si>
  <si>
    <t>T-1569</t>
  </si>
  <si>
    <t>T-1570</t>
  </si>
  <si>
    <t>T-1571</t>
  </si>
  <si>
    <t>T-1572</t>
  </si>
  <si>
    <t>T-1573</t>
  </si>
  <si>
    <t>T-1574</t>
  </si>
  <si>
    <t>T-1575</t>
  </si>
  <si>
    <t>BOSCH AUTOMOTIVE SERVICE SOLUTIONS</t>
  </si>
  <si>
    <t>T-1576</t>
  </si>
  <si>
    <t>T-1577</t>
  </si>
  <si>
    <t>T-1578</t>
  </si>
  <si>
    <t>T-1451</t>
  </si>
  <si>
    <t>AMEXCO COM</t>
  </si>
  <si>
    <t>COMISIONES AMEXCO</t>
  </si>
  <si>
    <t>TRAS-BBVA</t>
  </si>
  <si>
    <t>AUDATEX LTN, S. DE R.L. DE C.V.</t>
  </si>
  <si>
    <t>SEPTIEMBRE</t>
  </si>
  <si>
    <t>CAMM9501068N9</t>
  </si>
  <si>
    <t>CSU070301MK3</t>
  </si>
  <si>
    <t>FFS0704166HA</t>
  </si>
  <si>
    <t>OEM920612B67</t>
  </si>
  <si>
    <t>OESM750825UI0</t>
  </si>
  <si>
    <t>PEM940128LQ7</t>
  </si>
  <si>
    <t>ROCP620613TZ1</t>
  </si>
  <si>
    <t>SMX060828MD9</t>
  </si>
  <si>
    <t>ALDEN SATELITE S  DE  RL DE CV</t>
  </si>
  <si>
    <t>D    774</t>
  </si>
  <si>
    <t>D    815</t>
  </si>
  <si>
    <t>D    771</t>
  </si>
  <si>
    <t>F-1869954</t>
  </si>
  <si>
    <t>D     11</t>
  </si>
  <si>
    <t>F-1866164</t>
  </si>
  <si>
    <t>D     13</t>
  </si>
  <si>
    <t>F-1880729</t>
  </si>
  <si>
    <t>D     14</t>
  </si>
  <si>
    <t>F-1880188</t>
  </si>
  <si>
    <t>D     86</t>
  </si>
  <si>
    <t>0945-TCN15</t>
  </si>
  <si>
    <t>LJIMENEZ:ALDEN  QUERETARO S DE  RL</t>
  </si>
  <si>
    <t>0050-TCN16</t>
  </si>
  <si>
    <t>D     94</t>
  </si>
  <si>
    <t>0049-TCN16</t>
  </si>
  <si>
    <t>D     96</t>
  </si>
  <si>
    <t>D     98</t>
  </si>
  <si>
    <t>0048-TCN16</t>
  </si>
  <si>
    <t>D    129</t>
  </si>
  <si>
    <t>0051-TCN16</t>
  </si>
  <si>
    <t>0946-TCN15</t>
  </si>
  <si>
    <t>D    210</t>
  </si>
  <si>
    <t>0054-TCN16</t>
  </si>
  <si>
    <t>D    244</t>
  </si>
  <si>
    <t>0055-TCN16</t>
  </si>
  <si>
    <t>D    245</t>
  </si>
  <si>
    <t>0056-TCN16</t>
  </si>
  <si>
    <t>D    246</t>
  </si>
  <si>
    <t>0057-TCN16</t>
  </si>
  <si>
    <t>D    311</t>
  </si>
  <si>
    <t>0058-TCN16</t>
  </si>
  <si>
    <t>D    341</t>
  </si>
  <si>
    <t>0947-TCN15</t>
  </si>
  <si>
    <t>D    343</t>
  </si>
  <si>
    <t>0948-TCN15</t>
  </si>
  <si>
    <t>D    344</t>
  </si>
  <si>
    <t>0949-TCN15</t>
  </si>
  <si>
    <t>D    346</t>
  </si>
  <si>
    <t>0950-TCN15</t>
  </si>
  <si>
    <t>D    349</t>
  </si>
  <si>
    <t>0955-TCN15</t>
  </si>
  <si>
    <t>D    351</t>
  </si>
  <si>
    <t>0059-TCN16</t>
  </si>
  <si>
    <t>D    352</t>
  </si>
  <si>
    <t>0951-TCN15</t>
  </si>
  <si>
    <t>D    353</t>
  </si>
  <si>
    <t>0952-TCN15</t>
  </si>
  <si>
    <t>D    355</t>
  </si>
  <si>
    <t>0953-TCN15</t>
  </si>
  <si>
    <t>0956-TCN15</t>
  </si>
  <si>
    <t>0060-TCN16</t>
  </si>
  <si>
    <t>D    368</t>
  </si>
  <si>
    <t>D    370</t>
  </si>
  <si>
    <t>0061-TCN16</t>
  </si>
  <si>
    <t>D    371</t>
  </si>
  <si>
    <t>0062-TCN16</t>
  </si>
  <si>
    <t>D    449</t>
  </si>
  <si>
    <t>0065-TCN16</t>
  </si>
  <si>
    <t>D    461</t>
  </si>
  <si>
    <t>0052-TCN16</t>
  </si>
  <si>
    <t>0063-TCN16</t>
  </si>
  <si>
    <t>D    463</t>
  </si>
  <si>
    <t>0064-TCN16</t>
  </si>
  <si>
    <t>0067-TCN16</t>
  </si>
  <si>
    <t>D    470</t>
  </si>
  <si>
    <t>D    471</t>
  </si>
  <si>
    <t>0068-TCN16</t>
  </si>
  <si>
    <t>D    687</t>
  </si>
  <si>
    <t>0070-TCN16</t>
  </si>
  <si>
    <t>D    731</t>
  </si>
  <si>
    <t>0071-TCN16</t>
  </si>
  <si>
    <t>D    829</t>
  </si>
  <si>
    <t>0105-TCN15</t>
  </si>
  <si>
    <t>0072-TCN16</t>
  </si>
  <si>
    <t>0073-TCN16</t>
  </si>
  <si>
    <t>D    874</t>
  </si>
  <si>
    <t>D    899</t>
  </si>
  <si>
    <t>0074-TCN16</t>
  </si>
  <si>
    <t>LJIMENEZ:DALTON AUTOMOTRIZ S  DE RL</t>
  </si>
  <si>
    <t>0075-TCN16</t>
  </si>
  <si>
    <t>D    913</t>
  </si>
  <si>
    <t>0076-TCN16</t>
  </si>
  <si>
    <t>LJIMENEZ:OZ AUTOMOTRIZ COLIMA S  DE</t>
  </si>
  <si>
    <t>0077-TCN16</t>
  </si>
  <si>
    <t>D  1,000</t>
  </si>
  <si>
    <t>0957-TCN15</t>
  </si>
  <si>
    <t>D  1,030</t>
  </si>
  <si>
    <t>0078-TCN16</t>
  </si>
  <si>
    <t>LJIMENEZ:TOY MOTORS SA  DE  CV</t>
  </si>
  <si>
    <t>D  1,200</t>
  </si>
  <si>
    <t>0079-TCN16</t>
  </si>
  <si>
    <t>TOYOMOTORS DE  POLANCO  S  DE  RL D</t>
  </si>
  <si>
    <t>D  1,205</t>
  </si>
  <si>
    <t>0080-TCN16</t>
  </si>
  <si>
    <t>0081-TCN16</t>
  </si>
  <si>
    <t>LJIMENEZ:DURANGO AUTOMOTORES S  DE</t>
  </si>
  <si>
    <t>0082-TCN16</t>
  </si>
  <si>
    <t>0958-TCN15</t>
  </si>
  <si>
    <t>0083-TCN16</t>
  </si>
  <si>
    <t>D  1,466</t>
  </si>
  <si>
    <t>0084-TCN16</t>
  </si>
  <si>
    <t>D  1,534</t>
  </si>
  <si>
    <t>0085-TCN16</t>
  </si>
  <si>
    <t>D  1,536</t>
  </si>
  <si>
    <t>0086-TCN16</t>
  </si>
  <si>
    <t>D  1,541</t>
  </si>
  <si>
    <t>0087-TCN16</t>
  </si>
  <si>
    <t>D  1,564</t>
  </si>
  <si>
    <t>D  1,565</t>
  </si>
  <si>
    <t>D  1,580</t>
  </si>
  <si>
    <t>D  1,590</t>
  </si>
  <si>
    <t>0088-TCN16</t>
  </si>
  <si>
    <t>D  1,629</t>
  </si>
  <si>
    <t>0089-TCN16</t>
  </si>
  <si>
    <t>D  1,656</t>
  </si>
  <si>
    <t>D  1,683</t>
  </si>
  <si>
    <t>0965-TCN15</t>
  </si>
  <si>
    <t>D  1,704</t>
  </si>
  <si>
    <t>0968-TCN15</t>
  </si>
  <si>
    <t>0090-TCN16</t>
  </si>
  <si>
    <t>D  1,744</t>
  </si>
  <si>
    <t>0102-TCN16</t>
  </si>
  <si>
    <t>DALTON AUTOMOTORES  S DE  RL DE  CV</t>
  </si>
  <si>
    <t>D  1,755</t>
  </si>
  <si>
    <t>0959-TCN15</t>
  </si>
  <si>
    <t>D  1,756</t>
  </si>
  <si>
    <t>0093-TCN16</t>
  </si>
  <si>
    <t>D  1,757</t>
  </si>
  <si>
    <t>0094-TCN16</t>
  </si>
  <si>
    <t>D  1,758</t>
  </si>
  <si>
    <t>0960-TCN15</t>
  </si>
  <si>
    <t>D  1,759</t>
  </si>
  <si>
    <t>0961-TCN15</t>
  </si>
  <si>
    <t>D  1,760</t>
  </si>
  <si>
    <t>0962-TCN15</t>
  </si>
  <si>
    <t>D  1,761</t>
  </si>
  <si>
    <t>0963-TCN15</t>
  </si>
  <si>
    <t>D  1,762</t>
  </si>
  <si>
    <t>0095-TCN16</t>
  </si>
  <si>
    <t>D  1,763</t>
  </si>
  <si>
    <t>0096-TCN16</t>
  </si>
  <si>
    <t>0097-TCN16</t>
  </si>
  <si>
    <t>0066-TCN16</t>
  </si>
  <si>
    <t>D  1,776</t>
  </si>
  <si>
    <t>0103-TCN16</t>
  </si>
  <si>
    <t>D  1,797</t>
  </si>
  <si>
    <t>0098-TCN16</t>
  </si>
  <si>
    <t>D  1,798</t>
  </si>
  <si>
    <t>0964-TCN15</t>
  </si>
  <si>
    <t>D  1,799</t>
  </si>
  <si>
    <t>0104-TCN16</t>
  </si>
  <si>
    <t>0099-TCN16</t>
  </si>
  <si>
    <t>D  1,802</t>
  </si>
  <si>
    <t>0966-TCN15</t>
  </si>
  <si>
    <t>D  1,831</t>
  </si>
  <si>
    <t>0105-TCN16</t>
  </si>
  <si>
    <t>D  1,898</t>
  </si>
  <si>
    <t>0970-TCN15</t>
  </si>
  <si>
    <t>D  1,904</t>
  </si>
  <si>
    <t>0969-TCN15</t>
  </si>
  <si>
    <t>AUTOMOVILES  VALLEJO S  DE  RL DE C</t>
  </si>
  <si>
    <t>D  1,906</t>
  </si>
  <si>
    <t>0091-TCN16</t>
  </si>
  <si>
    <t>D  1,907</t>
  </si>
  <si>
    <t>0092-TCN16</t>
  </si>
  <si>
    <t>0100-TCN16</t>
  </si>
  <si>
    <t>D  1,910</t>
  </si>
  <si>
    <t>0967-TCN15</t>
  </si>
  <si>
    <t>TOY  MORELOS SA  DE CV</t>
  </si>
  <si>
    <t>LJIMENEZ:AUTOMOTRIZ NIHON S.A  DE</t>
  </si>
  <si>
    <t>DURANGO  AUTOMOTORES S  DE  RL DE C</t>
  </si>
  <si>
    <t>0108-TCN16</t>
  </si>
  <si>
    <t>AUTOMOTORES DE  LA LAGUNA S.A  D E</t>
  </si>
  <si>
    <t>0109-TCN16</t>
  </si>
  <si>
    <t>D  1,984</t>
  </si>
  <si>
    <t>0106-TCN16</t>
  </si>
  <si>
    <t>D  1,999</t>
  </si>
  <si>
    <t>0971-TCN15</t>
  </si>
  <si>
    <t>0111-TCN16</t>
  </si>
  <si>
    <t>0110-TCN16</t>
  </si>
  <si>
    <t>0112-TCN16</t>
  </si>
  <si>
    <t>AUTOMOVILES DINAMICOS S DE  RL DE</t>
  </si>
  <si>
    <t>D  2,079</t>
  </si>
  <si>
    <t>0972-TCN15</t>
  </si>
  <si>
    <t>D  2,080</t>
  </si>
  <si>
    <t>0973-TCN15</t>
  </si>
  <si>
    <t>SAMURAI MOTORS S  DE  RL DE  CV</t>
  </si>
  <si>
    <t>0113-TCN16</t>
  </si>
  <si>
    <t>D  2,107</t>
  </si>
  <si>
    <t>0114-TCN16</t>
  </si>
  <si>
    <t>TOYOMOTORS SA  DE  CV</t>
  </si>
  <si>
    <t>D  2,111</t>
  </si>
  <si>
    <t>0116-TCN16</t>
  </si>
  <si>
    <t>AUTOMOVILES  VALLEJO S  DE  RL D E</t>
  </si>
  <si>
    <t>D  2,114</t>
  </si>
  <si>
    <t>0115-TCN16</t>
  </si>
  <si>
    <t>CALIDAD  DE CAMPECHES  DE  RL DE CV</t>
  </si>
  <si>
    <t>0117-TCN16</t>
  </si>
  <si>
    <t>MEGAMOTORS NIPPON S  DE  RL DE  CV</t>
  </si>
  <si>
    <t>0118-TCN16</t>
  </si>
  <si>
    <t>0119-TCN16</t>
  </si>
  <si>
    <t>AUTOMOTRIZ NIHON S.A  DE  CV.</t>
  </si>
  <si>
    <t>0101-TCN16</t>
  </si>
  <si>
    <t>0120-TCN16</t>
  </si>
  <si>
    <t>0121-TCN16</t>
  </si>
  <si>
    <t>D  2,261</t>
  </si>
  <si>
    <t>0974-TCN15</t>
  </si>
  <si>
    <t>0975-TCN15</t>
  </si>
  <si>
    <t>0128-TCN16</t>
  </si>
  <si>
    <t>0123-TCN16</t>
  </si>
  <si>
    <t>0126-TCN16</t>
  </si>
  <si>
    <t>0129-TCN16</t>
  </si>
  <si>
    <t>D  2,283</t>
  </si>
  <si>
    <t>0124-TCN16</t>
  </si>
  <si>
    <t>D  2,287</t>
  </si>
  <si>
    <t>0125-TCN16</t>
  </si>
  <si>
    <t>D  2,289</t>
  </si>
  <si>
    <t>0127-TCN16</t>
  </si>
  <si>
    <t>D  2,309</t>
  </si>
  <si>
    <t>0144-TCN16</t>
  </si>
  <si>
    <t>D  2,310</t>
  </si>
  <si>
    <t>0145-TCN16</t>
  </si>
  <si>
    <t>0146-TCN16</t>
  </si>
  <si>
    <t>D  2,417</t>
  </si>
  <si>
    <t>LJIMENEZ:CALIDAD DE  CAMPECHE  S  D</t>
  </si>
  <si>
    <t>0130-TCN16</t>
  </si>
  <si>
    <t>0131-TCN16</t>
  </si>
  <si>
    <t>0132-TCN16</t>
  </si>
  <si>
    <t>0133-TCN16</t>
  </si>
  <si>
    <t>0134-TCN16</t>
  </si>
  <si>
    <t>0135-TCN16</t>
  </si>
  <si>
    <t>0136-TCN16</t>
  </si>
  <si>
    <t>0137-TCN16</t>
  </si>
  <si>
    <t>F-1897613</t>
  </si>
  <si>
    <t>F-1891376</t>
  </si>
  <si>
    <t>0147-TCN16</t>
  </si>
  <si>
    <t>0148-TCN16</t>
  </si>
  <si>
    <t>AUTOMOTRIZ TOY  SA  DE  CV</t>
  </si>
  <si>
    <t>0149-TCN16</t>
  </si>
  <si>
    <t>VALOR FARRERA AUTOMOTRIZ S DE RL DE</t>
  </si>
  <si>
    <t>D  2,545</t>
  </si>
  <si>
    <t>D  2,558</t>
  </si>
  <si>
    <t>0981-TCN15</t>
  </si>
  <si>
    <t>D  2,580</t>
  </si>
  <si>
    <t>0150-TCN16</t>
  </si>
  <si>
    <t>LJIMENEZ:DURANGO  AUTOMOTORES  S  D</t>
  </si>
  <si>
    <t>D  2,582</t>
  </si>
  <si>
    <t>0151-TCN16</t>
  </si>
  <si>
    <t>0142-TCN16</t>
  </si>
  <si>
    <t>D  2,616</t>
  </si>
  <si>
    <t>0980-TCN15</t>
  </si>
  <si>
    <t>0138-TCN16</t>
  </si>
  <si>
    <t>D  2,626</t>
  </si>
  <si>
    <t>0139-TCN16</t>
  </si>
  <si>
    <t>D  2,627</t>
  </si>
  <si>
    <t>0976-TCN15</t>
  </si>
  <si>
    <t>0982-TCN15</t>
  </si>
  <si>
    <t>D  2,786</t>
  </si>
  <si>
    <t>COM BANCARIAS BANORTE OCT 2015</t>
  </si>
  <si>
    <t>D  2,788</t>
  </si>
  <si>
    <t>COM SNTDER</t>
  </si>
  <si>
    <t>COM BANCARIAS SANTANDER OCT 20</t>
  </si>
  <si>
    <t>COM BNMX</t>
  </si>
  <si>
    <t>COMISIONES BANCARIAS BNMX OCT</t>
  </si>
  <si>
    <t>D  2,792</t>
  </si>
  <si>
    <t>COM CHEQUE</t>
  </si>
  <si>
    <t>COMISION CHEQUE GIRADO SIN FON</t>
  </si>
  <si>
    <t>D  2,794</t>
  </si>
  <si>
    <t>LJIMENEZ:COMISIONES BANCARIAS BBVA</t>
  </si>
  <si>
    <t>R 2434</t>
  </si>
  <si>
    <t>D  2,839</t>
  </si>
  <si>
    <t>R 2346</t>
  </si>
  <si>
    <t>SILENCIADOR</t>
  </si>
  <si>
    <t>R 2427</t>
  </si>
  <si>
    <t>D  2,841</t>
  </si>
  <si>
    <t>S 1337</t>
  </si>
  <si>
    <t>SERVICIO DE GRUA</t>
  </si>
  <si>
    <t>S 1338</t>
  </si>
  <si>
    <t>D  2,843</t>
  </si>
  <si>
    <t>S 1344</t>
  </si>
  <si>
    <t>SERVICIO GRUA</t>
  </si>
  <si>
    <t>S 1345</t>
  </si>
  <si>
    <t>D  2,845</t>
  </si>
  <si>
    <t>S 1386</t>
  </si>
  <si>
    <t>S 1387</t>
  </si>
  <si>
    <t>D  2,847</t>
  </si>
  <si>
    <t>S 1410</t>
  </si>
  <si>
    <t>REPARACION DE RESPALDO</t>
  </si>
  <si>
    <t>S 1412</t>
  </si>
  <si>
    <t>D  2,849</t>
  </si>
  <si>
    <t>S 1419</t>
  </si>
  <si>
    <t>ALINEACION Y BALANCEO</t>
  </si>
  <si>
    <t>S 1420</t>
  </si>
  <si>
    <t>ALINEACION</t>
  </si>
  <si>
    <t>D  2,853</t>
  </si>
  <si>
    <t>S 1428</t>
  </si>
  <si>
    <t>D  2,862</t>
  </si>
  <si>
    <t>COMISIONES BANCARIAS AMEX OCT</t>
  </si>
  <si>
    <t>D  2,863</t>
  </si>
  <si>
    <t>CASGERSEP1</t>
  </si>
  <si>
    <t>PAGO GASTOS DE VIAJE</t>
  </si>
  <si>
    <t>VIATICOS VICTOR BENJAMIN</t>
  </si>
  <si>
    <t>P11899</t>
  </si>
  <si>
    <t>P11900</t>
  </si>
  <si>
    <t>FCO0310234W3</t>
  </si>
  <si>
    <t>P12040</t>
  </si>
  <si>
    <t>P12041</t>
  </si>
  <si>
    <t>P12042</t>
  </si>
  <si>
    <t>P12043</t>
  </si>
  <si>
    <t>D  2,876</t>
  </si>
  <si>
    <t>P12045</t>
  </si>
  <si>
    <t>P12047</t>
  </si>
  <si>
    <t>D  2,879</t>
  </si>
  <si>
    <t>P12048</t>
  </si>
  <si>
    <t>TRA060730EB4</t>
  </si>
  <si>
    <t>D  2,880</t>
  </si>
  <si>
    <t>P12049</t>
  </si>
  <si>
    <t>D  2,881</t>
  </si>
  <si>
    <t>P12050</t>
  </si>
  <si>
    <t>D  2,882</t>
  </si>
  <si>
    <t>P12051</t>
  </si>
  <si>
    <t>D  2,883</t>
  </si>
  <si>
    <t>P12052</t>
  </si>
  <si>
    <t>D  2,884</t>
  </si>
  <si>
    <t>P12053</t>
  </si>
  <si>
    <t>D  2,885</t>
  </si>
  <si>
    <t>P10259</t>
  </si>
  <si>
    <t>D  2,887</t>
  </si>
  <si>
    <t>P12060</t>
  </si>
  <si>
    <t>RIVS5712105N0</t>
  </si>
  <si>
    <t>D  2,888</t>
  </si>
  <si>
    <t>P12061</t>
  </si>
  <si>
    <t>D  2,889</t>
  </si>
  <si>
    <t>P12062</t>
  </si>
  <si>
    <t>D  2,890</t>
  </si>
  <si>
    <t>P12063</t>
  </si>
  <si>
    <t>D  2,894</t>
  </si>
  <si>
    <t>P12071</t>
  </si>
  <si>
    <t>TEX9302097F3</t>
  </si>
  <si>
    <t>P12072</t>
  </si>
  <si>
    <t>LRG140701LA4</t>
  </si>
  <si>
    <t>D  2,899</t>
  </si>
  <si>
    <t>P12076</t>
  </si>
  <si>
    <t>D  2,900</t>
  </si>
  <si>
    <t>P12077</t>
  </si>
  <si>
    <t>D  2,901</t>
  </si>
  <si>
    <t>P12078</t>
  </si>
  <si>
    <t>D  2,902</t>
  </si>
  <si>
    <t>P12079</t>
  </si>
  <si>
    <t>D  2,903</t>
  </si>
  <si>
    <t>P12080</t>
  </si>
  <si>
    <t>D  2,904</t>
  </si>
  <si>
    <t>P12081</t>
  </si>
  <si>
    <t>D  2,905</t>
  </si>
  <si>
    <t>P12082</t>
  </si>
  <si>
    <t>D  2,906</t>
  </si>
  <si>
    <t>P12083</t>
  </si>
  <si>
    <t>D  2,908</t>
  </si>
  <si>
    <t>P12087</t>
  </si>
  <si>
    <t>D  2,909</t>
  </si>
  <si>
    <t>P12088</t>
  </si>
  <si>
    <t>D  2,912</t>
  </si>
  <si>
    <t>P12091</t>
  </si>
  <si>
    <t>D  2,913</t>
  </si>
  <si>
    <t>P12092</t>
  </si>
  <si>
    <t>D  2,914</t>
  </si>
  <si>
    <t>P12093</t>
  </si>
  <si>
    <t>D  2,915</t>
  </si>
  <si>
    <t>P12094</t>
  </si>
  <si>
    <t>D  2,917</t>
  </si>
  <si>
    <t>P12096</t>
  </si>
  <si>
    <t>D  2,918</t>
  </si>
  <si>
    <t>P12097</t>
  </si>
  <si>
    <t>MOD041014KI3</t>
  </si>
  <si>
    <t>D  2,933</t>
  </si>
  <si>
    <t>P12098</t>
  </si>
  <si>
    <t>MBA010320999</t>
  </si>
  <si>
    <t>D  2,934</t>
  </si>
  <si>
    <t>P12099</t>
  </si>
  <si>
    <t>D  2,935</t>
  </si>
  <si>
    <t>P12100</t>
  </si>
  <si>
    <t>D  2,936</t>
  </si>
  <si>
    <t>P12101</t>
  </si>
  <si>
    <t>D  2,937</t>
  </si>
  <si>
    <t>P12102</t>
  </si>
  <si>
    <t>D  2,938</t>
  </si>
  <si>
    <t>P12103</t>
  </si>
  <si>
    <t>CVT020930BY9</t>
  </si>
  <si>
    <t>FNI970829JR9</t>
  </si>
  <si>
    <t>GGG110420163</t>
  </si>
  <si>
    <t>KAR130819RB3</t>
  </si>
  <si>
    <t>D  2,939</t>
  </si>
  <si>
    <t>P12104</t>
  </si>
  <si>
    <t>D  2,942</t>
  </si>
  <si>
    <t>P12118</t>
  </si>
  <si>
    <t>D  2,943</t>
  </si>
  <si>
    <t>P12119</t>
  </si>
  <si>
    <t>D  2,944</t>
  </si>
  <si>
    <t>P12120</t>
  </si>
  <si>
    <t>D  2,945</t>
  </si>
  <si>
    <t>P12136-7</t>
  </si>
  <si>
    <t>SVI970611D45</t>
  </si>
  <si>
    <t>D  2,946</t>
  </si>
  <si>
    <t>GTOS VTA</t>
  </si>
  <si>
    <t>GASTOS DE CAPACITACION</t>
  </si>
  <si>
    <t>D  2,947</t>
  </si>
  <si>
    <t>GTOS VTAS</t>
  </si>
  <si>
    <t>CAPACITACION PERSONAL</t>
  </si>
  <si>
    <t>D  2,948</t>
  </si>
  <si>
    <t>CAPACITACION DE PERSONAL</t>
  </si>
  <si>
    <t>D  2,949</t>
  </si>
  <si>
    <t>P12159-60</t>
  </si>
  <si>
    <t>FMN9905248R8</t>
  </si>
  <si>
    <t>D  2,950</t>
  </si>
  <si>
    <t>P12161-62</t>
  </si>
  <si>
    <t>GMU080307759</t>
  </si>
  <si>
    <t>KTA140206HZ2</t>
  </si>
  <si>
    <t>D  2,951</t>
  </si>
  <si>
    <t>P12163-64</t>
  </si>
  <si>
    <t>D  2,952</t>
  </si>
  <si>
    <t>P12165</t>
  </si>
  <si>
    <t>D  2,953</t>
  </si>
  <si>
    <t>P12166-67</t>
  </si>
  <si>
    <t>CME030219B64</t>
  </si>
  <si>
    <t>SMA950103GQA</t>
  </si>
  <si>
    <t>D  2,954</t>
  </si>
  <si>
    <t>P12169-69</t>
  </si>
  <si>
    <t>D  2,955</t>
  </si>
  <si>
    <t>P12170-71</t>
  </si>
  <si>
    <t>SSQ850927QD9</t>
  </si>
  <si>
    <t>D  2,956</t>
  </si>
  <si>
    <t>P12172</t>
  </si>
  <si>
    <t>SSG850927QD9</t>
  </si>
  <si>
    <t>D  2,957</t>
  </si>
  <si>
    <t>P1274-75</t>
  </si>
  <si>
    <t>RCO0708136F7</t>
  </si>
  <si>
    <t>SSG080722688</t>
  </si>
  <si>
    <t>D  2,958</t>
  </si>
  <si>
    <t>P12176-77</t>
  </si>
  <si>
    <t>AAN051220835</t>
  </si>
  <si>
    <t>GAN030926UU7</t>
  </si>
  <si>
    <t>GGA010307N18</t>
  </si>
  <si>
    <t>COSTO CAM</t>
  </si>
  <si>
    <t>INTERCAMBIO</t>
  </si>
  <si>
    <t>D  2,962</t>
  </si>
  <si>
    <t>P12199</t>
  </si>
  <si>
    <t>D  2,963</t>
  </si>
  <si>
    <t>P-12182</t>
  </si>
  <si>
    <t>CAMINOS Y PUENTES</t>
  </si>
  <si>
    <t>SCO960207NN1</t>
  </si>
  <si>
    <t>D  2,965</t>
  </si>
  <si>
    <t>P12200-01</t>
  </si>
  <si>
    <t>ESP0607109T9</t>
  </si>
  <si>
    <t>HMS920414EL9</t>
  </si>
  <si>
    <t>OHE011012I25</t>
  </si>
  <si>
    <t>D  2,966</t>
  </si>
  <si>
    <t>R2424</t>
  </si>
  <si>
    <t>DUMA580801KN15</t>
  </si>
  <si>
    <t>D  2,967</t>
  </si>
  <si>
    <t>P12203-4</t>
  </si>
  <si>
    <t>GOCM890908F33</t>
  </si>
  <si>
    <t>D  2,968</t>
  </si>
  <si>
    <t>P-121814</t>
  </si>
  <si>
    <t>SCT</t>
  </si>
  <si>
    <t>D  2,969</t>
  </si>
  <si>
    <t>P12205-6</t>
  </si>
  <si>
    <t>ANN051220835</t>
  </si>
  <si>
    <t>D  2,970</t>
  </si>
  <si>
    <t>p-12186</t>
  </si>
  <si>
    <t>GPR911122D69</t>
  </si>
  <si>
    <t>JIP661011PD5</t>
  </si>
  <si>
    <t>RED VIA CORTA</t>
  </si>
  <si>
    <t>SNA120201TS4</t>
  </si>
  <si>
    <t>D  2,972</t>
  </si>
  <si>
    <t>P1207-8</t>
  </si>
  <si>
    <t>CRS040428SL2</t>
  </si>
  <si>
    <t>JAR760503ND6</t>
  </si>
  <si>
    <t>D  2,973</t>
  </si>
  <si>
    <t>P 12188</t>
  </si>
  <si>
    <t>LJIMENEZ:ASC090914UPA</t>
  </si>
  <si>
    <t>LJIMENEZ:ASJ060127HM1</t>
  </si>
  <si>
    <t>LJIMENEZ:ESC100923SI2</t>
  </si>
  <si>
    <t>LJIMENEZ:MAGM85053165A</t>
  </si>
  <si>
    <t>LJIMENEZ:PCS071026A78</t>
  </si>
  <si>
    <t>LJIMENEZ:SCT</t>
  </si>
  <si>
    <t>LJIMENEZ:TSC070907QS5</t>
  </si>
  <si>
    <t>D  2,977</t>
  </si>
  <si>
    <t>P12219-20</t>
  </si>
  <si>
    <t>CAM061114VE5</t>
  </si>
  <si>
    <t>FNI970809JR9</t>
  </si>
  <si>
    <t>GAS021217GN8</t>
  </si>
  <si>
    <t>GSE01092169A</t>
  </si>
  <si>
    <t>D  2,978</t>
  </si>
  <si>
    <t>p-12194</t>
  </si>
  <si>
    <t>ARCO NORTE</t>
  </si>
  <si>
    <t>AUNETI</t>
  </si>
  <si>
    <t>AUTOBUSES DEL ORIENTE</t>
  </si>
  <si>
    <t>VAHF61120LE2</t>
  </si>
  <si>
    <t>D  2,979</t>
  </si>
  <si>
    <t>P12221-22</t>
  </si>
  <si>
    <t>D  2,981</t>
  </si>
  <si>
    <t>P-12196</t>
  </si>
  <si>
    <t>GTS TRASLADOS</t>
  </si>
  <si>
    <t>D  2,982</t>
  </si>
  <si>
    <t>P12223-4</t>
  </si>
  <si>
    <t>CME030219B54</t>
  </si>
  <si>
    <t>D  2,983</t>
  </si>
  <si>
    <t>P-12197</t>
  </si>
  <si>
    <t>BANOBRAS</t>
  </si>
  <si>
    <t>OMC100818GZ27</t>
  </si>
  <si>
    <t>D  2,986</t>
  </si>
  <si>
    <t>P-12209</t>
  </si>
  <si>
    <t>D  2,988</t>
  </si>
  <si>
    <t>P12226-7</t>
  </si>
  <si>
    <t>D  2,989</t>
  </si>
  <si>
    <t>P12228-9</t>
  </si>
  <si>
    <t>D  2,990</t>
  </si>
  <si>
    <t>P-12210</t>
  </si>
  <si>
    <t>D  2,991</t>
  </si>
  <si>
    <t>P12230-31</t>
  </si>
  <si>
    <t>SGF011025P25</t>
  </si>
  <si>
    <t>D  2,993</t>
  </si>
  <si>
    <t>P-12212</t>
  </si>
  <si>
    <t>ROCM620807M6A</t>
  </si>
  <si>
    <t>D  2,995</t>
  </si>
  <si>
    <t>P-12140</t>
  </si>
  <si>
    <t>LJIMENEZ:STA860405HI8</t>
  </si>
  <si>
    <t>D  2,996</t>
  </si>
  <si>
    <t>P-12141</t>
  </si>
  <si>
    <t>LJIMENEZ:VADG570615HU8</t>
  </si>
  <si>
    <t>D  2,997</t>
  </si>
  <si>
    <t>P-12142</t>
  </si>
  <si>
    <t>BRO12910HC1</t>
  </si>
  <si>
    <t>D  2,998</t>
  </si>
  <si>
    <t>P12233-4</t>
  </si>
  <si>
    <t>D  2,999</t>
  </si>
  <si>
    <t>P*12143</t>
  </si>
  <si>
    <t>D  3,000</t>
  </si>
  <si>
    <t>P-12144</t>
  </si>
  <si>
    <t>D  3,001</t>
  </si>
  <si>
    <t>12214-5</t>
  </si>
  <si>
    <t>D  3,003</t>
  </si>
  <si>
    <t>VB73433</t>
  </si>
  <si>
    <t>D  3,004</t>
  </si>
  <si>
    <t>P12216</t>
  </si>
  <si>
    <t>FIN970829JR9</t>
  </si>
  <si>
    <t>D  3,005</t>
  </si>
  <si>
    <t>D101048</t>
  </si>
  <si>
    <t>HDM00101AS1</t>
  </si>
  <si>
    <t>D  3,006</t>
  </si>
  <si>
    <t>P-12148</t>
  </si>
  <si>
    <t>PCQ1506025P9</t>
  </si>
  <si>
    <t>D  3,007</t>
  </si>
  <si>
    <t>P-12149</t>
  </si>
  <si>
    <t>D  3,008</t>
  </si>
  <si>
    <t>P12217-8</t>
  </si>
  <si>
    <t>D  3,009</t>
  </si>
  <si>
    <t>P-12150</t>
  </si>
  <si>
    <t>D  3,010</t>
  </si>
  <si>
    <t>P-12151</t>
  </si>
  <si>
    <t>D  3,011</t>
  </si>
  <si>
    <t>P-12152</t>
  </si>
  <si>
    <t>D  3,012</t>
  </si>
  <si>
    <t>P-12153</t>
  </si>
  <si>
    <t>D  3,013</t>
  </si>
  <si>
    <t>P-12154</t>
  </si>
  <si>
    <t>D  3,014</t>
  </si>
  <si>
    <t>P-12235</t>
  </si>
  <si>
    <t>D  3,015</t>
  </si>
  <si>
    <t>P-12236</t>
  </si>
  <si>
    <t>D  3,018</t>
  </si>
  <si>
    <t>P-12238</t>
  </si>
  <si>
    <t>D  3,021</t>
  </si>
  <si>
    <t>P12180-1</t>
  </si>
  <si>
    <t>D  3,022</t>
  </si>
  <si>
    <t>P12192-3</t>
  </si>
  <si>
    <t>D  3,023</t>
  </si>
  <si>
    <t>P11898</t>
  </si>
  <si>
    <t>DELL MEXICO</t>
  </si>
  <si>
    <t>D  3,051</t>
  </si>
  <si>
    <t>AJUS COMPR</t>
  </si>
  <si>
    <t>LJIMENEZ:AJUSTE COMPRAS OCTUBRE 201</t>
  </si>
  <si>
    <t>D  3,066</t>
  </si>
  <si>
    <t>RECLASIFIC</t>
  </si>
  <si>
    <t>LJIMENEZ:RECLASIFICACION DE SALDOS</t>
  </si>
  <si>
    <t>D  3,067</t>
  </si>
  <si>
    <t>VECTOR</t>
  </si>
  <si>
    <t>LJIMENEZ:COMIS VECTOR OCT 15</t>
  </si>
  <si>
    <t>CH-16573</t>
  </si>
  <si>
    <t>CH-16574</t>
  </si>
  <si>
    <t>CH-16575</t>
  </si>
  <si>
    <t>ch-16576</t>
  </si>
  <si>
    <t>CH-16579</t>
  </si>
  <si>
    <t>LJIMENEZ:JUNTA MUNICIPAL DE AGUA PO</t>
  </si>
  <si>
    <t>CH-16580</t>
  </si>
  <si>
    <t>LJIMENEZ:GARCIA OLIVOS MARIA TERESA</t>
  </si>
  <si>
    <t>CH-16581</t>
  </si>
  <si>
    <t>CH-16584</t>
  </si>
  <si>
    <t>CH-16587</t>
  </si>
  <si>
    <t>CH-16588</t>
  </si>
  <si>
    <t>LJIMENEZ:LUDIVINA JIMENEZ SUAREZ</t>
  </si>
  <si>
    <t>CH-16589</t>
  </si>
  <si>
    <t>CH-16590</t>
  </si>
  <si>
    <t>CH-16592</t>
  </si>
  <si>
    <t>CH-16593</t>
  </si>
  <si>
    <t>CH-16594</t>
  </si>
  <si>
    <t>CH-16599</t>
  </si>
  <si>
    <t>LJIMENEZ:TRABAJOS ESPECIALIZADOS DE</t>
  </si>
  <si>
    <t>CH-16601</t>
  </si>
  <si>
    <t>T-1580</t>
  </si>
  <si>
    <t>T-1582</t>
  </si>
  <si>
    <t>T-1583</t>
  </si>
  <si>
    <t>T-1584</t>
  </si>
  <si>
    <t>T-1585</t>
  </si>
  <si>
    <t>T-1586</t>
  </si>
  <si>
    <t>T-1587</t>
  </si>
  <si>
    <t>T-1456</t>
  </si>
  <si>
    <t>T-1588</t>
  </si>
  <si>
    <t>T-1589</t>
  </si>
  <si>
    <t>T-1590</t>
  </si>
  <si>
    <t>T-1591</t>
  </si>
  <si>
    <t>T-1592</t>
  </si>
  <si>
    <t>CH-16603</t>
  </si>
  <si>
    <t>CH-16609</t>
  </si>
  <si>
    <t>CH-16610</t>
  </si>
  <si>
    <t>CH-16613</t>
  </si>
  <si>
    <t>CH-16615</t>
  </si>
  <si>
    <t>CH-16622</t>
  </si>
  <si>
    <t>CH-16623</t>
  </si>
  <si>
    <t>CH-16624</t>
  </si>
  <si>
    <t>CH-16625</t>
  </si>
  <si>
    <t>CH-16626</t>
  </si>
  <si>
    <t>CH-16627</t>
  </si>
  <si>
    <t>CH-16629</t>
  </si>
  <si>
    <t>CH-16630</t>
  </si>
  <si>
    <t>CH-16631</t>
  </si>
  <si>
    <t>CH-16636</t>
  </si>
  <si>
    <t>CH-350</t>
  </si>
  <si>
    <t>CH-16637</t>
  </si>
  <si>
    <t>CH-16638</t>
  </si>
  <si>
    <t>CH-16643</t>
  </si>
  <si>
    <t>CH-16644</t>
  </si>
  <si>
    <t>CH-16647</t>
  </si>
  <si>
    <t>CH-16651</t>
  </si>
  <si>
    <t>CH-16655</t>
  </si>
  <si>
    <t>CH-16659</t>
  </si>
  <si>
    <t>FLORES SANDOVAL JUAN MANUEL</t>
  </si>
  <si>
    <t>CH-16662</t>
  </si>
  <si>
    <t>CH-16664</t>
  </si>
  <si>
    <t>HERNANDEZ MARTINEZ ALMA JANET</t>
  </si>
  <si>
    <t>CH-16665</t>
  </si>
  <si>
    <t>CH-16669</t>
  </si>
  <si>
    <t>CH-16667</t>
  </si>
  <si>
    <t>CH-16668</t>
  </si>
  <si>
    <t>CH-16675</t>
  </si>
  <si>
    <t>LJIMENEZ:FLORES OSORIO ABRAHAM</t>
  </si>
  <si>
    <t>CH-16680</t>
  </si>
  <si>
    <t>T-1461</t>
  </si>
  <si>
    <t>T-1593</t>
  </si>
  <si>
    <t>T-1594</t>
  </si>
  <si>
    <t>T-1595</t>
  </si>
  <si>
    <t>T-1597</t>
  </si>
  <si>
    <t>T-1598</t>
  </si>
  <si>
    <t>T-1599</t>
  </si>
  <si>
    <t>T-1600</t>
  </si>
  <si>
    <t>CH-16689</t>
  </si>
  <si>
    <t>LJIMENEZ:RAMIREZ ESPINOSA BERNARDO</t>
  </si>
  <si>
    <t>CH-16690</t>
  </si>
  <si>
    <t>LJIMENEZ:VICTOR BENJAMIN HERNANDEZ</t>
  </si>
  <si>
    <t>CH-16691</t>
  </si>
  <si>
    <t>CH-16621</t>
  </si>
  <si>
    <t>CH-16692</t>
  </si>
  <si>
    <t>CH-16693</t>
  </si>
  <si>
    <t>CH-16695</t>
  </si>
  <si>
    <t>CH-16697</t>
  </si>
  <si>
    <t>CH-16698</t>
  </si>
  <si>
    <t>CH-16700</t>
  </si>
  <si>
    <t>CH-16702</t>
  </si>
  <si>
    <t>CH-16703</t>
  </si>
  <si>
    <t>CH-16704</t>
  </si>
  <si>
    <t>T-1602</t>
  </si>
  <si>
    <t>ALCANTAR CHAVEZ LINO ZENON</t>
  </si>
  <si>
    <t>T-1604</t>
  </si>
  <si>
    <t>T-1605</t>
  </si>
  <si>
    <t>T-1606</t>
  </si>
  <si>
    <t>T-1607</t>
  </si>
  <si>
    <t>T-1608</t>
  </si>
  <si>
    <t>T-1609</t>
  </si>
  <si>
    <t>CH-16653</t>
  </si>
  <si>
    <t>LJIMENEZ:EDO DE CTA REFAC-NOV CH-16</t>
  </si>
  <si>
    <t>OCTUBRE</t>
  </si>
  <si>
    <t>ALA0210164S2</t>
  </si>
  <si>
    <t>ADI090924QN7</t>
  </si>
  <si>
    <t>SME950515NT2</t>
  </si>
  <si>
    <t>CARG700131GB0</t>
  </si>
  <si>
    <t>CAHR640205KH2</t>
  </si>
  <si>
    <t>ACE810901298</t>
  </si>
  <si>
    <t>COMBUSTIBLES DE ZAPOTLANEJO SA DE CV</t>
  </si>
  <si>
    <t>RESTAURANTE Y SERVICIOS TAPATIOS SA DE CV</t>
  </si>
  <si>
    <t>EIMM7910184A7</t>
  </si>
  <si>
    <t>FOMM891215JW8</t>
  </si>
  <si>
    <t>PNA1011036G2</t>
  </si>
  <si>
    <t>PROCESADOS NAPOLES S DE RL DE CV</t>
  </si>
  <si>
    <t>AUTOSERVCIO GASHR SA DE CV</t>
  </si>
  <si>
    <t>SVE920831DL7</t>
  </si>
  <si>
    <t>SHP090626RK9</t>
  </si>
  <si>
    <t>ADA131203HR8</t>
  </si>
  <si>
    <t>SERVICIO LA VENTA SA DE CV</t>
  </si>
  <si>
    <t>SERVICIO DE HOTELERIA PACHCA LUNA HOTELES SA DE CV</t>
  </si>
  <si>
    <t xml:space="preserve">ASADOS DON ABEL SA DE CV </t>
  </si>
  <si>
    <t>NPN100127RL0</t>
  </si>
  <si>
    <t>ROVL641120J80</t>
  </si>
  <si>
    <t>TIENDA SINDICAL DE CONSUMO SECCION X SAN FRACISCO SA DE CV</t>
  </si>
  <si>
    <t>SCI0804295X6</t>
  </si>
  <si>
    <t>SERVICIO EL CHINO SA DE CV</t>
  </si>
  <si>
    <t>SERVICIOS GASOLINEROS SAN CARLOS SA DE CV</t>
  </si>
  <si>
    <t>AUTOBUSES DE PRIMERA CLASE MEXICO ZACATEPEC SA DE CV</t>
  </si>
  <si>
    <t>GORE6401196X2</t>
  </si>
  <si>
    <t>EDUARDO GABRIEL GONZALEZ REYNOSO</t>
  </si>
  <si>
    <t>PETRO SAN JUAN SA DE CV</t>
  </si>
  <si>
    <t>GAS000818PH6</t>
  </si>
  <si>
    <t>GASOMER SA DE CV</t>
  </si>
  <si>
    <t>COMIDAS RAPIDAS DE SINALOA SA DE CV</t>
  </si>
  <si>
    <t>AUTOPISTA ARCO DEL NORTE SA DE CV</t>
  </si>
  <si>
    <t>AACL7909147D9</t>
  </si>
  <si>
    <t>AH RESTAURANTE SA DE CV</t>
  </si>
  <si>
    <t xml:space="preserve">AUTOBUSES DEL ORIENTE ADO SA </t>
  </si>
  <si>
    <t>AUTOMOTORES DE  LA LAGUNA S.A  DE C</t>
  </si>
  <si>
    <t>AUTOMOTRIZ TOY SA DE DE CV</t>
  </si>
  <si>
    <t>AUTOMOVILES VALLEJO S DE RL DE CV.</t>
  </si>
  <si>
    <t>BAJIO ROLL SA DE CV</t>
  </si>
  <si>
    <t xml:space="preserve">CCA050811488 </t>
  </si>
  <si>
    <t>CALIDAD DE CAMPECHE S DE R.L. DE C.</t>
  </si>
  <si>
    <t>CONCESIONARIA AUTOPISTA MONTERRET-SALTILLO SA DE CV</t>
  </si>
  <si>
    <t>CASTELLANO MANDUJANO RAUL</t>
  </si>
  <si>
    <t>CHAVEZ PEREZ NADYA YAZMIN</t>
  </si>
  <si>
    <t>CONCESIONARIA MEXIQUENSE SA DE CV</t>
  </si>
  <si>
    <t>COSTCO DE MEXICO</t>
  </si>
  <si>
    <t xml:space="preserve">COMIDAS RAPIDAS SINALOA </t>
  </si>
  <si>
    <t>CAFÉ SIRENA S DE RL DE CV</t>
  </si>
  <si>
    <t>CONCESIONARIA DE VIAS TRONCALES SA DE CV</t>
  </si>
  <si>
    <t>DALTON  AUTOMOTRIZ DE R.L. DE C.V.</t>
  </si>
  <si>
    <t>DME9204099R6</t>
  </si>
  <si>
    <t>DELL MEXICO SA DE CV</t>
  </si>
  <si>
    <t>DISTRIBUIDORA DE TORNILLOS Y BIRLOS SA DE CV</t>
  </si>
  <si>
    <t>ESTACION PALMA GORDA SA DECV</t>
  </si>
  <si>
    <t>ESTACION DE SERVICIO PEGASO SA DE CV</t>
  </si>
  <si>
    <t>LA FERRE COMERCIALIZADORA SA DE CV</t>
  </si>
  <si>
    <t>FOSJ750111LB3</t>
  </si>
  <si>
    <t>FERRETERIA MODELO DEL BAJIO SA DE CV</t>
  </si>
  <si>
    <t>TRAMO CARRETERO TOLUCA-ATLACOMULCO</t>
  </si>
  <si>
    <t>FONDO NACIONAL DE INFRAESTRUCTURA</t>
  </si>
  <si>
    <t>GRUPO AUTOPISTAS NACIONALES</t>
  </si>
  <si>
    <t>GASOCEN SA DE CV</t>
  </si>
  <si>
    <t>GARCIA TORRES FRANCISCA</t>
  </si>
  <si>
    <t>GRUPO GASTRONOMICO GLOTONERI SA DE CV</t>
  </si>
  <si>
    <t>GRUPO GASOLINERO REYNAR SA DE CV</t>
  </si>
  <si>
    <t>DIFERNCIA</t>
  </si>
  <si>
    <t>GASOLINERA MURCIA SA DE CV</t>
  </si>
  <si>
    <t>GOMEZ CUEVAS MONICA BERENICE</t>
  </si>
  <si>
    <t>GRUPO PROFREZAC SA  DE CV</t>
  </si>
  <si>
    <t>GASOLINERA SERVITEC SA DE CV</t>
  </si>
  <si>
    <t>HOME DEPOT DE MEXICO S DE RL DE CV</t>
  </si>
  <si>
    <t>HERNANDEZ GARCIA SERGIO</t>
  </si>
  <si>
    <t>HOTELES MOTELES Y SERVICIOS TURISTICOS SAN IGNANCIO SA DE CV</t>
  </si>
  <si>
    <t>IMPRESIONES LASSER BEAM S DE RL DE CV</t>
  </si>
  <si>
    <t>JARFE SA DE CV</t>
  </si>
  <si>
    <t>JIMENEZ PEREZ JORGE</t>
  </si>
  <si>
    <t>KORA ALIMENTOS RAPIDOS SA DE CV</t>
  </si>
  <si>
    <t>KOMPETENZ TU AUTO SIEMPRE NUEVO SA DE CV</t>
  </si>
  <si>
    <t>ALDEN QUERETARO, S. DE R.L. DE C.V.</t>
  </si>
  <si>
    <t>ASJ060127HM1</t>
  </si>
  <si>
    <t>AUTO SERVICIO JANO SA DE CV</t>
  </si>
  <si>
    <t>AUTO SERVICIO CARDENAS II SA  DE CV</t>
  </si>
  <si>
    <t>AUTOMOTRIZ TOY DEL SURESTE S DE R.L</t>
  </si>
  <si>
    <t>COMISION FEDERAL DE ELECTR</t>
  </si>
  <si>
    <t>BBVA830831LJ2</t>
  </si>
  <si>
    <t>ESC100923SI2</t>
  </si>
  <si>
    <t>ESTACION DE SERVICIO CHICHONAL SA DE CV</t>
  </si>
  <si>
    <t>IMPULSORA DE TRANSPORTES MEXICANOS SA DE CV</t>
  </si>
  <si>
    <t>MAGM85053165A</t>
  </si>
  <si>
    <t>MARTINEZ GOMEZ MISAEL</t>
  </si>
  <si>
    <t>OZ AUTOMOTRIZ DE COLIMA S. DE R.L. DE C.V.</t>
  </si>
  <si>
    <t>SERVICIO AUDITORIO SA DE C</t>
  </si>
  <si>
    <t>STA860405HI8</t>
  </si>
  <si>
    <t>SURTIDORA DEL TAPICERO SA DE CV</t>
  </si>
  <si>
    <t>TOYOTA MOTOR SALES S DE RL DE CV</t>
  </si>
  <si>
    <t>TIENDA SINDICAL DE CONSUMO SECCION X SAN FRANCISCO SA DECV</t>
  </si>
  <si>
    <t>VALLE DAMIAN GLORIA</t>
  </si>
  <si>
    <t>LOPEZ NETRETE ALEJANDRO</t>
  </si>
  <si>
    <t>LGC RESTAURANT GROUP SA DE CV</t>
  </si>
  <si>
    <t>MAVIC DEL BAJIO SA DE CV</t>
  </si>
  <si>
    <t xml:space="preserve">MENDEZ REYNA LUIS ARMANDO </t>
  </si>
  <si>
    <t>MODATELAS SAPI DE CV</t>
  </si>
  <si>
    <t>MULTISERVICIO SAN ROBERTO SA DECV</t>
  </si>
  <si>
    <t>MEXICANA DE TECNICOS EN AUTOPISTAS SA DE CV</t>
  </si>
  <si>
    <t>NUEVA WAL MART DE MEXICO S DE RL DE CV</t>
  </si>
  <si>
    <t>OPERADORA DE ESTACIONAMIENTOS MEXICANOS SA DE CV</t>
  </si>
  <si>
    <t>OPERADORA DE GASOLINERIAS DEL SURESTE SA DE CV</t>
  </si>
  <si>
    <t>OPERADORA LA HERRADURA SA DE CV</t>
  </si>
  <si>
    <t>OPERADORA DE SERVICIOS PETROLIFEROS SA DE CV</t>
  </si>
  <si>
    <t>PINTURAS COMEX DE QUERETARO SA DE CV</t>
  </si>
  <si>
    <t>PREMIUN RESTAURANT BRANDS S DE RL DE CV</t>
  </si>
  <si>
    <t>RIOS VOLANTE SONIA</t>
  </si>
  <si>
    <t>RODRIGUEZ ARELLANO ALEJANDRO DIEGO</t>
  </si>
  <si>
    <t>ROCHA CALDERON MA MERCEDES</t>
  </si>
  <si>
    <t>SERVICIO CORONA SA DE CV</t>
  </si>
  <si>
    <t>SISTEMAS Y FILTROS PARA AGUA SA DE CV</t>
  </si>
  <si>
    <t>SERVICIO NATILLAS SA DE CV</t>
  </si>
  <si>
    <t>SOTO ANGELES CARLOS ARMANDO</t>
  </si>
  <si>
    <t>SOLUGAS SOLUCIONES EN GASOLINERAS SA DE CV</t>
  </si>
  <si>
    <t>SUPER SERVICIO GRAN PREMIO</t>
  </si>
  <si>
    <t>SERVICIO VILLAS SA DE CV</t>
  </si>
  <si>
    <t>TIENDAS EXTRA SA DE CV</t>
  </si>
  <si>
    <t>TMO050928IX4</t>
  </si>
  <si>
    <t>TOY  MORELOS S  DE R.L. DE CV</t>
  </si>
  <si>
    <t>TOYOMOTORS DE  POLANCO SRL DE CV</t>
  </si>
  <si>
    <t>VASQUEZ HERNANDEZ FELIZ</t>
  </si>
  <si>
    <t>AUT040825SV4</t>
  </si>
  <si>
    <t>WURTH MEXICO SA DE CV</t>
  </si>
  <si>
    <t>D     36</t>
  </si>
  <si>
    <t>0140-TCN16</t>
  </si>
  <si>
    <t>D     38</t>
  </si>
  <si>
    <t>0141-TCN16</t>
  </si>
  <si>
    <t>D     49</t>
  </si>
  <si>
    <t>0152-TCN16</t>
  </si>
  <si>
    <t>D     66</t>
  </si>
  <si>
    <t>0979-TCN15</t>
  </si>
  <si>
    <t>D     67</t>
  </si>
  <si>
    <t>0977-TCN15</t>
  </si>
  <si>
    <t>D     70</t>
  </si>
  <si>
    <t>0978-TCN15</t>
  </si>
  <si>
    <t>D     92</t>
  </si>
  <si>
    <t>0153-TCN16</t>
  </si>
  <si>
    <t>D    101</t>
  </si>
  <si>
    <t>0154-TCN16</t>
  </si>
  <si>
    <t>ALDEN  QUERETARO   S  DE  RL DE  CV</t>
  </si>
  <si>
    <t>0155-TCN16</t>
  </si>
  <si>
    <t>FAME  PERISUR  S  DE  RL DE  CV</t>
  </si>
  <si>
    <t>D    216</t>
  </si>
  <si>
    <t>0156-TCN16</t>
  </si>
  <si>
    <t>0157-TCN16</t>
  </si>
  <si>
    <t>D    328</t>
  </si>
  <si>
    <t>0158-TCN16</t>
  </si>
  <si>
    <t>CEVER   TOLUCA  S  DE  RL DE  CV</t>
  </si>
  <si>
    <t>D    338</t>
  </si>
  <si>
    <t>0159-TCN16</t>
  </si>
  <si>
    <t>GRUPO PENNINSULA  MOTORS S  DE  RL</t>
  </si>
  <si>
    <t>D    339</t>
  </si>
  <si>
    <t>0160-TCN16</t>
  </si>
  <si>
    <t>FAME  PERISUR S DE  RL DE  CV</t>
  </si>
  <si>
    <t>0161-TCN16</t>
  </si>
  <si>
    <t>UNITED AUTO DE  AGUASCALIENTES</t>
  </si>
  <si>
    <t>D    345</t>
  </si>
  <si>
    <t>0162-TCN16</t>
  </si>
  <si>
    <t>D    426</t>
  </si>
  <si>
    <t>0163-TCN16</t>
  </si>
  <si>
    <t>D    427</t>
  </si>
  <si>
    <t>0164-TCN16</t>
  </si>
  <si>
    <t>D    490</t>
  </si>
  <si>
    <t>0166-TCN16</t>
  </si>
  <si>
    <t>D    502</t>
  </si>
  <si>
    <t>0984-TCN15</t>
  </si>
  <si>
    <t>D    549</t>
  </si>
  <si>
    <t>0985-TCN15</t>
  </si>
  <si>
    <t>0986-TCN15</t>
  </si>
  <si>
    <t>D    605</t>
  </si>
  <si>
    <t>D    628</t>
  </si>
  <si>
    <t>D    636</t>
  </si>
  <si>
    <t>0167-TCN16</t>
  </si>
  <si>
    <t>D    643</t>
  </si>
  <si>
    <t>0168-TCN16</t>
  </si>
  <si>
    <t>DALTON AUTOMOTRIZ  S  DE RL DE  CV</t>
  </si>
  <si>
    <t>0169-TCN16</t>
  </si>
  <si>
    <t>TOYOMOTORS DE POLANCO S  DE  RL DE</t>
  </si>
  <si>
    <t>D    759</t>
  </si>
  <si>
    <t>0170-TCN16</t>
  </si>
  <si>
    <t>0987-TCN15</t>
  </si>
  <si>
    <t>LJIMENEZ:OZ  AUTOMOTRIZ S  DE  RL D</t>
  </si>
  <si>
    <t>D    827</t>
  </si>
  <si>
    <t>0988-TCN15</t>
  </si>
  <si>
    <t>D    847</t>
  </si>
  <si>
    <t>0171-TCN16</t>
  </si>
  <si>
    <t>D    849</t>
  </si>
  <si>
    <t>0172-TCN16</t>
  </si>
  <si>
    <t>D    855</t>
  </si>
  <si>
    <t>0182-TCN16</t>
  </si>
  <si>
    <t>D    856</t>
  </si>
  <si>
    <t>D    862</t>
  </si>
  <si>
    <t>0173-TCN16</t>
  </si>
  <si>
    <t>D    863</t>
  </si>
  <si>
    <t>0174-TCN16</t>
  </si>
  <si>
    <t>D    864</t>
  </si>
  <si>
    <t>0175-TCN16</t>
  </si>
  <si>
    <t>D    865</t>
  </si>
  <si>
    <t>0176-TCN16</t>
  </si>
  <si>
    <t>D    866</t>
  </si>
  <si>
    <t>0177-TCN16</t>
  </si>
  <si>
    <t>0178-TCN16</t>
  </si>
  <si>
    <t>D    869</t>
  </si>
  <si>
    <t>0179-TCN16</t>
  </si>
  <si>
    <t>D    870</t>
  </si>
  <si>
    <t>0180-TCN16</t>
  </si>
  <si>
    <t>0989-TCN15</t>
  </si>
  <si>
    <t>LJIMENEZ:MEGAMOTORS NIPPON S  DE RL</t>
  </si>
  <si>
    <t>0183-TCN16</t>
  </si>
  <si>
    <t>D    920</t>
  </si>
  <si>
    <t>0990-TCN15</t>
  </si>
  <si>
    <t>DALTON  AUTOMOTRIZ S  DE  RL DE CV</t>
  </si>
  <si>
    <t>D    975</t>
  </si>
  <si>
    <t>0184-TCN16</t>
  </si>
  <si>
    <t>ALDEN SATELITE  S  DE  RL DE  C.V.</t>
  </si>
  <si>
    <t>D  1,048</t>
  </si>
  <si>
    <t>0185-TCN16</t>
  </si>
  <si>
    <t>D  1,057</t>
  </si>
  <si>
    <t>0186-TCN16</t>
  </si>
  <si>
    <t>0992-TCN15</t>
  </si>
  <si>
    <t>D  1,090</t>
  </si>
  <si>
    <t>0188-TCN16</t>
  </si>
  <si>
    <t>D  1,129</t>
  </si>
  <si>
    <t>DALTON  AUTOMOTRIZ S  DE RL DE  CV</t>
  </si>
  <si>
    <t>D  1,178</t>
  </si>
  <si>
    <t>0189-TCN16</t>
  </si>
  <si>
    <t>D  1,182</t>
  </si>
  <si>
    <t>0190-TCN16</t>
  </si>
  <si>
    <t>ALECSA PACHUCA  S  DE  RL DE CV</t>
  </si>
  <si>
    <t>D  1,194</t>
  </si>
  <si>
    <t>0191-TCN16</t>
  </si>
  <si>
    <t>CCD, AUTOSALES  PUERTO  VALLARTA</t>
  </si>
  <si>
    <t>D  1,202</t>
  </si>
  <si>
    <t>0192-TCN16</t>
  </si>
  <si>
    <t>D  1,203</t>
  </si>
  <si>
    <t>0193-TCN16</t>
  </si>
  <si>
    <t>0194-TCN16</t>
  </si>
  <si>
    <t>D  1,299</t>
  </si>
  <si>
    <t>0993-TCN15</t>
  </si>
  <si>
    <t>0195-TCN16</t>
  </si>
  <si>
    <t>ALECSA  PACHUCA   S  DE  RL DE  CV</t>
  </si>
  <si>
    <t>D  1,443</t>
  </si>
  <si>
    <t>0196-TCN16</t>
  </si>
  <si>
    <t>UNITED AUTO DE  AGUASCALIENTES S  D</t>
  </si>
  <si>
    <t>D  1,448</t>
  </si>
  <si>
    <t>0994-TCN15</t>
  </si>
  <si>
    <t>LJIMENEZ:SAMURAI MOTORS  S  DE  RL</t>
  </si>
  <si>
    <t>0995-TCN15</t>
  </si>
  <si>
    <t>0197-TCN16</t>
  </si>
  <si>
    <t>D  1,535</t>
  </si>
  <si>
    <t>OZ AUTOMOTRIZ  COLIMA S  DE  RL DE</t>
  </si>
  <si>
    <t>0198-TCN16</t>
  </si>
  <si>
    <t>D  1,649</t>
  </si>
  <si>
    <t>0199-TCN16</t>
  </si>
  <si>
    <t>D  1,674</t>
  </si>
  <si>
    <t>0996-TCN15</t>
  </si>
  <si>
    <t>D  1,680</t>
  </si>
  <si>
    <t>0200-TCN16</t>
  </si>
  <si>
    <t>D  1,689</t>
  </si>
  <si>
    <t>0201-TCN16</t>
  </si>
  <si>
    <t>PURDY  MOTOR MEXICO D.F. DE  RL DE</t>
  </si>
  <si>
    <t>0202-TCN16</t>
  </si>
  <si>
    <t>0203-TCN16</t>
  </si>
  <si>
    <t>0204-TCN16</t>
  </si>
  <si>
    <t>D  1,795</t>
  </si>
  <si>
    <t>0997-TCN15</t>
  </si>
  <si>
    <t>D  1,796</t>
  </si>
  <si>
    <t>0998-TCN15</t>
  </si>
  <si>
    <t>0999-TCN15</t>
  </si>
  <si>
    <t>1000-TCN15</t>
  </si>
  <si>
    <t>1001-TCN15</t>
  </si>
  <si>
    <t>D  1,804</t>
  </si>
  <si>
    <t>0206-TCN16</t>
  </si>
  <si>
    <t>D  1,805</t>
  </si>
  <si>
    <t>0207-TCN16</t>
  </si>
  <si>
    <t>D  1,807</t>
  </si>
  <si>
    <t>0205-TCN16</t>
  </si>
  <si>
    <t>0208-TCN16</t>
  </si>
  <si>
    <t>D  1,836</t>
  </si>
  <si>
    <t>0209-TCN16</t>
  </si>
  <si>
    <t>GRUPO PENNINSULA MOTORS S DE  RL DE</t>
  </si>
  <si>
    <t>1002-TCN15</t>
  </si>
  <si>
    <t>0210-TCN16</t>
  </si>
  <si>
    <t>AUTOMOVILES DINAMICOS  S DE  RL DE</t>
  </si>
  <si>
    <t>1003-TCN15</t>
  </si>
  <si>
    <t>AUTOMOTRIZ TOY S.A  DE  CV</t>
  </si>
  <si>
    <t>D  2,095</t>
  </si>
  <si>
    <t>0211-TCN16</t>
  </si>
  <si>
    <t>0212-TCN16</t>
  </si>
  <si>
    <t>UNITED AUTO ZACATECAS S DE  RL DE</t>
  </si>
  <si>
    <t>D  2,108</t>
  </si>
  <si>
    <t>0213-TCN16</t>
  </si>
  <si>
    <t>0214-TCN16</t>
  </si>
  <si>
    <t>0215-TCN16</t>
  </si>
  <si>
    <t>0216-TCN16</t>
  </si>
  <si>
    <t>0217-TCN16</t>
  </si>
  <si>
    <t>0218-TCN16</t>
  </si>
  <si>
    <t>0219-TCN16</t>
  </si>
  <si>
    <t>ALECSA  PACHUCA S  DE  RL DE  CV</t>
  </si>
  <si>
    <t>0220-TCN16</t>
  </si>
  <si>
    <t>D  2,300</t>
  </si>
  <si>
    <t>0221-TCN16</t>
  </si>
  <si>
    <t>AUTOMOTRIZ TOY  S  DE RL DE CV</t>
  </si>
  <si>
    <t>0222-TCN16</t>
  </si>
  <si>
    <t>D  2,322</t>
  </si>
  <si>
    <t>0223-TCN16</t>
  </si>
  <si>
    <t>0224-TCN16</t>
  </si>
  <si>
    <t>TOYOMOTORS  DE  IRAPUATO S  DE RL D</t>
  </si>
  <si>
    <t>1004-TCN15</t>
  </si>
  <si>
    <t>LJIMENEZ:OZ AUTOMOTRIZ S DE  RL DE</t>
  </si>
  <si>
    <t>0226-TCN16</t>
  </si>
  <si>
    <t>AUTOMOTRIZ NIHONN S  DE  RL DE  CV</t>
  </si>
  <si>
    <t>LJIMENEZ:SAMURAI MOTORS S  DE  RL D</t>
  </si>
  <si>
    <t>0227-TCN16</t>
  </si>
  <si>
    <t>AUTOMOTORES DE  LA  LAGUNA S DE RL</t>
  </si>
  <si>
    <t>0228-TCN16</t>
  </si>
  <si>
    <t>0229-TCN16</t>
  </si>
  <si>
    <t>0230-TCN16</t>
  </si>
  <si>
    <t>AUTOMOTRIZ TOY SA. DE CV</t>
  </si>
  <si>
    <t>GTS VTAS</t>
  </si>
  <si>
    <t>GTS POSVENTA</t>
  </si>
  <si>
    <t>LJIMENEZ:GTOS CAPACITACION</t>
  </si>
  <si>
    <t>COMIS BCO</t>
  </si>
  <si>
    <t>LJIMENEZ:COMISIONES BANCARIAS NOV B</t>
  </si>
  <si>
    <t>D  2,560</t>
  </si>
  <si>
    <t>CAPACITACI</t>
  </si>
  <si>
    <t>GASTOS CAPACITACION</t>
  </si>
  <si>
    <t>D  2,578</t>
  </si>
  <si>
    <t>P12404</t>
  </si>
  <si>
    <t>D  2,579</t>
  </si>
  <si>
    <t>P12405</t>
  </si>
  <si>
    <t>P12406</t>
  </si>
  <si>
    <t>P12407-08</t>
  </si>
  <si>
    <t>LJIMENEZ:ASC1104193JA</t>
  </si>
  <si>
    <t>LJIMENEZ:CMO941101BL9</t>
  </si>
  <si>
    <t>LJIMENEZ:FNI970829JR9</t>
  </si>
  <si>
    <t>p12409-10</t>
  </si>
  <si>
    <t>P12411-12</t>
  </si>
  <si>
    <t>LJIMENEZ:HEGG731231SL0</t>
  </si>
  <si>
    <t>LJIMENEZ:ICO110607HR9</t>
  </si>
  <si>
    <t>D  2,584</t>
  </si>
  <si>
    <t>P12415-6</t>
  </si>
  <si>
    <t>GLO780711IZ5</t>
  </si>
  <si>
    <t>D  2,586</t>
  </si>
  <si>
    <t>P12418</t>
  </si>
  <si>
    <t>P12420</t>
  </si>
  <si>
    <t>HUNH600101MX7</t>
  </si>
  <si>
    <t>D  2,588</t>
  </si>
  <si>
    <t>P12421-22</t>
  </si>
  <si>
    <t>P12423-24</t>
  </si>
  <si>
    <t>D  2,590</t>
  </si>
  <si>
    <t>P12425</t>
  </si>
  <si>
    <t>LJIMENEZ:SRE1309034W9</t>
  </si>
  <si>
    <t>p12426</t>
  </si>
  <si>
    <t>P1247</t>
  </si>
  <si>
    <t>P12428</t>
  </si>
  <si>
    <t>P12432-33</t>
  </si>
  <si>
    <t>AAEO471120CM9</t>
  </si>
  <si>
    <t>GEC950401659</t>
  </si>
  <si>
    <t>OMC070710N64</t>
  </si>
  <si>
    <t>SUT901218PD5</t>
  </si>
  <si>
    <t>P12434-35</t>
  </si>
  <si>
    <t>LJIMENEZ:AMS050630CN3</t>
  </si>
  <si>
    <t>LJIMENEZ:FAMV840928U15</t>
  </si>
  <si>
    <t>LJIMENEZ:GOC9303301F4</t>
  </si>
  <si>
    <t>P12436-37</t>
  </si>
  <si>
    <t>P12440-41</t>
  </si>
  <si>
    <t>AAN051202835</t>
  </si>
  <si>
    <t>VAJF710919CCI</t>
  </si>
  <si>
    <t>P12442-43</t>
  </si>
  <si>
    <t>D  2,601</t>
  </si>
  <si>
    <t>P12446</t>
  </si>
  <si>
    <t>D  2,602</t>
  </si>
  <si>
    <t>P12447</t>
  </si>
  <si>
    <t>SEZ110616EB7</t>
  </si>
  <si>
    <t>P12448</t>
  </si>
  <si>
    <t>JARG460130J47</t>
  </si>
  <si>
    <t>P12449</t>
  </si>
  <si>
    <t>FAMV840928U15</t>
  </si>
  <si>
    <t>P12450</t>
  </si>
  <si>
    <t>D  2,606</t>
  </si>
  <si>
    <t>P12452</t>
  </si>
  <si>
    <t>D  2,608</t>
  </si>
  <si>
    <t>P12454</t>
  </si>
  <si>
    <t>P12455</t>
  </si>
  <si>
    <t>P12457</t>
  </si>
  <si>
    <t>P12458</t>
  </si>
  <si>
    <t>D  2,614</t>
  </si>
  <si>
    <t>P12460</t>
  </si>
  <si>
    <t>P12461</t>
  </si>
  <si>
    <t>P12462.</t>
  </si>
  <si>
    <t>P12463</t>
  </si>
  <si>
    <t>p12465</t>
  </si>
  <si>
    <t>D  2,620</t>
  </si>
  <si>
    <t>P12466</t>
  </si>
  <si>
    <t>D  2,621</t>
  </si>
  <si>
    <t>P12467</t>
  </si>
  <si>
    <t>P12468</t>
  </si>
  <si>
    <t>P12480-81</t>
  </si>
  <si>
    <t>LJIMENEZ:AAN051220835</t>
  </si>
  <si>
    <t>LJIMENEZ:BAMG670625U1A</t>
  </si>
  <si>
    <t>LJIMENEZ:CAPN820703SY9</t>
  </si>
  <si>
    <t>LJIMENEZ:GEC950401659</t>
  </si>
  <si>
    <t>LJIMENEZ:HULA420421TQ8</t>
  </si>
  <si>
    <t>LJIMENEZ:OMC070710N64</t>
  </si>
  <si>
    <t>LJIMENEZ:PIG780309840</t>
  </si>
  <si>
    <t>P12482-83</t>
  </si>
  <si>
    <t>P12484</t>
  </si>
  <si>
    <t>P12485-86</t>
  </si>
  <si>
    <t>LJIMENEZ:AAG921219GY9</t>
  </si>
  <si>
    <t>LJIMENEZ:AEF9205296D0</t>
  </si>
  <si>
    <t>LJIMENEZ:GPR911122D69</t>
  </si>
  <si>
    <t>LJIMENEZ:HEGS6204255W7</t>
  </si>
  <si>
    <t>LJIMENEZ:RCO0708136F7</t>
  </si>
  <si>
    <t>LJIMENEZ:SCI0804295X6</t>
  </si>
  <si>
    <t>LJIMENEZ:SGM950714DC2</t>
  </si>
  <si>
    <t>LJIMENEZ:SUPR42110978A</t>
  </si>
  <si>
    <t>P12487-88</t>
  </si>
  <si>
    <t>IBD1003181I5</t>
  </si>
  <si>
    <t>P12489-90</t>
  </si>
  <si>
    <t>P12491-92</t>
  </si>
  <si>
    <t>P12501</t>
  </si>
  <si>
    <t>P12502</t>
  </si>
  <si>
    <t>P12503</t>
  </si>
  <si>
    <t>D  2,648</t>
  </si>
  <si>
    <t>P12513</t>
  </si>
  <si>
    <t>P12514</t>
  </si>
  <si>
    <t>ACQ980113CL5</t>
  </si>
  <si>
    <t>D  2,650</t>
  </si>
  <si>
    <t>P12515</t>
  </si>
  <si>
    <t>P12519</t>
  </si>
  <si>
    <t>P12521</t>
  </si>
  <si>
    <t>D  2,655</t>
  </si>
  <si>
    <t>P12524</t>
  </si>
  <si>
    <t>P12525</t>
  </si>
  <si>
    <t>D  2,657</t>
  </si>
  <si>
    <t>P12526</t>
  </si>
  <si>
    <t>LJIMENEZ:TRA060703EB4</t>
  </si>
  <si>
    <t>P12528</t>
  </si>
  <si>
    <t>D  2,660</t>
  </si>
  <si>
    <t>S1447</t>
  </si>
  <si>
    <t>S1457</t>
  </si>
  <si>
    <t>S1396</t>
  </si>
  <si>
    <t>D  2,663</t>
  </si>
  <si>
    <t>S1398</t>
  </si>
  <si>
    <t>D  2,664</t>
  </si>
  <si>
    <t>S1394</t>
  </si>
  <si>
    <t>P12531</t>
  </si>
  <si>
    <t>D  2,666</t>
  </si>
  <si>
    <t>D  2,668</t>
  </si>
  <si>
    <t>p12595-96</t>
  </si>
  <si>
    <t>IIN970122K30</t>
  </si>
  <si>
    <t>ISL070720EK3</t>
  </si>
  <si>
    <t>MAMJ4710133A7</t>
  </si>
  <si>
    <t>MTA900528FIA</t>
  </si>
  <si>
    <t>TCE980331LKA</t>
  </si>
  <si>
    <t>P12597</t>
  </si>
  <si>
    <t>GPA020506HP0</t>
  </si>
  <si>
    <t>P12598-9</t>
  </si>
  <si>
    <t>P12600-701</t>
  </si>
  <si>
    <t>LJIMENEZ:AGA0006136F1</t>
  </si>
  <si>
    <t>LJIMENEZ:CAG110830A23</t>
  </si>
  <si>
    <t>LJIMENEZ:CFO020815IV7</t>
  </si>
  <si>
    <t>LJIMENEZ:SJU010405FU0</t>
  </si>
  <si>
    <t>S1480</t>
  </si>
  <si>
    <t>CARJ691124244</t>
  </si>
  <si>
    <t>P12704</t>
  </si>
  <si>
    <t>FNI970829JR6</t>
  </si>
  <si>
    <t>D  2,674</t>
  </si>
  <si>
    <t>P12706-7</t>
  </si>
  <si>
    <t>AJUSTE COMPRAS NOVIEMBRE 2015</t>
  </si>
  <si>
    <t>LJIMENEZ:EMBARQUE 228</t>
  </si>
  <si>
    <t>LJIMENEZ:AJUSTE POR DIF EN COSTO</t>
  </si>
  <si>
    <t>LJIMENEZ:AJUSTE EN COSTO</t>
  </si>
  <si>
    <t>0152-tcn16</t>
  </si>
  <si>
    <t>LJIMENEZ:AJUSTE EN COSTO DE UNIDAD</t>
  </si>
  <si>
    <t>CH-16712</t>
  </si>
  <si>
    <t>CH-16713</t>
  </si>
  <si>
    <t>CH-16715</t>
  </si>
  <si>
    <t>ENLACE TPE SA DE CV</t>
  </si>
  <si>
    <t>CH-16716</t>
  </si>
  <si>
    <t>LJIMENEZ:ROMERO CASTAÑEDA PATRICIA</t>
  </si>
  <si>
    <t>CH-16717</t>
  </si>
  <si>
    <t>CH-16718</t>
  </si>
  <si>
    <t>CARSALES MEXICO SAPI DE CV</t>
  </si>
  <si>
    <t>CH-16719</t>
  </si>
  <si>
    <t>LJIMENEZ:BAUMBERGER DETRAZ PEDRO</t>
  </si>
  <si>
    <t>CH-16721</t>
  </si>
  <si>
    <t>SILVA RAMOS GILDARDO</t>
  </si>
  <si>
    <t>CH-16724</t>
  </si>
  <si>
    <t>CH-16725</t>
  </si>
  <si>
    <t>CH-16726</t>
  </si>
  <si>
    <t>CH-16728</t>
  </si>
  <si>
    <t>CH-16729</t>
  </si>
  <si>
    <t>HERRERA CORNEJO JOAQUIN CARLOS</t>
  </si>
  <si>
    <t>CH-16731</t>
  </si>
  <si>
    <t>CH-16733</t>
  </si>
  <si>
    <t>CH-16735</t>
  </si>
  <si>
    <t>CH-16736</t>
  </si>
  <si>
    <t>CH-16738</t>
  </si>
  <si>
    <t>T-1610</t>
  </si>
  <si>
    <t>T-1611</t>
  </si>
  <si>
    <t>T-1612</t>
  </si>
  <si>
    <t>T-1613</t>
  </si>
  <si>
    <t>T-1614</t>
  </si>
  <si>
    <t>T-1615</t>
  </si>
  <si>
    <t>T-1616</t>
  </si>
  <si>
    <t>T-1617</t>
  </si>
  <si>
    <t>T-1618</t>
  </si>
  <si>
    <t>T-1619</t>
  </si>
  <si>
    <t>T-1620</t>
  </si>
  <si>
    <t>T-1621</t>
  </si>
  <si>
    <t>T-1622</t>
  </si>
  <si>
    <t>T-1623</t>
  </si>
  <si>
    <t>T-1624</t>
  </si>
  <si>
    <t>CH-16739</t>
  </si>
  <si>
    <t>CH-16742</t>
  </si>
  <si>
    <t>CH-16745</t>
  </si>
  <si>
    <t>CH-16746</t>
  </si>
  <si>
    <t>T-1626</t>
  </si>
  <si>
    <t>T-1627</t>
  </si>
  <si>
    <t>GARCIA AGUILAR JORGE DE JESUS</t>
  </si>
  <si>
    <t>T-1628</t>
  </si>
  <si>
    <t>T-1629</t>
  </si>
  <si>
    <t>CH-16752</t>
  </si>
  <si>
    <t>CH-16753</t>
  </si>
  <si>
    <t>CH-16754</t>
  </si>
  <si>
    <t>CH-16755</t>
  </si>
  <si>
    <t>SERVICIOS ESPECIALIZADOS DE PERSONA</t>
  </si>
  <si>
    <t>CH-16756</t>
  </si>
  <si>
    <t>CH-16757</t>
  </si>
  <si>
    <t>CH-16760</t>
  </si>
  <si>
    <t>CH-16767</t>
  </si>
  <si>
    <t>NETWORK INFORMATION CENTER MEXICO S</t>
  </si>
  <si>
    <t>CH-16770</t>
  </si>
  <si>
    <t>CH-16771</t>
  </si>
  <si>
    <t>CH-16772</t>
  </si>
  <si>
    <t>CH-16777</t>
  </si>
  <si>
    <t>CAMPUZANO MARTINEZ JUAN ROBERTO</t>
  </si>
  <si>
    <t>CH-16780</t>
  </si>
  <si>
    <t>CH-16781</t>
  </si>
  <si>
    <t>CH-16792</t>
  </si>
  <si>
    <t>CH-16794</t>
  </si>
  <si>
    <t>CH-16795</t>
  </si>
  <si>
    <t>CH-16796</t>
  </si>
  <si>
    <t>CH-16797</t>
  </si>
  <si>
    <t>T-1630</t>
  </si>
  <si>
    <t>GOMEZ VAZQUEZ MARIO JAVIER</t>
  </si>
  <si>
    <t>T-1631</t>
  </si>
  <si>
    <t>T-1478</t>
  </si>
  <si>
    <t>T-1480</t>
  </si>
  <si>
    <t>T-1632</t>
  </si>
  <si>
    <t>TORRES ALVAREZ MARIA GUADALUPE</t>
  </si>
  <si>
    <t>T-1633</t>
  </si>
  <si>
    <t>FORMAS GENERALES SA DE CV</t>
  </si>
  <si>
    <t>T-1634</t>
  </si>
  <si>
    <t>T-1635</t>
  </si>
  <si>
    <t>T-1636</t>
  </si>
  <si>
    <t>T-1484</t>
  </si>
  <si>
    <t>T-1485</t>
  </si>
  <si>
    <t>T-1639</t>
  </si>
  <si>
    <t>IPSOS SA DE CV</t>
  </si>
  <si>
    <t>T-1640</t>
  </si>
  <si>
    <t>T-1641</t>
  </si>
  <si>
    <t>T-1642</t>
  </si>
  <si>
    <t>T-1643</t>
  </si>
  <si>
    <t>T-1644</t>
  </si>
  <si>
    <t>T-1645</t>
  </si>
  <si>
    <t>T-1646</t>
  </si>
  <si>
    <t>T-1486</t>
  </si>
  <si>
    <t>T-1487</t>
  </si>
  <si>
    <t>T-1647</t>
  </si>
  <si>
    <t>T-1488</t>
  </si>
  <si>
    <t>T-1648</t>
  </si>
  <si>
    <t>T-1649</t>
  </si>
  <si>
    <t>T-1650</t>
  </si>
  <si>
    <t>T-1651</t>
  </si>
  <si>
    <t>T-1652</t>
  </si>
  <si>
    <t>T-1653</t>
  </si>
  <si>
    <t>CH-16811</t>
  </si>
  <si>
    <t>CH-16814</t>
  </si>
  <si>
    <t>CH-16815</t>
  </si>
  <si>
    <t>CH-16816</t>
  </si>
  <si>
    <t>CH-16801</t>
  </si>
  <si>
    <t>CH-16802</t>
  </si>
  <si>
    <t>CH-16803</t>
  </si>
  <si>
    <t>CORTEZ PERAZA DIEGO</t>
  </si>
  <si>
    <t>CH-16804</t>
  </si>
  <si>
    <t>CH-16821</t>
  </si>
  <si>
    <t>CH-16749</t>
  </si>
  <si>
    <t>AUTOCOM NOVA SAPI DE CV</t>
  </si>
  <si>
    <t>COMIS BNMX</t>
  </si>
  <si>
    <t>LJIMENEZ:COMIS BANCARIAS NOV BNMX</t>
  </si>
  <si>
    <t>COMIS BNOR</t>
  </si>
  <si>
    <t>COMIS BANCARIAS NOV BANORTE</t>
  </si>
  <si>
    <t>COMIS BB</t>
  </si>
  <si>
    <t>COMIS BAJIO NOVIEMBRE</t>
  </si>
  <si>
    <t>COMIS SANT</t>
  </si>
  <si>
    <t>COMIS SANTANDER</t>
  </si>
  <si>
    <t>T-26415</t>
  </si>
  <si>
    <t>PAGO F-14188</t>
  </si>
  <si>
    <t>CH-16775</t>
  </si>
  <si>
    <t>LJIMENEZ:PAGO REFACCIONES BBVA CH-1</t>
  </si>
  <si>
    <t>AMEXCO</t>
  </si>
  <si>
    <t>COM AMEXCO NOVIEMBRE</t>
  </si>
  <si>
    <t>NOVIEMBRE</t>
  </si>
  <si>
    <t>ALDEN SATELITE, S. DE R.L. DE C.V.</t>
  </si>
  <si>
    <t>ACQ080113VL5</t>
  </si>
  <si>
    <t>AUTOMOTORES DE LA LAGUNA S.A. DE C.V.</t>
  </si>
  <si>
    <t>Automotriz Nihon, S.A. de C.V.</t>
  </si>
  <si>
    <t>AUTOMOTRIZ TOY, S.A. DE C.V.</t>
  </si>
  <si>
    <t>AUTOMOVILES DINAMICOS S DE R L DE C V</t>
  </si>
  <si>
    <t>CAMJ831121TG4</t>
  </si>
  <si>
    <t>CME150827CH9</t>
  </si>
  <si>
    <t>CEVER TOLUCA S.A. DE C.V.</t>
  </si>
  <si>
    <t>COPD700618QS8</t>
  </si>
  <si>
    <t>ETP1501216EA</t>
  </si>
  <si>
    <t>FPE010903R76</t>
  </si>
  <si>
    <t>FAME PERISUR, S. DE R.L. DE C.V.</t>
  </si>
  <si>
    <t>FGE8202044Q7</t>
  </si>
  <si>
    <t>GAAJ8601032T4</t>
  </si>
  <si>
    <t>GOVM811115C17</t>
  </si>
  <si>
    <t>HECL460422K80</t>
  </si>
  <si>
    <t>NIC021002MQ6</t>
  </si>
  <si>
    <t>OZ AUTOMOTRIZ S DE RL DE CV</t>
  </si>
  <si>
    <t>OZ AUTOMOTRIZ DE COLIMA, S. DE R. L. DE C.V.</t>
  </si>
  <si>
    <t>PURDY MOTOR MEXICO DF, S. DE R.L DE C.V.</t>
  </si>
  <si>
    <t>MTO120810EV9</t>
  </si>
  <si>
    <t>SIRG6506158N1</t>
  </si>
  <si>
    <t>TOAG840820582</t>
  </si>
  <si>
    <t>TOYOMOTORS DE IRAPUATO S DE RL DE CV</t>
  </si>
  <si>
    <t>UAZ150319QKA</t>
  </si>
  <si>
    <t>UNITED AUTO ZACATECAS S DE RL DE CV</t>
  </si>
  <si>
    <t>BANCO DEL BAJIO,S.A.</t>
  </si>
  <si>
    <t>AAG921219GY9</t>
  </si>
  <si>
    <t>AEF9205296D0</t>
  </si>
  <si>
    <t>AMS050630CN3</t>
  </si>
  <si>
    <t>BAMG670625U1A</t>
  </si>
  <si>
    <t>BADP590926254</t>
  </si>
  <si>
    <t>BAUMBERGER DETRAZ PEDRO</t>
  </si>
  <si>
    <t>CMO941101BL9</t>
  </si>
  <si>
    <t>GOC9303301F4</t>
  </si>
  <si>
    <t>HEGG731231SL0</t>
  </si>
  <si>
    <t>PIG780309840</t>
  </si>
  <si>
    <t>Samurai Motors, S. de R.L. de C.V.</t>
  </si>
  <si>
    <t>SRE1309034W9</t>
  </si>
  <si>
    <t>SUPR42110978A</t>
  </si>
  <si>
    <t>GPI9212216T6</t>
  </si>
  <si>
    <t>GASOLINERA LOS PINOS SA DE CV</t>
  </si>
  <si>
    <t>AUTOPISTA ARCO DEL NORTE</t>
  </si>
  <si>
    <t>AGS090610V78</t>
  </si>
  <si>
    <t>AUTOEXPRESS GSM SA DE CV</t>
  </si>
  <si>
    <t xml:space="preserve">AUTOBUSES DE LA PIEDAD SA DE CV </t>
  </si>
  <si>
    <t>TOBE441019RQ5</t>
  </si>
  <si>
    <t>TORRES BANDA ELOY</t>
  </si>
  <si>
    <t>LA ORUGA Y LA CEBADA SA DE CV</t>
  </si>
  <si>
    <t>ORT1503181Z5</t>
  </si>
  <si>
    <t>OPERADORA RIJO TL DE CV</t>
  </si>
  <si>
    <t>JC IMAGEN AUTOMOTRIZ</t>
  </si>
  <si>
    <t>D    114</t>
  </si>
  <si>
    <t>0231-TCN16</t>
  </si>
  <si>
    <t>D    120</t>
  </si>
  <si>
    <t>1005-TCN15</t>
  </si>
  <si>
    <t>0232-TCN16</t>
  </si>
  <si>
    <t>LJIMENEZ:AUTOMOTORES  LA LAGUNA  S</t>
  </si>
  <si>
    <t>D    184</t>
  </si>
  <si>
    <t>1006-TCN15</t>
  </si>
  <si>
    <t>ALECSA  PACHUCA S DE  RL DE  CV</t>
  </si>
  <si>
    <t>D    189</t>
  </si>
  <si>
    <t>0233-TCN16</t>
  </si>
  <si>
    <t>D    234</t>
  </si>
  <si>
    <t>0234-TCN16</t>
  </si>
  <si>
    <t>OZ  AUTOMOTRIZ  DE  COLIMA S  DE  R</t>
  </si>
  <si>
    <t>0235-TCN16</t>
  </si>
  <si>
    <t>D    388</t>
  </si>
  <si>
    <t>0236-TCN16</t>
  </si>
  <si>
    <t>DALTON AUTOMOTORES  S  DE  RL DE CV</t>
  </si>
  <si>
    <t>D    402</t>
  </si>
  <si>
    <t>GTOS TRASL</t>
  </si>
  <si>
    <t>LJIMENEZ:GASTOS TRASLADOS</t>
  </si>
  <si>
    <t>LJIMENEZ:GASTOS CAPACITACION</t>
  </si>
  <si>
    <t>D    438</t>
  </si>
  <si>
    <t>1007-TCN15</t>
  </si>
  <si>
    <t>LJIMENEZ:DALTON AUTOMOTORES  S  DE</t>
  </si>
  <si>
    <t>D    441</t>
  </si>
  <si>
    <t>0237-TCN16</t>
  </si>
  <si>
    <t>LJIMENEZ:PURDY MOTORS MEXICO D.F. S</t>
  </si>
  <si>
    <t>D    442</t>
  </si>
  <si>
    <t>0238-TCN16</t>
  </si>
  <si>
    <t>D    443</t>
  </si>
  <si>
    <t>0239-TCN16</t>
  </si>
  <si>
    <t>D    466</t>
  </si>
  <si>
    <t>DALTON AUTOMOTRIZ A  DE  RL DE CV</t>
  </si>
  <si>
    <t>D    488</t>
  </si>
  <si>
    <t>0243-TCN16</t>
  </si>
  <si>
    <t>D    540</t>
  </si>
  <si>
    <t>1008-TCN15</t>
  </si>
  <si>
    <t>D    563</t>
  </si>
  <si>
    <t>0244-TCN16</t>
  </si>
  <si>
    <t>TOYOMOTORS  DE  POLANCO S  DE  RL D</t>
  </si>
  <si>
    <t>0245-TCN16</t>
  </si>
  <si>
    <t>D    633</t>
  </si>
  <si>
    <t>0246-TCN16</t>
  </si>
  <si>
    <t>1009-TCN15</t>
  </si>
  <si>
    <t>0247-TCN16</t>
  </si>
  <si>
    <t>0248-TCN16</t>
  </si>
  <si>
    <t>D    688</t>
  </si>
  <si>
    <t>1010-TCN15</t>
  </si>
  <si>
    <t>D    699</t>
  </si>
  <si>
    <t>0249-TCN16</t>
  </si>
  <si>
    <t>0242-TCN16</t>
  </si>
  <si>
    <t>D    773</t>
  </si>
  <si>
    <t>0250-TCN16</t>
  </si>
  <si>
    <t>0241-TCN16</t>
  </si>
  <si>
    <t>0240-TCN16</t>
  </si>
  <si>
    <t>0251-TCN16</t>
  </si>
  <si>
    <t>0253-TCN16</t>
  </si>
  <si>
    <t>D    859</t>
  </si>
  <si>
    <t>AUTOMOTRIZ TOY S  DE  RL DE  CV</t>
  </si>
  <si>
    <t>D    860</t>
  </si>
  <si>
    <t>0252-TCN16</t>
  </si>
  <si>
    <t>0255-TCN16</t>
  </si>
  <si>
    <t>D    904</t>
  </si>
  <si>
    <t>0256-TCN16</t>
  </si>
  <si>
    <t>SAMURAI MOTORS  S  DE  RL DE  CV</t>
  </si>
  <si>
    <t>D    916</t>
  </si>
  <si>
    <t>1011-TCN15</t>
  </si>
  <si>
    <t>D    926</t>
  </si>
  <si>
    <t>1012-TCN15</t>
  </si>
  <si>
    <t>D    947</t>
  </si>
  <si>
    <t>0257-TCN16</t>
  </si>
  <si>
    <t>D    996</t>
  </si>
  <si>
    <t>0258-TCN16</t>
  </si>
  <si>
    <t>D  1,080</t>
  </si>
  <si>
    <t>0259-TCN16</t>
  </si>
  <si>
    <t>OZ  AUTOMOTRIZ  S  DE RL DE CV</t>
  </si>
  <si>
    <t>D  1,082</t>
  </si>
  <si>
    <t>0260-TCN16</t>
  </si>
  <si>
    <t>D  1,093</t>
  </si>
  <si>
    <t>1013-TCN15</t>
  </si>
  <si>
    <t>D  1,110</t>
  </si>
  <si>
    <t>0262-TCN16</t>
  </si>
  <si>
    <t>D  1,241</t>
  </si>
  <si>
    <t>1014-TCN15</t>
  </si>
  <si>
    <t>DALTON AUTOMOTRIZ  S  DE  RL DE  CV</t>
  </si>
  <si>
    <t>D  1,254</t>
  </si>
  <si>
    <t>1015-TCN15</t>
  </si>
  <si>
    <t>D  1,260</t>
  </si>
  <si>
    <t>0265-TCN16</t>
  </si>
  <si>
    <t>D  1,262</t>
  </si>
  <si>
    <t>0266-TCN16</t>
  </si>
  <si>
    <t>D  1,354</t>
  </si>
  <si>
    <t>0267-TCN16</t>
  </si>
  <si>
    <t>D  1,355</t>
  </si>
  <si>
    <t>0269-TCN16</t>
  </si>
  <si>
    <t>ALDEN QUERETARO   S  DE  RL DE  CV</t>
  </si>
  <si>
    <t>D  1,359</t>
  </si>
  <si>
    <t>1016-TCN15</t>
  </si>
  <si>
    <t>LIDERAZGO AUTOMOTRIZ DE PUEBLA SA D</t>
  </si>
  <si>
    <t>0268-TCN16</t>
  </si>
  <si>
    <t>D  1,370</t>
  </si>
  <si>
    <t>D  1,457</t>
  </si>
  <si>
    <t>1017-TCN15</t>
  </si>
  <si>
    <t>D  1,459</t>
  </si>
  <si>
    <t>1018-TCN15</t>
  </si>
  <si>
    <t>0270-TCN16</t>
  </si>
  <si>
    <t>D  1,462</t>
  </si>
  <si>
    <t>0271-TCN16</t>
  </si>
  <si>
    <t>D  1,500</t>
  </si>
  <si>
    <t>0274-TCN16</t>
  </si>
  <si>
    <t>LJIMENEZ:VALOR  MOTRIZ S  DE  RL  D</t>
  </si>
  <si>
    <t>0275-TCN16</t>
  </si>
  <si>
    <t>0272-TCN16</t>
  </si>
  <si>
    <t>DURANGO  AUTOMORES S  DE  RL DE  CV</t>
  </si>
  <si>
    <t>D  1,506</t>
  </si>
  <si>
    <t>SAMURAI MOTORS S  DE  RL  DE CV</t>
  </si>
  <si>
    <t>D  1,513</t>
  </si>
  <si>
    <t>0273-TCN16</t>
  </si>
  <si>
    <t>DURANGO  AUTOMOTORES  S  DE  RL DE</t>
  </si>
  <si>
    <t>D  1,517</t>
  </si>
  <si>
    <t>0276-TCN16</t>
  </si>
  <si>
    <t>0277-TCN16</t>
  </si>
  <si>
    <t>D  1,579</t>
  </si>
  <si>
    <t>D  1,633</t>
  </si>
  <si>
    <t>1019-TCN15</t>
  </si>
  <si>
    <t>D  1,644</t>
  </si>
  <si>
    <t>0278-TCN16</t>
  </si>
  <si>
    <t>0352-TCN15</t>
  </si>
  <si>
    <t>D  1,655</t>
  </si>
  <si>
    <t>0279-TCN16</t>
  </si>
  <si>
    <t>D  1,739</t>
  </si>
  <si>
    <t>0280-TCN16</t>
  </si>
  <si>
    <t>D  1,740</t>
  </si>
  <si>
    <t>0282-TCN16</t>
  </si>
  <si>
    <t>0281-TCN16</t>
  </si>
  <si>
    <t>D  1,745</t>
  </si>
  <si>
    <t>0283-TCN16</t>
  </si>
  <si>
    <t>D  1,833</t>
  </si>
  <si>
    <t>0286-TCN16</t>
  </si>
  <si>
    <t>D  1,839</t>
  </si>
  <si>
    <t>0284-TCN16</t>
  </si>
  <si>
    <t>0285-TCN16</t>
  </si>
  <si>
    <t>0288-TCN16</t>
  </si>
  <si>
    <t>0294-TCN16</t>
  </si>
  <si>
    <t>0291-TCN16</t>
  </si>
  <si>
    <t>D  1,997</t>
  </si>
  <si>
    <t>0295-TCN16</t>
  </si>
  <si>
    <t>CEVER TOLUCA  S  DE RL DE CV</t>
  </si>
  <si>
    <t>0292-TCN16</t>
  </si>
  <si>
    <t>0293-TCN16</t>
  </si>
  <si>
    <t>FAME  PERISUR S  DE RL DE CV</t>
  </si>
  <si>
    <t>0296-TCN16</t>
  </si>
  <si>
    <t>D  2,063</t>
  </si>
  <si>
    <t>0297-TCN16</t>
  </si>
  <si>
    <t>D  2,070</t>
  </si>
  <si>
    <t>0298-TCN16</t>
  </si>
  <si>
    <t>0299-TCN16</t>
  </si>
  <si>
    <t>0301-TCN16</t>
  </si>
  <si>
    <t>0290-TCN16</t>
  </si>
  <si>
    <t>0289-TCN16</t>
  </si>
  <si>
    <t>0302-TCN16</t>
  </si>
  <si>
    <t>DALTON AUTOMOTRIZ  S DE  RL DE  CV</t>
  </si>
  <si>
    <t>0303-TCN16</t>
  </si>
  <si>
    <t>0304-TCN16</t>
  </si>
  <si>
    <t>0305-TCN16</t>
  </si>
  <si>
    <t>P12438-39</t>
  </si>
  <si>
    <t>PCO850427JIA</t>
  </si>
  <si>
    <t>0306-TCN16</t>
  </si>
  <si>
    <t>D  2,272</t>
  </si>
  <si>
    <t>0307-TCN16</t>
  </si>
  <si>
    <t>0309-TCN16</t>
  </si>
  <si>
    <t>D  2,298</t>
  </si>
  <si>
    <t>0308-TCN16</t>
  </si>
  <si>
    <t>D  2,312</t>
  </si>
  <si>
    <t>0310-TCN16</t>
  </si>
  <si>
    <t>D  2,315</t>
  </si>
  <si>
    <t>1020-TCN15</t>
  </si>
  <si>
    <t>D  2,317</t>
  </si>
  <si>
    <t>0311-TCN16</t>
  </si>
  <si>
    <t>0312-TCN16</t>
  </si>
  <si>
    <t>D  2,351</t>
  </si>
  <si>
    <t>0313-TCN16</t>
  </si>
  <si>
    <t>D  2,354</t>
  </si>
  <si>
    <t>0314-TCN16</t>
  </si>
  <si>
    <t>0315-TCN16</t>
  </si>
  <si>
    <t>0316-TCN16</t>
  </si>
  <si>
    <t>0318-TCN16</t>
  </si>
  <si>
    <t>AUTOMOTRIZ NIHON  S.A  DE  CV.</t>
  </si>
  <si>
    <t>0319-TCN16</t>
  </si>
  <si>
    <t>0317-TCN16</t>
  </si>
  <si>
    <t>0320-TCN16</t>
  </si>
  <si>
    <t>AUTOMOVILES VALLEJO S  DE  RL DE CV</t>
  </si>
  <si>
    <t>1021-TCN15</t>
  </si>
  <si>
    <t>0321-TCN16</t>
  </si>
  <si>
    <t>D  2,520</t>
  </si>
  <si>
    <t>0322-TCN16</t>
  </si>
  <si>
    <t>0323-TCN16</t>
  </si>
  <si>
    <t>1022-TCN15</t>
  </si>
  <si>
    <t>1023-TCN15</t>
  </si>
  <si>
    <t>D  2,548</t>
  </si>
  <si>
    <t>1025-TCN15</t>
  </si>
  <si>
    <t>D  2,549</t>
  </si>
  <si>
    <t>1024-TCN15</t>
  </si>
  <si>
    <t>0330-TCN16</t>
  </si>
  <si>
    <t>D  2,554</t>
  </si>
  <si>
    <t>0326-TCN16</t>
  </si>
  <si>
    <t>D  2,555</t>
  </si>
  <si>
    <t>0325-TCN16</t>
  </si>
  <si>
    <t>0324-TCN16</t>
  </si>
  <si>
    <t>D  2,562</t>
  </si>
  <si>
    <t>0329-TCN16</t>
  </si>
  <si>
    <t>D  2,563</t>
  </si>
  <si>
    <t>0287-TCN16</t>
  </si>
  <si>
    <t>D  2,564</t>
  </si>
  <si>
    <t>0327-TCN16</t>
  </si>
  <si>
    <t>D  2,568</t>
  </si>
  <si>
    <t>0331-TCN16</t>
  </si>
  <si>
    <t>0332-TCN16</t>
  </si>
  <si>
    <t>UNITED AUTO ZACATECAS S  DE  RL DE</t>
  </si>
  <si>
    <t>COM GTOS</t>
  </si>
  <si>
    <t>0333-TCN16</t>
  </si>
  <si>
    <t>GRUPO PENINSULA MOTORS S DE RL CV</t>
  </si>
  <si>
    <t>0336-TCN16</t>
  </si>
  <si>
    <t>0337-TCN16</t>
  </si>
  <si>
    <t>VALOR  MOTRIZ S  DE  RL DE  CV</t>
  </si>
  <si>
    <t>0338-TCN16</t>
  </si>
  <si>
    <t>0339-TCN16</t>
  </si>
  <si>
    <t>D  2,806</t>
  </si>
  <si>
    <t>0340-TCN16</t>
  </si>
  <si>
    <t>0341-TCN16</t>
  </si>
  <si>
    <t>0342-TCN16</t>
  </si>
  <si>
    <t>0343-TCN16</t>
  </si>
  <si>
    <t>0344-TCN16</t>
  </si>
  <si>
    <t>0345-TCN16</t>
  </si>
  <si>
    <t>0346-TCN16</t>
  </si>
  <si>
    <t>0349-TCN16</t>
  </si>
  <si>
    <t>0347-TCN16</t>
  </si>
  <si>
    <t>0348-TCN16</t>
  </si>
  <si>
    <t>D  2,907</t>
  </si>
  <si>
    <t>0350-TCN16</t>
  </si>
  <si>
    <t>0351-TCN16</t>
  </si>
  <si>
    <t>0352-TCN16</t>
  </si>
  <si>
    <t>D  2,910</t>
  </si>
  <si>
    <t>0353-TCN16</t>
  </si>
  <si>
    <t>D  2,911</t>
  </si>
  <si>
    <t>0354-TCN16</t>
  </si>
  <si>
    <t>D  2,920</t>
  </si>
  <si>
    <t>COMIS BNT</t>
  </si>
  <si>
    <t>COMIS BANCARIAS BANORTE DIC</t>
  </si>
  <si>
    <t>D  2,921</t>
  </si>
  <si>
    <t>COMIS SANTANDER DIC</t>
  </si>
  <si>
    <t>GASTOS</t>
  </si>
  <si>
    <t>GASTOS POSVENTA</t>
  </si>
  <si>
    <t>D  3,033</t>
  </si>
  <si>
    <t>AO-00168</t>
  </si>
  <si>
    <t>INTERESES INTERCOMPAÑIAS 2015</t>
  </si>
  <si>
    <t>D  3,036</t>
  </si>
  <si>
    <t>C55604</t>
  </si>
  <si>
    <t>D  3,068</t>
  </si>
  <si>
    <t>P12546</t>
  </si>
  <si>
    <t>FNI970829TR9</t>
  </si>
  <si>
    <t>TCG870817Q74</t>
  </si>
  <si>
    <t>D  3,069</t>
  </si>
  <si>
    <t>P12548</t>
  </si>
  <si>
    <t>D  3,070</t>
  </si>
  <si>
    <t>S1465</t>
  </si>
  <si>
    <t>D  3,071</t>
  </si>
  <si>
    <t>S1450</t>
  </si>
  <si>
    <t>D  3,072</t>
  </si>
  <si>
    <t>S1469</t>
  </si>
  <si>
    <t>D  3,074</t>
  </si>
  <si>
    <t>P12547</t>
  </si>
  <si>
    <t>D  3,075</t>
  </si>
  <si>
    <t>P12549</t>
  </si>
  <si>
    <t>D  3,077</t>
  </si>
  <si>
    <t>P12557</t>
  </si>
  <si>
    <t>D  3,078</t>
  </si>
  <si>
    <t>P12558</t>
  </si>
  <si>
    <t>D  3,079</t>
  </si>
  <si>
    <t>P12559</t>
  </si>
  <si>
    <t>D  3,081</t>
  </si>
  <si>
    <t>P12561</t>
  </si>
  <si>
    <t>D  3,082</t>
  </si>
  <si>
    <t>P12562</t>
  </si>
  <si>
    <t>D  3,083</t>
  </si>
  <si>
    <t>P12563</t>
  </si>
  <si>
    <t>BRO120910HC1</t>
  </si>
  <si>
    <t>D  3,084</t>
  </si>
  <si>
    <t>P12564</t>
  </si>
  <si>
    <t>D  3,086</t>
  </si>
  <si>
    <t>P12566</t>
  </si>
  <si>
    <t>D  3,087</t>
  </si>
  <si>
    <t>P12567</t>
  </si>
  <si>
    <t>D  3,088</t>
  </si>
  <si>
    <t>P12568</t>
  </si>
  <si>
    <t>D  3,090</t>
  </si>
  <si>
    <t>P12570</t>
  </si>
  <si>
    <t>D  3,091</t>
  </si>
  <si>
    <t>P12571</t>
  </si>
  <si>
    <t>VERL790731FK3</t>
  </si>
  <si>
    <t>D  3,092</t>
  </si>
  <si>
    <t>P12572</t>
  </si>
  <si>
    <t>D  3,093</t>
  </si>
  <si>
    <t>P12573</t>
  </si>
  <si>
    <t>D  3,095</t>
  </si>
  <si>
    <t>P12575</t>
  </si>
  <si>
    <t>D  3,097</t>
  </si>
  <si>
    <t>P12577</t>
  </si>
  <si>
    <t>D  3,098</t>
  </si>
  <si>
    <t>P12578</t>
  </si>
  <si>
    <t>D  3,099</t>
  </si>
  <si>
    <t>P12579</t>
  </si>
  <si>
    <t>D  3,100</t>
  </si>
  <si>
    <t>P12580</t>
  </si>
  <si>
    <t>D  3,101</t>
  </si>
  <si>
    <t>P12581</t>
  </si>
  <si>
    <t>D  3,102</t>
  </si>
  <si>
    <t>P12582</t>
  </si>
  <si>
    <t>D  3,103</t>
  </si>
  <si>
    <t>P12583</t>
  </si>
  <si>
    <t>D  3,105</t>
  </si>
  <si>
    <t>P12708-9</t>
  </si>
  <si>
    <t>PALS521112B36</t>
  </si>
  <si>
    <t>D  3,106</t>
  </si>
  <si>
    <t>P12702-3</t>
  </si>
  <si>
    <t>D  3,107</t>
  </si>
  <si>
    <t>P12718-9</t>
  </si>
  <si>
    <t>D  3,108</t>
  </si>
  <si>
    <t>P12720</t>
  </si>
  <si>
    <t>OEGL740921FD9</t>
  </si>
  <si>
    <t>D  3,109</t>
  </si>
  <si>
    <t>P12722-3</t>
  </si>
  <si>
    <t>GOC130509AZ7</t>
  </si>
  <si>
    <t>D  3,110</t>
  </si>
  <si>
    <t>P12724-5</t>
  </si>
  <si>
    <t>RNO041115EA0</t>
  </si>
  <si>
    <t>D  3,111</t>
  </si>
  <si>
    <t>P12728-9</t>
  </si>
  <si>
    <t>D  3,112</t>
  </si>
  <si>
    <t>P12730-1</t>
  </si>
  <si>
    <t>FNI090829JR9</t>
  </si>
  <si>
    <t>GOCP7508052V3</t>
  </si>
  <si>
    <t>VIA8011248W0</t>
  </si>
  <si>
    <t>D  3,113</t>
  </si>
  <si>
    <t>P12732-3</t>
  </si>
  <si>
    <t>D  3,114</t>
  </si>
  <si>
    <t>P12734-5</t>
  </si>
  <si>
    <t>D  3,115</t>
  </si>
  <si>
    <t>P12736</t>
  </si>
  <si>
    <t>D  3,116</t>
  </si>
  <si>
    <t>P12737-8</t>
  </si>
  <si>
    <t>D  3,117</t>
  </si>
  <si>
    <t>P12739-40</t>
  </si>
  <si>
    <t>D  3,118</t>
  </si>
  <si>
    <t>P12741-42</t>
  </si>
  <si>
    <t>D  3,119</t>
  </si>
  <si>
    <t>P12743-4</t>
  </si>
  <si>
    <t>D  3,120</t>
  </si>
  <si>
    <t>P12751-2</t>
  </si>
  <si>
    <t>D  3,124</t>
  </si>
  <si>
    <t>P12748</t>
  </si>
  <si>
    <t>D  3,125</t>
  </si>
  <si>
    <t>P12749-50</t>
  </si>
  <si>
    <t>JIPJ661011PD5</t>
  </si>
  <si>
    <t>D  3,126</t>
  </si>
  <si>
    <t>R2556</t>
  </si>
  <si>
    <t>MAMR740915UN2</t>
  </si>
  <si>
    <t>D  3,127</t>
  </si>
  <si>
    <t>S1494</t>
  </si>
  <si>
    <t>D  3,128</t>
  </si>
  <si>
    <t>S1488</t>
  </si>
  <si>
    <t>D  3,129</t>
  </si>
  <si>
    <t>S1487</t>
  </si>
  <si>
    <t>D  3,130</t>
  </si>
  <si>
    <t>S1470</t>
  </si>
  <si>
    <t>D  3,131</t>
  </si>
  <si>
    <t>R2344</t>
  </si>
  <si>
    <t>D  3,132</t>
  </si>
  <si>
    <t>R2534</t>
  </si>
  <si>
    <t>D  3,133</t>
  </si>
  <si>
    <t>S1499</t>
  </si>
  <si>
    <t>D  3,134</t>
  </si>
  <si>
    <t>S1452</t>
  </si>
  <si>
    <t>D  3,135</t>
  </si>
  <si>
    <t>S1451</t>
  </si>
  <si>
    <t>D  3,136</t>
  </si>
  <si>
    <t>P12753</t>
  </si>
  <si>
    <t>LJIMENEZ:VEBF490427NV8</t>
  </si>
  <si>
    <t>D  3,137</t>
  </si>
  <si>
    <t>P12754</t>
  </si>
  <si>
    <t>LJIMENEZ:HEBM781017UQ1</t>
  </si>
  <si>
    <t>D  3,138</t>
  </si>
  <si>
    <t>P12755</t>
  </si>
  <si>
    <t>D  3,139</t>
  </si>
  <si>
    <t>P12756</t>
  </si>
  <si>
    <t>LJIMENEZ:ODM950324V2A</t>
  </si>
  <si>
    <t>D  3,143</t>
  </si>
  <si>
    <t>P12766</t>
  </si>
  <si>
    <t>D  3,145</t>
  </si>
  <si>
    <t>P12768</t>
  </si>
  <si>
    <t>D  3,146</t>
  </si>
  <si>
    <t>P12769</t>
  </si>
  <si>
    <t>D  3,147</t>
  </si>
  <si>
    <t>P12770</t>
  </si>
  <si>
    <t>D  3,150</t>
  </si>
  <si>
    <t>P12775</t>
  </si>
  <si>
    <t>LJIMENEZ:TTI961202IM1</t>
  </si>
  <si>
    <t>D  3,152</t>
  </si>
  <si>
    <t>P12777</t>
  </si>
  <si>
    <t>D  3,153</t>
  </si>
  <si>
    <t>P12778</t>
  </si>
  <si>
    <t>D  3,154</t>
  </si>
  <si>
    <t>P12779</t>
  </si>
  <si>
    <t>D  3,156</t>
  </si>
  <si>
    <t>P12782</t>
  </si>
  <si>
    <t>LJIMENEZ:MNE0409226K9</t>
  </si>
  <si>
    <t>D  3,157</t>
  </si>
  <si>
    <t>P12783</t>
  </si>
  <si>
    <t>D  3,158</t>
  </si>
  <si>
    <t>P12784</t>
  </si>
  <si>
    <t>D  3,159</t>
  </si>
  <si>
    <t>P12785</t>
  </si>
  <si>
    <t>LJIMENEZ:UIJR5602144U1</t>
  </si>
  <si>
    <t>D  3,161</t>
  </si>
  <si>
    <t>P12788</t>
  </si>
  <si>
    <t>LJIMENEZ:JIQL890815788</t>
  </si>
  <si>
    <t>D  3,162</t>
  </si>
  <si>
    <t>P12789</t>
  </si>
  <si>
    <t>D  3,163</t>
  </si>
  <si>
    <t>P12790</t>
  </si>
  <si>
    <t>LJIMENEZ:APA000525KV6</t>
  </si>
  <si>
    <t>D  3,166</t>
  </si>
  <si>
    <t>P12793</t>
  </si>
  <si>
    <t>LJIMENEZ:CIB110415R65</t>
  </si>
  <si>
    <t>D  3,169</t>
  </si>
  <si>
    <t>P12796</t>
  </si>
  <si>
    <t>LJIMENEZ:ROCD771203V56</t>
  </si>
  <si>
    <t>D  3,171</t>
  </si>
  <si>
    <t>P12798</t>
  </si>
  <si>
    <t>LJIMENEZ:GPA930101QI7</t>
  </si>
  <si>
    <t>D  3,172</t>
  </si>
  <si>
    <t>P12799</t>
  </si>
  <si>
    <t>D  3,173</t>
  </si>
  <si>
    <t>P12800</t>
  </si>
  <si>
    <t>LJIMENEZ:EME880309SK5</t>
  </si>
  <si>
    <t>D  3,174</t>
  </si>
  <si>
    <t>P12801</t>
  </si>
  <si>
    <t>LJIMENEZ:SHC680813656</t>
  </si>
  <si>
    <t>D  3,175</t>
  </si>
  <si>
    <t>P12803-4</t>
  </si>
  <si>
    <t>D  3,176</t>
  </si>
  <si>
    <t>P12805</t>
  </si>
  <si>
    <t>LJIMENEZ:ATO0108161E1</t>
  </si>
  <si>
    <t>D  3,177</t>
  </si>
  <si>
    <t>P12822</t>
  </si>
  <si>
    <t>D  3,178</t>
  </si>
  <si>
    <t>P12823</t>
  </si>
  <si>
    <t>LJIMENEZ:RSM920701EP2</t>
  </si>
  <si>
    <t>D  3,179</t>
  </si>
  <si>
    <t>P12824</t>
  </si>
  <si>
    <t>LJIMENEZ:WME9003078U2</t>
  </si>
  <si>
    <t>D  3,181</t>
  </si>
  <si>
    <t>P12826</t>
  </si>
  <si>
    <t>D  3,182</t>
  </si>
  <si>
    <t>P12827</t>
  </si>
  <si>
    <t>D  3,184</t>
  </si>
  <si>
    <t>P12299</t>
  </si>
  <si>
    <t>D  3,186</t>
  </si>
  <si>
    <t>P12297</t>
  </si>
  <si>
    <t>D  3,187</t>
  </si>
  <si>
    <t>P12296</t>
  </si>
  <si>
    <t>D  3,188</t>
  </si>
  <si>
    <t>P12294</t>
  </si>
  <si>
    <t>D  3,189</t>
  </si>
  <si>
    <t>P12293</t>
  </si>
  <si>
    <t>D  3,190</t>
  </si>
  <si>
    <t>P12292</t>
  </si>
  <si>
    <t>D  3,194</t>
  </si>
  <si>
    <t>P12288</t>
  </si>
  <si>
    <t>D  3,195</t>
  </si>
  <si>
    <t>P12287</t>
  </si>
  <si>
    <t>D  3,196</t>
  </si>
  <si>
    <t>P12286</t>
  </si>
  <si>
    <t>D  3,197</t>
  </si>
  <si>
    <t>P12285</t>
  </si>
  <si>
    <t>D  3,198</t>
  </si>
  <si>
    <t>P12284</t>
  </si>
  <si>
    <t>D  3,199</t>
  </si>
  <si>
    <t>P12283</t>
  </si>
  <si>
    <t>D  3,203</t>
  </si>
  <si>
    <t>P12279</t>
  </si>
  <si>
    <t>D  3,204</t>
  </si>
  <si>
    <t>P12278</t>
  </si>
  <si>
    <t>D  3,205</t>
  </si>
  <si>
    <t>P12277</t>
  </si>
  <si>
    <t>D  3,209</t>
  </si>
  <si>
    <t>P12273</t>
  </si>
  <si>
    <t>D  3,210</t>
  </si>
  <si>
    <t>D  3,211</t>
  </si>
  <si>
    <t>P12271</t>
  </si>
  <si>
    <t>D  3,212</t>
  </si>
  <si>
    <t>R2477</t>
  </si>
  <si>
    <t>EBA110713CN6</t>
  </si>
  <si>
    <t>D  3,213</t>
  </si>
  <si>
    <t>S1484</t>
  </si>
  <si>
    <t>D  3,214</t>
  </si>
  <si>
    <t>S1483</t>
  </si>
  <si>
    <t>D  3,215</t>
  </si>
  <si>
    <t>s1482</t>
  </si>
  <si>
    <t>D  3,216</t>
  </si>
  <si>
    <t>S1478</t>
  </si>
  <si>
    <t>D  3,217</t>
  </si>
  <si>
    <t>S1444</t>
  </si>
  <si>
    <t>D  3,218</t>
  </si>
  <si>
    <t>S1437</t>
  </si>
  <si>
    <t>D  3,219</t>
  </si>
  <si>
    <t>S1436</t>
  </si>
  <si>
    <t>D  3,220</t>
  </si>
  <si>
    <t>S1433</t>
  </si>
  <si>
    <t>D  3,221</t>
  </si>
  <si>
    <t>S1430</t>
  </si>
  <si>
    <t>D  3,222</t>
  </si>
  <si>
    <t>S1393</t>
  </si>
  <si>
    <t>D  3,223</t>
  </si>
  <si>
    <t>S1391</t>
  </si>
  <si>
    <t>D  3,244</t>
  </si>
  <si>
    <t>LJIMENEZ:CAPACITACION EN PACHUCA</t>
  </si>
  <si>
    <t>D  3,249</t>
  </si>
  <si>
    <t>CH-16853</t>
  </si>
  <si>
    <t>D  3,307</t>
  </si>
  <si>
    <t>P12875</t>
  </si>
  <si>
    <t>D  3,308</t>
  </si>
  <si>
    <t>P12876</t>
  </si>
  <si>
    <t>D  3,309</t>
  </si>
  <si>
    <t>P12879-80</t>
  </si>
  <si>
    <t>LJIMENEZ:VIATICOS</t>
  </si>
  <si>
    <t>D  3,310</t>
  </si>
  <si>
    <t>P12881-2</t>
  </si>
  <si>
    <t>D  3,311</t>
  </si>
  <si>
    <t>P12883</t>
  </si>
  <si>
    <t>D  3,312</t>
  </si>
  <si>
    <t>P12884-5</t>
  </si>
  <si>
    <t>D  3,313</t>
  </si>
  <si>
    <t>P12887</t>
  </si>
  <si>
    <t>PAGO FACT FNU10748</t>
  </si>
  <si>
    <t>D  3,314</t>
  </si>
  <si>
    <t>P12888-9</t>
  </si>
  <si>
    <t>D  3,315</t>
  </si>
  <si>
    <t>P12886-90</t>
  </si>
  <si>
    <t>D  3,316</t>
  </si>
  <si>
    <t>P12891-2</t>
  </si>
  <si>
    <t>D  3,317</t>
  </si>
  <si>
    <t>P12893-4</t>
  </si>
  <si>
    <t>D  3,318</t>
  </si>
  <si>
    <t>P12896</t>
  </si>
  <si>
    <t>D  3,319</t>
  </si>
  <si>
    <t>P12897</t>
  </si>
  <si>
    <t>D  3,320</t>
  </si>
  <si>
    <t>P12898-9</t>
  </si>
  <si>
    <t>D  3,321</t>
  </si>
  <si>
    <t>P12900-130</t>
  </si>
  <si>
    <t>D  3,322</t>
  </si>
  <si>
    <t>P13002-3</t>
  </si>
  <si>
    <t>D  3,323</t>
  </si>
  <si>
    <t>P13004-5</t>
  </si>
  <si>
    <t>D  3,324</t>
  </si>
  <si>
    <t>P13006-7</t>
  </si>
  <si>
    <t>D  3,325</t>
  </si>
  <si>
    <t>P13008-9</t>
  </si>
  <si>
    <t>D  3,326</t>
  </si>
  <si>
    <t>P13010-11</t>
  </si>
  <si>
    <t>D  3,328</t>
  </si>
  <si>
    <t>P13012-13</t>
  </si>
  <si>
    <t>D  3,329</t>
  </si>
  <si>
    <t>P13014-5</t>
  </si>
  <si>
    <t>D  3,330</t>
  </si>
  <si>
    <t>P13016-17</t>
  </si>
  <si>
    <t>D  3,331</t>
  </si>
  <si>
    <t>P13018-19</t>
  </si>
  <si>
    <t>D  3,332</t>
  </si>
  <si>
    <t>P13020-21</t>
  </si>
  <si>
    <t>D  3,333</t>
  </si>
  <si>
    <t>P13022-23</t>
  </si>
  <si>
    <t>D  3,334</t>
  </si>
  <si>
    <t>P13024-25</t>
  </si>
  <si>
    <t>D  3,335</t>
  </si>
  <si>
    <t>P13032</t>
  </si>
  <si>
    <t>0994-TCN15 PAGO DIF</t>
  </si>
  <si>
    <t>D  3,336</t>
  </si>
  <si>
    <t>P13033-34</t>
  </si>
  <si>
    <t>D  3,337</t>
  </si>
  <si>
    <t>P12816-17</t>
  </si>
  <si>
    <t>D  3,338</t>
  </si>
  <si>
    <t>P12818</t>
  </si>
  <si>
    <t>D  3,339</t>
  </si>
  <si>
    <t>P12819-20</t>
  </si>
  <si>
    <t>D  3,341</t>
  </si>
  <si>
    <t>P12821-72</t>
  </si>
  <si>
    <t>D  3,342</t>
  </si>
  <si>
    <t>P12873-74</t>
  </si>
  <si>
    <t>D  3,343</t>
  </si>
  <si>
    <t>P12863</t>
  </si>
  <si>
    <t>D  3,344</t>
  </si>
  <si>
    <t>P12864-65</t>
  </si>
  <si>
    <t>D  3,345</t>
  </si>
  <si>
    <t>P12867</t>
  </si>
  <si>
    <t>D  3,357</t>
  </si>
  <si>
    <t>P12657</t>
  </si>
  <si>
    <t>LJIMENEZ:COMPRA ARTICULOS VARIOS</t>
  </si>
  <si>
    <t>D  3,370</t>
  </si>
  <si>
    <t>AJUSTE COMPRAS DICIEMBRE 2015</t>
  </si>
  <si>
    <t>D  3,371</t>
  </si>
  <si>
    <t>A32186</t>
  </si>
  <si>
    <t>LJIMENEZ:SERVICIO DE BANQUETE FIN D</t>
  </si>
  <si>
    <t>D  3,395</t>
  </si>
  <si>
    <t>D  3,396</t>
  </si>
  <si>
    <t>AJUSTES CTA 304</t>
  </si>
  <si>
    <t>D  3,409</t>
  </si>
  <si>
    <t>BAJA CH</t>
  </si>
  <si>
    <t>CH 12671</t>
  </si>
  <si>
    <t>CH 12729</t>
  </si>
  <si>
    <t>CH 13215</t>
  </si>
  <si>
    <t>D  3,419</t>
  </si>
  <si>
    <t>BAJA D3409</t>
  </si>
  <si>
    <t>LJIMENEZ:BAJA POLIZA 3409</t>
  </si>
  <si>
    <t>D  3,422</t>
  </si>
  <si>
    <t>LJIMENEZ:ISR RETENIDO VECTOR DIC 15</t>
  </si>
  <si>
    <t>D  3,425</t>
  </si>
  <si>
    <t>BAJA PAPELERIA</t>
  </si>
  <si>
    <t>D  3,427</t>
  </si>
  <si>
    <t>FLETE</t>
  </si>
  <si>
    <t>PEP0604182E3</t>
  </si>
  <si>
    <t>D  3,429</t>
  </si>
  <si>
    <t>D  3,431</t>
  </si>
  <si>
    <t>D  3,433</t>
  </si>
  <si>
    <t>D  3,437</t>
  </si>
  <si>
    <t>D  3,440</t>
  </si>
  <si>
    <t>D  3,442</t>
  </si>
  <si>
    <t>D  3,443</t>
  </si>
  <si>
    <t>P11870</t>
  </si>
  <si>
    <t>D  3,445</t>
  </si>
  <si>
    <t>AJUSTE IVA</t>
  </si>
  <si>
    <t>AJUSTE IVA EJERCICIO 2015</t>
  </si>
  <si>
    <t>CH-16822</t>
  </si>
  <si>
    <t>CH-16839</t>
  </si>
  <si>
    <t>BAJA: AUTOCOM NOVA SAPI DE CV</t>
  </si>
  <si>
    <t>CH-16844</t>
  </si>
  <si>
    <t>CH-16847</t>
  </si>
  <si>
    <t>CH-16850</t>
  </si>
  <si>
    <t>BAJA: LOPEZ DOMINGUEZ SALVADOR</t>
  </si>
  <si>
    <t>CH-16851</t>
  </si>
  <si>
    <t>CH-16854</t>
  </si>
  <si>
    <t>CH-16855</t>
  </si>
  <si>
    <t>CH-16857</t>
  </si>
  <si>
    <t>CH-16859</t>
  </si>
  <si>
    <t>CH-16852</t>
  </si>
  <si>
    <t>ARTLUX , S.A. DE C.V.</t>
  </si>
  <si>
    <t>CH-16873</t>
  </si>
  <si>
    <t>RIOS RAMIREZ VALENTIN</t>
  </si>
  <si>
    <t>CH-16875</t>
  </si>
  <si>
    <t>T-1654</t>
  </si>
  <si>
    <t>T-1655</t>
  </si>
  <si>
    <t>T-1656</t>
  </si>
  <si>
    <t>T-1658</t>
  </si>
  <si>
    <t>VASQUEZ PAREDES MATEO</t>
  </si>
  <si>
    <t>T-1659</t>
  </si>
  <si>
    <t>T-1660</t>
  </si>
  <si>
    <t>T-1661</t>
  </si>
  <si>
    <t>T-1662</t>
  </si>
  <si>
    <t>T-1663</t>
  </si>
  <si>
    <t>T-1664</t>
  </si>
  <si>
    <t>T-1665</t>
  </si>
  <si>
    <t>BAJA: ANUNCIOS PATTISON SA DE CV</t>
  </si>
  <si>
    <t>T-1666</t>
  </si>
  <si>
    <t>T-1667</t>
  </si>
  <si>
    <t>T-1668</t>
  </si>
  <si>
    <t>T-1670</t>
  </si>
  <si>
    <t>T-1673</t>
  </si>
  <si>
    <t>T-1674</t>
  </si>
  <si>
    <t>T-1675</t>
  </si>
  <si>
    <t>T-1676</t>
  </si>
  <si>
    <t>T-1677</t>
  </si>
  <si>
    <t>T-1678</t>
  </si>
  <si>
    <t>CH-16880</t>
  </si>
  <si>
    <t>CH-16882</t>
  </si>
  <si>
    <t>CH-16883</t>
  </si>
  <si>
    <t>CH-16896</t>
  </si>
  <si>
    <t>CH-16897</t>
  </si>
  <si>
    <t>CH-16894</t>
  </si>
  <si>
    <t>CH-16895</t>
  </si>
  <si>
    <t>CH-16899</t>
  </si>
  <si>
    <t>CH-16900</t>
  </si>
  <si>
    <t>CH-16901</t>
  </si>
  <si>
    <t>LJIMENEZ:AGUILA MENDEZ PEDRO SERGIO</t>
  </si>
  <si>
    <t>CH-16903</t>
  </si>
  <si>
    <t>CH-16904</t>
  </si>
  <si>
    <t>CH-16915</t>
  </si>
  <si>
    <t>CH-16916</t>
  </si>
  <si>
    <t>CH-16917</t>
  </si>
  <si>
    <t>LJIMENEZ:HERNANDEZ MARTINEZ ALMA JA</t>
  </si>
  <si>
    <t>CH-16919</t>
  </si>
  <si>
    <t>CH-16920</t>
  </si>
  <si>
    <t>T-1679</t>
  </si>
  <si>
    <t>T-1680</t>
  </si>
  <si>
    <t>T-1681</t>
  </si>
  <si>
    <t>T-1684</t>
  </si>
  <si>
    <t>T-1685</t>
  </si>
  <si>
    <t>T-1686</t>
  </si>
  <si>
    <t>T-1687</t>
  </si>
  <si>
    <t>T-1688</t>
  </si>
  <si>
    <t>T-1689</t>
  </si>
  <si>
    <t>T-1691</t>
  </si>
  <si>
    <t>CH-16924</t>
  </si>
  <si>
    <t>CH-16926</t>
  </si>
  <si>
    <t>CH-16928</t>
  </si>
  <si>
    <t>CH-16933</t>
  </si>
  <si>
    <t>CH-16934</t>
  </si>
  <si>
    <t>CH-16936</t>
  </si>
  <si>
    <t>CH-A16930</t>
  </si>
  <si>
    <t>CH-16938</t>
  </si>
  <si>
    <t>CH-16941</t>
  </si>
  <si>
    <t>CH-16942</t>
  </si>
  <si>
    <t>CH-16943</t>
  </si>
  <si>
    <t>CH-16947</t>
  </si>
  <si>
    <t>NOTARIA PUBLICA 32 SC</t>
  </si>
  <si>
    <t>CH-16948</t>
  </si>
  <si>
    <t>CH-16969</t>
  </si>
  <si>
    <t>TOYOMOTORS DE IRAPUATO S DE RL DE C</t>
  </si>
  <si>
    <t>CH-16976</t>
  </si>
  <si>
    <t>CH-16984</t>
  </si>
  <si>
    <t>CH-16951</t>
  </si>
  <si>
    <t>CH-16980</t>
  </si>
  <si>
    <t>CH-16981</t>
  </si>
  <si>
    <t>CH-16983</t>
  </si>
  <si>
    <t>CH-16958</t>
  </si>
  <si>
    <t>CH-16953</t>
  </si>
  <si>
    <t>CH-16954</t>
  </si>
  <si>
    <t>E    246</t>
  </si>
  <si>
    <t>CH-16955</t>
  </si>
  <si>
    <t>E    247</t>
  </si>
  <si>
    <t>CH-16956</t>
  </si>
  <si>
    <t>CH-16952</t>
  </si>
  <si>
    <t>CH-16957</t>
  </si>
  <si>
    <t>CH-16966</t>
  </si>
  <si>
    <t>E    253</t>
  </si>
  <si>
    <t>COMIS BBVA</t>
  </si>
  <si>
    <t>LJIMENEZ:COMIS BBVA DIC</t>
  </si>
  <si>
    <t>COMIS BAJIO DIC 2015</t>
  </si>
  <si>
    <t>E    258</t>
  </si>
  <si>
    <t>COMI AMEXC</t>
  </si>
  <si>
    <t>COMISIONES AMEXCO DIC</t>
  </si>
  <si>
    <t>T-1692</t>
  </si>
  <si>
    <t>T-1694</t>
  </si>
  <si>
    <t>T-1695</t>
  </si>
  <si>
    <t>T-1696</t>
  </si>
  <si>
    <t>T-1697</t>
  </si>
  <si>
    <t>T-1698</t>
  </si>
  <si>
    <t>T-1699</t>
  </si>
  <si>
    <t>TRANSPORTADORA AUTOMOTRIZ DEL PACIF</t>
  </si>
  <si>
    <t>T-1700</t>
  </si>
  <si>
    <t>T-1701</t>
  </si>
  <si>
    <t>E    269</t>
  </si>
  <si>
    <t>T-1702</t>
  </si>
  <si>
    <t>E    270</t>
  </si>
  <si>
    <t>T-1703</t>
  </si>
  <si>
    <t>E    272</t>
  </si>
  <si>
    <t>T-1704</t>
  </si>
  <si>
    <t>T-1705</t>
  </si>
  <si>
    <t>T-1706</t>
  </si>
  <si>
    <t>T-1707</t>
  </si>
  <si>
    <t>T-1708</t>
  </si>
  <si>
    <t>T-1709</t>
  </si>
  <si>
    <t>T-1710</t>
  </si>
  <si>
    <t>T-1711</t>
  </si>
  <si>
    <t>E    280</t>
  </si>
  <si>
    <t>T-1712</t>
  </si>
  <si>
    <t>T-1713</t>
  </si>
  <si>
    <t>E    282</t>
  </si>
  <si>
    <t>T-1714</t>
  </si>
  <si>
    <t>CH-16861</t>
  </si>
  <si>
    <t>E    284</t>
  </si>
  <si>
    <t>CH-16964</t>
  </si>
  <si>
    <t>CH-16940</t>
  </si>
  <si>
    <t>HAVLIVA SA DE CV</t>
  </si>
  <si>
    <t>E    294</t>
  </si>
  <si>
    <t>COMISIONES BANAMEX DICIEMBRE</t>
  </si>
  <si>
    <t>CH-1015</t>
  </si>
  <si>
    <t>E    296</t>
  </si>
  <si>
    <t>CH-16979</t>
  </si>
  <si>
    <t>LJIMENEZ:MONROY ESTRADA FELIPE</t>
  </si>
  <si>
    <t>COMISION CHEQUE DEVUELTO</t>
  </si>
  <si>
    <t>E    304</t>
  </si>
  <si>
    <t>T-2117</t>
  </si>
  <si>
    <t>E    305</t>
  </si>
  <si>
    <t>T-2118</t>
  </si>
  <si>
    <t>E    306</t>
  </si>
  <si>
    <t>T-2119</t>
  </si>
  <si>
    <t>E    307</t>
  </si>
  <si>
    <t>T-2120</t>
  </si>
  <si>
    <t>I  1,303</t>
  </si>
  <si>
    <t>EMBARQUE 270</t>
  </si>
  <si>
    <t xml:space="preserve">LJIMENEZ:PAGO REFACCIONES NOVIEMBRE    </t>
  </si>
  <si>
    <t>DICIEMBRE</t>
  </si>
  <si>
    <t>AUTOPISTA ARCO NORTE SA DE CV</t>
  </si>
  <si>
    <t>AUTOBUSES LA PIEDAD SA DE CV</t>
  </si>
  <si>
    <t>ART8503051P5</t>
  </si>
  <si>
    <t xml:space="preserve">ALIMENTOS SANOS DEL CENTRO SA DE CV </t>
  </si>
  <si>
    <t xml:space="preserve"> LOPEZ DOMINGUEZ SALVADOR</t>
  </si>
  <si>
    <t>CHAVEZ PEREZ NADYA JAZMIN</t>
  </si>
  <si>
    <t>CENTRO DE DISTRIBUCION ORIENTE</t>
  </si>
  <si>
    <t>DISTRIBUIDORA LIVERPOOL SA DE CV</t>
  </si>
  <si>
    <t xml:space="preserve">GASOLINERA CIUDAD INDUSTRIAL DE DURANGO SA </t>
  </si>
  <si>
    <t>GONZALEZ CORTEZ PATRICIA</t>
  </si>
  <si>
    <t xml:space="preserve">GYEK SANCHEZ GILBERTO </t>
  </si>
  <si>
    <t>GASCOL DE OCCIDENTE SA DE CV</t>
  </si>
  <si>
    <t>GRUPO PROFREZAC SA DE CV</t>
  </si>
  <si>
    <t>HAV130619B31</t>
  </si>
  <si>
    <t>JIMENEZ PEREZJORGE</t>
  </si>
  <si>
    <t>LIDERAZGO AUTOMOTRIZ DE PUEBLA SA DE CV</t>
  </si>
  <si>
    <t>APA000525KV6</t>
  </si>
  <si>
    <t>ALBA PAPELERIA</t>
  </si>
  <si>
    <t>AUTOMOTRIZ TOY SA DE CV</t>
  </si>
  <si>
    <t>ASADOS DON ABEL SA DE CV</t>
  </si>
  <si>
    <t>HYE150507T1A</t>
  </si>
  <si>
    <t>HOTEL YEKKAN SA DE CV</t>
  </si>
  <si>
    <t>MEFA810812SZ4</t>
  </si>
  <si>
    <t>MELLO FERREIRA ADRIANO</t>
  </si>
  <si>
    <t>MEBY771110GV3</t>
  </si>
  <si>
    <t>MENDOZA BALTAZAR YANET</t>
  </si>
  <si>
    <t>PAH031018ND7</t>
  </si>
  <si>
    <t>PROCESADORA DE ALIMENTOS HIDALGO SA DE CV</t>
  </si>
  <si>
    <t>CIB110415R65</t>
  </si>
  <si>
    <t xml:space="preserve">AUTOPISTA SALAMANCA-LEON </t>
  </si>
  <si>
    <t>COTSCO DE MEXICO SA DE CV</t>
  </si>
  <si>
    <t>BBVA BANCOMER</t>
  </si>
  <si>
    <t>FERRETERIA MODELOS DEL BAJIO SA DE CV</t>
  </si>
  <si>
    <t>CONCESIONARIA MEXIQUENSE</t>
  </si>
  <si>
    <t>FONDA NACIONAL DE INFRAESTRUCTURA</t>
  </si>
  <si>
    <t>IVI0404028E8</t>
  </si>
  <si>
    <t xml:space="preserve">INMOBILIARIA VILLAJUAN SA DECV </t>
  </si>
  <si>
    <t>SBO020902DX1</t>
  </si>
  <si>
    <t>SERVI BOULEVARD SA DE CV</t>
  </si>
  <si>
    <t>SCO9305195G7</t>
  </si>
  <si>
    <t>SERVICIOS A CONDOMINIOS SA DE CV</t>
  </si>
  <si>
    <t>GPA930101QI7</t>
  </si>
  <si>
    <t>GRUPO PARISINA SA DE CV</t>
  </si>
  <si>
    <t>JIQL890815788</t>
  </si>
  <si>
    <t>JIMENEZ DE LARA QUINTANA MARIA DE LOURDES</t>
  </si>
  <si>
    <t>ROCD771203V56</t>
  </si>
  <si>
    <t>ROMERO CANO DENNI</t>
  </si>
  <si>
    <t>RSM920701EP2</t>
  </si>
  <si>
    <t>RADIOSHACK DE MEXICO SA DE CV</t>
  </si>
  <si>
    <t>SERVICIOS DE HEROES CHURUBUSCO SA DE CV</t>
  </si>
  <si>
    <t>TONY TIENDAS SA DE CV</t>
  </si>
  <si>
    <t>UIJR5602144U1</t>
  </si>
  <si>
    <t xml:space="preserve">URINA JUAREZ ROBERTO </t>
  </si>
  <si>
    <t>VALOR  MOTRIZ S  DE  RL  DE  CV</t>
  </si>
  <si>
    <t>ORTEGA GODINEZ LUIS AHMED</t>
  </si>
  <si>
    <t>LOPEZ VELARDE SALVADOR PARADA</t>
  </si>
  <si>
    <t xml:space="preserve">RED VIA CORTA </t>
  </si>
  <si>
    <t>RED PACK SA DE CV</t>
  </si>
  <si>
    <t>RICO HERNANDEZ ARTURP JAVIER</t>
  </si>
  <si>
    <t>RIRV780214CA6</t>
  </si>
  <si>
    <t>ROCHA CALDERON MA MERCADES</t>
  </si>
  <si>
    <t>RUELAS FLORES JORGE</t>
  </si>
  <si>
    <t>SERVICIO LOS HEROES DE CHURUBUSCO SA DE CV</t>
  </si>
  <si>
    <t xml:space="preserve">SERVICIO VILLALOBOS SA </t>
  </si>
  <si>
    <t xml:space="preserve">TRAMO CARRETERO COLIMA-GUADALAJARA </t>
  </si>
  <si>
    <t>TAP1502119A3</t>
  </si>
  <si>
    <t>VAPM570921MV1</t>
  </si>
  <si>
    <t>VELARDE RANGEL JOSE LUIS</t>
  </si>
  <si>
    <t>LIBRAMIENTO NORESTE ZACATECAS</t>
  </si>
  <si>
    <t>ESTACION PALMA GORDA SA DE CV</t>
  </si>
  <si>
    <t>SEC940503BPA</t>
  </si>
  <si>
    <t>SERVI EXPRESS DE CUAUTITLAN SA DE CV</t>
  </si>
  <si>
    <t>CONSORCIO GASOLINERO PLUS SA DE CV</t>
  </si>
  <si>
    <t>OFI920113KZ8</t>
  </si>
  <si>
    <t>SUCURSAL OFIX 51 LEON</t>
  </si>
  <si>
    <t xml:space="preserve">AUTOPISTA MORELIA SALAMANCA </t>
  </si>
  <si>
    <t>GRUPO OCTANO SA DE CV</t>
  </si>
  <si>
    <t>RATL7404121R6</t>
  </si>
  <si>
    <t>LAURA LIDIA RANGEL TORRES</t>
  </si>
  <si>
    <t>BGU101022LB3</t>
  </si>
  <si>
    <t>BURRITOS GUTIERREZ S DE RL DE CV</t>
  </si>
  <si>
    <t>CONCESIONARIA AUTOPISTA MONTERREY -SANTILLO</t>
  </si>
  <si>
    <t>DCO0302147T9</t>
  </si>
  <si>
    <t>DESARROLLADORA DE CONCESIONARIO OMEGA</t>
  </si>
  <si>
    <t>DGM880621FU5</t>
  </si>
  <si>
    <t>DISTRIBUIDORA GASO MEX SA DE CV</t>
  </si>
  <si>
    <t>MPA980204J2A</t>
  </si>
  <si>
    <t>MOTEL PLAZA AZUL SALTILLO SA DE CV</t>
  </si>
  <si>
    <t>MULTISERVICIO SAN ROBERTO SA DE CV</t>
  </si>
  <si>
    <t>PBA9105283E9</t>
  </si>
  <si>
    <t>POMPA BOYLAN ASOCIADOS SA DE CV</t>
  </si>
  <si>
    <t>SERVICIO GASOLINEROS DE MEXICO SA DE CV</t>
  </si>
  <si>
    <t xml:space="preserve">SERVICIO SANTA MARIA DEL RIO SA DE CV </t>
  </si>
  <si>
    <t>GEC981004RE5</t>
  </si>
  <si>
    <t>GOBIERNO DEL ESTADO DE CHIHUAHUA</t>
  </si>
  <si>
    <t>ITE830426646</t>
  </si>
  <si>
    <t>INMOBILIARIA TEPEPAN SA DE CV</t>
  </si>
  <si>
    <t>AUTOPISTA SALMANCA -LEON</t>
  </si>
  <si>
    <t>LIB CASETA GUATEMALA</t>
  </si>
  <si>
    <t>RESV730517CL9</t>
  </si>
  <si>
    <t>REYES SANCHEZ VIRGINIA</t>
  </si>
  <si>
    <t>SIH9511279T7</t>
  </si>
  <si>
    <t>SUPERMERCADOS INTERNACIONALES HEB SA DE CV</t>
  </si>
  <si>
    <t>CRE841114M85</t>
  </si>
  <si>
    <t>OMNIBUS CRISTOBAL COLON SA DE CV</t>
  </si>
  <si>
    <t>TRANSPORTES CHIHUAHUANSES SA DE CV</t>
  </si>
  <si>
    <t>GONZALEZ REYNOSO EDUARDO GABRIEL</t>
  </si>
  <si>
    <t>MPL020607CX5</t>
  </si>
  <si>
    <t>MULTISERVICIO LA PLATA SA DE CV</t>
  </si>
  <si>
    <t>LIBRAMIENTO FRESNILLO ZAC</t>
  </si>
  <si>
    <t>SERVICIA JARDINES DE DURANGO SA DE CV</t>
  </si>
  <si>
    <t xml:space="preserve"> AUTOBUSES DE LA PIEDAD SA DE CV</t>
  </si>
  <si>
    <t>FID1967 TRAMO CARRETERO TOLUCA-ATLACOMULCO</t>
  </si>
  <si>
    <t>RESTAURANTES LAS TEXAS</t>
  </si>
  <si>
    <t xml:space="preserve">SERVICIOS VILLALOBOS SA </t>
  </si>
  <si>
    <t>RESTAURANTES NOVSEIS SA DE CV</t>
  </si>
  <si>
    <t>AUTOBUSES EXPRESO FUTURA SA DE CV</t>
  </si>
  <si>
    <t>AGU9106208Z8</t>
  </si>
  <si>
    <t>AUTOPISTA DE QUERETARO SA DE CV</t>
  </si>
  <si>
    <t>SERVICIO ACAPULCO DIAMANTE SA DE CV</t>
  </si>
  <si>
    <t>CAFETERIA Y RESTAURANTES EL PACIFICO SA DE CV</t>
  </si>
  <si>
    <t xml:space="preserve">INVERSIONES POTOSINAS </t>
  </si>
  <si>
    <t>CHH810626UC5</t>
  </si>
  <si>
    <t xml:space="preserve">COMPLEJO HOTELERO HIDALGUENSE LA PAZ SA </t>
  </si>
  <si>
    <t>RESTAURANTES TOKS SA DE CV</t>
  </si>
  <si>
    <t>PPR130311ADA</t>
  </si>
  <si>
    <t>PALERMO PROCESADOS S DE RL DE CV</t>
  </si>
  <si>
    <t>OPERADORA ALAMEDA PARK SA DE CV</t>
  </si>
  <si>
    <t>OEPD810402991</t>
  </si>
  <si>
    <t>ORTEGA PALACIOS DOLORES GRACIELA</t>
  </si>
  <si>
    <t>DCO0302147T6</t>
  </si>
  <si>
    <t>DESARROLLADORA DE CONCESIONES OMEGA SA DE CV</t>
  </si>
  <si>
    <t>GUERRERO RODRIGUEZ ROSALBA</t>
  </si>
  <si>
    <t>RODP740208M20</t>
  </si>
  <si>
    <t>RODRIGUEZ DIAZ PATRICIA</t>
  </si>
  <si>
    <t>JUAREZ ARREDONDO ARMANDO</t>
  </si>
  <si>
    <t>LMC741212JN6</t>
  </si>
  <si>
    <t>GRUPO DIAGNOSTICO MEDICO PROA SA DE CV</t>
  </si>
  <si>
    <t>MGA940712E28</t>
  </si>
  <si>
    <t>MONTI GASOLINERA SA DE CV</t>
  </si>
  <si>
    <t>CAP080114GMA</t>
  </si>
  <si>
    <t>CONCESIONARIA AUTOPISTA PEROTE-XALAPA SA DE CV</t>
  </si>
  <si>
    <t>PHI830429MG6</t>
  </si>
  <si>
    <t>EL PALACIO DE HIERRO SA DE CV</t>
  </si>
  <si>
    <t xml:space="preserve">RESTAURANTE LA PARROQUIA POTOSINA SA </t>
  </si>
  <si>
    <t>ZAHE741026UP3</t>
  </si>
  <si>
    <t>ZACARIAS HERNANDEZ EVARISTO</t>
  </si>
  <si>
    <t>CBI100624IY9</t>
  </si>
  <si>
    <t xml:space="preserve">CONCESONARIA BICENTENARIO </t>
  </si>
  <si>
    <t>ECV1110047I1</t>
  </si>
  <si>
    <t>ESTACION DE CARGA VIA LACTEA SA DE CV</t>
  </si>
  <si>
    <t>OGI140828JG7</t>
  </si>
  <si>
    <t>OPERADORA GASTRONOMICA IKE SA DE CV</t>
  </si>
  <si>
    <t>CVA041027H80</t>
  </si>
  <si>
    <t>CONCESIONARIA VUELA COMPAÑÍA DE AVIACION SAPI DE CV</t>
  </si>
  <si>
    <t>SUPER GAS DE FORTIN SA DECV</t>
  </si>
  <si>
    <t>SANTANA HERNANDEZ MIGUEL EDUARDO</t>
  </si>
  <si>
    <t>ASC591104TT1</t>
  </si>
  <si>
    <t>AUTO SERVICIOS COSTEÑO SA DE CV</t>
  </si>
  <si>
    <t>GYEK SANCHEZ GILBERTO</t>
  </si>
  <si>
    <t>TRAMO CARRETERO GUADALAJARA-COLIMA 358</t>
  </si>
  <si>
    <t>ERE120329EG5</t>
  </si>
  <si>
    <t>ERESERE SA DE CV</t>
  </si>
  <si>
    <t xml:space="preserve">ALEJANDRO LOPEZ NEGRETE </t>
  </si>
  <si>
    <t xml:space="preserve">RAUL CASTELANO MANDUJANO </t>
  </si>
  <si>
    <t>MOME800125VC3</t>
  </si>
  <si>
    <t>PESQUER SERVICIOS SA DE CV</t>
  </si>
  <si>
    <t>ROSALBA CASTILLO HUERTA</t>
  </si>
  <si>
    <t>ERICKA MONTERRUBIO MORALES</t>
  </si>
  <si>
    <t>JORGE RUELAS FLORES</t>
  </si>
  <si>
    <t>PSE021024GG5</t>
  </si>
  <si>
    <t>HAC1110243M5</t>
  </si>
  <si>
    <t>SISTEMAS Y FILTROS PARA AGUAS SA DE CV</t>
  </si>
  <si>
    <t xml:space="preserve">REDPACK SA DE CV </t>
  </si>
  <si>
    <t>EZC980430LPA</t>
  </si>
  <si>
    <t>EXTINTORES ZARAGOZA DE CELAYA SA DE CV</t>
  </si>
  <si>
    <t>KNO971104FKA</t>
  </si>
  <si>
    <t>KNOVA SA DE CV</t>
  </si>
  <si>
    <t>DIS1012133X7</t>
  </si>
  <si>
    <t>DISMAPA SA DE CV</t>
  </si>
  <si>
    <t>ASI8911134E8</t>
  </si>
  <si>
    <t>ARCOS SERCAL INMOBILIARIA S DE RL DE CV</t>
  </si>
  <si>
    <t xml:space="preserve">ELECTROCOMPONENTES SA DE CV 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</si>
  <si>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</si>
  <si>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</si>
  <si>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</si>
  <si>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</si>
  <si>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</si>
  <si>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</si>
  <si>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</si>
  <si>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</si>
  <si>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</si>
  <si>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</si>
  <si>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ACO090608LIA</t>
  </si>
  <si>
    <t>AFFAJA CONSULTORES S.A. DE</t>
  </si>
  <si>
    <t>AAZA710607JM8</t>
  </si>
  <si>
    <t>ALFREDO AYALA ZARAGOZA</t>
  </si>
  <si>
    <t>EIFJ401124B32</t>
  </si>
  <si>
    <t>ESPINOZA FLORES JAVIER MAR</t>
  </si>
  <si>
    <t>AMD891005M19</t>
  </si>
  <si>
    <t>ASOCIACION MEXICANA DE DISTRIBUIDORES DE AUTOMOTORES</t>
  </si>
  <si>
    <t>SCT060426KU7</t>
  </si>
  <si>
    <t>SERVICIO CENTRAL TECNOLOGI</t>
  </si>
  <si>
    <t>CMB7301184R2</t>
  </si>
  <si>
    <t>CONSTRUCCIONES METALICAS D</t>
  </si>
  <si>
    <t>MARIA SUSANA HILARIA RAMIR</t>
  </si>
  <si>
    <t>VASM651230HL2</t>
  </si>
  <si>
    <t>MARY FANY VALLE SANCHEZ</t>
  </si>
  <si>
    <t>:QUERETARO MOTORS, SA</t>
  </si>
  <si>
    <t>POW040811PH7</t>
  </si>
  <si>
    <t>POWERTRONICS S.A. DE C.V.</t>
  </si>
  <si>
    <t>ARANDA FERRO SOTERO</t>
  </si>
  <si>
    <t>TAS1103256N5</t>
  </si>
  <si>
    <t>TECNOLOGIA ALEMANA DE SAN</t>
  </si>
  <si>
    <t>ARMANDO JUAREZ ARREDONDO</t>
  </si>
  <si>
    <t>HOME DEPOT MEXICO</t>
  </si>
  <si>
    <t>AUTO ZONE DE MEXICO</t>
  </si>
  <si>
    <t>EHC921214FD2</t>
  </si>
  <si>
    <t>ENSUEñO HOTELERIA DE CELAY</t>
  </si>
  <si>
    <t>MACL680604KB1</t>
  </si>
  <si>
    <t>MADRIGAL CAMPOS JOSE LUIS</t>
  </si>
  <si>
    <t>MEMR640608S63</t>
  </si>
  <si>
    <t>MENDEZ MARTINEZ ROBERTO</t>
  </si>
  <si>
    <t>VCB870729PH6</t>
  </si>
  <si>
    <t>VECTOR CASA DE BOLSA</t>
  </si>
  <si>
    <t>FOOA880904LR4</t>
  </si>
  <si>
    <t>FLORES OSORIO ABRAHAM</t>
  </si>
  <si>
    <t>RAEB840209UR7</t>
  </si>
  <si>
    <t>RAMIREZ ESPINOSA BERNARDO</t>
  </si>
  <si>
    <t>TEO080625ET8</t>
  </si>
  <si>
    <t>TRABAJOS ESPECIALIZADOS DE</t>
  </si>
  <si>
    <t>CLV0602102L4</t>
  </si>
  <si>
    <t>CEVER LOMAS VERDES</t>
  </si>
  <si>
    <t>AUTOMOTRIZ TOY</t>
  </si>
  <si>
    <t>AUTOMOVILES VALLEJO</t>
  </si>
  <si>
    <t>ICE100408221</t>
  </si>
  <si>
    <t>POTOSINOS EXPRESS PAK</t>
  </si>
  <si>
    <t>PINTURAS ESTASE</t>
  </si>
  <si>
    <t>GUAM661010HR2</t>
  </si>
  <si>
    <t>AOAD930319D66</t>
  </si>
  <si>
    <t>ARROYO ARVIZU DIEGO ARTURO</t>
  </si>
  <si>
    <t>NOTA: ESTA UNIDAD NO DEBE DE LLEVAR IVA</t>
  </si>
  <si>
    <t>LA  ORUGA Y LA CEBADA SA DE CV</t>
  </si>
  <si>
    <t>MUYO561207UI0</t>
  </si>
  <si>
    <t>MUN YONG SUB</t>
  </si>
  <si>
    <t>GASOLINERA TOCUILA, SA DE CV</t>
  </si>
  <si>
    <t>RICARDO MARTINEZ HERNANDEZ</t>
  </si>
  <si>
    <t>AOCA561226LL0</t>
  </si>
  <si>
    <t>ALFREDO ARROYO CARRANZA</t>
  </si>
  <si>
    <t xml:space="preserve">LAS NUEVAS DELICIAS GASTRONOMICAS S DE RL DE CV </t>
  </si>
  <si>
    <t xml:space="preserve">COMERCIALIZADORA LA CONSAGRADA SA DE CV </t>
  </si>
  <si>
    <t>RODELI SAN JOSE SA DE CV</t>
  </si>
  <si>
    <t>SERVICIO MONTECARLO S.A. DE C.V.</t>
  </si>
  <si>
    <t>SMO961212AC4</t>
  </si>
  <si>
    <t>AUTOBUSES ESTRELLA BLANCA,S.A. DE C.V.</t>
  </si>
  <si>
    <t>AUTOSERVICIO GASHR, S.A. DE C.V.</t>
  </si>
  <si>
    <t>AUTOS PULLMAN S.A. DE C.V.</t>
  </si>
  <si>
    <t>ALIMENTOS SANOS DEL CENTRO, SA DE CV</t>
  </si>
  <si>
    <t>AUTO SERVICIO CABALLERO, S.A. DE C.V.</t>
  </si>
  <si>
    <t>CADENA COMERCIAL OXXO, S.A. DE C.V.</t>
  </si>
  <si>
    <t>CENTRO DE DISTRIBUCION ORIENTE, S.A. DE C.V.</t>
  </si>
  <si>
    <t>COMERCIALIZADORA FARMACEUTICA DE CHIAPAS, S.A. PI DE C.V.</t>
  </si>
  <si>
    <t>CENTRO METALICO DEL BAJIO, S.A. DE C.V.</t>
  </si>
  <si>
    <t>COVESU S.A. DE C.V.</t>
  </si>
  <si>
    <t>DHL EXPRESS MEXICO S.A. DE C.V.</t>
  </si>
  <si>
    <t>DISTRIBUIDORA ROESMA S.A. DE C.V.</t>
  </si>
  <si>
    <t>EDISON MAQUINARIA, S.A. DE C.V.</t>
  </si>
  <si>
    <t>ELECTROCOMPONENTES S.A. DE C.V.</t>
  </si>
  <si>
    <t>GASOLUB, S.A.DE C.V.</t>
  </si>
  <si>
    <t>GAS GUERRA, S.A. DE C.V.</t>
  </si>
  <si>
    <t>GRUPO QL, S.A. DE C.V.</t>
  </si>
  <si>
    <t>GASOLINERA DEL SURESTE SA DE CV</t>
  </si>
  <si>
    <t>GRUPO VICRO DEL SURESTE, S.A. DE C.V.</t>
  </si>
  <si>
    <t>AUTOZONE DE MÉXICO, S. DE R.L. DE C.V.</t>
  </si>
  <si>
    <t>COMERCIALIZADORA LA CONSAGRADA S.A. DE C.V.</t>
  </si>
  <si>
    <t>COMUNICACIONES NEXTEL DE MEXICO, S.A. DE C.V.</t>
  </si>
  <si>
    <t>CAFE SANTA FE SA DE CV</t>
  </si>
  <si>
    <t>DELICIAS POTOSINAS S.A DE C.V</t>
  </si>
  <si>
    <t>DPO070907165</t>
  </si>
  <si>
    <t>LJIMENEZ:DPO070907165</t>
  </si>
  <si>
    <t>ESTACIONES DE SERVICIO S.A. DE C.V.</t>
  </si>
  <si>
    <t>EUROGAS DE SAN LUIS SA DE CV</t>
  </si>
  <si>
    <t>ISIDRO ESQUIVEL RUIZ</t>
  </si>
  <si>
    <t>FERRETERIA MODELO DEL BAJIO, S.A. DE C.V.</t>
  </si>
  <si>
    <t>INVERSIONES POTOSINAS, SA DE CV</t>
  </si>
  <si>
    <t>JUNTA MUNICIPAL DE AGUA POTABLE Y ALCANTARILLADO DE CELAYA, GTO.</t>
  </si>
  <si>
    <t>NEXTFOODS SA DE CV</t>
  </si>
  <si>
    <t>LA ORUGA Y LA CEBADA, S.A. DE C.V.</t>
  </si>
  <si>
    <t>OPERADORA DE GASOLINERAS DEL SURESTE S.A. DE C.V.</t>
  </si>
  <si>
    <t>PINTURAS DE CELAYA, S.A. DE C.V.</t>
  </si>
  <si>
    <t>ALEJANDRO DIEGO RODRIGUEZ ARELLANO</t>
  </si>
  <si>
    <t>RESTAURANTES TOKS S.A. DE C.V.</t>
  </si>
  <si>
    <t>JORHUS HUGO SOLIS VALLE</t>
  </si>
  <si>
    <t>ETN TURISTAR LUJO, S.A. DE C.V.</t>
  </si>
  <si>
    <t>TORTAS LOCAS HIPOCAMPO</t>
  </si>
  <si>
    <t>YAZMIN IVONNE VASQUEZ ALCANTARA</t>
  </si>
  <si>
    <t>WELKO FAST FOOD S.A. DE C.V.</t>
  </si>
  <si>
    <t>MHMG ABOGADOS, S.C.</t>
  </si>
  <si>
    <t>MARCAS NESTLÉ, S.A. DE C.V.</t>
  </si>
  <si>
    <t>95/24 MÉXICO, S. DE R. L. DE C. V.</t>
  </si>
  <si>
    <t>NUEVA WAL MART DE MÉXICO, S. DE R. L. DE C.V.</t>
  </si>
  <si>
    <t>OMNIBUS DE MEXICO, S.A. DE C.V.</t>
  </si>
  <si>
    <t>SERVICIO ACAPULCO DIAMANTE S.A. DE C.V.</t>
  </si>
  <si>
    <t>SERVICIO COMERCIAL GARIS S.A. DE C.V.</t>
  </si>
  <si>
    <t>VICTOR MANUEL SEPULVEDA MARTINEZ</t>
  </si>
  <si>
    <t>SERVICIO SANTA MARIA DEL RIO S.A. DE C.V.</t>
  </si>
  <si>
    <t>SERVICIO ULTRAMODERNO S.A. DE C.V.</t>
  </si>
  <si>
    <t>LIANJU SU</t>
  </si>
  <si>
    <t>TRAPOTEX, S.A. DE C.V.</t>
  </si>
  <si>
    <t>UNITED AUTO DE MONTERREY S DE RL DE CV</t>
  </si>
  <si>
    <t>TOYOTA FINANCIAL SERVICES DE</t>
  </si>
  <si>
    <t>GARCIA PASTRANA FERNANDO</t>
  </si>
  <si>
    <t>FERNANDO ANTONIO VEGA MUÑOZ</t>
  </si>
  <si>
    <t>TIENDAS SORIANA, S.A. DE C.V.</t>
  </si>
  <si>
    <t>TERMINAL TERRESTRE POTOSINA, S.A. C.V.</t>
  </si>
  <si>
    <t>SEARS OPERADORA MEXICO, S.A. DE C.V.</t>
  </si>
  <si>
    <t>SUPER SERVICIO QUINTANA SA DE CV</t>
  </si>
  <si>
    <t xml:space="preserve">SERVICIO SANTA MARIA  DEL RIO SA DE CV </t>
  </si>
  <si>
    <t>RESTAURANTES CALIFORNIA S.A. DE C.V.</t>
  </si>
  <si>
    <t>PRODUCTOS METALICOS SUAREZ SA DE CV</t>
  </si>
  <si>
    <t>PINTURAS ESTASE S.A . DE C.V.</t>
  </si>
  <si>
    <t>VICTOR NICOLAS PLATA MONDRAGON</t>
  </si>
  <si>
    <t>OZ AUTOMOTRIZ DE  COLIMA S</t>
  </si>
  <si>
    <t>OPERADORA ALAMEDA PARK, S.</t>
  </si>
  <si>
    <t>LAS NUEVAS DELICIAS GASTRONOMICAS, S. DE R.L. DE C.V.</t>
  </si>
  <si>
    <t>ORGANIZACION DOT SA DE CV</t>
  </si>
  <si>
    <t>LUBRICANTES DEL BAJIO, S.A</t>
  </si>
  <si>
    <t>HOTEL PLAZA DEL SOL, S.A. DE C.V.</t>
  </si>
  <si>
    <t>COMISION BANAMEX</t>
  </si>
  <si>
    <t>HOME DEPOT MEXICO S. DE R.L. DE C.V.</t>
  </si>
  <si>
    <t>GILBERTO GYEK SANCHEZ</t>
  </si>
  <si>
    <t>GASOLINERA CIUDAD INDUSTRIAL DE DURANGO S.A.</t>
  </si>
  <si>
    <t>GRUPO ALTAMIRANO  MONROY S.A. DE C.V.</t>
  </si>
  <si>
    <t>FILTER DE QUERETARO S.A. DE C.V.</t>
  </si>
  <si>
    <t>FEMAL, S.A. DE C.V.</t>
  </si>
  <si>
    <t>DISTRIBUIDORA DE TORNILLOS Y BIRLOS S.A. DE C.V.</t>
  </si>
  <si>
    <t>CONSORCIO GASOLINERO PLUS, S.A. DE C.V.</t>
  </si>
  <si>
    <t>COMERCIALIZADORA ALIMENTICIA QUERETANA SA DE CV</t>
  </si>
  <si>
    <t>SANDRA EDITH BANDA VERA</t>
  </si>
  <si>
    <t>AH RESTAURANTE S.A. DE C.V.</t>
  </si>
  <si>
    <t>BALDERAS RODRIGUEZ MARLYN GUADALUPE</t>
  </si>
  <si>
    <t>FALTA EL NOMBRE</t>
  </si>
  <si>
    <t>SEVIBA S A DE CV</t>
  </si>
  <si>
    <t>OVIEDO VARGAS FRANCISCO</t>
  </si>
  <si>
    <t>INDUSTRIA DISEÑADORA DE  AU</t>
  </si>
  <si>
    <t>DTMAC COERCIAIZADORA SA DE CV</t>
  </si>
  <si>
    <t>DALTON AUTOMOTRIZ S DE R</t>
  </si>
  <si>
    <t>CRIBEIRO MARTIN ARNOLDO</t>
  </si>
  <si>
    <t>COMS BANCARIAS BBVA AGOSTO</t>
  </si>
  <si>
    <t>COMISIONES BANAMEX</t>
  </si>
  <si>
    <t>CEVER TOLUCA  S  DE  RL DE</t>
  </si>
  <si>
    <t xml:space="preserve"> DEREMATE COM DE MEXICO S DE R</t>
  </si>
  <si>
    <t>GSM010924QS2</t>
  </si>
  <si>
    <t>GRUPO STELLA MARIS S.A. DE CV</t>
  </si>
  <si>
    <t>NELLY ABARCA VARGAS</t>
  </si>
  <si>
    <t>AUTOBUSES DE PRIMERA CLASE MEXICO ZACATEPEC S.A. DE C.V.</t>
  </si>
  <si>
    <t>COEL S.A. DE C.V.</t>
  </si>
  <si>
    <t xml:space="preserve">BALEROS Y RETENES SUAREZ SA DE CV </t>
  </si>
  <si>
    <t>ESTACION 2020 SA DE CV</t>
  </si>
  <si>
    <t>GASTRONOMIA BAC SA DE CV</t>
  </si>
  <si>
    <t>CORPO SUBSTORE SA DE CV</t>
  </si>
  <si>
    <t>FIDEICOMISO SANTA FE F/305723</t>
  </si>
  <si>
    <t>COMPAÑIA OPERADORA DE ESTACIONAMIENTOS MEXICANOS S.A DE C.V</t>
  </si>
  <si>
    <t>ABRAHAM MORAN SERRANO</t>
  </si>
  <si>
    <t>OPERADORA DE ESTACIONES DE SERVICIO 20-20 S.A. DE C.V.</t>
  </si>
  <si>
    <t>MOISES OJEDA SANCHEZ</t>
  </si>
  <si>
    <t>PREMIUM RESTAURANT BRANDS S. DE R.L. DE C.V.</t>
  </si>
  <si>
    <t xml:space="preserve">PARADOR TURISTICO DEL ANTIPLANO SA DE CV </t>
  </si>
  <si>
    <t>SISTEMAS Y FILTROS PARA AGUA S.A DE C.V.</t>
  </si>
  <si>
    <t>SERVICIOS DE GASOLINA SANTOS, S.A DE C.V</t>
  </si>
  <si>
    <t>SERVICIO LOS HEROES DE CHURUBUSCO S.A DE C.V</t>
  </si>
  <si>
    <t>SERVICIO MAYELI, S.A. DE C.V.</t>
  </si>
  <si>
    <t>SERVICIO SAN JOSE DEL ALTO S.A. DE C.V.</t>
  </si>
  <si>
    <t>TONY TIENDAS S.A. DE C.V.</t>
  </si>
  <si>
    <t>AUTOMOTRIZ NIHON S.A DE  C</t>
  </si>
  <si>
    <t>COMISIONES BBVA SEP 2015</t>
  </si>
  <si>
    <t>PROCURADURIA FEDERAL DEL C</t>
  </si>
  <si>
    <t>SAMURAI MOTORS S DE  RL DE</t>
  </si>
  <si>
    <t>TOYOMOTORS DE IRAPUATO  S</t>
  </si>
  <si>
    <t>TOYOMOTORS DE POLANCO  S D</t>
  </si>
  <si>
    <t>CCOJ710106AY0</t>
  </si>
  <si>
    <t>JUAN CARLOS COSS CARMONA</t>
  </si>
  <si>
    <t>OOM960429832</t>
  </si>
  <si>
    <t>OPERADORA OMX SA DE CV</t>
  </si>
  <si>
    <t>SERVICIOS ENERGETICOS DE ZUMPANGO SA DE CV</t>
  </si>
  <si>
    <t>BADM630304N74</t>
  </si>
  <si>
    <t>GRUPO TORNILLERO DE LLANO</t>
  </si>
  <si>
    <t xml:space="preserve">LA FERRE COMERCIALIZADORA SA DE CV </t>
  </si>
  <si>
    <t xml:space="preserve">COSTCO DE MEXICO SA DE CV </t>
  </si>
  <si>
    <t>GCC0512227F3</t>
  </si>
  <si>
    <t xml:space="preserve">GRUPO COMERCIAL CONTROL SA DE CV </t>
  </si>
  <si>
    <t>RESTAURANTE LA PARROQUIA POTOSINA</t>
  </si>
  <si>
    <t>ENERMAX DEL BAJIO S. DE R.L. DE C.V.</t>
  </si>
  <si>
    <t>LLANTAS VEGA BOULEVARD, S.A. DE C.V.</t>
  </si>
  <si>
    <t>MARIA ROSARIO MARTINEZ MENDOZA</t>
  </si>
  <si>
    <t>PROVEEDORA DE COMBUSTIBLES ORIZABA SA DE CV</t>
  </si>
  <si>
    <t>OSCAR AYALA ESTRADA</t>
  </si>
  <si>
    <t>AUTOCOM NOVA S A P I DE CV</t>
  </si>
  <si>
    <t>ADMINISTRADORA DE GASOLINERAS INTERLOMAS S.A. DE C.V.</t>
  </si>
  <si>
    <t>AUTO SERVICIO ANGELOPOLIS S.A. DE C.V.</t>
  </si>
  <si>
    <t>COMERCIALIZADORA ALEXA S.A. DE C.V.</t>
  </si>
  <si>
    <t>J. GUADALUPE CAMACHO RAMIREZ</t>
  </si>
  <si>
    <t>DISTRIBUIDORA LIVERPOOL S.A. DE C.V.</t>
  </si>
  <si>
    <t>ESTAFETA MEXICANA S.A. DE C.V</t>
  </si>
  <si>
    <t>VICTOR ALFONSO FRAGOSO MARTINEZ</t>
  </si>
  <si>
    <t>COMPAÑÍA FERRETERA NUEVO MUNDO, S. DE R. L. DE C. V.</t>
  </si>
  <si>
    <t>GOBIERNO DEL ESTADO DE CAMPECHE</t>
  </si>
  <si>
    <t>GASOLINERA LOGO S. A.</t>
  </si>
  <si>
    <t>GRUPO FERNANDO AUTOMOTRIZ, S.A. DE C.V.</t>
  </si>
  <si>
    <t>GARMAN PACHUCA S.A. DE C.V.</t>
  </si>
  <si>
    <t>HURTADO NITO HECTOR</t>
  </si>
  <si>
    <t>INMOBILIARIA BOLNUEVO 10 S.A. DE C.V.</t>
  </si>
  <si>
    <t>GUILLERMO JARQUEZ REYNA</t>
  </si>
  <si>
    <t>AUTOSERVICIO EL AGUILA SA DE CV</t>
  </si>
  <si>
    <t>AUTOS PULLMAN, SA DE CV</t>
  </si>
  <si>
    <t>GUILLERMO BLANCO MORALES</t>
  </si>
  <si>
    <t>CENTAURO MOTOR S.A. DE C.V.</t>
  </si>
  <si>
    <t>GRUPO OCTANO S.A. DE C.V.</t>
  </si>
  <si>
    <t>GUILLERMO HERNANDEZ GARCIA</t>
  </si>
  <si>
    <t>OPERADORA MAGNA CRUZ S.A. DE C.V.</t>
  </si>
  <si>
    <t>RED DE CARRETERAS DE OCCIDENTE S.A.B. DE C.V.</t>
  </si>
  <si>
    <t>SERVICIO EL CHINO S.A. DE C.V.</t>
  </si>
  <si>
    <t>SISTEMA ROTATIVO DE ESPADAS, S DE RL DE CV</t>
  </si>
  <si>
    <t>ROSA DELIA SUAREZ PEREZ</t>
  </si>
  <si>
    <t>JUANA MARTINEZ MONTOYA</t>
  </si>
  <si>
    <t>MARISCOS CHILO, SA DE CV</t>
  </si>
  <si>
    <t>SERVICIOS UNIDOS TINAJAS SA DE CV</t>
  </si>
  <si>
    <t>TRACTO CENTER SA DE CV</t>
  </si>
  <si>
    <t xml:space="preserve">LA PIGUA SA </t>
  </si>
  <si>
    <t>COM071220BU9</t>
  </si>
  <si>
    <t xml:space="preserve">COMBURED SA DE CV </t>
  </si>
  <si>
    <t>MOLE750127KM2</t>
  </si>
  <si>
    <t>RESTAURANTE PARADOR DIAMANTE</t>
  </si>
  <si>
    <t>BAL950906G67</t>
  </si>
  <si>
    <t>BASICOS ALIMENTOS SA DE CV</t>
  </si>
  <si>
    <t>LJIMENEZ:INGENIERIA CONSULTIVA EN CONTRUCCION SA DE CV</t>
  </si>
  <si>
    <t>INGENIERIA CONSULTIVA EN CONTRUCCION SA DE CV</t>
  </si>
  <si>
    <t>INMOBILIARIA IGORA SA DE CV</t>
  </si>
  <si>
    <t>JORGE  RICARDO INNES HUERTA</t>
  </si>
  <si>
    <t>VECTOR CASA DE BOLSA SA DECV</t>
  </si>
  <si>
    <t>OTA1112022W4</t>
  </si>
  <si>
    <t>OPERADORA TURISTICA ARJIRITUR</t>
  </si>
  <si>
    <t>04</t>
  </si>
  <si>
    <t>PURDY MOTOR MEXICO DF S  D</t>
  </si>
  <si>
    <t>NUEVA WALMART DE MEXICO S</t>
  </si>
  <si>
    <t>LIDERAZGO AUTOMOTRIZ S  DE</t>
  </si>
  <si>
    <t>LABORATORIOS CORYCEL S.A.</t>
  </si>
  <si>
    <t>JOSE CARREÑO ARREGUIN</t>
  </si>
  <si>
    <t>IMPULSORA DE TRANSPORTES M</t>
  </si>
  <si>
    <t>VIATICOS HERNAN ANDRES SAM</t>
  </si>
  <si>
    <t>RESTAR 225.10</t>
  </si>
  <si>
    <t>FEB</t>
  </si>
  <si>
    <t>NO SE PRESENTA DE DA DE BAJA EN AGOSTO</t>
  </si>
  <si>
    <t>NO SE PRESENTA POR QUE NO SE DECLARO EN JULIO</t>
  </si>
  <si>
    <t>NO SE PRESENTA SE CANCELA EN  MAYO</t>
  </si>
  <si>
    <t>NO SE PRESENTA SE CANCELA EN MAYO</t>
  </si>
  <si>
    <t>NO SE PRESENTA YA QUE SE CANCELA EN DICIEMBRE</t>
  </si>
  <si>
    <t>NO SE PRESENTA SE CANCELA EN DICIEMBRE</t>
  </si>
  <si>
    <t xml:space="preserve">NO SE PRESENTO EN NOV </t>
  </si>
  <si>
    <t>NO SE PRESENTA YA QUE SE DA DE BAJA EN DIC</t>
  </si>
  <si>
    <t>DIFERENCIAS</t>
  </si>
  <si>
    <t>NO SE PRESENTA YA QUE SE CANCELA EN DIC</t>
  </si>
  <si>
    <t>NO SE PRESENTO EN SEPT</t>
  </si>
  <si>
    <t>NO SE PRESENTA SE DA DE BAJA EN DIC</t>
  </si>
  <si>
    <t>06</t>
  </si>
  <si>
    <t>03</t>
  </si>
  <si>
    <t>RAPS510129V8A</t>
  </si>
  <si>
    <t>CIMA7412228MA</t>
  </si>
  <si>
    <t>OIVF590129QI2</t>
  </si>
  <si>
    <t>PSJ120420SZ9</t>
  </si>
  <si>
    <t>OSP000113M54</t>
  </si>
  <si>
    <t>VAHF631120LE2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</si>
</sst>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.00\ _P_t_s_-;\-* #,##0.00\ _P_t_s_-;_-* &quot;-&quot;??\ _P_t_s_-;_-@_-"/>
    <numFmt numFmtId="165" formatCode="#,##0.0000"/>
    <numFmt numFmtId="166" formatCode="#,##0.000"/>
    <numFmt numFmtId="167" formatCode="#,##0.00_ ;[Red]\-#,##0.00\ "/>
    <numFmt numFmtId="168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Bookman"/>
      <family val="1"/>
    </font>
    <font>
      <b/>
      <sz val="10"/>
      <name val="Arial"/>
      <family val="2"/>
    </font>
    <font>
      <sz val="10"/>
      <name val="Bookman"/>
      <family val="1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rgb="FF9966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3" fillId="0" borderId="0" xfId="1" applyFont="1"/>
    <xf numFmtId="43" fontId="6" fillId="0" borderId="0" xfId="1" applyFo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/>
    <xf numFmtId="0" fontId="0" fillId="0" borderId="0" xfId="0" applyNumberFormat="1" applyFont="1" applyFill="1" applyAlignment="1"/>
    <xf numFmtId="0" fontId="0" fillId="0" borderId="0" xfId="0" applyFill="1"/>
    <xf numFmtId="0" fontId="7" fillId="0" borderId="0" xfId="0" applyNumberFormat="1" applyFont="1" applyFill="1" applyAlignment="1"/>
    <xf numFmtId="0" fontId="8" fillId="0" borderId="0" xfId="0" applyFont="1" applyFill="1" applyAlignment="1"/>
    <xf numFmtId="0" fontId="9" fillId="0" borderId="0" xfId="0" applyFont="1" applyFill="1"/>
    <xf numFmtId="0" fontId="7" fillId="0" borderId="0" xfId="0" applyNumberFormat="1" applyFont="1" applyFill="1"/>
    <xf numFmtId="0" fontId="7" fillId="0" borderId="0" xfId="2" applyNumberFormat="1" applyFont="1" applyFill="1" applyBorder="1" applyAlignment="1" applyProtection="1">
      <alignment horizontal="left"/>
    </xf>
    <xf numFmtId="0" fontId="7" fillId="0" borderId="0" xfId="0" applyFont="1" applyFill="1"/>
    <xf numFmtId="0" fontId="7" fillId="0" borderId="0" xfId="0" applyNumberFormat="1" applyFont="1" applyFill="1" applyAlignment="1">
      <alignment horizontal="left"/>
    </xf>
    <xf numFmtId="4" fontId="0" fillId="0" borderId="0" xfId="0" applyNumberFormat="1" applyFill="1"/>
    <xf numFmtId="4" fontId="7" fillId="0" borderId="0" xfId="0" applyNumberFormat="1" applyFont="1" applyFill="1"/>
    <xf numFmtId="0" fontId="7" fillId="3" borderId="0" xfId="0" applyFont="1" applyFill="1" applyAlignment="1"/>
    <xf numFmtId="0" fontId="8" fillId="0" borderId="0" xfId="0" applyNumberFormat="1" applyFont="1" applyFill="1" applyAlignment="1"/>
    <xf numFmtId="0" fontId="8" fillId="0" borderId="0" xfId="0" applyFont="1" applyFill="1"/>
    <xf numFmtId="0" fontId="7" fillId="4" borderId="0" xfId="0" applyNumberFormat="1" applyFont="1" applyFill="1" applyAlignment="1"/>
    <xf numFmtId="0" fontId="10" fillId="0" borderId="0" xfId="0" applyFont="1"/>
    <xf numFmtId="0" fontId="8" fillId="0" borderId="0" xfId="0" applyFont="1"/>
    <xf numFmtId="0" fontId="8" fillId="0" borderId="0" xfId="0" applyFont="1" applyFill="1" applyAlignment="1">
      <alignment horizontal="left"/>
    </xf>
    <xf numFmtId="4" fontId="7" fillId="0" borderId="0" xfId="0" applyNumberFormat="1" applyFont="1"/>
    <xf numFmtId="4" fontId="7" fillId="0" borderId="2" xfId="0" applyNumberFormat="1" applyFont="1" applyFill="1" applyBorder="1"/>
    <xf numFmtId="0" fontId="7" fillId="0" borderId="2" xfId="0" applyFont="1" applyBorder="1"/>
    <xf numFmtId="0" fontId="8" fillId="0" borderId="0" xfId="0" applyNumberFormat="1" applyFont="1" applyFill="1" applyBorder="1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4" borderId="0" xfId="0" applyFill="1"/>
    <xf numFmtId="0" fontId="0" fillId="0" borderId="0" xfId="0" applyFill="1" applyBorder="1" applyAlignment="1"/>
    <xf numFmtId="0" fontId="11" fillId="0" borderId="0" xfId="0" applyFont="1" applyFill="1" applyBorder="1" applyAlignment="1"/>
    <xf numFmtId="0" fontId="0" fillId="0" borderId="0" xfId="0" applyNumberFormat="1" applyFont="1" applyFill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4" fontId="10" fillId="0" borderId="0" xfId="0" applyNumberFormat="1" applyFont="1"/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Alignment="1">
      <alignment horizontal="left" vertical="top"/>
    </xf>
    <xf numFmtId="0" fontId="7" fillId="0" borderId="0" xfId="0" applyNumberFormat="1" applyFont="1" applyFill="1" applyAlignment="1">
      <alignment horizontal="left" vertical="top"/>
    </xf>
    <xf numFmtId="0" fontId="7" fillId="0" borderId="0" xfId="2" applyNumberFormat="1" applyFont="1" applyFill="1" applyBorder="1" applyAlignment="1" applyProtection="1">
      <alignment horizontal="left" vertical="top"/>
    </xf>
    <xf numFmtId="0" fontId="8" fillId="0" borderId="0" xfId="0" applyFont="1" applyFill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0" applyNumberFormat="1"/>
    <xf numFmtId="0" fontId="7" fillId="0" borderId="0" xfId="0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horizontal="left"/>
    </xf>
    <xf numFmtId="43" fontId="12" fillId="0" borderId="1" xfId="1" applyFont="1" applyBorder="1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Fill="1" applyBorder="1"/>
    <xf numFmtId="43" fontId="0" fillId="0" borderId="0" xfId="1" applyFont="1" applyBorder="1"/>
    <xf numFmtId="43" fontId="13" fillId="0" borderId="0" xfId="1" applyFont="1"/>
    <xf numFmtId="167" fontId="0" fillId="0" borderId="0" xfId="0" applyNumberFormat="1" applyFill="1"/>
    <xf numFmtId="0" fontId="14" fillId="0" borderId="0" xfId="0" applyFont="1" applyFill="1"/>
    <xf numFmtId="0" fontId="14" fillId="0" borderId="0" xfId="0" applyFont="1"/>
    <xf numFmtId="0" fontId="14" fillId="5" borderId="0" xfId="0" applyFont="1" applyFill="1"/>
    <xf numFmtId="43" fontId="15" fillId="0" borderId="0" xfId="1" applyFont="1"/>
    <xf numFmtId="0" fontId="14" fillId="6" borderId="0" xfId="0" applyFont="1" applyFill="1"/>
    <xf numFmtId="43" fontId="15" fillId="6" borderId="0" xfId="1" applyFont="1" applyFill="1"/>
    <xf numFmtId="0" fontId="15" fillId="0" borderId="0" xfId="0" applyFont="1"/>
    <xf numFmtId="0" fontId="15" fillId="6" borderId="0" xfId="0" applyFont="1" applyFill="1"/>
    <xf numFmtId="0" fontId="14" fillId="7" borderId="0" xfId="0" applyFont="1" applyFill="1"/>
    <xf numFmtId="0" fontId="15" fillId="7" borderId="0" xfId="0" applyFont="1" applyFill="1"/>
    <xf numFmtId="43" fontId="15" fillId="0" borderId="0" xfId="1" applyFont="1" applyFill="1"/>
    <xf numFmtId="0" fontId="15" fillId="0" borderId="0" xfId="0" applyFont="1" applyFill="1"/>
    <xf numFmtId="0" fontId="0" fillId="0" borderId="0" xfId="0" applyFill="1" applyAlignment="1">
      <alignment horizontal="left"/>
    </xf>
    <xf numFmtId="0" fontId="0" fillId="2" borderId="0" xfId="0" applyFill="1"/>
    <xf numFmtId="0" fontId="0" fillId="0" borderId="0" xfId="0" applyNumberFormat="1" applyFo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ont="1" applyFill="1"/>
    <xf numFmtId="0" fontId="16" fillId="0" borderId="0" xfId="0" applyFont="1"/>
    <xf numFmtId="0" fontId="16" fillId="0" borderId="0" xfId="0" applyFont="1" applyFill="1"/>
    <xf numFmtId="0" fontId="0" fillId="0" borderId="0" xfId="0" applyFont="1" applyFill="1"/>
    <xf numFmtId="0" fontId="0" fillId="8" borderId="0" xfId="0" applyFill="1"/>
    <xf numFmtId="0" fontId="17" fillId="0" borderId="0" xfId="0" applyFont="1"/>
    <xf numFmtId="0" fontId="0" fillId="9" borderId="0" xfId="0" applyNumberFormat="1" applyFont="1" applyFill="1" applyAlignment="1">
      <alignment horizontal="left"/>
    </xf>
    <xf numFmtId="43" fontId="0" fillId="0" borderId="0" xfId="1" applyFont="1" applyAlignment="1"/>
    <xf numFmtId="43" fontId="0" fillId="0" borderId="0" xfId="1" applyFont="1" applyAlignment="1">
      <alignment horizontal="left"/>
    </xf>
    <xf numFmtId="0" fontId="0" fillId="8" borderId="0" xfId="0" applyFill="1" applyAlignment="1">
      <alignment horizontal="left"/>
    </xf>
    <xf numFmtId="4" fontId="0" fillId="0" borderId="0" xfId="0" applyNumberFormat="1" applyFont="1"/>
    <xf numFmtId="0" fontId="7" fillId="9" borderId="0" xfId="0" applyNumberFormat="1" applyFont="1" applyFill="1" applyAlignment="1">
      <alignment horizontal="left"/>
    </xf>
    <xf numFmtId="43" fontId="0" fillId="0" borderId="0" xfId="1" applyFont="1" applyFill="1"/>
    <xf numFmtId="0" fontId="3" fillId="0" borderId="0" xfId="0" applyFont="1"/>
    <xf numFmtId="14" fontId="0" fillId="0" borderId="0" xfId="0" applyNumberFormat="1" applyBorder="1"/>
    <xf numFmtId="0" fontId="1" fillId="0" borderId="0" xfId="3"/>
    <xf numFmtId="0" fontId="1" fillId="2" borderId="0" xfId="3" applyFill="1"/>
    <xf numFmtId="0" fontId="1" fillId="0" borderId="0" xfId="3" applyFill="1"/>
    <xf numFmtId="4" fontId="1" fillId="0" borderId="0" xfId="3" applyNumberFormat="1"/>
    <xf numFmtId="0" fontId="0" fillId="0" borderId="0" xfId="1" applyNumberFormat="1" applyFont="1" applyFill="1" applyBorder="1" applyAlignment="1" applyProtection="1">
      <alignment horizontal="left"/>
    </xf>
    <xf numFmtId="0" fontId="1" fillId="7" borderId="0" xfId="3" applyFill="1"/>
    <xf numFmtId="43" fontId="3" fillId="0" borderId="1" xfId="1" applyFont="1" applyBorder="1"/>
    <xf numFmtId="0" fontId="0" fillId="10" borderId="0" xfId="0" applyFill="1"/>
    <xf numFmtId="0" fontId="7" fillId="10" borderId="0" xfId="0" applyFont="1" applyFill="1"/>
    <xf numFmtId="4" fontId="0" fillId="2" borderId="0" xfId="0" applyNumberFormat="1" applyFill="1"/>
    <xf numFmtId="4" fontId="18" fillId="2" borderId="0" xfId="0" applyNumberFormat="1" applyFont="1" applyFill="1"/>
    <xf numFmtId="0" fontId="19" fillId="0" borderId="0" xfId="0" applyFont="1" applyFill="1" applyProtection="1">
      <protection locked="0"/>
    </xf>
    <xf numFmtId="0" fontId="7" fillId="8" borderId="0" xfId="0" applyFont="1" applyFill="1"/>
    <xf numFmtId="4" fontId="7" fillId="11" borderId="0" xfId="0" applyNumberFormat="1" applyFont="1" applyFill="1"/>
    <xf numFmtId="4" fontId="0" fillId="11" borderId="0" xfId="0" applyNumberFormat="1" applyFill="1"/>
    <xf numFmtId="4" fontId="1" fillId="0" borderId="0" xfId="3" applyNumberFormat="1" applyFill="1"/>
    <xf numFmtId="4" fontId="7" fillId="8" borderId="0" xfId="0" applyNumberFormat="1" applyFont="1" applyFill="1"/>
    <xf numFmtId="0" fontId="1" fillId="8" borderId="0" xfId="3" applyFill="1"/>
    <xf numFmtId="4" fontId="0" fillId="8" borderId="0" xfId="0" applyNumberFormat="1" applyFill="1"/>
    <xf numFmtId="0" fontId="20" fillId="0" borderId="0" xfId="0" applyFont="1"/>
    <xf numFmtId="0" fontId="7" fillId="11" borderId="0" xfId="0" applyFont="1" applyFill="1"/>
    <xf numFmtId="0" fontId="0" fillId="11" borderId="0" xfId="0" applyFill="1"/>
    <xf numFmtId="4" fontId="7" fillId="10" borderId="0" xfId="0" applyNumberFormat="1" applyFont="1" applyFill="1"/>
    <xf numFmtId="4" fontId="0" fillId="10" borderId="0" xfId="0" applyNumberFormat="1" applyFill="1"/>
    <xf numFmtId="0" fontId="0" fillId="12" borderId="0" xfId="0" applyNumberFormat="1" applyFont="1" applyFill="1" applyAlignment="1">
      <alignment horizontal="left"/>
    </xf>
    <xf numFmtId="4" fontId="0" fillId="7" borderId="0" xfId="0" applyNumberFormat="1" applyFill="1"/>
    <xf numFmtId="0" fontId="16" fillId="8" borderId="0" xfId="0" applyFont="1" applyFill="1"/>
    <xf numFmtId="0" fontId="0" fillId="8" borderId="0" xfId="0" applyFont="1" applyFill="1"/>
    <xf numFmtId="0" fontId="19" fillId="0" borderId="0" xfId="0" applyFont="1" applyFill="1"/>
    <xf numFmtId="168" fontId="0" fillId="0" borderId="0" xfId="0" applyNumberFormat="1"/>
    <xf numFmtId="0" fontId="21" fillId="0" borderId="0" xfId="0" applyFont="1"/>
    <xf numFmtId="14" fontId="21" fillId="0" borderId="0" xfId="0" applyNumberFormat="1" applyFont="1"/>
    <xf numFmtId="43" fontId="21" fillId="0" borderId="0" xfId="1" applyFont="1"/>
    <xf numFmtId="0" fontId="0" fillId="0" borderId="0" xfId="3" applyFont="1" applyFill="1"/>
    <xf numFmtId="0" fontId="21" fillId="0" borderId="0" xfId="0" applyFont="1" applyFill="1"/>
    <xf numFmtId="43" fontId="0" fillId="0" borderId="0" xfId="1" applyNumberFormat="1" applyFont="1"/>
    <xf numFmtId="0" fontId="22" fillId="0" borderId="0" xfId="0" applyFont="1" applyProtection="1">
      <protection locked="0"/>
    </xf>
    <xf numFmtId="0" fontId="0" fillId="13" borderId="0" xfId="0" applyFill="1"/>
    <xf numFmtId="14" fontId="0" fillId="13" borderId="0" xfId="0" applyNumberFormat="1" applyFill="1"/>
    <xf numFmtId="43" fontId="0" fillId="13" borderId="0" xfId="1" applyFont="1" applyFill="1"/>
    <xf numFmtId="0" fontId="22" fillId="0" borderId="0" xfId="0" applyFont="1" applyFill="1" applyProtection="1">
      <protection locked="0"/>
    </xf>
    <xf numFmtId="0" fontId="0" fillId="0" borderId="0" xfId="3" applyFont="1"/>
    <xf numFmtId="0" fontId="23" fillId="0" borderId="0" xfId="3" applyFont="1" applyFill="1"/>
    <xf numFmtId="43" fontId="23" fillId="0" borderId="0" xfId="1" applyFont="1"/>
    <xf numFmtId="14" fontId="0" fillId="2" borderId="0" xfId="0" applyNumberFormat="1" applyFill="1"/>
    <xf numFmtId="43" fontId="0" fillId="2" borderId="0" xfId="1" applyFont="1" applyFill="1"/>
    <xf numFmtId="43" fontId="24" fillId="0" borderId="0" xfId="1" applyFont="1"/>
    <xf numFmtId="0" fontId="0" fillId="0" borderId="0" xfId="0" quotePrefix="1"/>
    <xf numFmtId="43" fontId="6" fillId="0" borderId="1" xfId="1" applyFont="1" applyBorder="1"/>
    <xf numFmtId="0" fontId="18" fillId="2" borderId="0" xfId="0" applyFont="1" applyFill="1"/>
    <xf numFmtId="14" fontId="18" fillId="2" borderId="0" xfId="0" applyNumberFormat="1" applyFont="1" applyFill="1"/>
    <xf numFmtId="43" fontId="18" fillId="2" borderId="0" xfId="1" applyFont="1" applyFill="1"/>
    <xf numFmtId="0" fontId="0" fillId="14" borderId="0" xfId="0" applyFill="1"/>
    <xf numFmtId="14" fontId="0" fillId="14" borderId="0" xfId="0" applyNumberFormat="1" applyFill="1"/>
    <xf numFmtId="0" fontId="18" fillId="14" borderId="0" xfId="0" applyFont="1" applyFill="1"/>
    <xf numFmtId="4" fontId="7" fillId="14" borderId="0" xfId="0" applyNumberFormat="1" applyFont="1" applyFill="1"/>
    <xf numFmtId="43" fontId="0" fillId="14" borderId="0" xfId="1" applyFont="1" applyFill="1"/>
    <xf numFmtId="0" fontId="1" fillId="14" borderId="0" xfId="3" applyFill="1"/>
    <xf numFmtId="4" fontId="0" fillId="14" borderId="0" xfId="0" applyNumberFormat="1" applyFill="1"/>
    <xf numFmtId="0" fontId="7" fillId="14" borderId="0" xfId="0" applyFont="1" applyFill="1"/>
    <xf numFmtId="0" fontId="7" fillId="2" borderId="0" xfId="0" applyNumberFormat="1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7" fillId="2" borderId="0" xfId="0" applyFont="1" applyFill="1"/>
    <xf numFmtId="0" fontId="18" fillId="2" borderId="0" xfId="3" applyFont="1" applyFill="1"/>
    <xf numFmtId="0" fontId="14" fillId="2" borderId="0" xfId="0" applyFont="1" applyFill="1"/>
    <xf numFmtId="0" fontId="15" fillId="2" borderId="0" xfId="0" applyFont="1" applyFill="1"/>
    <xf numFmtId="14" fontId="0" fillId="0" borderId="0" xfId="0" applyNumberFormat="1" applyFill="1"/>
    <xf numFmtId="14" fontId="21" fillId="0" borderId="0" xfId="0" applyNumberFormat="1" applyFont="1" applyFill="1"/>
    <xf numFmtId="0" fontId="25" fillId="0" borderId="0" xfId="0" applyFont="1" applyFill="1"/>
    <xf numFmtId="43" fontId="21" fillId="0" borderId="0" xfId="1" applyFont="1" applyFill="1"/>
    <xf numFmtId="43" fontId="3" fillId="0" borderId="0" xfId="0" applyNumberFormat="1" applyFont="1"/>
    <xf numFmtId="43" fontId="0" fillId="0" borderId="0" xfId="0" applyNumberFormat="1" applyFill="1"/>
    <xf numFmtId="43" fontId="3" fillId="0" borderId="0" xfId="0" applyNumberFormat="1" applyFont="1" applyFill="1"/>
  </cellXfs>
  <cellStyles count="4">
    <cellStyle name="Millares" xfId="1" builtinId="3"/>
    <cellStyle name="Millares_Hoja1" xfId="2"/>
    <cellStyle name="Normal" xfId="0" builtinId="0"/>
    <cellStyle name="Normal 2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253710</xdr:colOff>
      <xdr:row>414</xdr:row>
      <xdr:rowOff>148937</xdr:rowOff>
    </xdr:from>
    <xdr:to>
      <xdr:col>4</xdr:col>
      <xdr:colOff>1126222</xdr:colOff>
      <xdr:row>418</xdr:row>
      <xdr:rowOff>106936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9096" y="79024596"/>
          <a:ext cx="872512" cy="7199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592</xdr:row>
      <xdr:rowOff>123825</xdr:rowOff>
    </xdr:from>
    <xdr:to>
      <xdr:col>4</xdr:col>
      <xdr:colOff>2167912</xdr:colOff>
      <xdr:row>596</xdr:row>
      <xdr:rowOff>81824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33775" y="112899825"/>
          <a:ext cx="872512" cy="719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1266825</xdr:colOff>
      <xdr:row>458</xdr:row>
      <xdr:rowOff>114300</xdr:rowOff>
    </xdr:from>
    <xdr:to>
      <xdr:col>4</xdr:col>
      <xdr:colOff>2139337</xdr:colOff>
      <xdr:row>462</xdr:row>
      <xdr:rowOff>72299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73837800"/>
          <a:ext cx="872512" cy="719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725</xdr:row>
      <xdr:rowOff>123825</xdr:rowOff>
    </xdr:from>
    <xdr:to>
      <xdr:col>4</xdr:col>
      <xdr:colOff>1310662</xdr:colOff>
      <xdr:row>729</xdr:row>
      <xdr:rowOff>81824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0" y="138217275"/>
          <a:ext cx="634387" cy="719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1247775</xdr:colOff>
      <xdr:row>390</xdr:row>
      <xdr:rowOff>57150</xdr:rowOff>
    </xdr:from>
    <xdr:to>
      <xdr:col>4</xdr:col>
      <xdr:colOff>2120287</xdr:colOff>
      <xdr:row>394</xdr:row>
      <xdr:rowOff>15149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8050" y="74352150"/>
          <a:ext cx="872512" cy="719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1085850</xdr:colOff>
      <xdr:row>364</xdr:row>
      <xdr:rowOff>152400</xdr:rowOff>
    </xdr:from>
    <xdr:to>
      <xdr:col>4</xdr:col>
      <xdr:colOff>1958362</xdr:colOff>
      <xdr:row>368</xdr:row>
      <xdr:rowOff>110399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0" y="69494400"/>
          <a:ext cx="872512" cy="719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317</xdr:row>
      <xdr:rowOff>114300</xdr:rowOff>
    </xdr:from>
    <xdr:to>
      <xdr:col>4</xdr:col>
      <xdr:colOff>1986937</xdr:colOff>
      <xdr:row>321</xdr:row>
      <xdr:rowOff>72299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325" y="60521850"/>
          <a:ext cx="872512" cy="7199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361</xdr:row>
      <xdr:rowOff>161925</xdr:rowOff>
    </xdr:from>
    <xdr:to>
      <xdr:col>4</xdr:col>
      <xdr:colOff>2063137</xdr:colOff>
      <xdr:row>365</xdr:row>
      <xdr:rowOff>119924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48075" y="68932425"/>
          <a:ext cx="872512" cy="719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330</xdr:row>
      <xdr:rowOff>152400</xdr:rowOff>
    </xdr:from>
    <xdr:to>
      <xdr:col>4</xdr:col>
      <xdr:colOff>386737</xdr:colOff>
      <xdr:row>334</xdr:row>
      <xdr:rowOff>110399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5450" y="63017400"/>
          <a:ext cx="872512" cy="719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1266825</xdr:colOff>
      <xdr:row>388</xdr:row>
      <xdr:rowOff>114300</xdr:rowOff>
    </xdr:from>
    <xdr:to>
      <xdr:col>4</xdr:col>
      <xdr:colOff>2139337</xdr:colOff>
      <xdr:row>392</xdr:row>
      <xdr:rowOff>72299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73837800"/>
          <a:ext cx="872512" cy="719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1110962</xdr:colOff>
      <xdr:row>377</xdr:row>
      <xdr:rowOff>157596</xdr:rowOff>
    </xdr:from>
    <xdr:to>
      <xdr:col>4</xdr:col>
      <xdr:colOff>1983474</xdr:colOff>
      <xdr:row>381</xdr:row>
      <xdr:rowOff>115595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5621" y="71976096"/>
          <a:ext cx="872512" cy="719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381</xdr:row>
      <xdr:rowOff>66675</xdr:rowOff>
    </xdr:from>
    <xdr:to>
      <xdr:col>4</xdr:col>
      <xdr:colOff>2034562</xdr:colOff>
      <xdr:row>385</xdr:row>
      <xdr:rowOff>24674</xdr:rowOff>
    </xdr:to>
    <xdr:pic>
      <xdr:nvPicPr>
        <xdr:cNvPr id="2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2350" y="72656700"/>
          <a:ext cx="872512" cy="719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tabilidad\Desktop\PAPEL%20DE%20TRABAJO%20DIOT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RO.2015"/>
      <sheetName val="FEBRERO.2015"/>
      <sheetName val="MARZO.2015"/>
      <sheetName val="ABRIL.2015"/>
      <sheetName val="MAY.2015"/>
      <sheetName val="JUN.2015"/>
      <sheetName val="JUL.2015"/>
      <sheetName val="AGO.2015"/>
      <sheetName val="SEP.2015"/>
      <sheetName val="OCT.2015"/>
      <sheetName val="NOV 2015"/>
      <sheetName val="DIC 15"/>
      <sheetName val="AGOSTO"/>
      <sheetName val="Hoja3"/>
      <sheetName val="Hoja2"/>
      <sheetName val="Hoja5"/>
      <sheetName val="Hoja4"/>
      <sheetName val="Hoja1"/>
      <sheetName val="Hoja6"/>
    </sheetNames>
    <sheetDataSet>
      <sheetData sheetId="0">
        <row r="43">
          <cell r="H43">
            <v>-225004.5</v>
          </cell>
          <cell r="I43">
            <v>-36000.720000000001</v>
          </cell>
        </row>
        <row r="75">
          <cell r="H75">
            <v>2901.8125</v>
          </cell>
          <cell r="I75">
            <v>464.29</v>
          </cell>
        </row>
        <row r="207">
          <cell r="H207">
            <v>265009.625</v>
          </cell>
          <cell r="I207">
            <v>42401.54</v>
          </cell>
        </row>
        <row r="220">
          <cell r="H220">
            <v>272863.9375</v>
          </cell>
          <cell r="I220">
            <v>43658.23</v>
          </cell>
        </row>
        <row r="253">
          <cell r="H253">
            <v>303993.75</v>
          </cell>
          <cell r="I253">
            <v>48639</v>
          </cell>
        </row>
        <row r="282">
          <cell r="H282">
            <v>299669.75</v>
          </cell>
          <cell r="I282">
            <v>47947.16</v>
          </cell>
        </row>
        <row r="285">
          <cell r="H285">
            <v>207070.75</v>
          </cell>
          <cell r="I285">
            <v>33131.32</v>
          </cell>
        </row>
        <row r="286">
          <cell r="H286">
            <v>207070.75</v>
          </cell>
          <cell r="I286">
            <v>33131.32</v>
          </cell>
        </row>
        <row r="293">
          <cell r="H293">
            <v>165304.625</v>
          </cell>
          <cell r="I293">
            <v>26448.74</v>
          </cell>
        </row>
        <row r="310">
          <cell r="H310">
            <v>168064.9375</v>
          </cell>
          <cell r="I310">
            <v>26890.39</v>
          </cell>
        </row>
      </sheetData>
      <sheetData sheetId="1">
        <row r="167">
          <cell r="H167">
            <v>225942.25</v>
          </cell>
          <cell r="I167">
            <v>36150.76</v>
          </cell>
        </row>
        <row r="216">
          <cell r="H216">
            <v>347385.625</v>
          </cell>
          <cell r="I216">
            <v>55581.7</v>
          </cell>
        </row>
        <row r="222">
          <cell r="H222">
            <v>156583.1875</v>
          </cell>
          <cell r="I222">
            <v>25053.31</v>
          </cell>
        </row>
        <row r="270">
          <cell r="H270">
            <v>186125.625</v>
          </cell>
          <cell r="I270">
            <v>29780.1</v>
          </cell>
        </row>
        <row r="275">
          <cell r="H275">
            <v>164108.1875</v>
          </cell>
          <cell r="I275">
            <v>26257.31</v>
          </cell>
        </row>
        <row r="288">
          <cell r="H288">
            <v>153711.5</v>
          </cell>
          <cell r="I288">
            <v>24593.84</v>
          </cell>
        </row>
        <row r="289">
          <cell r="H289">
            <v>260901.75</v>
          </cell>
          <cell r="I289">
            <v>41744.28</v>
          </cell>
        </row>
        <row r="291">
          <cell r="H291">
            <v>196764.125</v>
          </cell>
          <cell r="I291">
            <v>31482.26</v>
          </cell>
        </row>
        <row r="312">
          <cell r="H312">
            <v>301014.625</v>
          </cell>
          <cell r="I312">
            <v>48162.34</v>
          </cell>
        </row>
      </sheetData>
      <sheetData sheetId="2">
        <row r="64">
          <cell r="H64">
            <v>13117.937499999998</v>
          </cell>
          <cell r="I64">
            <v>2098.87</v>
          </cell>
        </row>
        <row r="233">
          <cell r="H233">
            <v>329119.6875</v>
          </cell>
          <cell r="I233">
            <v>52659.15</v>
          </cell>
        </row>
      </sheetData>
      <sheetData sheetId="3">
        <row r="55">
          <cell r="H55">
            <v>244667.125</v>
          </cell>
          <cell r="I55">
            <v>39146.74</v>
          </cell>
        </row>
        <row r="151">
          <cell r="H151">
            <v>225942.4375</v>
          </cell>
          <cell r="I151">
            <v>36150.79</v>
          </cell>
        </row>
        <row r="162">
          <cell r="H162">
            <v>264822.8125</v>
          </cell>
          <cell r="I162">
            <v>42371.65</v>
          </cell>
        </row>
        <row r="163">
          <cell r="H163">
            <v>301014.625</v>
          </cell>
          <cell r="I163">
            <v>48162.34</v>
          </cell>
        </row>
        <row r="176">
          <cell r="H176">
            <v>301012.875</v>
          </cell>
          <cell r="I176">
            <v>48162.06</v>
          </cell>
        </row>
      </sheetData>
      <sheetData sheetId="4">
        <row r="233">
          <cell r="H233">
            <v>304969.875</v>
          </cell>
          <cell r="I233">
            <v>48795.18</v>
          </cell>
        </row>
        <row r="308">
          <cell r="H308">
            <v>149040.0625</v>
          </cell>
          <cell r="I308">
            <v>23846.41</v>
          </cell>
        </row>
        <row r="314">
          <cell r="H314">
            <v>245825.0625</v>
          </cell>
          <cell r="I314">
            <v>39332.01</v>
          </cell>
        </row>
        <row r="315">
          <cell r="H315">
            <v>156410.75</v>
          </cell>
          <cell r="I315">
            <v>25025.72</v>
          </cell>
        </row>
        <row r="347">
          <cell r="H347">
            <v>260901.75</v>
          </cell>
          <cell r="I347">
            <v>41744.28</v>
          </cell>
        </row>
      </sheetData>
      <sheetData sheetId="5">
        <row r="40">
          <cell r="H40">
            <v>303993.75</v>
          </cell>
          <cell r="I40">
            <v>48639</v>
          </cell>
        </row>
        <row r="83">
          <cell r="H83">
            <v>164790.0625</v>
          </cell>
          <cell r="I83">
            <v>26366.41</v>
          </cell>
        </row>
        <row r="84">
          <cell r="H84">
            <v>164790.0625</v>
          </cell>
          <cell r="I84">
            <v>26366.41</v>
          </cell>
        </row>
        <row r="88">
          <cell r="H88">
            <v>302316.0625</v>
          </cell>
          <cell r="I88">
            <v>48370.57</v>
          </cell>
        </row>
        <row r="278">
          <cell r="H278">
            <v>264997</v>
          </cell>
          <cell r="I278">
            <v>42399.519999999997</v>
          </cell>
        </row>
        <row r="311">
          <cell r="H311">
            <v>318837.0625</v>
          </cell>
          <cell r="I311">
            <v>51013.93</v>
          </cell>
        </row>
        <row r="315">
          <cell r="H315">
            <v>280849.8125</v>
          </cell>
          <cell r="I315">
            <v>44935.97</v>
          </cell>
        </row>
        <row r="317">
          <cell r="H317">
            <v>318837.0625</v>
          </cell>
          <cell r="I317">
            <v>51013.93</v>
          </cell>
        </row>
        <row r="331">
          <cell r="H331">
            <v>176821.875</v>
          </cell>
          <cell r="I331">
            <v>28291.5</v>
          </cell>
        </row>
        <row r="332">
          <cell r="H332">
            <v>226535.37500000003</v>
          </cell>
          <cell r="I332">
            <v>36245.660000000003</v>
          </cell>
        </row>
      </sheetData>
      <sheetData sheetId="6">
        <row r="43">
          <cell r="H43">
            <v>264997.125</v>
          </cell>
          <cell r="I43">
            <v>42399.54</v>
          </cell>
        </row>
        <row r="196">
          <cell r="H196">
            <v>193.75</v>
          </cell>
          <cell r="I196">
            <v>31</v>
          </cell>
        </row>
        <row r="204">
          <cell r="H204">
            <v>167666.6875</v>
          </cell>
          <cell r="I204">
            <v>26826.67</v>
          </cell>
        </row>
      </sheetData>
      <sheetData sheetId="7">
        <row r="71">
          <cell r="H71">
            <v>30000</v>
          </cell>
          <cell r="I71">
            <v>4800</v>
          </cell>
        </row>
        <row r="139">
          <cell r="H139">
            <v>153468.375</v>
          </cell>
          <cell r="I139">
            <v>24554.94</v>
          </cell>
        </row>
        <row r="159">
          <cell r="H159">
            <v>158063.6875</v>
          </cell>
          <cell r="I159">
            <v>25290.19</v>
          </cell>
        </row>
        <row r="215">
          <cell r="H215">
            <v>149115.9375</v>
          </cell>
          <cell r="I215">
            <v>23858.55</v>
          </cell>
        </row>
        <row r="222">
          <cell r="H222">
            <v>280717.9375</v>
          </cell>
          <cell r="I222">
            <v>44914.87</v>
          </cell>
        </row>
      </sheetData>
      <sheetData sheetId="8">
        <row r="83">
          <cell r="H83">
            <v>150305.0625</v>
          </cell>
          <cell r="I83">
            <v>24048.81</v>
          </cell>
        </row>
        <row r="86">
          <cell r="I86">
            <v>44929.66</v>
          </cell>
        </row>
        <row r="87">
          <cell r="H87">
            <v>-241505.74999999997</v>
          </cell>
          <cell r="I87">
            <v>-38640.92</v>
          </cell>
        </row>
        <row r="89">
          <cell r="H89">
            <v>280810.375</v>
          </cell>
        </row>
        <row r="140">
          <cell r="H140">
            <v>260901.75</v>
          </cell>
          <cell r="I140">
            <v>41744.28</v>
          </cell>
        </row>
        <row r="145">
          <cell r="H145">
            <v>-241505.74999999997</v>
          </cell>
          <cell r="I145">
            <v>-38640.92</v>
          </cell>
        </row>
        <row r="161">
          <cell r="H161">
            <v>248110.37500000003</v>
          </cell>
          <cell r="I161">
            <v>39697.660000000003</v>
          </cell>
        </row>
        <row r="162">
          <cell r="H162">
            <v>185793.6875</v>
          </cell>
          <cell r="I162">
            <v>29726.99</v>
          </cell>
        </row>
        <row r="166">
          <cell r="H166">
            <v>305275.875</v>
          </cell>
          <cell r="I166">
            <v>48844.14</v>
          </cell>
        </row>
        <row r="175">
          <cell r="H175">
            <v>278610.375</v>
          </cell>
          <cell r="I175">
            <v>44577.66</v>
          </cell>
        </row>
        <row r="217">
          <cell r="H217">
            <v>16071.437499999998</v>
          </cell>
          <cell r="I217">
            <v>2571.4299999999998</v>
          </cell>
        </row>
      </sheetData>
      <sheetData sheetId="9">
        <row r="11">
          <cell r="I11">
            <v>305586.1875</v>
          </cell>
          <cell r="J11">
            <v>48893.79</v>
          </cell>
        </row>
        <row r="67">
          <cell r="I67">
            <v>178155.375</v>
          </cell>
          <cell r="J67">
            <v>28504.86</v>
          </cell>
        </row>
        <row r="74">
          <cell r="I74">
            <v>305586.1875</v>
          </cell>
          <cell r="J74">
            <v>48893.79</v>
          </cell>
        </row>
        <row r="106">
          <cell r="I106">
            <v>178155.375</v>
          </cell>
          <cell r="J106">
            <v>28504.86</v>
          </cell>
        </row>
        <row r="157">
          <cell r="I157">
            <v>185215.6875</v>
          </cell>
          <cell r="J157">
            <v>29634.51</v>
          </cell>
        </row>
        <row r="170">
          <cell r="I170">
            <v>185215.6875</v>
          </cell>
          <cell r="J170">
            <v>29634.51</v>
          </cell>
        </row>
        <row r="175">
          <cell r="I175">
            <v>185215.6875</v>
          </cell>
          <cell r="J175">
            <v>29634.51</v>
          </cell>
        </row>
        <row r="267">
          <cell r="I267">
            <v>221.56250000000003</v>
          </cell>
          <cell r="J267">
            <v>35.450000000000003</v>
          </cell>
        </row>
        <row r="295">
          <cell r="I295">
            <v>2716.75</v>
          </cell>
          <cell r="J295">
            <v>434.68</v>
          </cell>
        </row>
        <row r="363">
          <cell r="I363">
            <v>185215.6875</v>
          </cell>
          <cell r="J363">
            <v>29634.51</v>
          </cell>
        </row>
        <row r="444">
          <cell r="I444">
            <v>185215.6875</v>
          </cell>
          <cell r="J444">
            <v>29634.51</v>
          </cell>
        </row>
        <row r="605">
          <cell r="I605">
            <v>305275.875</v>
          </cell>
          <cell r="J605">
            <v>48844.14</v>
          </cell>
        </row>
      </sheetData>
      <sheetData sheetId="10">
        <row r="222">
          <cell r="I222">
            <v>177707.6875</v>
          </cell>
          <cell r="J222">
            <v>28433.23</v>
          </cell>
        </row>
        <row r="264">
          <cell r="I264">
            <v>280846.375</v>
          </cell>
          <cell r="J264">
            <v>44935.42</v>
          </cell>
        </row>
        <row r="306">
          <cell r="I306">
            <v>168552.5</v>
          </cell>
          <cell r="J306">
            <v>26968.400000000001</v>
          </cell>
        </row>
        <row r="324">
          <cell r="I324">
            <v>177707.6875</v>
          </cell>
          <cell r="J324">
            <v>28433.23</v>
          </cell>
        </row>
      </sheetData>
      <sheetData sheetId="11">
        <row r="72">
          <cell r="I72">
            <v>57.75</v>
          </cell>
          <cell r="J72">
            <v>9.24</v>
          </cell>
        </row>
        <row r="79">
          <cell r="I79">
            <v>158063.6875</v>
          </cell>
          <cell r="J79">
            <v>25290.19</v>
          </cell>
        </row>
        <row r="204">
          <cell r="I204">
            <v>342388.8125</v>
          </cell>
          <cell r="J204">
            <v>54782.21</v>
          </cell>
        </row>
        <row r="207">
          <cell r="I207">
            <v>169155.375</v>
          </cell>
          <cell r="J207">
            <v>27064.86</v>
          </cell>
        </row>
        <row r="217">
          <cell r="I217">
            <v>150305.0625</v>
          </cell>
          <cell r="J217">
            <v>24048.81</v>
          </cell>
        </row>
        <row r="291">
          <cell r="I291">
            <v>56.0625</v>
          </cell>
          <cell r="J291">
            <v>8.9700000000000006</v>
          </cell>
        </row>
        <row r="480">
          <cell r="I480">
            <v>141770.5625</v>
          </cell>
          <cell r="J480">
            <v>22683.29</v>
          </cell>
        </row>
        <row r="481">
          <cell r="I481">
            <v>282745</v>
          </cell>
          <cell r="J481">
            <v>45239.199999999997</v>
          </cell>
        </row>
        <row r="703">
          <cell r="I703">
            <v>282434.6875</v>
          </cell>
          <cell r="J703">
            <v>45189.55</v>
          </cell>
        </row>
        <row r="716">
          <cell r="I716">
            <v>150227.5</v>
          </cell>
          <cell r="J716">
            <v>24036.400000000001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99"/>
  <sheetViews>
    <sheetView topLeftCell="A587" zoomScale="110" zoomScaleNormal="110" workbookViewId="0">
      <selection activeCell="A415" sqref="A415:K601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" bestFit="1" customWidth="1"/>
    <col min="4" max="4" width="2" bestFit="1" customWidth="1"/>
    <col min="5" max="5" width="24.42578125" customWidth="1"/>
    <col min="6" max="6" width="15.28515625" customWidth="1"/>
    <col min="7" max="7" width="15.7109375" customWidth="1"/>
    <col min="8" max="8" width="13.85546875" style="7" customWidth="1"/>
    <col min="9" max="9" width="13.140625" style="7" bestFit="1" customWidth="1"/>
    <col min="10" max="10" width="10.85546875" bestFit="1" customWidth="1"/>
    <col min="11" max="11" width="13.140625" style="7" bestFit="1" customWidth="1"/>
  </cols>
  <sheetData>
    <row r="1" spans="1:10">
      <c r="A1" t="s">
        <v>684</v>
      </c>
    </row>
    <row r="2" spans="1:10">
      <c r="A2" t="s">
        <v>686</v>
      </c>
      <c r="B2">
        <v>2015</v>
      </c>
    </row>
    <row r="3" spans="1:10">
      <c r="A3" t="s">
        <v>685</v>
      </c>
    </row>
    <row r="6" spans="1:10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10">
      <c r="A7" t="s">
        <v>423</v>
      </c>
      <c r="B7" s="1">
        <v>42006</v>
      </c>
      <c r="C7" t="s">
        <v>424</v>
      </c>
      <c r="D7">
        <v>1</v>
      </c>
      <c r="E7" t="s">
        <v>425</v>
      </c>
      <c r="F7" t="s">
        <v>799</v>
      </c>
      <c r="G7" t="s">
        <v>0</v>
      </c>
      <c r="H7" s="7">
        <f>+I7/0.16</f>
        <v>-12080</v>
      </c>
      <c r="I7" s="7">
        <v>-1932.8</v>
      </c>
      <c r="J7" s="2"/>
    </row>
    <row r="8" spans="1:10">
      <c r="A8" t="s">
        <v>122</v>
      </c>
      <c r="B8" s="1">
        <v>42026</v>
      </c>
      <c r="C8" t="s">
        <v>123</v>
      </c>
      <c r="D8">
        <v>1</v>
      </c>
      <c r="E8" t="s">
        <v>124</v>
      </c>
      <c r="F8" s="16" t="s">
        <v>698</v>
      </c>
      <c r="G8" s="17" t="s">
        <v>699</v>
      </c>
      <c r="H8" s="7">
        <f t="shared" ref="H8:H33" si="0">+I8/0.16</f>
        <v>148824.5625</v>
      </c>
      <c r="I8" s="7">
        <v>23811.93</v>
      </c>
      <c r="J8" s="2"/>
    </row>
    <row r="9" spans="1:10">
      <c r="A9" t="s">
        <v>300</v>
      </c>
      <c r="B9" s="1">
        <v>42035</v>
      </c>
      <c r="C9">
        <v>11322</v>
      </c>
      <c r="D9">
        <v>1</v>
      </c>
      <c r="E9" t="s">
        <v>301</v>
      </c>
      <c r="F9" s="17" t="s">
        <v>700</v>
      </c>
      <c r="G9" s="17" t="s">
        <v>301</v>
      </c>
      <c r="H9" s="7">
        <f t="shared" si="0"/>
        <v>124</v>
      </c>
      <c r="I9" s="7">
        <v>19.84</v>
      </c>
      <c r="J9" s="2"/>
    </row>
    <row r="10" spans="1:10">
      <c r="A10" t="s">
        <v>460</v>
      </c>
      <c r="B10" s="1">
        <v>42013</v>
      </c>
      <c r="C10" t="s">
        <v>461</v>
      </c>
      <c r="D10">
        <v>1</v>
      </c>
      <c r="E10" t="s">
        <v>462</v>
      </c>
      <c r="F10" t="s">
        <v>701</v>
      </c>
      <c r="G10" t="s">
        <v>462</v>
      </c>
      <c r="H10" s="7">
        <f t="shared" si="0"/>
        <v>3103.4375</v>
      </c>
      <c r="I10" s="7">
        <v>496.55</v>
      </c>
    </row>
    <row r="11" spans="1:10">
      <c r="A11" t="s">
        <v>633</v>
      </c>
      <c r="B11" s="1">
        <v>42032</v>
      </c>
      <c r="C11" t="s">
        <v>634</v>
      </c>
      <c r="D11">
        <v>1</v>
      </c>
      <c r="E11" t="s">
        <v>635</v>
      </c>
      <c r="F11" t="s">
        <v>702</v>
      </c>
      <c r="G11" t="s">
        <v>635</v>
      </c>
      <c r="H11" s="7">
        <f t="shared" si="0"/>
        <v>47993</v>
      </c>
      <c r="I11" s="7">
        <v>7678.88</v>
      </c>
    </row>
    <row r="12" spans="1:10">
      <c r="A12" t="s">
        <v>272</v>
      </c>
      <c r="B12" s="1">
        <v>42035</v>
      </c>
      <c r="C12">
        <v>11304</v>
      </c>
      <c r="D12">
        <v>1</v>
      </c>
      <c r="E12" t="s">
        <v>273</v>
      </c>
      <c r="F12" s="17" t="s">
        <v>703</v>
      </c>
      <c r="G12" s="17" t="s">
        <v>273</v>
      </c>
      <c r="H12" s="7">
        <f t="shared" si="0"/>
        <v>594.8125</v>
      </c>
      <c r="I12" s="7">
        <v>95.17</v>
      </c>
    </row>
    <row r="13" spans="1:10">
      <c r="A13" t="s">
        <v>327</v>
      </c>
      <c r="B13" s="1">
        <v>42035</v>
      </c>
      <c r="C13">
        <v>11358</v>
      </c>
      <c r="D13">
        <v>1</v>
      </c>
      <c r="E13" t="s">
        <v>273</v>
      </c>
      <c r="F13" s="17" t="s">
        <v>703</v>
      </c>
      <c r="G13" s="17" t="s">
        <v>273</v>
      </c>
      <c r="H13" s="7">
        <f t="shared" si="0"/>
        <v>51.749999999999993</v>
      </c>
      <c r="I13" s="7">
        <v>8.2799999999999994</v>
      </c>
    </row>
    <row r="14" spans="1:10">
      <c r="A14" t="s">
        <v>254</v>
      </c>
      <c r="B14" s="1">
        <v>42035</v>
      </c>
      <c r="C14" t="s">
        <v>255</v>
      </c>
      <c r="D14">
        <v>1</v>
      </c>
      <c r="E14" t="s">
        <v>237</v>
      </c>
      <c r="F14" s="17" t="s">
        <v>704</v>
      </c>
      <c r="G14" s="17" t="s">
        <v>237</v>
      </c>
      <c r="H14" s="7">
        <f t="shared" si="0"/>
        <v>862.0625</v>
      </c>
      <c r="I14" s="7">
        <v>137.93</v>
      </c>
    </row>
    <row r="15" spans="1:10">
      <c r="A15" t="s">
        <v>256</v>
      </c>
      <c r="B15" s="1">
        <v>42035</v>
      </c>
      <c r="C15" t="s">
        <v>257</v>
      </c>
      <c r="D15">
        <v>1</v>
      </c>
      <c r="E15" t="s">
        <v>237</v>
      </c>
      <c r="F15" s="17" t="s">
        <v>704</v>
      </c>
      <c r="G15" s="17" t="s">
        <v>237</v>
      </c>
      <c r="H15" s="7">
        <f t="shared" si="0"/>
        <v>215.49999999999997</v>
      </c>
      <c r="I15" s="7">
        <v>34.479999999999997</v>
      </c>
    </row>
    <row r="16" spans="1:10">
      <c r="A16" t="s">
        <v>249</v>
      </c>
      <c r="B16" s="1">
        <v>42035</v>
      </c>
      <c r="C16" t="s">
        <v>250</v>
      </c>
      <c r="D16">
        <v>1</v>
      </c>
      <c r="E16" t="s">
        <v>237</v>
      </c>
      <c r="F16" s="17" t="s">
        <v>704</v>
      </c>
      <c r="G16" s="17" t="s">
        <v>237</v>
      </c>
      <c r="H16" s="7">
        <f t="shared" si="0"/>
        <v>215.49999999999997</v>
      </c>
      <c r="I16" s="7">
        <v>34.479999999999997</v>
      </c>
    </row>
    <row r="17" spans="1:9">
      <c r="A17" t="s">
        <v>240</v>
      </c>
      <c r="B17" s="1">
        <v>42035</v>
      </c>
      <c r="C17" t="s">
        <v>241</v>
      </c>
      <c r="D17">
        <v>1</v>
      </c>
      <c r="E17" t="s">
        <v>237</v>
      </c>
      <c r="F17" s="17" t="s">
        <v>704</v>
      </c>
      <c r="G17" s="17" t="s">
        <v>237</v>
      </c>
      <c r="H17" s="7">
        <f t="shared" si="0"/>
        <v>215.49999999999997</v>
      </c>
      <c r="I17" s="7">
        <v>34.479999999999997</v>
      </c>
    </row>
    <row r="18" spans="1:9">
      <c r="A18" t="s">
        <v>245</v>
      </c>
      <c r="B18" s="1">
        <v>42035</v>
      </c>
      <c r="C18" t="s">
        <v>246</v>
      </c>
      <c r="D18">
        <v>1</v>
      </c>
      <c r="E18" t="s">
        <v>237</v>
      </c>
      <c r="F18" s="17" t="s">
        <v>704</v>
      </c>
      <c r="G18" s="17" t="s">
        <v>237</v>
      </c>
      <c r="H18" s="7">
        <f t="shared" si="0"/>
        <v>431.0625</v>
      </c>
      <c r="I18" s="7">
        <v>68.97</v>
      </c>
    </row>
    <row r="19" spans="1:9">
      <c r="A19" t="s">
        <v>247</v>
      </c>
      <c r="B19" s="1">
        <v>42035</v>
      </c>
      <c r="C19" t="s">
        <v>248</v>
      </c>
      <c r="D19">
        <v>1</v>
      </c>
      <c r="E19" t="s">
        <v>237</v>
      </c>
      <c r="F19" s="17" t="s">
        <v>704</v>
      </c>
      <c r="G19" s="17" t="s">
        <v>237</v>
      </c>
      <c r="H19" s="7">
        <f t="shared" si="0"/>
        <v>215.49999999999997</v>
      </c>
      <c r="I19" s="7">
        <v>34.479999999999997</v>
      </c>
    </row>
    <row r="20" spans="1:9">
      <c r="A20" t="s">
        <v>235</v>
      </c>
      <c r="B20" s="1">
        <v>42035</v>
      </c>
      <c r="C20" t="s">
        <v>236</v>
      </c>
      <c r="D20">
        <v>1</v>
      </c>
      <c r="E20" t="s">
        <v>237</v>
      </c>
      <c r="F20" s="17" t="s">
        <v>704</v>
      </c>
      <c r="G20" s="17" t="s">
        <v>237</v>
      </c>
      <c r="H20" s="7">
        <f t="shared" si="0"/>
        <v>215.49999999999997</v>
      </c>
      <c r="I20" s="7">
        <v>34.479999999999997</v>
      </c>
    </row>
    <row r="21" spans="1:9">
      <c r="A21" t="s">
        <v>238</v>
      </c>
      <c r="B21" s="1">
        <v>42035</v>
      </c>
      <c r="C21" t="s">
        <v>239</v>
      </c>
      <c r="D21">
        <v>1</v>
      </c>
      <c r="E21" t="s">
        <v>237</v>
      </c>
      <c r="F21" s="17" t="s">
        <v>704</v>
      </c>
      <c r="G21" s="17" t="s">
        <v>237</v>
      </c>
      <c r="H21" s="7">
        <f t="shared" si="0"/>
        <v>215.49999999999997</v>
      </c>
      <c r="I21" s="7">
        <v>34.479999999999997</v>
      </c>
    </row>
    <row r="22" spans="1:9">
      <c r="A22" t="s">
        <v>539</v>
      </c>
      <c r="B22" s="1">
        <v>42027</v>
      </c>
      <c r="C22" t="s">
        <v>540</v>
      </c>
      <c r="D22">
        <v>1</v>
      </c>
      <c r="E22" t="s">
        <v>541</v>
      </c>
      <c r="F22" t="s">
        <v>705</v>
      </c>
      <c r="G22" t="s">
        <v>541</v>
      </c>
      <c r="H22" s="7">
        <f t="shared" si="0"/>
        <v>45043.125</v>
      </c>
      <c r="I22" s="7">
        <v>7206.9</v>
      </c>
    </row>
    <row r="23" spans="1:9">
      <c r="A23" t="s">
        <v>298</v>
      </c>
      <c r="B23" s="1">
        <v>42035</v>
      </c>
      <c r="C23">
        <v>11320</v>
      </c>
      <c r="D23">
        <v>1</v>
      </c>
      <c r="E23" t="s">
        <v>299</v>
      </c>
      <c r="F23" s="17" t="s">
        <v>706</v>
      </c>
      <c r="G23" s="17" t="s">
        <v>299</v>
      </c>
      <c r="H23" s="7">
        <f t="shared" si="0"/>
        <v>81.0625</v>
      </c>
      <c r="I23" s="7">
        <v>12.97</v>
      </c>
    </row>
    <row r="24" spans="1:9">
      <c r="A24" t="s">
        <v>6</v>
      </c>
      <c r="B24" s="1">
        <v>42006</v>
      </c>
      <c r="C24" t="s">
        <v>7</v>
      </c>
      <c r="D24">
        <v>1</v>
      </c>
      <c r="E24" t="s">
        <v>8</v>
      </c>
      <c r="F24" s="18" t="s">
        <v>707</v>
      </c>
      <c r="G24" s="18" t="s">
        <v>708</v>
      </c>
      <c r="H24" s="7">
        <f t="shared" si="0"/>
        <v>366800.25</v>
      </c>
      <c r="I24" s="7">
        <v>58688.04</v>
      </c>
    </row>
    <row r="25" spans="1:9">
      <c r="A25" t="s">
        <v>69</v>
      </c>
      <c r="B25" s="1">
        <v>42017</v>
      </c>
      <c r="C25" t="s">
        <v>70</v>
      </c>
      <c r="D25">
        <v>1</v>
      </c>
      <c r="E25" t="s">
        <v>71</v>
      </c>
      <c r="F25" s="19" t="s">
        <v>709</v>
      </c>
      <c r="G25" s="19" t="s">
        <v>710</v>
      </c>
      <c r="H25" s="7">
        <f t="shared" si="0"/>
        <v>156583.1875</v>
      </c>
      <c r="I25" s="7">
        <v>25053.31</v>
      </c>
    </row>
    <row r="26" spans="1:9">
      <c r="A26" t="s">
        <v>87</v>
      </c>
      <c r="B26" s="1">
        <v>42019</v>
      </c>
      <c r="C26" t="s">
        <v>88</v>
      </c>
      <c r="D26">
        <v>1</v>
      </c>
      <c r="E26" t="s">
        <v>89</v>
      </c>
      <c r="F26" s="19" t="s">
        <v>709</v>
      </c>
      <c r="G26" s="19" t="s">
        <v>710</v>
      </c>
      <c r="H26" s="7">
        <f t="shared" si="0"/>
        <v>248318.5</v>
      </c>
      <c r="I26" s="7">
        <v>39730.959999999999</v>
      </c>
    </row>
    <row r="27" spans="1:9">
      <c r="A27" t="s">
        <v>186</v>
      </c>
      <c r="B27" s="1">
        <v>42034</v>
      </c>
      <c r="C27" t="s">
        <v>187</v>
      </c>
      <c r="D27">
        <v>1</v>
      </c>
      <c r="E27" t="s">
        <v>188</v>
      </c>
      <c r="F27" s="19" t="s">
        <v>709</v>
      </c>
      <c r="G27" s="19" t="s">
        <v>710</v>
      </c>
      <c r="H27" s="7">
        <f t="shared" si="0"/>
        <v>272863.9375</v>
      </c>
      <c r="I27" s="7">
        <v>43658.23</v>
      </c>
    </row>
    <row r="28" spans="1:9">
      <c r="A28" t="s">
        <v>316</v>
      </c>
      <c r="B28" s="1">
        <v>42035</v>
      </c>
      <c r="C28">
        <v>11352</v>
      </c>
      <c r="D28">
        <v>1</v>
      </c>
      <c r="E28" t="s">
        <v>317</v>
      </c>
      <c r="F28" s="17" t="s">
        <v>711</v>
      </c>
      <c r="G28" s="17" t="s">
        <v>317</v>
      </c>
      <c r="H28" s="7">
        <f t="shared" si="0"/>
        <v>107.62499999999999</v>
      </c>
      <c r="I28" s="7">
        <v>17.22</v>
      </c>
    </row>
    <row r="29" spans="1:9">
      <c r="A29" t="s">
        <v>463</v>
      </c>
      <c r="B29" s="1">
        <v>42013</v>
      </c>
      <c r="C29" t="s">
        <v>445</v>
      </c>
      <c r="D29">
        <v>2</v>
      </c>
      <c r="E29" t="s">
        <v>464</v>
      </c>
      <c r="F29" t="s">
        <v>711</v>
      </c>
      <c r="G29" t="s">
        <v>464</v>
      </c>
      <c r="H29" s="7">
        <f t="shared" si="0"/>
        <v>86.125</v>
      </c>
      <c r="I29" s="7">
        <v>13.78</v>
      </c>
    </row>
    <row r="30" spans="1:9">
      <c r="A30" t="s">
        <v>311</v>
      </c>
      <c r="B30" s="1">
        <v>42035</v>
      </c>
      <c r="C30">
        <v>11349</v>
      </c>
      <c r="D30">
        <v>1</v>
      </c>
      <c r="E30" t="s">
        <v>312</v>
      </c>
      <c r="F30" s="17" t="s">
        <v>712</v>
      </c>
      <c r="G30" s="17" t="s">
        <v>312</v>
      </c>
      <c r="H30" s="7">
        <f t="shared" si="0"/>
        <v>120.68749999999999</v>
      </c>
      <c r="I30" s="7">
        <v>19.309999999999999</v>
      </c>
    </row>
    <row r="31" spans="1:9">
      <c r="A31" t="s">
        <v>483</v>
      </c>
      <c r="B31" s="1">
        <v>42017</v>
      </c>
      <c r="C31" t="s">
        <v>484</v>
      </c>
      <c r="D31">
        <v>1</v>
      </c>
      <c r="E31" t="s">
        <v>485</v>
      </c>
      <c r="F31" s="20" t="s">
        <v>713</v>
      </c>
      <c r="G31" t="s">
        <v>485</v>
      </c>
      <c r="H31" s="7">
        <f t="shared" si="0"/>
        <v>25862.0625</v>
      </c>
      <c r="I31" s="7">
        <v>4137.93</v>
      </c>
    </row>
    <row r="32" spans="1:9">
      <c r="A32" t="s">
        <v>497</v>
      </c>
      <c r="B32" s="1">
        <v>42020</v>
      </c>
      <c r="C32" t="s">
        <v>498</v>
      </c>
      <c r="D32">
        <v>1</v>
      </c>
      <c r="E32" t="s">
        <v>485</v>
      </c>
      <c r="F32" s="16" t="s">
        <v>713</v>
      </c>
      <c r="G32" t="s">
        <v>485</v>
      </c>
      <c r="H32" s="7">
        <f t="shared" si="0"/>
        <v>12931</v>
      </c>
      <c r="I32" s="7">
        <v>2068.96</v>
      </c>
    </row>
    <row r="33" spans="1:11">
      <c r="A33" t="s">
        <v>631</v>
      </c>
      <c r="B33" s="1">
        <v>42024</v>
      </c>
      <c r="C33" t="s">
        <v>632</v>
      </c>
      <c r="D33">
        <v>1</v>
      </c>
      <c r="E33" t="s">
        <v>485</v>
      </c>
      <c r="F33" s="16" t="s">
        <v>713</v>
      </c>
      <c r="G33" t="s">
        <v>485</v>
      </c>
      <c r="H33" s="7">
        <f t="shared" si="0"/>
        <v>3600</v>
      </c>
      <c r="I33" s="7">
        <v>576</v>
      </c>
    </row>
    <row r="34" spans="1:11">
      <c r="A34" t="s">
        <v>224</v>
      </c>
      <c r="B34" s="1">
        <v>42035</v>
      </c>
      <c r="C34" t="s">
        <v>139</v>
      </c>
      <c r="D34">
        <v>1</v>
      </c>
      <c r="E34" t="s">
        <v>225</v>
      </c>
      <c r="F34" s="21" t="s">
        <v>714</v>
      </c>
      <c r="G34" s="22" t="s">
        <v>715</v>
      </c>
      <c r="H34" s="2">
        <v>601.75</v>
      </c>
      <c r="I34" s="2">
        <v>96.28</v>
      </c>
      <c r="J34" s="7"/>
    </row>
    <row r="35" spans="1:11">
      <c r="A35" t="s">
        <v>224</v>
      </c>
      <c r="B35" s="1">
        <v>42035</v>
      </c>
      <c r="C35" t="s">
        <v>139</v>
      </c>
      <c r="D35">
        <v>1</v>
      </c>
      <c r="E35" t="s">
        <v>225</v>
      </c>
      <c r="F35" s="21" t="s">
        <v>716</v>
      </c>
      <c r="G35" s="22" t="s">
        <v>717</v>
      </c>
      <c r="H35" s="2">
        <f>+I35/0.16</f>
        <v>1109.25</v>
      </c>
      <c r="I35" s="2">
        <v>177.48</v>
      </c>
    </row>
    <row r="36" spans="1:11">
      <c r="A36" t="s">
        <v>224</v>
      </c>
      <c r="B36" s="1">
        <v>42035</v>
      </c>
      <c r="C36" t="s">
        <v>139</v>
      </c>
      <c r="D36">
        <v>1</v>
      </c>
      <c r="E36" t="s">
        <v>225</v>
      </c>
      <c r="F36" s="21" t="s">
        <v>718</v>
      </c>
      <c r="G36" s="22" t="s">
        <v>719</v>
      </c>
      <c r="H36" s="2">
        <v>114.6875</v>
      </c>
      <c r="I36" s="2">
        <v>18.350000000000001</v>
      </c>
      <c r="J36" s="2">
        <f>1825.69-H34-H35-H36</f>
        <v>2.5000000000545697E-3</v>
      </c>
      <c r="K36" s="7">
        <f>292.11-I34-I35-I36</f>
        <v>0</v>
      </c>
    </row>
    <row r="37" spans="1:11">
      <c r="A37" t="s">
        <v>658</v>
      </c>
      <c r="B37" s="1">
        <v>42020</v>
      </c>
      <c r="C37" t="s">
        <v>659</v>
      </c>
      <c r="D37">
        <v>1</v>
      </c>
      <c r="E37" t="s">
        <v>660</v>
      </c>
      <c r="F37" t="s">
        <v>720</v>
      </c>
      <c r="G37" t="s">
        <v>721</v>
      </c>
      <c r="H37" s="7">
        <f>+I37/0.16</f>
        <v>5185.1875</v>
      </c>
      <c r="I37" s="7">
        <v>829.63</v>
      </c>
    </row>
    <row r="38" spans="1:11">
      <c r="A38" t="s">
        <v>305</v>
      </c>
      <c r="B38" s="1">
        <v>42035</v>
      </c>
      <c r="C38">
        <v>11326</v>
      </c>
      <c r="D38">
        <v>1</v>
      </c>
      <c r="E38" t="s">
        <v>306</v>
      </c>
      <c r="F38" s="17" t="s">
        <v>722</v>
      </c>
      <c r="G38" s="17" t="s">
        <v>723</v>
      </c>
      <c r="H38" s="7">
        <f t="shared" ref="H38:H127" si="1">+I38/0.16</f>
        <v>1198.3125</v>
      </c>
      <c r="I38" s="7">
        <v>191.73</v>
      </c>
    </row>
    <row r="39" spans="1:11">
      <c r="A39" t="s">
        <v>78</v>
      </c>
      <c r="B39" s="1">
        <v>42018</v>
      </c>
      <c r="C39" t="s">
        <v>79</v>
      </c>
      <c r="D39">
        <v>1</v>
      </c>
      <c r="E39" t="s">
        <v>80</v>
      </c>
      <c r="F39" s="20" t="s">
        <v>724</v>
      </c>
      <c r="G39" s="17" t="s">
        <v>725</v>
      </c>
      <c r="H39" s="7">
        <f t="shared" si="1"/>
        <v>383139.75</v>
      </c>
      <c r="I39" s="7">
        <v>61302.36</v>
      </c>
    </row>
    <row r="40" spans="1:11">
      <c r="A40" t="s">
        <v>108</v>
      </c>
      <c r="B40" s="1">
        <v>42025</v>
      </c>
      <c r="C40" t="s">
        <v>109</v>
      </c>
      <c r="D40">
        <v>1</v>
      </c>
      <c r="E40" t="s">
        <v>110</v>
      </c>
      <c r="F40" s="20" t="s">
        <v>724</v>
      </c>
      <c r="G40" s="17" t="s">
        <v>725</v>
      </c>
      <c r="H40" s="7">
        <f t="shared" si="1"/>
        <v>-177330.4375</v>
      </c>
      <c r="I40" s="7">
        <v>-28372.87</v>
      </c>
      <c r="J40" s="2"/>
    </row>
    <row r="41" spans="1:11">
      <c r="A41" t="s">
        <v>111</v>
      </c>
      <c r="B41" s="1">
        <v>42025</v>
      </c>
      <c r="C41" t="s">
        <v>109</v>
      </c>
      <c r="D41">
        <v>1</v>
      </c>
      <c r="E41" t="s">
        <v>112</v>
      </c>
      <c r="F41" s="20" t="s">
        <v>724</v>
      </c>
      <c r="G41" s="17" t="s">
        <v>725</v>
      </c>
      <c r="H41" s="7">
        <f t="shared" si="1"/>
        <v>177356.3125</v>
      </c>
      <c r="I41" s="7">
        <v>28377.01</v>
      </c>
    </row>
    <row r="42" spans="1:11">
      <c r="A42" t="s">
        <v>63</v>
      </c>
      <c r="B42" s="1">
        <v>42017</v>
      </c>
      <c r="C42" t="s">
        <v>64</v>
      </c>
      <c r="D42">
        <v>1</v>
      </c>
      <c r="E42" t="s">
        <v>65</v>
      </c>
      <c r="F42" s="20" t="s">
        <v>724</v>
      </c>
      <c r="G42" s="17" t="s">
        <v>725</v>
      </c>
      <c r="H42" s="7">
        <f t="shared" si="1"/>
        <v>297544</v>
      </c>
      <c r="I42" s="7">
        <v>47607.040000000001</v>
      </c>
    </row>
    <row r="43" spans="1:11">
      <c r="A43" t="s">
        <v>292</v>
      </c>
      <c r="B43" s="1">
        <v>42035</v>
      </c>
      <c r="C43">
        <v>11317</v>
      </c>
      <c r="D43">
        <v>1</v>
      </c>
      <c r="E43" t="s">
        <v>293</v>
      </c>
      <c r="F43" s="17" t="s">
        <v>726</v>
      </c>
      <c r="G43" s="17" t="s">
        <v>293</v>
      </c>
      <c r="H43" s="7">
        <f t="shared" si="1"/>
        <v>124.1875</v>
      </c>
      <c r="I43" s="7">
        <v>19.87</v>
      </c>
    </row>
    <row r="44" spans="1:11">
      <c r="A44" t="s">
        <v>322</v>
      </c>
      <c r="B44" s="1">
        <v>42035</v>
      </c>
      <c r="C44">
        <v>11355</v>
      </c>
      <c r="D44">
        <v>1</v>
      </c>
      <c r="E44" t="s">
        <v>293</v>
      </c>
      <c r="F44" s="17" t="s">
        <v>726</v>
      </c>
      <c r="G44" s="17" t="s">
        <v>293</v>
      </c>
      <c r="H44" s="7">
        <f t="shared" si="1"/>
        <v>50</v>
      </c>
      <c r="I44" s="7">
        <v>8</v>
      </c>
    </row>
    <row r="45" spans="1:11">
      <c r="A45" t="s">
        <v>119</v>
      </c>
      <c r="B45" s="1">
        <v>42026</v>
      </c>
      <c r="C45" t="s">
        <v>120</v>
      </c>
      <c r="D45">
        <v>1</v>
      </c>
      <c r="E45" t="s">
        <v>121</v>
      </c>
      <c r="F45" s="11" t="s">
        <v>727</v>
      </c>
      <c r="G45" s="19" t="s">
        <v>728</v>
      </c>
      <c r="H45" s="7">
        <f t="shared" si="1"/>
        <v>260901.75</v>
      </c>
      <c r="I45" s="7">
        <v>41744.28</v>
      </c>
    </row>
    <row r="46" spans="1:11">
      <c r="A46" t="s">
        <v>9</v>
      </c>
      <c r="B46" s="1">
        <v>42006</v>
      </c>
      <c r="C46" t="s">
        <v>10</v>
      </c>
      <c r="D46">
        <v>1</v>
      </c>
      <c r="E46" t="s">
        <v>11</v>
      </c>
      <c r="F46" s="11" t="s">
        <v>727</v>
      </c>
      <c r="G46" s="19" t="s">
        <v>728</v>
      </c>
      <c r="H46" s="7">
        <f t="shared" si="1"/>
        <v>272863.9375</v>
      </c>
      <c r="I46" s="7">
        <v>43658.23</v>
      </c>
    </row>
    <row r="47" spans="1:11">
      <c r="A47" t="s">
        <v>651</v>
      </c>
      <c r="B47" s="1">
        <v>42020</v>
      </c>
      <c r="C47" t="s">
        <v>652</v>
      </c>
      <c r="D47">
        <v>1</v>
      </c>
      <c r="E47" t="s">
        <v>653</v>
      </c>
      <c r="F47" t="s">
        <v>729</v>
      </c>
      <c r="G47" t="s">
        <v>653</v>
      </c>
      <c r="H47" s="7">
        <f t="shared" si="1"/>
        <v>1293.125</v>
      </c>
      <c r="I47" s="7">
        <v>206.9</v>
      </c>
    </row>
    <row r="48" spans="1:11">
      <c r="A48" t="s">
        <v>475</v>
      </c>
      <c r="B48" s="1">
        <v>42013</v>
      </c>
      <c r="C48" t="s">
        <v>461</v>
      </c>
      <c r="D48">
        <v>2</v>
      </c>
      <c r="E48" t="s">
        <v>476</v>
      </c>
      <c r="F48" t="s">
        <v>730</v>
      </c>
      <c r="G48" t="s">
        <v>476</v>
      </c>
      <c r="H48" s="7">
        <f t="shared" si="1"/>
        <v>20103.4375</v>
      </c>
      <c r="I48" s="7">
        <v>3216.55</v>
      </c>
    </row>
    <row r="49" spans="1:10">
      <c r="A49" t="s">
        <v>307</v>
      </c>
      <c r="B49" s="1">
        <v>42035</v>
      </c>
      <c r="C49">
        <v>11328</v>
      </c>
      <c r="D49">
        <v>1</v>
      </c>
      <c r="E49" t="s">
        <v>308</v>
      </c>
      <c r="F49" s="17" t="s">
        <v>731</v>
      </c>
      <c r="G49" s="17" t="s">
        <v>732</v>
      </c>
      <c r="H49" s="7">
        <f t="shared" si="1"/>
        <v>78.375</v>
      </c>
      <c r="I49" s="7">
        <v>12.54</v>
      </c>
    </row>
    <row r="50" spans="1:10">
      <c r="A50" t="s">
        <v>614</v>
      </c>
      <c r="B50" s="1">
        <v>42035</v>
      </c>
      <c r="C50" t="s">
        <v>615</v>
      </c>
      <c r="D50">
        <v>1</v>
      </c>
      <c r="E50" t="s">
        <v>616</v>
      </c>
      <c r="F50" s="23" t="s">
        <v>733</v>
      </c>
      <c r="G50" s="24" t="s">
        <v>734</v>
      </c>
      <c r="H50" s="7">
        <f t="shared" si="1"/>
        <v>1076.4375</v>
      </c>
      <c r="I50" s="7">
        <v>172.23</v>
      </c>
    </row>
    <row r="51" spans="1:10">
      <c r="A51" t="s">
        <v>605</v>
      </c>
      <c r="B51" s="1">
        <v>42035</v>
      </c>
      <c r="C51" t="s">
        <v>606</v>
      </c>
      <c r="D51">
        <v>1</v>
      </c>
      <c r="E51" t="s">
        <v>607</v>
      </c>
      <c r="F51" s="16" t="s">
        <v>735</v>
      </c>
      <c r="G51" s="25" t="s">
        <v>736</v>
      </c>
      <c r="H51" s="7">
        <f t="shared" si="1"/>
        <v>180</v>
      </c>
      <c r="I51" s="7">
        <v>28.8</v>
      </c>
    </row>
    <row r="52" spans="1:10">
      <c r="A52" t="s">
        <v>545</v>
      </c>
      <c r="B52" s="1">
        <v>42030</v>
      </c>
      <c r="C52" t="s">
        <v>546</v>
      </c>
      <c r="D52">
        <v>1</v>
      </c>
      <c r="E52" t="s">
        <v>547</v>
      </c>
      <c r="F52" s="20" t="s">
        <v>737</v>
      </c>
      <c r="G52" s="25" t="s">
        <v>738</v>
      </c>
      <c r="H52" s="7">
        <f t="shared" si="1"/>
        <v>13045.1875</v>
      </c>
      <c r="I52" s="7">
        <v>2087.23</v>
      </c>
    </row>
    <row r="53" spans="1:10">
      <c r="A53" t="s">
        <v>602</v>
      </c>
      <c r="B53" s="1">
        <v>42035</v>
      </c>
      <c r="C53" t="s">
        <v>603</v>
      </c>
      <c r="D53">
        <v>1</v>
      </c>
      <c r="E53" t="s">
        <v>604</v>
      </c>
      <c r="F53" s="20" t="s">
        <v>739</v>
      </c>
      <c r="G53" s="26" t="s">
        <v>740</v>
      </c>
      <c r="H53" s="7">
        <f t="shared" si="1"/>
        <v>8677.25</v>
      </c>
      <c r="I53" s="7">
        <v>1388.36</v>
      </c>
    </row>
    <row r="54" spans="1:10">
      <c r="A54" t="s">
        <v>608</v>
      </c>
      <c r="B54" s="1">
        <v>42035</v>
      </c>
      <c r="C54" t="s">
        <v>609</v>
      </c>
      <c r="D54">
        <v>1</v>
      </c>
      <c r="E54" t="s">
        <v>610</v>
      </c>
      <c r="F54" s="20" t="s">
        <v>741</v>
      </c>
      <c r="G54" s="26" t="s">
        <v>742</v>
      </c>
      <c r="H54" s="7">
        <f t="shared" si="1"/>
        <v>70</v>
      </c>
      <c r="I54" s="7">
        <v>11.2</v>
      </c>
    </row>
    <row r="55" spans="1:10">
      <c r="A55" t="s">
        <v>611</v>
      </c>
      <c r="B55" s="1">
        <v>42035</v>
      </c>
      <c r="C55" t="s">
        <v>612</v>
      </c>
      <c r="D55">
        <v>1</v>
      </c>
      <c r="E55" t="s">
        <v>613</v>
      </c>
      <c r="F55" s="20" t="s">
        <v>743</v>
      </c>
      <c r="G55" s="26" t="s">
        <v>744</v>
      </c>
      <c r="H55" s="7">
        <f t="shared" si="1"/>
        <v>240</v>
      </c>
      <c r="I55" s="7">
        <v>38.4</v>
      </c>
    </row>
    <row r="56" spans="1:10">
      <c r="A56" t="s">
        <v>232</v>
      </c>
      <c r="B56" s="1">
        <v>42035</v>
      </c>
      <c r="C56" t="s">
        <v>233</v>
      </c>
      <c r="D56">
        <v>1</v>
      </c>
      <c r="E56" t="s">
        <v>234</v>
      </c>
      <c r="F56" t="s">
        <v>745</v>
      </c>
      <c r="G56" t="s">
        <v>746</v>
      </c>
      <c r="H56" s="27">
        <v>185.3125</v>
      </c>
      <c r="I56" s="2">
        <v>29.65</v>
      </c>
      <c r="J56" s="7"/>
    </row>
    <row r="57" spans="1:10">
      <c r="A57" t="s">
        <v>232</v>
      </c>
      <c r="B57" s="1">
        <v>42035</v>
      </c>
      <c r="C57" t="s">
        <v>233</v>
      </c>
      <c r="D57">
        <v>1</v>
      </c>
      <c r="E57" t="s">
        <v>234</v>
      </c>
      <c r="F57" t="s">
        <v>747</v>
      </c>
      <c r="G57" t="s">
        <v>748</v>
      </c>
      <c r="H57" s="27">
        <v>80.1875</v>
      </c>
      <c r="I57" s="2">
        <v>12.83</v>
      </c>
    </row>
    <row r="58" spans="1:10">
      <c r="A58" t="s">
        <v>232</v>
      </c>
      <c r="B58" s="1">
        <v>42035</v>
      </c>
      <c r="C58" t="s">
        <v>233</v>
      </c>
      <c r="D58">
        <v>1</v>
      </c>
      <c r="E58" t="s">
        <v>234</v>
      </c>
      <c r="F58" t="s">
        <v>749</v>
      </c>
      <c r="G58" t="s">
        <v>750</v>
      </c>
      <c r="H58" s="27">
        <v>187.875</v>
      </c>
      <c r="I58" s="2">
        <v>30.06</v>
      </c>
    </row>
    <row r="59" spans="1:10">
      <c r="A59" t="s">
        <v>232</v>
      </c>
      <c r="B59" s="1">
        <v>42035</v>
      </c>
      <c r="C59" t="s">
        <v>233</v>
      </c>
      <c r="D59">
        <v>1</v>
      </c>
      <c r="E59" t="s">
        <v>234</v>
      </c>
      <c r="F59" t="s">
        <v>714</v>
      </c>
      <c r="G59" t="s">
        <v>715</v>
      </c>
      <c r="H59" s="27">
        <v>1208.625</v>
      </c>
      <c r="I59" s="2">
        <v>193.38</v>
      </c>
    </row>
    <row r="60" spans="1:10">
      <c r="A60" t="s">
        <v>232</v>
      </c>
      <c r="B60" s="1">
        <v>42035</v>
      </c>
      <c r="C60" t="s">
        <v>233</v>
      </c>
      <c r="D60">
        <v>1</v>
      </c>
      <c r="E60" t="s">
        <v>234</v>
      </c>
      <c r="F60" t="s">
        <v>751</v>
      </c>
      <c r="G60" t="s">
        <v>752</v>
      </c>
      <c r="H60" s="27">
        <v>1488</v>
      </c>
      <c r="I60" s="2">
        <v>238.08</v>
      </c>
    </row>
    <row r="61" spans="1:10">
      <c r="A61" t="s">
        <v>232</v>
      </c>
      <c r="B61" s="1">
        <v>42035</v>
      </c>
      <c r="C61" t="s">
        <v>233</v>
      </c>
      <c r="D61">
        <v>1</v>
      </c>
      <c r="E61" t="s">
        <v>234</v>
      </c>
      <c r="F61" s="17" t="s">
        <v>722</v>
      </c>
      <c r="G61" t="s">
        <v>723</v>
      </c>
      <c r="H61" s="27">
        <v>1895.9375</v>
      </c>
      <c r="I61" s="2">
        <v>303.35000000000002</v>
      </c>
    </row>
    <row r="62" spans="1:10">
      <c r="A62" t="s">
        <v>232</v>
      </c>
      <c r="B62" s="1">
        <v>42035</v>
      </c>
      <c r="C62" t="s">
        <v>233</v>
      </c>
      <c r="D62">
        <v>1</v>
      </c>
      <c r="E62" t="s">
        <v>234</v>
      </c>
      <c r="F62" t="s">
        <v>753</v>
      </c>
      <c r="G62" t="s">
        <v>754</v>
      </c>
      <c r="H62" s="27">
        <v>520.0625</v>
      </c>
      <c r="I62" s="2">
        <v>83.21</v>
      </c>
    </row>
    <row r="63" spans="1:10">
      <c r="A63" t="s">
        <v>232</v>
      </c>
      <c r="B63" s="1">
        <v>42035</v>
      </c>
      <c r="C63" t="s">
        <v>233</v>
      </c>
      <c r="D63">
        <v>1</v>
      </c>
      <c r="E63" t="s">
        <v>234</v>
      </c>
      <c r="F63" t="s">
        <v>755</v>
      </c>
      <c r="G63" t="s">
        <v>756</v>
      </c>
      <c r="H63" s="27">
        <v>1079.3125</v>
      </c>
      <c r="I63" s="2">
        <v>172.69</v>
      </c>
    </row>
    <row r="64" spans="1:10">
      <c r="A64" t="s">
        <v>232</v>
      </c>
      <c r="B64" s="1">
        <v>42035</v>
      </c>
      <c r="C64" t="s">
        <v>233</v>
      </c>
      <c r="D64">
        <v>1</v>
      </c>
      <c r="E64" t="s">
        <v>234</v>
      </c>
      <c r="F64" t="s">
        <v>757</v>
      </c>
      <c r="G64" t="s">
        <v>758</v>
      </c>
      <c r="H64" s="27">
        <v>245.75</v>
      </c>
      <c r="I64" s="2">
        <v>39.32</v>
      </c>
    </row>
    <row r="65" spans="1:11">
      <c r="A65" t="s">
        <v>232</v>
      </c>
      <c r="B65" s="1">
        <v>42035</v>
      </c>
      <c r="C65" t="s">
        <v>233</v>
      </c>
      <c r="D65">
        <v>1</v>
      </c>
      <c r="E65" t="s">
        <v>234</v>
      </c>
      <c r="F65" t="s">
        <v>759</v>
      </c>
      <c r="G65" t="s">
        <v>270</v>
      </c>
      <c r="H65" s="27">
        <v>54.3125</v>
      </c>
      <c r="I65" s="2">
        <v>8.69</v>
      </c>
    </row>
    <row r="66" spans="1:11">
      <c r="A66" t="s">
        <v>232</v>
      </c>
      <c r="B66" s="1">
        <v>42035</v>
      </c>
      <c r="C66" t="s">
        <v>233</v>
      </c>
      <c r="D66">
        <v>1</v>
      </c>
      <c r="E66" t="s">
        <v>234</v>
      </c>
      <c r="F66" t="s">
        <v>760</v>
      </c>
      <c r="G66" t="s">
        <v>761</v>
      </c>
      <c r="H66" s="27">
        <v>102.5625</v>
      </c>
      <c r="I66" s="2">
        <v>16.41</v>
      </c>
    </row>
    <row r="67" spans="1:11">
      <c r="A67" t="s">
        <v>232</v>
      </c>
      <c r="B67" s="1">
        <v>42035</v>
      </c>
      <c r="C67" t="s">
        <v>233</v>
      </c>
      <c r="D67">
        <v>1</v>
      </c>
      <c r="E67" t="s">
        <v>234</v>
      </c>
      <c r="F67" t="s">
        <v>762</v>
      </c>
      <c r="G67" t="s">
        <v>763</v>
      </c>
      <c r="H67" s="27">
        <v>64.6875</v>
      </c>
      <c r="I67" s="2">
        <v>10.35</v>
      </c>
    </row>
    <row r="68" spans="1:11">
      <c r="A68" t="s">
        <v>232</v>
      </c>
      <c r="B68" s="1">
        <v>42035</v>
      </c>
      <c r="C68" t="s">
        <v>233</v>
      </c>
      <c r="D68">
        <v>1</v>
      </c>
      <c r="E68" t="s">
        <v>234</v>
      </c>
      <c r="F68" t="s">
        <v>764</v>
      </c>
      <c r="G68" t="s">
        <v>765</v>
      </c>
      <c r="H68" s="27">
        <v>215.5</v>
      </c>
      <c r="I68" s="2">
        <v>34.479999999999997</v>
      </c>
    </row>
    <row r="69" spans="1:11">
      <c r="A69" t="s">
        <v>232</v>
      </c>
      <c r="B69" s="1">
        <v>42035</v>
      </c>
      <c r="C69" t="s">
        <v>233</v>
      </c>
      <c r="D69">
        <v>1</v>
      </c>
      <c r="E69" t="s">
        <v>234</v>
      </c>
      <c r="F69" t="s">
        <v>766</v>
      </c>
      <c r="G69" t="s">
        <v>767</v>
      </c>
      <c r="H69" s="27">
        <v>172.4375</v>
      </c>
      <c r="I69" s="2">
        <v>27.59</v>
      </c>
    </row>
    <row r="70" spans="1:11">
      <c r="A70" t="s">
        <v>232</v>
      </c>
      <c r="B70" s="1">
        <v>42035</v>
      </c>
      <c r="C70" t="s">
        <v>233</v>
      </c>
      <c r="D70">
        <v>1</v>
      </c>
      <c r="E70" t="s">
        <v>234</v>
      </c>
      <c r="F70" t="s">
        <v>768</v>
      </c>
      <c r="G70" t="s">
        <v>283</v>
      </c>
      <c r="H70" s="27">
        <v>48.5</v>
      </c>
      <c r="I70" s="2">
        <v>7.76</v>
      </c>
    </row>
    <row r="71" spans="1:11">
      <c r="A71" t="s">
        <v>232</v>
      </c>
      <c r="B71" s="1">
        <v>42035</v>
      </c>
      <c r="C71" t="s">
        <v>233</v>
      </c>
      <c r="D71">
        <v>1</v>
      </c>
      <c r="E71" t="s">
        <v>234</v>
      </c>
      <c r="F71" t="s">
        <v>769</v>
      </c>
      <c r="G71" t="s">
        <v>645</v>
      </c>
      <c r="H71" s="27">
        <v>206.0625</v>
      </c>
      <c r="I71" s="2">
        <v>32.97</v>
      </c>
    </row>
    <row r="72" spans="1:11">
      <c r="A72" t="s">
        <v>232</v>
      </c>
      <c r="B72" s="1">
        <v>42035</v>
      </c>
      <c r="C72" t="s">
        <v>233</v>
      </c>
      <c r="D72">
        <v>1</v>
      </c>
      <c r="E72" t="s">
        <v>234</v>
      </c>
      <c r="F72" t="s">
        <v>770</v>
      </c>
      <c r="G72" t="s">
        <v>771</v>
      </c>
      <c r="H72" s="27">
        <v>523.5625</v>
      </c>
      <c r="I72" s="2">
        <v>83.77</v>
      </c>
    </row>
    <row r="73" spans="1:11">
      <c r="A73" t="s">
        <v>232</v>
      </c>
      <c r="B73" s="1">
        <v>42035</v>
      </c>
      <c r="C73" t="s">
        <v>233</v>
      </c>
      <c r="D73">
        <v>1</v>
      </c>
      <c r="E73" t="s">
        <v>234</v>
      </c>
      <c r="F73" t="s">
        <v>772</v>
      </c>
      <c r="G73" t="s">
        <v>773</v>
      </c>
      <c r="H73" s="27">
        <v>419.375</v>
      </c>
      <c r="I73" s="2">
        <v>67.099999999999994</v>
      </c>
    </row>
    <row r="74" spans="1:11">
      <c r="A74" t="s">
        <v>232</v>
      </c>
      <c r="B74" s="1">
        <v>42035</v>
      </c>
      <c r="C74" t="s">
        <v>233</v>
      </c>
      <c r="D74">
        <v>1</v>
      </c>
      <c r="E74" t="s">
        <v>234</v>
      </c>
      <c r="F74" t="s">
        <v>774</v>
      </c>
      <c r="G74" t="s">
        <v>775</v>
      </c>
      <c r="H74" s="27">
        <v>455.3125</v>
      </c>
      <c r="I74" s="2">
        <v>72.849999999999994</v>
      </c>
    </row>
    <row r="75" spans="1:11">
      <c r="A75" t="s">
        <v>232</v>
      </c>
      <c r="B75" s="1">
        <v>42035</v>
      </c>
      <c r="C75" t="s">
        <v>233</v>
      </c>
      <c r="D75">
        <v>1</v>
      </c>
      <c r="E75" t="s">
        <v>234</v>
      </c>
      <c r="F75" t="s">
        <v>776</v>
      </c>
      <c r="G75" t="s">
        <v>777</v>
      </c>
      <c r="H75" s="27">
        <v>546.3125</v>
      </c>
      <c r="I75" s="2">
        <v>87.41</v>
      </c>
    </row>
    <row r="76" spans="1:11">
      <c r="A76" t="s">
        <v>232</v>
      </c>
      <c r="B76" s="1">
        <v>42035</v>
      </c>
      <c r="C76" t="s">
        <v>233</v>
      </c>
      <c r="D76">
        <v>1</v>
      </c>
      <c r="E76" t="s">
        <v>234</v>
      </c>
      <c r="F76" t="s">
        <v>778</v>
      </c>
      <c r="G76" t="s">
        <v>779</v>
      </c>
      <c r="H76" s="27">
        <v>209.8125</v>
      </c>
      <c r="I76" s="2">
        <v>33.57</v>
      </c>
    </row>
    <row r="77" spans="1:11">
      <c r="A77" t="s">
        <v>232</v>
      </c>
      <c r="B77" s="1">
        <v>42035</v>
      </c>
      <c r="C77" t="s">
        <v>233</v>
      </c>
      <c r="D77">
        <v>1</v>
      </c>
      <c r="E77" t="s">
        <v>234</v>
      </c>
      <c r="F77" t="s">
        <v>780</v>
      </c>
      <c r="G77" t="s">
        <v>781</v>
      </c>
      <c r="H77" s="27">
        <v>335.5625</v>
      </c>
      <c r="I77" s="2">
        <v>53.69</v>
      </c>
    </row>
    <row r="78" spans="1:11">
      <c r="A78" t="s">
        <v>232</v>
      </c>
      <c r="B78" s="1">
        <v>42035</v>
      </c>
      <c r="C78" t="s">
        <v>233</v>
      </c>
      <c r="D78">
        <v>1</v>
      </c>
      <c r="E78" t="s">
        <v>234</v>
      </c>
      <c r="F78" t="s">
        <v>782</v>
      </c>
      <c r="G78" t="s">
        <v>783</v>
      </c>
      <c r="H78" s="27">
        <v>335.5</v>
      </c>
      <c r="I78" s="2">
        <v>53.68</v>
      </c>
    </row>
    <row r="79" spans="1:11">
      <c r="A79" t="s">
        <v>232</v>
      </c>
      <c r="B79" s="1">
        <v>42035</v>
      </c>
      <c r="C79" t="s">
        <v>233</v>
      </c>
      <c r="D79">
        <v>1</v>
      </c>
      <c r="E79" t="s">
        <v>234</v>
      </c>
      <c r="F79" t="s">
        <v>784</v>
      </c>
      <c r="G79" t="s">
        <v>785</v>
      </c>
      <c r="H79" s="27">
        <v>152.5625</v>
      </c>
      <c r="I79" s="2">
        <v>24.41</v>
      </c>
      <c r="J79" s="2">
        <f>10733.13-H56-H57-H58-H59-H60-H61-H62-H63-H64-H65-H66-H67-H68-H69-H70-H71-H72-H73-H74-H75-H76-H77-H78-H79</f>
        <v>4.9999999991996447E-3</v>
      </c>
      <c r="K79" s="7">
        <f>1717.3-I56-I57-I58-I59-I60-I61-I62-I64-I63-I65-I66-I67-I68-I69-I70-I71-I72-I73-I74-I75-I76-I77-I78-I79</f>
        <v>-8.1712414612411521E-14</v>
      </c>
    </row>
    <row r="80" spans="1:11">
      <c r="A80" t="s">
        <v>403</v>
      </c>
      <c r="B80" s="1">
        <v>42035</v>
      </c>
      <c r="C80" t="s">
        <v>139</v>
      </c>
      <c r="D80">
        <v>1</v>
      </c>
      <c r="E80" t="s">
        <v>404</v>
      </c>
      <c r="F80" s="17" t="s">
        <v>714</v>
      </c>
      <c r="G80" s="17" t="s">
        <v>715</v>
      </c>
      <c r="H80" s="28">
        <f>I80/0.16</f>
        <v>601.75</v>
      </c>
      <c r="I80" s="17">
        <v>96.28</v>
      </c>
      <c r="J80" s="7"/>
    </row>
    <row r="81" spans="1:11">
      <c r="A81" t="s">
        <v>403</v>
      </c>
      <c r="B81" s="1">
        <v>42035</v>
      </c>
      <c r="C81" t="s">
        <v>139</v>
      </c>
      <c r="D81">
        <v>1</v>
      </c>
      <c r="E81" t="s">
        <v>404</v>
      </c>
      <c r="F81" s="17" t="s">
        <v>786</v>
      </c>
      <c r="G81" s="17" t="s">
        <v>787</v>
      </c>
      <c r="H81" s="28">
        <f>I81/0.16</f>
        <v>118.99999999999999</v>
      </c>
      <c r="I81" s="17">
        <v>19.04</v>
      </c>
    </row>
    <row r="82" spans="1:11">
      <c r="A82" t="s">
        <v>403</v>
      </c>
      <c r="B82" s="1">
        <v>42035</v>
      </c>
      <c r="C82" t="s">
        <v>139</v>
      </c>
      <c r="D82">
        <v>1</v>
      </c>
      <c r="E82" t="s">
        <v>404</v>
      </c>
      <c r="F82" s="17" t="s">
        <v>716</v>
      </c>
      <c r="G82" s="17" t="s">
        <v>717</v>
      </c>
      <c r="H82" s="28">
        <f>I82/0.16</f>
        <v>1663.8750000000002</v>
      </c>
      <c r="I82" s="17">
        <v>266.22000000000003</v>
      </c>
    </row>
    <row r="83" spans="1:11">
      <c r="A83" t="s">
        <v>403</v>
      </c>
      <c r="B83" s="1">
        <v>42035</v>
      </c>
      <c r="C83" t="s">
        <v>139</v>
      </c>
      <c r="D83">
        <v>1</v>
      </c>
      <c r="E83" t="s">
        <v>404</v>
      </c>
      <c r="F83" s="17" t="s">
        <v>788</v>
      </c>
      <c r="G83" s="17" t="s">
        <v>789</v>
      </c>
      <c r="H83" s="28">
        <f>I83/0.16</f>
        <v>78.4375</v>
      </c>
      <c r="I83" s="17">
        <v>12.55</v>
      </c>
      <c r="J83" s="2">
        <f>2463.06-H80-H81-H82-H83</f>
        <v>-2.5000000002819434E-3</v>
      </c>
      <c r="K83" s="7">
        <f>394.09-I80-I81-I82-I83</f>
        <v>-1.0302869668521453E-13</v>
      </c>
    </row>
    <row r="84" spans="1:11">
      <c r="A84" t="s">
        <v>429</v>
      </c>
      <c r="B84" s="1">
        <v>42009</v>
      </c>
      <c r="C84" t="s">
        <v>430</v>
      </c>
      <c r="D84">
        <v>1</v>
      </c>
      <c r="E84" t="s">
        <v>428</v>
      </c>
      <c r="F84" s="29" t="s">
        <v>790</v>
      </c>
      <c r="G84" t="s">
        <v>428</v>
      </c>
      <c r="H84" s="7">
        <f t="shared" si="1"/>
        <v>319149.125</v>
      </c>
      <c r="I84" s="7">
        <v>51063.86</v>
      </c>
    </row>
    <row r="85" spans="1:11">
      <c r="A85" t="s">
        <v>508</v>
      </c>
      <c r="B85" s="1">
        <v>42025</v>
      </c>
      <c r="C85" t="s">
        <v>509</v>
      </c>
      <c r="D85">
        <v>1</v>
      </c>
      <c r="E85" t="s">
        <v>428</v>
      </c>
      <c r="F85" s="29" t="s">
        <v>790</v>
      </c>
      <c r="G85" t="s">
        <v>428</v>
      </c>
      <c r="H85" s="7">
        <f t="shared" si="1"/>
        <v>33698.6875</v>
      </c>
      <c r="I85" s="7">
        <v>5391.79</v>
      </c>
    </row>
    <row r="86" spans="1:11">
      <c r="A86" t="s">
        <v>510</v>
      </c>
      <c r="B86" s="1">
        <v>42025</v>
      </c>
      <c r="C86" t="s">
        <v>511</v>
      </c>
      <c r="D86">
        <v>1</v>
      </c>
      <c r="E86" t="s">
        <v>428</v>
      </c>
      <c r="F86" s="29" t="s">
        <v>790</v>
      </c>
      <c r="G86" t="s">
        <v>428</v>
      </c>
      <c r="H86" s="7">
        <f t="shared" si="1"/>
        <v>2167</v>
      </c>
      <c r="I86" s="7">
        <v>346.72</v>
      </c>
    </row>
    <row r="87" spans="1:11">
      <c r="A87" t="s">
        <v>426</v>
      </c>
      <c r="B87" s="1">
        <v>42006</v>
      </c>
      <c r="C87" t="s">
        <v>427</v>
      </c>
      <c r="D87">
        <v>1</v>
      </c>
      <c r="E87" t="s">
        <v>428</v>
      </c>
      <c r="F87" s="29" t="s">
        <v>790</v>
      </c>
      <c r="G87" t="s">
        <v>428</v>
      </c>
      <c r="H87" s="7">
        <f t="shared" si="1"/>
        <v>190654.9375</v>
      </c>
      <c r="I87" s="7">
        <v>30504.79</v>
      </c>
    </row>
    <row r="88" spans="1:11">
      <c r="A88" t="s">
        <v>442</v>
      </c>
      <c r="B88" s="1">
        <v>42013</v>
      </c>
      <c r="C88" t="s">
        <v>443</v>
      </c>
      <c r="D88">
        <v>1</v>
      </c>
      <c r="E88" t="s">
        <v>428</v>
      </c>
      <c r="F88" s="29" t="s">
        <v>790</v>
      </c>
      <c r="G88" t="s">
        <v>428</v>
      </c>
      <c r="H88" s="7">
        <f t="shared" si="1"/>
        <v>93337</v>
      </c>
      <c r="I88" s="7">
        <v>14933.92</v>
      </c>
    </row>
    <row r="89" spans="1:11">
      <c r="A89" t="s">
        <v>477</v>
      </c>
      <c r="B89" s="1">
        <v>42016</v>
      </c>
      <c r="C89" t="s">
        <v>478</v>
      </c>
      <c r="D89">
        <v>1</v>
      </c>
      <c r="E89" t="s">
        <v>428</v>
      </c>
      <c r="F89" s="29" t="s">
        <v>790</v>
      </c>
      <c r="G89" t="s">
        <v>428</v>
      </c>
      <c r="H89" s="7">
        <f t="shared" si="1"/>
        <v>934.6875</v>
      </c>
      <c r="I89" s="7">
        <v>149.55000000000001</v>
      </c>
    </row>
    <row r="90" spans="1:11">
      <c r="A90" t="s">
        <v>490</v>
      </c>
      <c r="B90" s="1">
        <v>42018</v>
      </c>
      <c r="C90" t="s">
        <v>491</v>
      </c>
      <c r="D90">
        <v>1</v>
      </c>
      <c r="E90" t="s">
        <v>428</v>
      </c>
      <c r="F90" s="29" t="s">
        <v>790</v>
      </c>
      <c r="G90" t="s">
        <v>428</v>
      </c>
      <c r="H90" s="7">
        <f t="shared" si="1"/>
        <v>1100</v>
      </c>
      <c r="I90" s="7">
        <v>176</v>
      </c>
    </row>
    <row r="91" spans="1:11">
      <c r="A91" t="s">
        <v>492</v>
      </c>
      <c r="B91" s="1">
        <v>42018</v>
      </c>
      <c r="C91" t="s">
        <v>493</v>
      </c>
      <c r="D91">
        <v>1</v>
      </c>
      <c r="E91" t="s">
        <v>428</v>
      </c>
      <c r="F91" s="29" t="s">
        <v>790</v>
      </c>
      <c r="G91" t="s">
        <v>428</v>
      </c>
      <c r="H91" s="7">
        <f t="shared" si="1"/>
        <v>1095.9375</v>
      </c>
      <c r="I91" s="7">
        <v>175.35</v>
      </c>
    </row>
    <row r="92" spans="1:11">
      <c r="A92" t="s">
        <v>617</v>
      </c>
      <c r="B92" s="1">
        <v>42018</v>
      </c>
      <c r="C92" t="s">
        <v>618</v>
      </c>
      <c r="D92">
        <v>1</v>
      </c>
      <c r="E92" t="s">
        <v>428</v>
      </c>
      <c r="F92" s="29" t="s">
        <v>790</v>
      </c>
      <c r="G92" t="s">
        <v>428</v>
      </c>
      <c r="H92" s="7">
        <f t="shared" si="1"/>
        <v>446462.56249999994</v>
      </c>
      <c r="I92" s="7">
        <v>71434.009999999995</v>
      </c>
    </row>
    <row r="93" spans="1:11">
      <c r="A93" t="s">
        <v>626</v>
      </c>
      <c r="B93" s="1">
        <v>42018</v>
      </c>
      <c r="C93" t="s">
        <v>627</v>
      </c>
      <c r="D93">
        <v>1</v>
      </c>
      <c r="E93" t="s">
        <v>428</v>
      </c>
      <c r="F93" s="29" t="s">
        <v>790</v>
      </c>
      <c r="G93" t="s">
        <v>428</v>
      </c>
      <c r="H93" s="7">
        <f t="shared" si="1"/>
        <v>12925.999999999998</v>
      </c>
      <c r="I93" s="7">
        <v>2068.16</v>
      </c>
    </row>
    <row r="94" spans="1:11">
      <c r="A94" t="s">
        <v>619</v>
      </c>
      <c r="B94" s="1">
        <v>42019</v>
      </c>
      <c r="C94" t="s">
        <v>620</v>
      </c>
      <c r="D94">
        <v>1</v>
      </c>
      <c r="E94" t="s">
        <v>428</v>
      </c>
      <c r="F94" s="29" t="s">
        <v>790</v>
      </c>
      <c r="G94" t="s">
        <v>428</v>
      </c>
      <c r="H94" s="7">
        <f t="shared" si="1"/>
        <v>73128.0625</v>
      </c>
      <c r="I94" s="7">
        <v>11700.49</v>
      </c>
    </row>
    <row r="95" spans="1:11">
      <c r="A95" t="s">
        <v>506</v>
      </c>
      <c r="B95" s="1">
        <v>42025</v>
      </c>
      <c r="C95" t="s">
        <v>507</v>
      </c>
      <c r="D95">
        <v>1</v>
      </c>
      <c r="E95" t="s">
        <v>428</v>
      </c>
      <c r="F95" s="29" t="s">
        <v>790</v>
      </c>
      <c r="G95" t="s">
        <v>428</v>
      </c>
      <c r="H95" s="7">
        <f t="shared" si="1"/>
        <v>28402.5625</v>
      </c>
      <c r="I95" s="7">
        <v>4544.41</v>
      </c>
    </row>
    <row r="96" spans="1:11">
      <c r="A96" t="s">
        <v>512</v>
      </c>
      <c r="B96" s="1">
        <v>42025</v>
      </c>
      <c r="C96" t="s">
        <v>513</v>
      </c>
      <c r="D96">
        <v>1</v>
      </c>
      <c r="E96" t="s">
        <v>428</v>
      </c>
      <c r="F96" s="29" t="s">
        <v>790</v>
      </c>
      <c r="G96" t="s">
        <v>428</v>
      </c>
      <c r="H96" s="7">
        <f t="shared" si="1"/>
        <v>1023.3124999999999</v>
      </c>
      <c r="I96" s="7">
        <v>163.72999999999999</v>
      </c>
    </row>
    <row r="97" spans="1:9">
      <c r="A97" t="s">
        <v>499</v>
      </c>
      <c r="B97" s="1">
        <v>42025</v>
      </c>
      <c r="C97" t="s">
        <v>500</v>
      </c>
      <c r="D97">
        <v>1</v>
      </c>
      <c r="E97" t="s">
        <v>428</v>
      </c>
      <c r="F97" s="29" t="s">
        <v>790</v>
      </c>
      <c r="G97" t="s">
        <v>428</v>
      </c>
      <c r="H97" s="7">
        <f t="shared" si="1"/>
        <v>4323.375</v>
      </c>
      <c r="I97" s="7">
        <v>691.74</v>
      </c>
    </row>
    <row r="98" spans="1:9">
      <c r="A98" t="s">
        <v>533</v>
      </c>
      <c r="B98" s="1">
        <v>42027</v>
      </c>
      <c r="C98" t="s">
        <v>534</v>
      </c>
      <c r="D98">
        <v>1</v>
      </c>
      <c r="E98" t="s">
        <v>428</v>
      </c>
      <c r="F98" s="29" t="s">
        <v>790</v>
      </c>
      <c r="G98" t="s">
        <v>428</v>
      </c>
      <c r="H98" s="7">
        <f t="shared" si="1"/>
        <v>61585.187499999993</v>
      </c>
      <c r="I98" s="7">
        <v>9853.6299999999992</v>
      </c>
    </row>
    <row r="99" spans="1:9">
      <c r="A99" t="s">
        <v>550</v>
      </c>
      <c r="B99" s="1">
        <v>42031</v>
      </c>
      <c r="C99" t="s">
        <v>551</v>
      </c>
      <c r="D99">
        <v>1</v>
      </c>
      <c r="E99" t="s">
        <v>428</v>
      </c>
      <c r="F99" s="29" t="s">
        <v>790</v>
      </c>
      <c r="G99" t="s">
        <v>428</v>
      </c>
      <c r="H99" s="7">
        <f t="shared" si="1"/>
        <v>11701.875</v>
      </c>
      <c r="I99" s="7">
        <v>1872.3</v>
      </c>
    </row>
    <row r="100" spans="1:9">
      <c r="A100" t="s">
        <v>589</v>
      </c>
      <c r="B100" s="1">
        <v>42034</v>
      </c>
      <c r="C100" t="s">
        <v>590</v>
      </c>
      <c r="D100">
        <v>1</v>
      </c>
      <c r="E100" t="s">
        <v>428</v>
      </c>
      <c r="F100" s="29" t="s">
        <v>790</v>
      </c>
      <c r="G100" t="s">
        <v>428</v>
      </c>
      <c r="H100" s="7">
        <f t="shared" si="1"/>
        <v>145838.1875</v>
      </c>
      <c r="I100" s="7">
        <v>23334.11</v>
      </c>
    </row>
    <row r="101" spans="1:9">
      <c r="A101" t="s">
        <v>591</v>
      </c>
      <c r="B101" s="1">
        <v>42034</v>
      </c>
      <c r="C101" t="s">
        <v>592</v>
      </c>
      <c r="D101">
        <v>1</v>
      </c>
      <c r="E101" t="s">
        <v>428</v>
      </c>
      <c r="F101" s="29" t="s">
        <v>790</v>
      </c>
      <c r="G101" t="s">
        <v>428</v>
      </c>
      <c r="H101" s="7">
        <f t="shared" si="1"/>
        <v>162956.8125</v>
      </c>
      <c r="I101" s="7">
        <v>26073.09</v>
      </c>
    </row>
    <row r="102" spans="1:9">
      <c r="A102" t="s">
        <v>595</v>
      </c>
      <c r="B102" s="1">
        <v>42035</v>
      </c>
      <c r="C102" t="s">
        <v>596</v>
      </c>
      <c r="D102">
        <v>1</v>
      </c>
      <c r="E102" t="s">
        <v>428</v>
      </c>
      <c r="F102" s="29" t="s">
        <v>790</v>
      </c>
      <c r="G102" t="s">
        <v>428</v>
      </c>
      <c r="H102" s="7">
        <f t="shared" si="1"/>
        <v>1812.6874999999998</v>
      </c>
      <c r="I102" s="7">
        <v>290.02999999999997</v>
      </c>
    </row>
    <row r="103" spans="1:9">
      <c r="A103" t="s">
        <v>597</v>
      </c>
      <c r="B103" s="1">
        <v>42035</v>
      </c>
      <c r="C103" t="s">
        <v>598</v>
      </c>
      <c r="D103">
        <v>1</v>
      </c>
      <c r="E103" t="s">
        <v>428</v>
      </c>
      <c r="F103" s="29" t="s">
        <v>790</v>
      </c>
      <c r="G103" t="s">
        <v>428</v>
      </c>
      <c r="H103" s="7">
        <f t="shared" si="1"/>
        <v>1833.3124999999998</v>
      </c>
      <c r="I103" s="7">
        <v>293.33</v>
      </c>
    </row>
    <row r="104" spans="1:9">
      <c r="A104" t="s">
        <v>269</v>
      </c>
      <c r="B104" s="1">
        <v>42035</v>
      </c>
      <c r="C104">
        <v>11300</v>
      </c>
      <c r="D104">
        <v>1</v>
      </c>
      <c r="E104" t="s">
        <v>270</v>
      </c>
      <c r="F104" s="17" t="s">
        <v>759</v>
      </c>
      <c r="G104" s="17" t="s">
        <v>270</v>
      </c>
      <c r="H104" s="7">
        <f t="shared" si="1"/>
        <v>54.312499999999993</v>
      </c>
      <c r="I104" s="7">
        <v>8.69</v>
      </c>
    </row>
    <row r="105" spans="1:9">
      <c r="A105" t="s">
        <v>271</v>
      </c>
      <c r="B105" s="1">
        <v>42035</v>
      </c>
      <c r="C105">
        <v>11301</v>
      </c>
      <c r="D105">
        <v>1</v>
      </c>
      <c r="E105" t="s">
        <v>270</v>
      </c>
      <c r="F105" s="17" t="s">
        <v>759</v>
      </c>
      <c r="G105" s="17" t="s">
        <v>270</v>
      </c>
      <c r="H105" s="7">
        <f t="shared" si="1"/>
        <v>155.0625</v>
      </c>
      <c r="I105" s="7">
        <v>24.81</v>
      </c>
    </row>
    <row r="106" spans="1:9">
      <c r="A106" t="s">
        <v>75</v>
      </c>
      <c r="B106" s="1">
        <v>42017</v>
      </c>
      <c r="C106" t="s">
        <v>76</v>
      </c>
      <c r="D106">
        <v>1</v>
      </c>
      <c r="E106" t="s">
        <v>77</v>
      </c>
      <c r="F106" s="30" t="s">
        <v>791</v>
      </c>
      <c r="G106" s="31" t="s">
        <v>792</v>
      </c>
      <c r="H106" s="7">
        <f t="shared" si="1"/>
        <v>299669.75</v>
      </c>
      <c r="I106" s="7">
        <v>47947.16</v>
      </c>
    </row>
    <row r="107" spans="1:9">
      <c r="A107" t="s">
        <v>27</v>
      </c>
      <c r="B107" s="1">
        <v>42009</v>
      </c>
      <c r="C107" t="s">
        <v>28</v>
      </c>
      <c r="D107">
        <v>1</v>
      </c>
      <c r="E107" t="s">
        <v>29</v>
      </c>
      <c r="F107" s="11" t="s">
        <v>793</v>
      </c>
      <c r="G107" s="17" t="s">
        <v>794</v>
      </c>
      <c r="H107" s="7">
        <f t="shared" si="1"/>
        <v>272801.875</v>
      </c>
      <c r="I107" s="7">
        <v>43648.3</v>
      </c>
    </row>
    <row r="108" spans="1:9">
      <c r="A108" t="s">
        <v>181</v>
      </c>
      <c r="B108" s="1">
        <v>42033</v>
      </c>
      <c r="C108" t="s">
        <v>182</v>
      </c>
      <c r="D108">
        <v>1</v>
      </c>
      <c r="E108" t="s">
        <v>183</v>
      </c>
      <c r="F108" s="11" t="s">
        <v>793</v>
      </c>
      <c r="G108" s="17" t="s">
        <v>794</v>
      </c>
      <c r="H108" s="7">
        <f t="shared" si="1"/>
        <v>439031.31249999994</v>
      </c>
      <c r="I108" s="7">
        <v>70245.009999999995</v>
      </c>
    </row>
    <row r="109" spans="1:9">
      <c r="A109" t="s">
        <v>18</v>
      </c>
      <c r="B109" s="1">
        <v>42006</v>
      </c>
      <c r="C109" t="s">
        <v>19</v>
      </c>
      <c r="D109">
        <v>1</v>
      </c>
      <c r="E109" t="s">
        <v>20</v>
      </c>
      <c r="F109" s="11" t="s">
        <v>793</v>
      </c>
      <c r="G109" s="17" t="s">
        <v>794</v>
      </c>
      <c r="H109" s="7">
        <f t="shared" si="1"/>
        <v>148824.5625</v>
      </c>
      <c r="I109" s="7">
        <v>23811.93</v>
      </c>
    </row>
    <row r="110" spans="1:9">
      <c r="A110" t="s">
        <v>636</v>
      </c>
      <c r="B110" s="1">
        <v>42020</v>
      </c>
      <c r="C110" t="s">
        <v>637</v>
      </c>
      <c r="D110">
        <v>1</v>
      </c>
      <c r="E110" t="s">
        <v>638</v>
      </c>
      <c r="F110" t="s">
        <v>795</v>
      </c>
      <c r="G110" t="s">
        <v>638</v>
      </c>
      <c r="H110" s="7">
        <f t="shared" si="1"/>
        <v>76800</v>
      </c>
      <c r="I110" s="7">
        <v>12288</v>
      </c>
    </row>
    <row r="111" spans="1:9">
      <c r="A111" t="s">
        <v>571</v>
      </c>
      <c r="B111" s="1">
        <v>42033</v>
      </c>
      <c r="C111" t="s">
        <v>572</v>
      </c>
      <c r="D111">
        <v>2</v>
      </c>
      <c r="E111" t="s">
        <v>573</v>
      </c>
      <c r="F111" t="s">
        <v>796</v>
      </c>
      <c r="G111" t="s">
        <v>573</v>
      </c>
      <c r="H111" s="7">
        <f t="shared" si="1"/>
        <v>189.6875</v>
      </c>
      <c r="I111" s="7">
        <v>30.35</v>
      </c>
    </row>
    <row r="112" spans="1:9">
      <c r="A112" t="s">
        <v>574</v>
      </c>
      <c r="B112" s="1">
        <v>42033</v>
      </c>
      <c r="C112" t="s">
        <v>575</v>
      </c>
      <c r="D112">
        <v>2</v>
      </c>
      <c r="E112" t="s">
        <v>576</v>
      </c>
      <c r="F112" t="s">
        <v>704</v>
      </c>
      <c r="G112" t="s">
        <v>576</v>
      </c>
      <c r="H112" s="7">
        <f t="shared" si="1"/>
        <v>430.99999999999994</v>
      </c>
      <c r="I112" s="7">
        <v>68.959999999999994</v>
      </c>
    </row>
    <row r="113" spans="1:9">
      <c r="A113" t="s">
        <v>125</v>
      </c>
      <c r="B113" s="1">
        <v>42026</v>
      </c>
      <c r="C113" t="s">
        <v>126</v>
      </c>
      <c r="D113">
        <v>1</v>
      </c>
      <c r="E113" t="s">
        <v>127</v>
      </c>
      <c r="F113" s="31" t="s">
        <v>797</v>
      </c>
      <c r="G113" s="31" t="s">
        <v>798</v>
      </c>
      <c r="H113" s="7">
        <f t="shared" si="1"/>
        <v>299669.75</v>
      </c>
      <c r="I113" s="7">
        <v>47947.16</v>
      </c>
    </row>
    <row r="114" spans="1:9">
      <c r="A114" t="s">
        <v>681</v>
      </c>
      <c r="B114" s="1">
        <v>42035</v>
      </c>
      <c r="C114" t="s">
        <v>682</v>
      </c>
      <c r="D114">
        <v>1</v>
      </c>
      <c r="E114" t="s">
        <v>683</v>
      </c>
      <c r="F114" s="32" t="s">
        <v>799</v>
      </c>
      <c r="G114" t="s">
        <v>0</v>
      </c>
      <c r="H114" s="7">
        <f t="shared" si="1"/>
        <v>793.25</v>
      </c>
      <c r="I114" s="7">
        <v>126.92</v>
      </c>
    </row>
    <row r="115" spans="1:9">
      <c r="A115" t="s">
        <v>309</v>
      </c>
      <c r="B115" s="1">
        <v>42035</v>
      </c>
      <c r="C115">
        <v>11330</v>
      </c>
      <c r="D115">
        <v>1</v>
      </c>
      <c r="E115" t="s">
        <v>310</v>
      </c>
      <c r="F115" s="31" t="s">
        <v>800</v>
      </c>
      <c r="G115" s="31" t="s">
        <v>801</v>
      </c>
      <c r="H115" s="7">
        <f t="shared" si="1"/>
        <v>43.25</v>
      </c>
      <c r="I115" s="7">
        <v>6.92</v>
      </c>
    </row>
    <row r="116" spans="1:9">
      <c r="A116" t="s">
        <v>274</v>
      </c>
      <c r="B116" s="1">
        <v>42035</v>
      </c>
      <c r="C116">
        <v>11305</v>
      </c>
      <c r="D116">
        <v>1</v>
      </c>
      <c r="E116" t="s">
        <v>275</v>
      </c>
      <c r="F116" s="17" t="s">
        <v>802</v>
      </c>
      <c r="G116" s="17" t="s">
        <v>275</v>
      </c>
      <c r="H116" s="7">
        <f t="shared" si="1"/>
        <v>568.9375</v>
      </c>
      <c r="I116" s="7">
        <v>91.03</v>
      </c>
    </row>
    <row r="117" spans="1:9">
      <c r="A117" t="s">
        <v>623</v>
      </c>
      <c r="B117" s="1">
        <v>42010</v>
      </c>
      <c r="C117" t="s">
        <v>624</v>
      </c>
      <c r="D117">
        <v>1</v>
      </c>
      <c r="E117" t="s">
        <v>625</v>
      </c>
      <c r="F117" t="s">
        <v>803</v>
      </c>
      <c r="G117" t="s">
        <v>625</v>
      </c>
      <c r="H117" s="7">
        <f t="shared" si="1"/>
        <v>6182.625</v>
      </c>
      <c r="I117" s="7">
        <v>989.22</v>
      </c>
    </row>
    <row r="118" spans="1:9">
      <c r="A118" t="s">
        <v>407</v>
      </c>
      <c r="B118" s="1">
        <v>42035</v>
      </c>
      <c r="C118">
        <v>11276</v>
      </c>
      <c r="D118">
        <v>1</v>
      </c>
      <c r="E118" t="s">
        <v>285</v>
      </c>
      <c r="F118" s="17" t="s">
        <v>804</v>
      </c>
      <c r="G118" s="17" t="s">
        <v>285</v>
      </c>
      <c r="H118" s="7">
        <f t="shared" si="1"/>
        <v>59.375</v>
      </c>
      <c r="I118" s="7">
        <v>9.5</v>
      </c>
    </row>
    <row r="119" spans="1:9">
      <c r="A119" t="s">
        <v>284</v>
      </c>
      <c r="B119" s="1">
        <v>42035</v>
      </c>
      <c r="C119">
        <v>11313</v>
      </c>
      <c r="D119">
        <v>1</v>
      </c>
      <c r="E119" t="s">
        <v>285</v>
      </c>
      <c r="F119" s="17" t="s">
        <v>804</v>
      </c>
      <c r="G119" s="17" t="s">
        <v>285</v>
      </c>
      <c r="H119" s="7">
        <f t="shared" si="1"/>
        <v>36.375</v>
      </c>
      <c r="I119" s="7">
        <v>5.82</v>
      </c>
    </row>
    <row r="120" spans="1:9">
      <c r="A120" t="s">
        <v>302</v>
      </c>
      <c r="B120" s="1">
        <v>42035</v>
      </c>
      <c r="C120">
        <v>11323</v>
      </c>
      <c r="D120">
        <v>1</v>
      </c>
      <c r="E120" t="s">
        <v>285</v>
      </c>
      <c r="F120" s="17" t="s">
        <v>804</v>
      </c>
      <c r="G120" s="17" t="s">
        <v>285</v>
      </c>
      <c r="H120" s="7">
        <f t="shared" si="1"/>
        <v>106.62499999999999</v>
      </c>
      <c r="I120" s="7">
        <v>17.059999999999999</v>
      </c>
    </row>
    <row r="121" spans="1:9">
      <c r="A121" t="s">
        <v>313</v>
      </c>
      <c r="B121" s="1">
        <v>42035</v>
      </c>
      <c r="C121">
        <v>11350</v>
      </c>
      <c r="D121">
        <v>1</v>
      </c>
      <c r="E121" t="s">
        <v>285</v>
      </c>
      <c r="F121" s="33" t="s">
        <v>804</v>
      </c>
      <c r="G121" s="33" t="s">
        <v>285</v>
      </c>
      <c r="H121" s="7">
        <f t="shared" si="1"/>
        <v>36</v>
      </c>
      <c r="I121" s="7">
        <v>5.76</v>
      </c>
    </row>
    <row r="122" spans="1:9">
      <c r="A122" t="s">
        <v>577</v>
      </c>
      <c r="B122" s="1">
        <v>42033</v>
      </c>
      <c r="C122" t="s">
        <v>578</v>
      </c>
      <c r="D122">
        <v>2</v>
      </c>
      <c r="E122" t="s">
        <v>579</v>
      </c>
      <c r="F122" t="s">
        <v>805</v>
      </c>
      <c r="G122" t="s">
        <v>579</v>
      </c>
      <c r="H122" s="7">
        <f t="shared" si="1"/>
        <v>1590</v>
      </c>
      <c r="I122" s="7">
        <v>254.4</v>
      </c>
    </row>
    <row r="123" spans="1:9">
      <c r="A123" t="s">
        <v>501</v>
      </c>
      <c r="B123" s="1">
        <v>42025</v>
      </c>
      <c r="C123" t="s">
        <v>502</v>
      </c>
      <c r="D123">
        <v>1</v>
      </c>
      <c r="E123" t="s">
        <v>503</v>
      </c>
      <c r="F123" s="16" t="s">
        <v>806</v>
      </c>
      <c r="G123" t="s">
        <v>503</v>
      </c>
      <c r="H123" s="7">
        <f t="shared" si="1"/>
        <v>10898.375</v>
      </c>
      <c r="I123" s="7">
        <v>1743.74</v>
      </c>
    </row>
    <row r="124" spans="1:9">
      <c r="A124" t="s">
        <v>267</v>
      </c>
      <c r="B124" s="1">
        <v>42035</v>
      </c>
      <c r="C124">
        <v>11299</v>
      </c>
      <c r="D124">
        <v>1</v>
      </c>
      <c r="E124" t="s">
        <v>268</v>
      </c>
      <c r="F124" s="17" t="s">
        <v>807</v>
      </c>
      <c r="G124" s="17" t="s">
        <v>268</v>
      </c>
      <c r="H124" s="7">
        <f t="shared" si="1"/>
        <v>1200</v>
      </c>
      <c r="I124" s="7">
        <v>192</v>
      </c>
    </row>
    <row r="125" spans="1:9">
      <c r="A125" t="s">
        <v>628</v>
      </c>
      <c r="B125" s="1">
        <v>42024</v>
      </c>
      <c r="C125" t="s">
        <v>629</v>
      </c>
      <c r="D125">
        <v>1</v>
      </c>
      <c r="E125" t="s">
        <v>630</v>
      </c>
      <c r="F125" s="29" t="s">
        <v>808</v>
      </c>
      <c r="G125" t="s">
        <v>489</v>
      </c>
      <c r="H125" s="7">
        <f t="shared" si="1"/>
        <v>13925.874999999998</v>
      </c>
      <c r="I125" s="7">
        <v>2228.14</v>
      </c>
    </row>
    <row r="126" spans="1:9">
      <c r="A126" t="s">
        <v>431</v>
      </c>
      <c r="B126" s="1">
        <v>42011</v>
      </c>
      <c r="C126" t="s">
        <v>432</v>
      </c>
      <c r="D126">
        <v>1</v>
      </c>
      <c r="E126" t="s">
        <v>433</v>
      </c>
      <c r="F126" t="s">
        <v>809</v>
      </c>
      <c r="G126" t="s">
        <v>810</v>
      </c>
      <c r="H126" s="7">
        <f t="shared" si="1"/>
        <v>3503.4374999999995</v>
      </c>
      <c r="I126" s="7">
        <v>560.54999999999995</v>
      </c>
    </row>
    <row r="127" spans="1:9">
      <c r="A127" t="s">
        <v>558</v>
      </c>
      <c r="B127" s="1">
        <v>42031</v>
      </c>
      <c r="C127" t="s">
        <v>559</v>
      </c>
      <c r="D127">
        <v>1</v>
      </c>
      <c r="E127" t="s">
        <v>433</v>
      </c>
      <c r="F127" s="16" t="s">
        <v>811</v>
      </c>
      <c r="G127" t="s">
        <v>812</v>
      </c>
      <c r="H127" s="7">
        <f t="shared" si="1"/>
        <v>3080.1875</v>
      </c>
      <c r="I127" s="7">
        <v>492.83</v>
      </c>
    </row>
    <row r="128" spans="1:9">
      <c r="A128" t="s">
        <v>143</v>
      </c>
      <c r="B128" s="1">
        <v>42031</v>
      </c>
      <c r="C128" t="s">
        <v>144</v>
      </c>
      <c r="D128">
        <v>1</v>
      </c>
      <c r="E128" t="s">
        <v>145</v>
      </c>
      <c r="F128" s="25" t="s">
        <v>813</v>
      </c>
      <c r="G128" s="17" t="s">
        <v>814</v>
      </c>
      <c r="H128" s="7">
        <f t="shared" ref="H128:H194" si="2">+I128/0.16</f>
        <v>211191.87499999997</v>
      </c>
      <c r="I128" s="7">
        <v>33790.699999999997</v>
      </c>
    </row>
    <row r="129" spans="1:11">
      <c r="A129" t="s">
        <v>444</v>
      </c>
      <c r="B129" s="1">
        <v>42013</v>
      </c>
      <c r="C129" t="s">
        <v>445</v>
      </c>
      <c r="D129">
        <v>1</v>
      </c>
      <c r="E129" t="s">
        <v>446</v>
      </c>
      <c r="F129" t="s">
        <v>815</v>
      </c>
      <c r="G129" t="s">
        <v>446</v>
      </c>
      <c r="H129" s="7">
        <f t="shared" si="2"/>
        <v>1137.625</v>
      </c>
      <c r="I129" s="7">
        <v>182.02</v>
      </c>
    </row>
    <row r="130" spans="1:11">
      <c r="A130" t="s">
        <v>318</v>
      </c>
      <c r="B130" s="1">
        <v>42035</v>
      </c>
      <c r="C130">
        <v>11353</v>
      </c>
      <c r="D130">
        <v>1</v>
      </c>
      <c r="E130" t="s">
        <v>319</v>
      </c>
      <c r="F130" s="17" t="s">
        <v>816</v>
      </c>
      <c r="G130" s="17" t="s">
        <v>319</v>
      </c>
      <c r="H130" s="7">
        <f t="shared" si="2"/>
        <v>322.9375</v>
      </c>
      <c r="I130" s="7">
        <v>51.67</v>
      </c>
    </row>
    <row r="131" spans="1:11">
      <c r="A131" t="s">
        <v>675</v>
      </c>
      <c r="B131" s="1">
        <v>42018</v>
      </c>
      <c r="C131" t="s">
        <v>676</v>
      </c>
      <c r="D131">
        <v>1</v>
      </c>
      <c r="E131" t="s">
        <v>677</v>
      </c>
      <c r="F131" s="17" t="s">
        <v>7340</v>
      </c>
      <c r="G131" t="s">
        <v>677</v>
      </c>
      <c r="H131" s="7">
        <f t="shared" si="2"/>
        <v>4310.375</v>
      </c>
      <c r="I131" s="7">
        <v>689.66</v>
      </c>
    </row>
    <row r="132" spans="1:11">
      <c r="A132" t="s">
        <v>138</v>
      </c>
      <c r="B132" s="1">
        <v>42031</v>
      </c>
      <c r="C132" t="s">
        <v>139</v>
      </c>
      <c r="D132">
        <v>1</v>
      </c>
      <c r="E132" t="s">
        <v>140</v>
      </c>
      <c r="F132" t="s">
        <v>817</v>
      </c>
      <c r="G132" t="s">
        <v>818</v>
      </c>
      <c r="H132" s="2">
        <v>172.4375</v>
      </c>
      <c r="I132" s="2">
        <v>27.59</v>
      </c>
      <c r="J132" s="7"/>
    </row>
    <row r="133" spans="1:11">
      <c r="A133" t="s">
        <v>138</v>
      </c>
      <c r="B133" s="1">
        <v>42031</v>
      </c>
      <c r="C133" t="s">
        <v>139</v>
      </c>
      <c r="D133">
        <v>1</v>
      </c>
      <c r="E133" t="s">
        <v>140</v>
      </c>
      <c r="F133" t="s">
        <v>716</v>
      </c>
      <c r="G133" t="s">
        <v>717</v>
      </c>
      <c r="H133" s="2">
        <v>2218.5</v>
      </c>
      <c r="I133" s="2">
        <v>354.96</v>
      </c>
    </row>
    <row r="134" spans="1:11">
      <c r="A134" t="s">
        <v>138</v>
      </c>
      <c r="B134" s="1">
        <v>42031</v>
      </c>
      <c r="C134" t="s">
        <v>139</v>
      </c>
      <c r="D134">
        <v>1</v>
      </c>
      <c r="E134" t="s">
        <v>140</v>
      </c>
      <c r="F134" t="s">
        <v>716</v>
      </c>
      <c r="G134" t="s">
        <v>717</v>
      </c>
      <c r="H134" s="2">
        <v>86.1875</v>
      </c>
      <c r="I134" s="2">
        <v>13.79</v>
      </c>
    </row>
    <row r="135" spans="1:11">
      <c r="A135" t="s">
        <v>138</v>
      </c>
      <c r="B135" s="1">
        <v>42031</v>
      </c>
      <c r="C135" t="s">
        <v>139</v>
      </c>
      <c r="D135">
        <v>1</v>
      </c>
      <c r="E135" t="s">
        <v>140</v>
      </c>
      <c r="F135" s="17" t="s">
        <v>722</v>
      </c>
      <c r="G135" t="s">
        <v>819</v>
      </c>
      <c r="H135" s="2">
        <v>601.75</v>
      </c>
      <c r="I135" s="2">
        <v>96.28</v>
      </c>
      <c r="J135" s="2">
        <f>3078.88-H132-H133-H134-H135</f>
        <v>5.0000000001091394E-3</v>
      </c>
      <c r="K135" s="7">
        <f>492.62-I132-I133-I134-I135</f>
        <v>0</v>
      </c>
    </row>
    <row r="136" spans="1:11">
      <c r="A136" t="s">
        <v>325</v>
      </c>
      <c r="B136" s="1">
        <v>42035</v>
      </c>
      <c r="C136">
        <v>11357</v>
      </c>
      <c r="D136">
        <v>1</v>
      </c>
      <c r="E136" t="s">
        <v>326</v>
      </c>
      <c r="F136" s="17" t="s">
        <v>820</v>
      </c>
      <c r="G136" s="17" t="s">
        <v>324</v>
      </c>
      <c r="H136" s="7">
        <f t="shared" si="2"/>
        <v>85.3125</v>
      </c>
      <c r="I136" s="7">
        <v>13.65</v>
      </c>
    </row>
    <row r="137" spans="1:11">
      <c r="A137" t="s">
        <v>323</v>
      </c>
      <c r="B137" s="1">
        <v>42035</v>
      </c>
      <c r="C137">
        <v>11356</v>
      </c>
      <c r="D137">
        <v>1</v>
      </c>
      <c r="E137" t="s">
        <v>324</v>
      </c>
      <c r="F137" s="17" t="s">
        <v>820</v>
      </c>
      <c r="G137" s="17" t="s">
        <v>324</v>
      </c>
      <c r="H137" s="7">
        <f t="shared" si="2"/>
        <v>168.125</v>
      </c>
      <c r="I137" s="7">
        <v>26.9</v>
      </c>
    </row>
    <row r="138" spans="1:11">
      <c r="A138" t="s">
        <v>262</v>
      </c>
      <c r="B138" s="1">
        <v>42035</v>
      </c>
      <c r="C138">
        <v>11295</v>
      </c>
      <c r="D138">
        <v>1</v>
      </c>
      <c r="E138" t="s">
        <v>263</v>
      </c>
      <c r="F138" s="17" t="s">
        <v>821</v>
      </c>
      <c r="G138" s="17" t="s">
        <v>263</v>
      </c>
      <c r="H138" s="7">
        <f t="shared" si="2"/>
        <v>344.8125</v>
      </c>
      <c r="I138" s="7">
        <v>55.17</v>
      </c>
    </row>
    <row r="139" spans="1:11">
      <c r="A139" t="s">
        <v>278</v>
      </c>
      <c r="B139" s="1">
        <v>42035</v>
      </c>
      <c r="C139">
        <v>11307</v>
      </c>
      <c r="D139">
        <v>1</v>
      </c>
      <c r="E139" t="s">
        <v>263</v>
      </c>
      <c r="F139" s="17" t="s">
        <v>821</v>
      </c>
      <c r="G139" s="17" t="s">
        <v>263</v>
      </c>
      <c r="H139" s="7">
        <f t="shared" si="2"/>
        <v>344.8125</v>
      </c>
      <c r="I139" s="7">
        <v>55.17</v>
      </c>
    </row>
    <row r="140" spans="1:11">
      <c r="A140" t="s">
        <v>328</v>
      </c>
      <c r="B140" s="1">
        <v>42035</v>
      </c>
      <c r="C140">
        <v>11359</v>
      </c>
      <c r="D140">
        <v>1</v>
      </c>
      <c r="E140" t="s">
        <v>263</v>
      </c>
      <c r="F140" s="17" t="s">
        <v>821</v>
      </c>
      <c r="G140" s="17" t="s">
        <v>263</v>
      </c>
      <c r="H140" s="7">
        <f t="shared" si="2"/>
        <v>344.8125</v>
      </c>
      <c r="I140" s="7">
        <v>55.17</v>
      </c>
    </row>
    <row r="141" spans="1:11">
      <c r="A141" t="s">
        <v>405</v>
      </c>
      <c r="B141" s="1">
        <v>42035</v>
      </c>
      <c r="C141">
        <v>11275</v>
      </c>
      <c r="D141">
        <v>1</v>
      </c>
      <c r="E141" t="s">
        <v>406</v>
      </c>
      <c r="F141" s="33" t="s">
        <v>821</v>
      </c>
      <c r="G141" s="33" t="s">
        <v>406</v>
      </c>
      <c r="H141" s="7">
        <f t="shared" si="2"/>
        <v>344.8125</v>
      </c>
      <c r="I141" s="7">
        <v>55.17</v>
      </c>
    </row>
    <row r="142" spans="1:11">
      <c r="A142" t="s">
        <v>586</v>
      </c>
      <c r="B142" s="1">
        <v>42033</v>
      </c>
      <c r="C142" t="s">
        <v>587</v>
      </c>
      <c r="D142">
        <v>1</v>
      </c>
      <c r="E142" t="s">
        <v>588</v>
      </c>
      <c r="F142" t="s">
        <v>822</v>
      </c>
      <c r="G142" t="s">
        <v>588</v>
      </c>
      <c r="H142" s="7">
        <f t="shared" si="2"/>
        <v>227</v>
      </c>
      <c r="I142" s="7">
        <v>36.32</v>
      </c>
    </row>
    <row r="143" spans="1:11">
      <c r="A143" t="s">
        <v>453</v>
      </c>
      <c r="B143" s="1">
        <v>42013</v>
      </c>
      <c r="C143" t="s">
        <v>454</v>
      </c>
      <c r="D143">
        <v>2</v>
      </c>
      <c r="E143" t="s">
        <v>455</v>
      </c>
      <c r="F143" t="s">
        <v>823</v>
      </c>
      <c r="G143" t="s">
        <v>824</v>
      </c>
      <c r="H143" s="7">
        <f t="shared" si="2"/>
        <v>8112.5625</v>
      </c>
      <c r="I143" s="7">
        <v>1298.01</v>
      </c>
    </row>
    <row r="144" spans="1:11">
      <c r="A144" t="s">
        <v>666</v>
      </c>
      <c r="B144" s="1">
        <v>42020</v>
      </c>
      <c r="C144" t="s">
        <v>644</v>
      </c>
      <c r="D144">
        <v>2</v>
      </c>
      <c r="E144" t="s">
        <v>455</v>
      </c>
      <c r="F144" t="s">
        <v>823</v>
      </c>
      <c r="G144" t="s">
        <v>824</v>
      </c>
      <c r="H144" s="7">
        <f t="shared" si="2"/>
        <v>9377.5</v>
      </c>
      <c r="I144" s="7">
        <v>1500.4</v>
      </c>
    </row>
    <row r="145" spans="1:12">
      <c r="A145" t="s">
        <v>251</v>
      </c>
      <c r="B145" s="1">
        <v>42035</v>
      </c>
      <c r="C145" t="s">
        <v>252</v>
      </c>
      <c r="D145">
        <v>1</v>
      </c>
      <c r="E145" t="s">
        <v>253</v>
      </c>
      <c r="F145" s="17" t="s">
        <v>825</v>
      </c>
      <c r="G145" s="17" t="s">
        <v>253</v>
      </c>
      <c r="H145" s="7">
        <f t="shared" si="2"/>
        <v>900</v>
      </c>
      <c r="I145" s="7">
        <v>144</v>
      </c>
    </row>
    <row r="146" spans="1:12">
      <c r="A146" t="s">
        <v>290</v>
      </c>
      <c r="B146" s="1">
        <v>42035</v>
      </c>
      <c r="C146">
        <v>11316</v>
      </c>
      <c r="D146">
        <v>1</v>
      </c>
      <c r="E146" t="s">
        <v>291</v>
      </c>
      <c r="F146" s="17" t="s">
        <v>826</v>
      </c>
      <c r="G146" s="17" t="s">
        <v>291</v>
      </c>
      <c r="H146" s="7">
        <f t="shared" si="2"/>
        <v>286.1875</v>
      </c>
      <c r="I146" s="7">
        <v>45.79</v>
      </c>
    </row>
    <row r="147" spans="1:12">
      <c r="A147" t="s">
        <v>649</v>
      </c>
      <c r="B147" s="1">
        <v>42020</v>
      </c>
      <c r="C147" t="s">
        <v>469</v>
      </c>
      <c r="D147">
        <v>2</v>
      </c>
      <c r="E147" t="s">
        <v>650</v>
      </c>
      <c r="F147" t="s">
        <v>827</v>
      </c>
      <c r="G147" t="s">
        <v>650</v>
      </c>
      <c r="H147" s="7">
        <f t="shared" si="2"/>
        <v>1792.0000000000002</v>
      </c>
      <c r="I147" s="7">
        <v>286.72000000000003</v>
      </c>
    </row>
    <row r="148" spans="1:12">
      <c r="A148" t="s">
        <v>334</v>
      </c>
      <c r="B148" s="1">
        <v>42035</v>
      </c>
      <c r="C148" t="s">
        <v>335</v>
      </c>
      <c r="D148">
        <v>1</v>
      </c>
      <c r="E148" t="s">
        <v>336</v>
      </c>
      <c r="F148" s="17" t="s">
        <v>828</v>
      </c>
      <c r="G148" s="17" t="s">
        <v>336</v>
      </c>
      <c r="H148" s="7">
        <f t="shared" si="2"/>
        <v>43.3125</v>
      </c>
      <c r="I148" s="7">
        <v>6.93</v>
      </c>
    </row>
    <row r="149" spans="1:12">
      <c r="A149" t="s">
        <v>527</v>
      </c>
      <c r="B149" s="1">
        <v>42027</v>
      </c>
      <c r="C149" t="s">
        <v>528</v>
      </c>
      <c r="D149">
        <v>1</v>
      </c>
      <c r="E149" t="s">
        <v>529</v>
      </c>
      <c r="F149" s="20" t="s">
        <v>829</v>
      </c>
      <c r="G149" s="25" t="s">
        <v>529</v>
      </c>
      <c r="H149" s="7">
        <f t="shared" si="2"/>
        <v>132978.75</v>
      </c>
      <c r="I149" s="7">
        <v>21276.6</v>
      </c>
    </row>
    <row r="150" spans="1:12">
      <c r="A150" t="s">
        <v>566</v>
      </c>
      <c r="B150" s="1">
        <v>42033</v>
      </c>
      <c r="C150" t="s">
        <v>567</v>
      </c>
      <c r="D150">
        <v>1</v>
      </c>
      <c r="E150" t="s">
        <v>564</v>
      </c>
      <c r="F150" t="s">
        <v>830</v>
      </c>
      <c r="G150" t="s">
        <v>564</v>
      </c>
      <c r="H150" s="7">
        <f t="shared" si="2"/>
        <v>1034.5</v>
      </c>
      <c r="I150" s="7">
        <v>165.52</v>
      </c>
    </row>
    <row r="151" spans="1:12">
      <c r="A151" t="s">
        <v>33</v>
      </c>
      <c r="B151" s="1">
        <v>42010</v>
      </c>
      <c r="C151" t="s">
        <v>34</v>
      </c>
      <c r="D151">
        <v>1</v>
      </c>
      <c r="E151" t="s">
        <v>35</v>
      </c>
      <c r="F151" s="16" t="s">
        <v>830</v>
      </c>
      <c r="G151" s="17" t="s">
        <v>831</v>
      </c>
      <c r="H151" s="7">
        <f t="shared" si="2"/>
        <v>299669.75</v>
      </c>
      <c r="I151" s="7">
        <v>47947.16</v>
      </c>
    </row>
    <row r="152" spans="1:12">
      <c r="A152" t="s">
        <v>646</v>
      </c>
      <c r="B152" s="1">
        <v>42020</v>
      </c>
      <c r="C152" t="s">
        <v>647</v>
      </c>
      <c r="D152">
        <v>1</v>
      </c>
      <c r="E152" t="s">
        <v>648</v>
      </c>
      <c r="F152" s="16" t="s">
        <v>7341</v>
      </c>
      <c r="G152" t="s">
        <v>7342</v>
      </c>
      <c r="H152" s="7">
        <f t="shared" si="2"/>
        <v>86206.875</v>
      </c>
      <c r="I152" s="7">
        <v>13793.1</v>
      </c>
    </row>
    <row r="153" spans="1:12">
      <c r="A153" t="s">
        <v>81</v>
      </c>
      <c r="B153" s="1">
        <v>42018</v>
      </c>
      <c r="C153" t="s">
        <v>82</v>
      </c>
      <c r="D153">
        <v>1</v>
      </c>
      <c r="E153" t="s">
        <v>83</v>
      </c>
      <c r="F153" s="39" t="s">
        <v>958</v>
      </c>
      <c r="G153" s="31" t="s">
        <v>959</v>
      </c>
      <c r="H153" s="7">
        <f t="shared" si="2"/>
        <v>211018.5625</v>
      </c>
      <c r="I153" s="7">
        <v>33762.97</v>
      </c>
    </row>
    <row r="154" spans="1:12">
      <c r="A154" t="s">
        <v>555</v>
      </c>
      <c r="B154" s="1">
        <v>42031</v>
      </c>
      <c r="C154" t="s">
        <v>556</v>
      </c>
      <c r="D154">
        <v>1</v>
      </c>
      <c r="E154" t="s">
        <v>557</v>
      </c>
      <c r="F154" s="16" t="s">
        <v>956</v>
      </c>
      <c r="G154" t="s">
        <v>957</v>
      </c>
      <c r="H154" s="7">
        <f t="shared" si="2"/>
        <v>36890.4375</v>
      </c>
      <c r="I154" s="7">
        <v>5902.47</v>
      </c>
    </row>
    <row r="155" spans="1:12">
      <c r="A155" t="s">
        <v>672</v>
      </c>
      <c r="B155" s="1">
        <v>42035</v>
      </c>
      <c r="C155" t="s">
        <v>673</v>
      </c>
      <c r="D155">
        <v>1</v>
      </c>
      <c r="E155" t="s">
        <v>674</v>
      </c>
      <c r="F155" s="32" t="s">
        <v>799</v>
      </c>
      <c r="G155" t="s">
        <v>0</v>
      </c>
      <c r="H155" s="7">
        <f t="shared" si="2"/>
        <v>854194.375</v>
      </c>
      <c r="I155" s="7">
        <v>136671.1</v>
      </c>
    </row>
    <row r="156" spans="1:12">
      <c r="A156" t="s">
        <v>599</v>
      </c>
      <c r="B156" s="1">
        <v>42035</v>
      </c>
      <c r="C156" t="s">
        <v>600</v>
      </c>
      <c r="D156">
        <v>1</v>
      </c>
      <c r="E156" t="s">
        <v>601</v>
      </c>
      <c r="F156" s="20" t="s">
        <v>737</v>
      </c>
      <c r="G156" s="25" t="s">
        <v>738</v>
      </c>
      <c r="H156" s="7">
        <f t="shared" si="2"/>
        <v>876.81249999999989</v>
      </c>
      <c r="I156" s="7">
        <v>140.29</v>
      </c>
      <c r="J156" s="2">
        <f>+H156-[1]ENERO.2015!$H$75</f>
        <v>-2025</v>
      </c>
      <c r="K156" s="7">
        <f>+I156-[1]ENERO.2015!$I$75</f>
        <v>-324</v>
      </c>
      <c r="L156" t="s">
        <v>960</v>
      </c>
    </row>
    <row r="157" spans="1:12">
      <c r="A157" t="s">
        <v>229</v>
      </c>
      <c r="B157" s="1">
        <v>42019</v>
      </c>
      <c r="C157" t="s">
        <v>230</v>
      </c>
      <c r="D157">
        <v>1</v>
      </c>
      <c r="E157" t="s">
        <v>231</v>
      </c>
      <c r="F157" s="20" t="s">
        <v>799</v>
      </c>
      <c r="G157" t="s">
        <v>0</v>
      </c>
      <c r="H157" s="7">
        <f t="shared" si="2"/>
        <v>319</v>
      </c>
      <c r="I157" s="7">
        <v>51.04</v>
      </c>
    </row>
    <row r="158" spans="1:12">
      <c r="A158" t="s">
        <v>229</v>
      </c>
      <c r="B158" s="1">
        <v>42019</v>
      </c>
      <c r="C158" t="s">
        <v>230</v>
      </c>
      <c r="D158">
        <v>1</v>
      </c>
      <c r="E158" t="s">
        <v>231</v>
      </c>
      <c r="F158" s="20" t="s">
        <v>799</v>
      </c>
      <c r="G158" t="s">
        <v>0</v>
      </c>
      <c r="H158" s="7">
        <f t="shared" si="2"/>
        <v>716.25</v>
      </c>
      <c r="I158" s="7">
        <v>114.6</v>
      </c>
    </row>
    <row r="159" spans="1:12">
      <c r="A159" t="s">
        <v>229</v>
      </c>
      <c r="B159" s="1">
        <v>42019</v>
      </c>
      <c r="C159" t="s">
        <v>230</v>
      </c>
      <c r="D159">
        <v>1</v>
      </c>
      <c r="E159" t="s">
        <v>231</v>
      </c>
      <c r="F159" s="20" t="s">
        <v>799</v>
      </c>
      <c r="G159" t="s">
        <v>0</v>
      </c>
      <c r="H159" s="7">
        <f t="shared" si="2"/>
        <v>775.125</v>
      </c>
      <c r="I159" s="7">
        <v>124.02</v>
      </c>
    </row>
    <row r="160" spans="1:12">
      <c r="A160" t="s">
        <v>229</v>
      </c>
      <c r="B160" s="1">
        <v>42019</v>
      </c>
      <c r="C160" t="s">
        <v>230</v>
      </c>
      <c r="D160">
        <v>1</v>
      </c>
      <c r="E160" t="s">
        <v>231</v>
      </c>
      <c r="F160" s="20" t="s">
        <v>799</v>
      </c>
      <c r="G160" t="s">
        <v>0</v>
      </c>
      <c r="H160" s="7">
        <f t="shared" si="2"/>
        <v>833.125</v>
      </c>
      <c r="I160" s="7">
        <v>133.30000000000001</v>
      </c>
    </row>
    <row r="161" spans="1:12">
      <c r="A161" t="s">
        <v>226</v>
      </c>
      <c r="B161" s="1">
        <v>42019</v>
      </c>
      <c r="C161" t="s">
        <v>227</v>
      </c>
      <c r="D161">
        <v>1</v>
      </c>
      <c r="E161" t="s">
        <v>228</v>
      </c>
      <c r="F161" t="s">
        <v>799</v>
      </c>
      <c r="G161" t="s">
        <v>0</v>
      </c>
      <c r="H161" s="7">
        <f t="shared" si="2"/>
        <v>5951.375</v>
      </c>
      <c r="I161" s="7">
        <v>952.22</v>
      </c>
    </row>
    <row r="162" spans="1:12">
      <c r="A162" t="s">
        <v>12</v>
      </c>
      <c r="B162" s="1">
        <v>42006</v>
      </c>
      <c r="C162" t="s">
        <v>13</v>
      </c>
      <c r="D162">
        <v>1</v>
      </c>
      <c r="E162" t="s">
        <v>14</v>
      </c>
      <c r="F162" s="30" t="s">
        <v>791</v>
      </c>
      <c r="G162" s="31" t="s">
        <v>792</v>
      </c>
      <c r="H162" s="7">
        <f t="shared" si="2"/>
        <v>163910.0625</v>
      </c>
      <c r="I162" s="7">
        <v>26225.61</v>
      </c>
    </row>
    <row r="163" spans="1:12">
      <c r="A163" t="s">
        <v>196</v>
      </c>
      <c r="B163" s="1">
        <v>42034</v>
      </c>
      <c r="C163">
        <v>636</v>
      </c>
      <c r="D163">
        <v>2</v>
      </c>
      <c r="E163" t="s">
        <v>197</v>
      </c>
      <c r="F163" t="s">
        <v>704</v>
      </c>
      <c r="G163" t="s">
        <v>576</v>
      </c>
      <c r="H163" s="7">
        <f t="shared" si="2"/>
        <v>215.49999999999997</v>
      </c>
      <c r="I163" s="7">
        <v>34.479999999999997</v>
      </c>
    </row>
    <row r="164" spans="1:12">
      <c r="A164" t="s">
        <v>200</v>
      </c>
      <c r="B164" s="1">
        <v>42035</v>
      </c>
      <c r="C164">
        <v>641</v>
      </c>
      <c r="D164">
        <v>2</v>
      </c>
      <c r="E164" t="s">
        <v>197</v>
      </c>
      <c r="F164" t="s">
        <v>704</v>
      </c>
      <c r="G164" t="s">
        <v>576</v>
      </c>
      <c r="H164" s="7">
        <f t="shared" si="2"/>
        <v>215.49999999999997</v>
      </c>
      <c r="I164" s="7">
        <v>34.479999999999997</v>
      </c>
    </row>
    <row r="165" spans="1:12">
      <c r="A165" t="s">
        <v>218</v>
      </c>
      <c r="B165" s="1">
        <v>42035</v>
      </c>
      <c r="C165" t="s">
        <v>219</v>
      </c>
      <c r="D165">
        <v>1</v>
      </c>
      <c r="E165" t="s">
        <v>220</v>
      </c>
      <c r="F165" s="21" t="s">
        <v>832</v>
      </c>
      <c r="G165" s="22" t="s">
        <v>833</v>
      </c>
      <c r="H165" s="7">
        <f t="shared" si="2"/>
        <v>1587.625</v>
      </c>
      <c r="I165" s="7">
        <v>254.02</v>
      </c>
    </row>
    <row r="166" spans="1:12">
      <c r="A166" t="s">
        <v>215</v>
      </c>
      <c r="B166" s="1">
        <v>42035</v>
      </c>
      <c r="C166" t="s">
        <v>216</v>
      </c>
      <c r="D166">
        <v>1</v>
      </c>
      <c r="E166" t="s">
        <v>217</v>
      </c>
      <c r="F166" s="21" t="s">
        <v>832</v>
      </c>
      <c r="G166" s="22" t="s">
        <v>833</v>
      </c>
      <c r="H166" s="7">
        <f t="shared" si="2"/>
        <v>3571.125</v>
      </c>
      <c r="I166" s="7">
        <v>571.38</v>
      </c>
    </row>
    <row r="167" spans="1:12">
      <c r="A167" t="s">
        <v>552</v>
      </c>
      <c r="B167" s="1">
        <v>42031</v>
      </c>
      <c r="C167" t="s">
        <v>553</v>
      </c>
      <c r="D167">
        <v>1</v>
      </c>
      <c r="E167" t="s">
        <v>554</v>
      </c>
      <c r="F167" s="16" t="s">
        <v>961</v>
      </c>
      <c r="G167" t="s">
        <v>962</v>
      </c>
      <c r="H167" s="7">
        <f t="shared" si="2"/>
        <v>637.1875</v>
      </c>
      <c r="I167" s="7">
        <v>101.95</v>
      </c>
    </row>
    <row r="168" spans="1:12">
      <c r="A168" t="s">
        <v>30</v>
      </c>
      <c r="B168" s="1">
        <v>42010</v>
      </c>
      <c r="C168" t="s">
        <v>31</v>
      </c>
      <c r="D168">
        <v>1</v>
      </c>
      <c r="E168" t="s">
        <v>32</v>
      </c>
      <c r="F168" s="17" t="s">
        <v>963</v>
      </c>
      <c r="G168" s="17" t="s">
        <v>964</v>
      </c>
      <c r="H168" s="7">
        <f t="shared" si="2"/>
        <v>263409.9375</v>
      </c>
      <c r="I168" s="7">
        <v>42145.59</v>
      </c>
      <c r="J168" s="40">
        <f>+H168-[1]ENERO.2015!$H$207</f>
        <v>-1599.6875</v>
      </c>
      <c r="K168" s="7">
        <f>+I168-[1]ENERO.2015!$I$207</f>
        <v>-255.95000000000437</v>
      </c>
      <c r="L168" t="s">
        <v>960</v>
      </c>
    </row>
    <row r="169" spans="1:12">
      <c r="A169" t="s">
        <v>678</v>
      </c>
      <c r="B169" s="1">
        <v>42005</v>
      </c>
      <c r="C169" t="s">
        <v>679</v>
      </c>
      <c r="D169">
        <v>1</v>
      </c>
      <c r="E169" t="s">
        <v>680</v>
      </c>
      <c r="F169" t="s">
        <v>1589</v>
      </c>
      <c r="G169" t="s">
        <v>1341</v>
      </c>
      <c r="H169" s="7">
        <f t="shared" si="2"/>
        <v>2580</v>
      </c>
      <c r="I169" s="7">
        <v>412.8</v>
      </c>
    </row>
    <row r="170" spans="1:12">
      <c r="A170" t="s">
        <v>41</v>
      </c>
      <c r="B170" s="1">
        <v>42011</v>
      </c>
      <c r="C170" t="s">
        <v>42</v>
      </c>
      <c r="D170">
        <v>1</v>
      </c>
      <c r="E170" t="s">
        <v>43</v>
      </c>
      <c r="F170" t="s">
        <v>965</v>
      </c>
      <c r="G170" s="19" t="s">
        <v>966</v>
      </c>
      <c r="H170" s="7">
        <f t="shared" si="2"/>
        <v>272690.6875</v>
      </c>
      <c r="I170" s="7">
        <v>43630.51</v>
      </c>
      <c r="J170" s="2">
        <f>+H170-[1]ENERO.2015!$H$220</f>
        <v>-173.25</v>
      </c>
      <c r="K170" s="7">
        <f>+I170-[1]ENERO.2015!$I$220</f>
        <v>-27.720000000001164</v>
      </c>
      <c r="L170" t="s">
        <v>960</v>
      </c>
    </row>
    <row r="171" spans="1:12">
      <c r="A171" t="s">
        <v>654</v>
      </c>
      <c r="B171" s="1">
        <v>42020</v>
      </c>
      <c r="C171" t="s">
        <v>637</v>
      </c>
      <c r="D171">
        <v>2</v>
      </c>
      <c r="E171" t="s">
        <v>655</v>
      </c>
      <c r="F171" s="17" t="s">
        <v>722</v>
      </c>
      <c r="G171" s="19" t="s">
        <v>722</v>
      </c>
      <c r="H171" s="7">
        <f t="shared" si="2"/>
        <v>433.375</v>
      </c>
      <c r="I171" s="7">
        <v>69.34</v>
      </c>
      <c r="J171" s="137" t="s">
        <v>7343</v>
      </c>
    </row>
    <row r="172" spans="1:12">
      <c r="A172" t="s">
        <v>450</v>
      </c>
      <c r="B172" s="1">
        <v>42013</v>
      </c>
      <c r="C172" t="s">
        <v>451</v>
      </c>
      <c r="D172">
        <v>1</v>
      </c>
      <c r="E172" t="s">
        <v>452</v>
      </c>
      <c r="F172" t="s">
        <v>863</v>
      </c>
      <c r="G172" t="s">
        <v>967</v>
      </c>
      <c r="H172" s="7">
        <f t="shared" si="2"/>
        <v>16944.625</v>
      </c>
      <c r="I172" s="7">
        <v>2711.14</v>
      </c>
    </row>
    <row r="173" spans="1:12">
      <c r="A173" t="s">
        <v>667</v>
      </c>
      <c r="B173" s="1">
        <v>42020</v>
      </c>
      <c r="C173" t="s">
        <v>668</v>
      </c>
      <c r="D173">
        <v>1</v>
      </c>
      <c r="E173" t="s">
        <v>452</v>
      </c>
      <c r="F173" t="s">
        <v>863</v>
      </c>
      <c r="G173" t="s">
        <v>967</v>
      </c>
      <c r="H173" s="7">
        <f t="shared" si="2"/>
        <v>32228.75</v>
      </c>
      <c r="I173" s="7">
        <v>5156.6000000000004</v>
      </c>
    </row>
    <row r="174" spans="1:12">
      <c r="A174" t="s">
        <v>221</v>
      </c>
      <c r="B174" s="1">
        <v>42035</v>
      </c>
      <c r="C174" t="s">
        <v>222</v>
      </c>
      <c r="D174">
        <v>1</v>
      </c>
      <c r="E174" t="s">
        <v>223</v>
      </c>
      <c r="F174" s="21" t="s">
        <v>832</v>
      </c>
      <c r="G174" s="22" t="s">
        <v>833</v>
      </c>
      <c r="H174" s="7">
        <f t="shared" si="2"/>
        <v>20096.5</v>
      </c>
      <c r="I174" s="7">
        <v>3215.44</v>
      </c>
    </row>
    <row r="175" spans="1:12">
      <c r="A175" t="s">
        <v>171</v>
      </c>
      <c r="B175" s="1">
        <v>42032</v>
      </c>
      <c r="C175" t="s">
        <v>172</v>
      </c>
      <c r="D175">
        <v>1</v>
      </c>
      <c r="E175" t="s">
        <v>173</v>
      </c>
      <c r="F175" s="16" t="s">
        <v>873</v>
      </c>
      <c r="G175" s="17" t="s">
        <v>874</v>
      </c>
      <c r="H175" s="7">
        <f t="shared" si="2"/>
        <v>303656.8125</v>
      </c>
      <c r="I175" s="7">
        <v>48585.09</v>
      </c>
      <c r="J175" s="40">
        <f>+H175-[1]ENERO.2015!$H$253</f>
        <v>-336.9375</v>
      </c>
      <c r="K175" s="7">
        <f>+I175-[1]ENERO.2015!$I$253</f>
        <v>-53.910000000003492</v>
      </c>
      <c r="L175" t="s">
        <v>960</v>
      </c>
    </row>
    <row r="176" spans="1:12">
      <c r="A176" t="s">
        <v>106</v>
      </c>
      <c r="B176" s="1">
        <v>42023</v>
      </c>
      <c r="C176" t="s">
        <v>5</v>
      </c>
      <c r="D176">
        <v>1</v>
      </c>
      <c r="E176" t="s">
        <v>107</v>
      </c>
      <c r="F176" s="32" t="s">
        <v>799</v>
      </c>
      <c r="G176" t="s">
        <v>0</v>
      </c>
      <c r="H176" s="7">
        <f t="shared" si="2"/>
        <v>-224942</v>
      </c>
      <c r="I176" s="7">
        <v>-35990.720000000001</v>
      </c>
      <c r="J176" s="132">
        <f>+H176-[1]ENERO.2015!$H$43</f>
        <v>62.5</v>
      </c>
      <c r="K176" s="7">
        <f>+I176-[1]ENERO.2015!$I$43</f>
        <v>10</v>
      </c>
      <c r="L176" t="s">
        <v>960</v>
      </c>
    </row>
    <row r="177" spans="1:12">
      <c r="A177" t="s">
        <v>415</v>
      </c>
      <c r="B177" s="1">
        <v>42006</v>
      </c>
      <c r="C177" t="s">
        <v>416</v>
      </c>
      <c r="D177">
        <v>1</v>
      </c>
      <c r="E177" t="s">
        <v>107</v>
      </c>
      <c r="F177" t="s">
        <v>799</v>
      </c>
      <c r="G177" t="s">
        <v>0</v>
      </c>
      <c r="H177" s="7">
        <f t="shared" si="2"/>
        <v>140305.625</v>
      </c>
      <c r="I177" s="7">
        <v>22448.9</v>
      </c>
    </row>
    <row r="178" spans="1:12">
      <c r="A178" t="s">
        <v>117</v>
      </c>
      <c r="B178" s="1">
        <v>42026</v>
      </c>
      <c r="C178" t="s">
        <v>118</v>
      </c>
      <c r="D178">
        <v>1</v>
      </c>
      <c r="E178" t="s">
        <v>107</v>
      </c>
      <c r="F178" s="32" t="s">
        <v>799</v>
      </c>
      <c r="G178" t="s">
        <v>0</v>
      </c>
      <c r="H178" s="7">
        <f t="shared" si="2"/>
        <v>299495.625</v>
      </c>
      <c r="I178" s="7">
        <v>47919.3</v>
      </c>
      <c r="J178" s="41">
        <f>+H178-[1]ENERO.2015!$H$282</f>
        <v>-174.125</v>
      </c>
      <c r="K178" s="7">
        <f>+I178-[1]ENERO.2015!$I$282</f>
        <v>-27.860000000000582</v>
      </c>
      <c r="L178" t="s">
        <v>960</v>
      </c>
    </row>
    <row r="179" spans="1:12">
      <c r="A179" t="s">
        <v>132</v>
      </c>
      <c r="B179" s="1">
        <v>42027</v>
      </c>
      <c r="C179" t="s">
        <v>133</v>
      </c>
      <c r="D179">
        <v>1</v>
      </c>
      <c r="E179" t="s">
        <v>107</v>
      </c>
      <c r="F179" s="32" t="s">
        <v>799</v>
      </c>
      <c r="G179" t="s">
        <v>0</v>
      </c>
      <c r="H179" s="7">
        <f t="shared" si="2"/>
        <v>206896.625</v>
      </c>
      <c r="I179" s="7">
        <v>33103.46</v>
      </c>
      <c r="J179" s="41">
        <f>+H179-[1]ENERO.2015!$H$285</f>
        <v>-174.125</v>
      </c>
      <c r="K179" s="7">
        <f>+I179-[1]ENERO.2015!$I$285</f>
        <v>-27.860000000000582</v>
      </c>
      <c r="L179" t="s">
        <v>960</v>
      </c>
    </row>
    <row r="180" spans="1:12">
      <c r="A180" t="s">
        <v>134</v>
      </c>
      <c r="B180" s="1">
        <v>42027</v>
      </c>
      <c r="C180" t="s">
        <v>135</v>
      </c>
      <c r="D180">
        <v>1</v>
      </c>
      <c r="E180" t="s">
        <v>107</v>
      </c>
      <c r="F180" s="32" t="s">
        <v>799</v>
      </c>
      <c r="G180" t="s">
        <v>0</v>
      </c>
      <c r="H180" s="7">
        <f t="shared" si="2"/>
        <v>206896.625</v>
      </c>
      <c r="I180" s="7">
        <v>33103.46</v>
      </c>
      <c r="J180" s="41">
        <f>+H180-[1]ENERO.2015!$H$286</f>
        <v>-174.125</v>
      </c>
      <c r="K180" s="7">
        <f>+I180-[1]ENERO.2015!$I$286</f>
        <v>-27.860000000000582</v>
      </c>
      <c r="L180" t="s">
        <v>960</v>
      </c>
    </row>
    <row r="181" spans="1:12">
      <c r="A181" t="s">
        <v>154</v>
      </c>
      <c r="B181" s="1">
        <v>42032</v>
      </c>
      <c r="C181" t="s">
        <v>155</v>
      </c>
      <c r="D181">
        <v>1</v>
      </c>
      <c r="E181" t="s">
        <v>107</v>
      </c>
      <c r="F181" s="32" t="s">
        <v>799</v>
      </c>
      <c r="G181" t="s">
        <v>0</v>
      </c>
      <c r="H181" s="7">
        <f t="shared" si="2"/>
        <v>167890.8125</v>
      </c>
      <c r="I181" s="7">
        <v>26862.53</v>
      </c>
      <c r="J181" s="40">
        <f>+H181-[1]ENERO.2015!$H$293</f>
        <v>2586.1875</v>
      </c>
      <c r="K181" s="7">
        <f>+I181-[1]ENERO.2015!$I$293</f>
        <v>413.78999999999724</v>
      </c>
      <c r="L181" t="s">
        <v>960</v>
      </c>
    </row>
    <row r="182" spans="1:12">
      <c r="A182" t="s">
        <v>198</v>
      </c>
      <c r="B182" s="1">
        <v>42034</v>
      </c>
      <c r="C182" t="s">
        <v>199</v>
      </c>
      <c r="D182">
        <v>1</v>
      </c>
      <c r="E182" t="s">
        <v>107</v>
      </c>
      <c r="F182" s="32" t="s">
        <v>799</v>
      </c>
      <c r="G182" t="s">
        <v>0</v>
      </c>
      <c r="H182" s="7">
        <f t="shared" si="2"/>
        <v>167890.8125</v>
      </c>
      <c r="I182" s="7">
        <v>26862.53</v>
      </c>
      <c r="J182" s="41">
        <f>+H182-[1]ENERO.2015!$H$310</f>
        <v>-174.125</v>
      </c>
      <c r="K182" s="7">
        <f>+I182-[1]ENERO.2015!$I$310</f>
        <v>-27.860000000000582</v>
      </c>
      <c r="L182" t="s">
        <v>960</v>
      </c>
    </row>
    <row r="183" spans="1:12">
      <c r="A183" t="s">
        <v>521</v>
      </c>
      <c r="B183" s="1">
        <v>42027</v>
      </c>
      <c r="C183" t="s">
        <v>522</v>
      </c>
      <c r="D183">
        <v>1</v>
      </c>
      <c r="E183" t="s">
        <v>520</v>
      </c>
      <c r="F183" t="s">
        <v>834</v>
      </c>
      <c r="G183" t="s">
        <v>520</v>
      </c>
      <c r="H183" s="7">
        <f t="shared" si="2"/>
        <v>34482.75</v>
      </c>
      <c r="I183" s="7">
        <v>5517.24</v>
      </c>
    </row>
    <row r="184" spans="1:12">
      <c r="A184" t="s">
        <v>523</v>
      </c>
      <c r="B184" s="1">
        <v>42027</v>
      </c>
      <c r="C184" t="s">
        <v>524</v>
      </c>
      <c r="D184">
        <v>1</v>
      </c>
      <c r="E184" t="s">
        <v>520</v>
      </c>
      <c r="F184" t="s">
        <v>834</v>
      </c>
      <c r="G184" t="s">
        <v>520</v>
      </c>
      <c r="H184" s="7">
        <f t="shared" si="2"/>
        <v>34482.75</v>
      </c>
      <c r="I184" s="7">
        <v>5517.24</v>
      </c>
    </row>
    <row r="185" spans="1:12">
      <c r="A185" t="s">
        <v>525</v>
      </c>
      <c r="B185" s="1">
        <v>42027</v>
      </c>
      <c r="C185" t="s">
        <v>526</v>
      </c>
      <c r="D185">
        <v>1</v>
      </c>
      <c r="E185" t="s">
        <v>520</v>
      </c>
      <c r="F185" t="s">
        <v>834</v>
      </c>
      <c r="G185" t="s">
        <v>520</v>
      </c>
      <c r="H185" s="7">
        <f t="shared" si="2"/>
        <v>34482.75</v>
      </c>
      <c r="I185" s="7">
        <v>5517.24</v>
      </c>
    </row>
    <row r="186" spans="1:12">
      <c r="A186" t="s">
        <v>583</v>
      </c>
      <c r="B186" s="1">
        <v>42033</v>
      </c>
      <c r="C186" t="s">
        <v>584</v>
      </c>
      <c r="D186">
        <v>1</v>
      </c>
      <c r="E186" t="s">
        <v>585</v>
      </c>
      <c r="F186" t="s">
        <v>835</v>
      </c>
      <c r="G186" t="s">
        <v>585</v>
      </c>
      <c r="H186" s="7">
        <f t="shared" si="2"/>
        <v>2414</v>
      </c>
      <c r="I186" s="7">
        <v>386.24</v>
      </c>
    </row>
    <row r="187" spans="1:12">
      <c r="A187" t="s">
        <v>486</v>
      </c>
      <c r="B187" s="1">
        <v>42018</v>
      </c>
      <c r="C187" t="s">
        <v>487</v>
      </c>
      <c r="D187">
        <v>2</v>
      </c>
      <c r="E187" t="s">
        <v>472</v>
      </c>
      <c r="F187" t="s">
        <v>836</v>
      </c>
      <c r="G187" t="s">
        <v>472</v>
      </c>
      <c r="H187" s="7">
        <f t="shared" si="2"/>
        <v>6122.375</v>
      </c>
      <c r="I187" s="7">
        <v>979.58</v>
      </c>
    </row>
    <row r="188" spans="1:12">
      <c r="A188" t="s">
        <v>471</v>
      </c>
      <c r="B188" s="1">
        <v>42013</v>
      </c>
      <c r="C188" t="s">
        <v>448</v>
      </c>
      <c r="D188">
        <v>2</v>
      </c>
      <c r="E188" t="s">
        <v>472</v>
      </c>
      <c r="F188" s="32" t="s">
        <v>836</v>
      </c>
      <c r="G188" t="s">
        <v>472</v>
      </c>
      <c r="H188" s="7">
        <f t="shared" si="2"/>
        <v>4897.9375</v>
      </c>
      <c r="I188" s="7">
        <v>783.67</v>
      </c>
    </row>
    <row r="189" spans="1:12">
      <c r="A189" t="s">
        <v>412</v>
      </c>
      <c r="B189" s="1">
        <v>42035</v>
      </c>
      <c r="C189">
        <v>11279</v>
      </c>
      <c r="D189">
        <v>1</v>
      </c>
      <c r="E189" t="s">
        <v>261</v>
      </c>
      <c r="F189" s="17" t="s">
        <v>837</v>
      </c>
      <c r="G189" s="17" t="s">
        <v>261</v>
      </c>
      <c r="H189" s="7">
        <f t="shared" si="2"/>
        <v>379.6875</v>
      </c>
      <c r="I189" s="7">
        <v>60.75</v>
      </c>
    </row>
    <row r="190" spans="1:12">
      <c r="A190" t="s">
        <v>260</v>
      </c>
      <c r="B190" s="1">
        <v>42035</v>
      </c>
      <c r="C190">
        <v>11294</v>
      </c>
      <c r="D190">
        <v>1</v>
      </c>
      <c r="E190" t="s">
        <v>261</v>
      </c>
      <c r="F190" s="17" t="s">
        <v>837</v>
      </c>
      <c r="G190" s="17" t="s">
        <v>261</v>
      </c>
      <c r="H190" s="7">
        <f t="shared" si="2"/>
        <v>116.875</v>
      </c>
      <c r="I190" s="7">
        <v>18.7</v>
      </c>
    </row>
    <row r="191" spans="1:12">
      <c r="A191" t="s">
        <v>264</v>
      </c>
      <c r="B191" s="1">
        <v>42035</v>
      </c>
      <c r="C191">
        <v>11296</v>
      </c>
      <c r="D191">
        <v>1</v>
      </c>
      <c r="E191" t="s">
        <v>261</v>
      </c>
      <c r="F191" s="17" t="s">
        <v>837</v>
      </c>
      <c r="G191" s="17" t="s">
        <v>261</v>
      </c>
      <c r="H191" s="7">
        <f t="shared" si="2"/>
        <v>87.9375</v>
      </c>
      <c r="I191" s="7">
        <v>14.07</v>
      </c>
    </row>
    <row r="192" spans="1:12">
      <c r="A192" t="s">
        <v>279</v>
      </c>
      <c r="B192" s="1">
        <v>42035</v>
      </c>
      <c r="C192">
        <v>11308</v>
      </c>
      <c r="D192">
        <v>1</v>
      </c>
      <c r="E192" t="s">
        <v>261</v>
      </c>
      <c r="F192" s="33" t="s">
        <v>837</v>
      </c>
      <c r="G192" s="33" t="s">
        <v>261</v>
      </c>
      <c r="H192" s="7">
        <f t="shared" si="2"/>
        <v>124.93749999999999</v>
      </c>
      <c r="I192" s="7">
        <v>19.989999999999998</v>
      </c>
    </row>
    <row r="193" spans="1:9">
      <c r="A193" t="s">
        <v>242</v>
      </c>
      <c r="B193" s="1">
        <v>42035</v>
      </c>
      <c r="C193" t="s">
        <v>243</v>
      </c>
      <c r="D193">
        <v>1</v>
      </c>
      <c r="E193" t="s">
        <v>244</v>
      </c>
      <c r="F193" s="17" t="s">
        <v>805</v>
      </c>
      <c r="G193" s="17" t="s">
        <v>244</v>
      </c>
      <c r="H193" s="7">
        <f t="shared" si="2"/>
        <v>290</v>
      </c>
      <c r="I193" s="7">
        <v>46.4</v>
      </c>
    </row>
    <row r="194" spans="1:9">
      <c r="A194" t="s">
        <v>282</v>
      </c>
      <c r="B194" s="1">
        <v>42035</v>
      </c>
      <c r="C194">
        <v>11311</v>
      </c>
      <c r="D194">
        <v>1</v>
      </c>
      <c r="E194" t="s">
        <v>283</v>
      </c>
      <c r="F194" s="17" t="s">
        <v>768</v>
      </c>
      <c r="G194" s="17" t="s">
        <v>283</v>
      </c>
      <c r="H194" s="7">
        <f t="shared" si="2"/>
        <v>387.375</v>
      </c>
      <c r="I194" s="7">
        <v>61.98</v>
      </c>
    </row>
    <row r="195" spans="1:9">
      <c r="A195" t="s">
        <v>280</v>
      </c>
      <c r="B195" s="1">
        <v>42035</v>
      </c>
      <c r="C195">
        <v>11310</v>
      </c>
      <c r="D195">
        <v>1</v>
      </c>
      <c r="E195" t="s">
        <v>281</v>
      </c>
      <c r="F195" s="17" t="s">
        <v>768</v>
      </c>
      <c r="G195" s="17" t="s">
        <v>281</v>
      </c>
      <c r="H195" s="7">
        <f t="shared" ref="H195:H258" si="3">+I195/0.16</f>
        <v>387.375</v>
      </c>
      <c r="I195" s="7">
        <v>61.98</v>
      </c>
    </row>
    <row r="196" spans="1:9">
      <c r="A196" t="s">
        <v>465</v>
      </c>
      <c r="B196" s="1">
        <v>42013</v>
      </c>
      <c r="C196" t="s">
        <v>466</v>
      </c>
      <c r="D196">
        <v>1</v>
      </c>
      <c r="E196" t="s">
        <v>467</v>
      </c>
      <c r="F196" t="s">
        <v>838</v>
      </c>
      <c r="G196" t="s">
        <v>467</v>
      </c>
      <c r="H196" s="7">
        <f t="shared" si="3"/>
        <v>8312.4375</v>
      </c>
      <c r="I196" s="7">
        <v>1329.99</v>
      </c>
    </row>
    <row r="197" spans="1:9">
      <c r="A197" t="s">
        <v>294</v>
      </c>
      <c r="B197" s="1">
        <v>42035</v>
      </c>
      <c r="C197">
        <v>11318</v>
      </c>
      <c r="D197">
        <v>1</v>
      </c>
      <c r="E197" t="s">
        <v>295</v>
      </c>
      <c r="F197" s="17" t="s">
        <v>839</v>
      </c>
      <c r="G197" s="17" t="s">
        <v>295</v>
      </c>
      <c r="H197" s="7">
        <f t="shared" si="3"/>
        <v>776.0625</v>
      </c>
      <c r="I197" s="7">
        <v>124.17</v>
      </c>
    </row>
    <row r="198" spans="1:9">
      <c r="A198" t="s">
        <v>494</v>
      </c>
      <c r="B198" s="1">
        <v>42020</v>
      </c>
      <c r="C198" t="s">
        <v>495</v>
      </c>
      <c r="D198">
        <v>1</v>
      </c>
      <c r="E198" t="s">
        <v>496</v>
      </c>
      <c r="F198" s="17" t="s">
        <v>968</v>
      </c>
      <c r="G198" s="17" t="s">
        <v>496</v>
      </c>
      <c r="H198" s="7">
        <f t="shared" si="3"/>
        <v>65852.0625</v>
      </c>
      <c r="I198" s="7">
        <v>10536.33</v>
      </c>
    </row>
    <row r="199" spans="1:9">
      <c r="A199" t="s">
        <v>408</v>
      </c>
      <c r="B199" s="1">
        <v>42035</v>
      </c>
      <c r="C199">
        <v>11277</v>
      </c>
      <c r="D199">
        <v>1</v>
      </c>
      <c r="E199" t="s">
        <v>409</v>
      </c>
      <c r="F199" s="33" t="s">
        <v>840</v>
      </c>
      <c r="G199" s="33" t="s">
        <v>409</v>
      </c>
      <c r="H199" s="7">
        <f t="shared" si="3"/>
        <v>258.5</v>
      </c>
      <c r="I199" s="7">
        <v>41.36</v>
      </c>
    </row>
    <row r="200" spans="1:9">
      <c r="A200" t="s">
        <v>542</v>
      </c>
      <c r="B200" s="1">
        <v>42030</v>
      </c>
      <c r="C200" t="s">
        <v>543</v>
      </c>
      <c r="D200">
        <v>1</v>
      </c>
      <c r="E200" t="s">
        <v>544</v>
      </c>
      <c r="F200" t="s">
        <v>841</v>
      </c>
      <c r="G200" t="s">
        <v>544</v>
      </c>
      <c r="H200" s="7">
        <f t="shared" si="3"/>
        <v>1335.3125</v>
      </c>
      <c r="I200" s="7">
        <v>213.65</v>
      </c>
    </row>
    <row r="201" spans="1:9">
      <c r="A201" t="s">
        <v>276</v>
      </c>
      <c r="B201" s="1">
        <v>42035</v>
      </c>
      <c r="C201">
        <v>11306</v>
      </c>
      <c r="D201">
        <v>1</v>
      </c>
      <c r="E201" t="s">
        <v>277</v>
      </c>
      <c r="F201" s="17" t="s">
        <v>842</v>
      </c>
      <c r="G201" s="17" t="s">
        <v>277</v>
      </c>
      <c r="H201" s="7">
        <f t="shared" si="3"/>
        <v>58.1875</v>
      </c>
      <c r="I201" s="7">
        <v>9.31</v>
      </c>
    </row>
    <row r="202" spans="1:9">
      <c r="A202" t="s">
        <v>468</v>
      </c>
      <c r="B202" s="1">
        <v>42013</v>
      </c>
      <c r="C202" t="s">
        <v>469</v>
      </c>
      <c r="D202">
        <v>1</v>
      </c>
      <c r="E202" t="s">
        <v>470</v>
      </c>
      <c r="F202" t="s">
        <v>843</v>
      </c>
      <c r="G202" t="s">
        <v>470</v>
      </c>
      <c r="H202" s="7">
        <f t="shared" si="3"/>
        <v>6797</v>
      </c>
      <c r="I202" s="7">
        <v>1087.52</v>
      </c>
    </row>
    <row r="203" spans="1:9">
      <c r="A203" t="s">
        <v>664</v>
      </c>
      <c r="B203" s="1">
        <v>42020</v>
      </c>
      <c r="C203" t="s">
        <v>641</v>
      </c>
      <c r="D203">
        <v>2</v>
      </c>
      <c r="E203" t="s">
        <v>665</v>
      </c>
      <c r="F203" t="s">
        <v>844</v>
      </c>
      <c r="G203" t="s">
        <v>665</v>
      </c>
      <c r="H203" s="7">
        <f t="shared" si="3"/>
        <v>800</v>
      </c>
      <c r="I203" s="7">
        <v>128</v>
      </c>
    </row>
    <row r="204" spans="1:9">
      <c r="A204" t="s">
        <v>530</v>
      </c>
      <c r="B204" s="1">
        <v>42027</v>
      </c>
      <c r="C204" t="s">
        <v>531</v>
      </c>
      <c r="D204">
        <v>1</v>
      </c>
      <c r="E204" t="s">
        <v>532</v>
      </c>
      <c r="F204" s="20" t="s">
        <v>845</v>
      </c>
      <c r="G204" s="25" t="s">
        <v>532</v>
      </c>
      <c r="H204" s="7">
        <f t="shared" si="3"/>
        <v>132978.75</v>
      </c>
      <c r="I204" s="7">
        <v>21276.6</v>
      </c>
    </row>
    <row r="205" spans="1:9">
      <c r="A205" t="s">
        <v>661</v>
      </c>
      <c r="B205" s="1">
        <v>42020</v>
      </c>
      <c r="C205" t="s">
        <v>662</v>
      </c>
      <c r="D205">
        <v>1</v>
      </c>
      <c r="E205" t="s">
        <v>663</v>
      </c>
      <c r="F205" t="s">
        <v>846</v>
      </c>
      <c r="G205" t="s">
        <v>663</v>
      </c>
      <c r="H205" s="7">
        <f t="shared" si="3"/>
        <v>3640</v>
      </c>
      <c r="I205" s="7">
        <v>582.4</v>
      </c>
    </row>
    <row r="206" spans="1:9">
      <c r="A206" t="s">
        <v>410</v>
      </c>
      <c r="B206" s="1">
        <v>42035</v>
      </c>
      <c r="C206">
        <v>11278</v>
      </c>
      <c r="D206">
        <v>1</v>
      </c>
      <c r="E206" t="s">
        <v>411</v>
      </c>
      <c r="F206" s="33" t="s">
        <v>847</v>
      </c>
      <c r="G206" s="33" t="s">
        <v>411</v>
      </c>
      <c r="H206" s="7">
        <f t="shared" si="3"/>
        <v>260.4375</v>
      </c>
      <c r="I206" s="7">
        <v>41.67</v>
      </c>
    </row>
    <row r="207" spans="1:9">
      <c r="A207" t="s">
        <v>447</v>
      </c>
      <c r="B207" s="1">
        <v>42013</v>
      </c>
      <c r="C207" t="s">
        <v>448</v>
      </c>
      <c r="D207">
        <v>1</v>
      </c>
      <c r="E207" t="s">
        <v>449</v>
      </c>
      <c r="F207" t="s">
        <v>848</v>
      </c>
      <c r="G207" t="s">
        <v>449</v>
      </c>
      <c r="H207" s="7">
        <f t="shared" si="3"/>
        <v>17900</v>
      </c>
      <c r="I207" s="7">
        <v>2864</v>
      </c>
    </row>
    <row r="208" spans="1:9">
      <c r="A208" t="s">
        <v>656</v>
      </c>
      <c r="B208" s="1">
        <v>42020</v>
      </c>
      <c r="C208" t="s">
        <v>657</v>
      </c>
      <c r="D208">
        <v>1</v>
      </c>
      <c r="E208" t="s">
        <v>449</v>
      </c>
      <c r="F208" t="s">
        <v>848</v>
      </c>
      <c r="G208" t="s">
        <v>449</v>
      </c>
      <c r="H208" s="7">
        <f t="shared" si="3"/>
        <v>1900</v>
      </c>
      <c r="I208" s="7">
        <v>304</v>
      </c>
    </row>
    <row r="209" spans="1:9">
      <c r="A209" t="s">
        <v>643</v>
      </c>
      <c r="B209" s="1">
        <v>42020</v>
      </c>
      <c r="C209" t="s">
        <v>644</v>
      </c>
      <c r="D209">
        <v>1</v>
      </c>
      <c r="E209" t="s">
        <v>645</v>
      </c>
      <c r="F209" t="s">
        <v>769</v>
      </c>
      <c r="G209" t="s">
        <v>645</v>
      </c>
      <c r="H209" s="7">
        <f t="shared" si="3"/>
        <v>774.125</v>
      </c>
      <c r="I209" s="7">
        <v>123.86</v>
      </c>
    </row>
    <row r="210" spans="1:9">
      <c r="A210" t="s">
        <v>320</v>
      </c>
      <c r="B210" s="1">
        <v>42035</v>
      </c>
      <c r="C210">
        <v>11354</v>
      </c>
      <c r="D210">
        <v>1</v>
      </c>
      <c r="E210" t="s">
        <v>321</v>
      </c>
      <c r="F210" s="17" t="s">
        <v>769</v>
      </c>
      <c r="G210" s="17" t="s">
        <v>321</v>
      </c>
      <c r="H210" s="7">
        <f t="shared" si="3"/>
        <v>387.0625</v>
      </c>
      <c r="I210" s="7">
        <v>61.93</v>
      </c>
    </row>
    <row r="211" spans="1:9">
      <c r="A211" t="s">
        <v>21</v>
      </c>
      <c r="B211" s="1">
        <v>42006</v>
      </c>
      <c r="C211" t="s">
        <v>22</v>
      </c>
      <c r="D211">
        <v>1</v>
      </c>
      <c r="E211" t="s">
        <v>23</v>
      </c>
      <c r="F211" s="18" t="s">
        <v>849</v>
      </c>
      <c r="G211" s="19" t="s">
        <v>850</v>
      </c>
      <c r="H211" s="7">
        <f t="shared" si="3"/>
        <v>238390.6875</v>
      </c>
      <c r="I211" s="7">
        <v>38142.51</v>
      </c>
    </row>
    <row r="212" spans="1:9">
      <c r="A212" t="s">
        <v>84</v>
      </c>
      <c r="B212" s="1">
        <v>42019</v>
      </c>
      <c r="C212" t="s">
        <v>85</v>
      </c>
      <c r="D212">
        <v>1</v>
      </c>
      <c r="E212" t="s">
        <v>86</v>
      </c>
      <c r="F212" s="18" t="s">
        <v>849</v>
      </c>
      <c r="G212" s="19" t="s">
        <v>850</v>
      </c>
      <c r="H212" s="7">
        <f t="shared" si="3"/>
        <v>297481.9375</v>
      </c>
      <c r="I212" s="7">
        <v>47597.11</v>
      </c>
    </row>
    <row r="213" spans="1:9">
      <c r="A213" t="s">
        <v>72</v>
      </c>
      <c r="B213" s="1">
        <v>42017</v>
      </c>
      <c r="C213" t="s">
        <v>73</v>
      </c>
      <c r="D213">
        <v>1</v>
      </c>
      <c r="E213" t="s">
        <v>74</v>
      </c>
      <c r="F213" s="18" t="s">
        <v>849</v>
      </c>
      <c r="G213" s="19" t="s">
        <v>850</v>
      </c>
      <c r="H213" s="7">
        <f t="shared" si="3"/>
        <v>238390.8125</v>
      </c>
      <c r="I213" s="7">
        <v>38142.53</v>
      </c>
    </row>
    <row r="214" spans="1:9">
      <c r="A214" t="s">
        <v>420</v>
      </c>
      <c r="B214" s="1">
        <v>42013</v>
      </c>
      <c r="C214" t="s">
        <v>421</v>
      </c>
      <c r="D214">
        <v>1</v>
      </c>
      <c r="E214" t="s">
        <v>422</v>
      </c>
      <c r="F214" s="18" t="s">
        <v>799</v>
      </c>
      <c r="G214" s="19" t="s">
        <v>0</v>
      </c>
      <c r="H214" s="7">
        <f t="shared" si="3"/>
        <v>344</v>
      </c>
      <c r="I214" s="7">
        <v>55.04</v>
      </c>
    </row>
    <row r="215" spans="1:9">
      <c r="A215" t="s">
        <v>669</v>
      </c>
      <c r="B215" s="1">
        <v>42020</v>
      </c>
      <c r="C215" t="s">
        <v>670</v>
      </c>
      <c r="D215">
        <v>1</v>
      </c>
      <c r="E215" t="s">
        <v>671</v>
      </c>
      <c r="F215" s="16" t="s">
        <v>830</v>
      </c>
      <c r="G215" t="s">
        <v>831</v>
      </c>
      <c r="H215" s="7">
        <f t="shared" si="3"/>
        <v>1034.5</v>
      </c>
      <c r="I215" s="7">
        <v>165.52</v>
      </c>
    </row>
    <row r="216" spans="1:9">
      <c r="A216" t="s">
        <v>288</v>
      </c>
      <c r="B216" s="1">
        <v>42035</v>
      </c>
      <c r="C216">
        <v>11315</v>
      </c>
      <c r="D216">
        <v>1</v>
      </c>
      <c r="E216" t="s">
        <v>289</v>
      </c>
      <c r="F216" s="17" t="s">
        <v>851</v>
      </c>
      <c r="G216" s="17" t="s">
        <v>289</v>
      </c>
      <c r="H216" s="7">
        <f t="shared" si="3"/>
        <v>450.81249999999994</v>
      </c>
      <c r="I216" s="7">
        <v>72.13</v>
      </c>
    </row>
    <row r="217" spans="1:9">
      <c r="A217" t="s">
        <v>332</v>
      </c>
      <c r="B217" s="1">
        <v>42035</v>
      </c>
      <c r="C217">
        <v>11408</v>
      </c>
      <c r="D217">
        <v>1</v>
      </c>
      <c r="E217" t="s">
        <v>333</v>
      </c>
      <c r="F217" s="17" t="s">
        <v>852</v>
      </c>
      <c r="G217" s="17" t="s">
        <v>333</v>
      </c>
      <c r="H217" s="7">
        <f t="shared" si="3"/>
        <v>64.625</v>
      </c>
      <c r="I217" s="7">
        <v>10.34</v>
      </c>
    </row>
    <row r="218" spans="1:9">
      <c r="A218" t="s">
        <v>439</v>
      </c>
      <c r="B218" s="1">
        <v>42013</v>
      </c>
      <c r="C218" t="s">
        <v>440</v>
      </c>
      <c r="D218">
        <v>1</v>
      </c>
      <c r="E218" t="s">
        <v>441</v>
      </c>
      <c r="F218" s="17" t="s">
        <v>969</v>
      </c>
      <c r="G218" s="17" t="s">
        <v>441</v>
      </c>
      <c r="H218" s="7">
        <f t="shared" si="3"/>
        <v>697</v>
      </c>
      <c r="I218" s="7">
        <v>111.52</v>
      </c>
    </row>
    <row r="219" spans="1:9">
      <c r="A219" t="s">
        <v>296</v>
      </c>
      <c r="B219" s="1">
        <v>42035</v>
      </c>
      <c r="C219">
        <v>11319</v>
      </c>
      <c r="D219">
        <v>1</v>
      </c>
      <c r="E219" t="s">
        <v>297</v>
      </c>
      <c r="F219" s="17" t="s">
        <v>853</v>
      </c>
      <c r="G219" s="17" t="s">
        <v>297</v>
      </c>
      <c r="H219" s="7">
        <f t="shared" si="3"/>
        <v>250</v>
      </c>
      <c r="I219" s="7">
        <v>40</v>
      </c>
    </row>
    <row r="220" spans="1:9">
      <c r="A220" t="s">
        <v>24</v>
      </c>
      <c r="B220" s="1">
        <v>42007</v>
      </c>
      <c r="C220" t="s">
        <v>25</v>
      </c>
      <c r="D220">
        <v>1</v>
      </c>
      <c r="E220" t="s">
        <v>26</v>
      </c>
      <c r="F220" s="16" t="s">
        <v>854</v>
      </c>
      <c r="G220" s="19" t="s">
        <v>855</v>
      </c>
      <c r="H220" s="7">
        <f t="shared" si="3"/>
        <v>156573.6875</v>
      </c>
      <c r="I220" s="7">
        <v>25051.79</v>
      </c>
    </row>
    <row r="221" spans="1:9">
      <c r="A221" t="s">
        <v>580</v>
      </c>
      <c r="B221" s="1">
        <v>42033</v>
      </c>
      <c r="C221" t="s">
        <v>581</v>
      </c>
      <c r="D221">
        <v>1</v>
      </c>
      <c r="E221" t="s">
        <v>582</v>
      </c>
      <c r="F221" t="s">
        <v>856</v>
      </c>
      <c r="G221" t="s">
        <v>582</v>
      </c>
      <c r="H221" s="7">
        <f t="shared" si="3"/>
        <v>450</v>
      </c>
      <c r="I221" s="7">
        <v>72</v>
      </c>
    </row>
    <row r="222" spans="1:9">
      <c r="A222" t="s">
        <v>314</v>
      </c>
      <c r="B222" s="1">
        <v>42035</v>
      </c>
      <c r="C222">
        <v>11351</v>
      </c>
      <c r="D222">
        <v>1</v>
      </c>
      <c r="E222" t="s">
        <v>315</v>
      </c>
      <c r="F222" s="17" t="s">
        <v>857</v>
      </c>
      <c r="G222" s="17" t="s">
        <v>315</v>
      </c>
      <c r="H222" s="7">
        <f t="shared" si="3"/>
        <v>57.375</v>
      </c>
      <c r="I222" s="7">
        <v>9.18</v>
      </c>
    </row>
    <row r="223" spans="1:9">
      <c r="A223" t="s">
        <v>458</v>
      </c>
      <c r="B223" s="1">
        <v>42013</v>
      </c>
      <c r="C223" t="s">
        <v>459</v>
      </c>
      <c r="D223">
        <v>2</v>
      </c>
      <c r="E223" t="s">
        <v>457</v>
      </c>
      <c r="F223" t="s">
        <v>858</v>
      </c>
      <c r="G223" t="s">
        <v>457</v>
      </c>
      <c r="H223" s="7">
        <f t="shared" si="3"/>
        <v>15700</v>
      </c>
      <c r="I223" s="7">
        <v>2512</v>
      </c>
    </row>
    <row r="224" spans="1:9">
      <c r="A224" t="s">
        <v>639</v>
      </c>
      <c r="B224" s="1">
        <v>42020</v>
      </c>
      <c r="C224" t="s">
        <v>466</v>
      </c>
      <c r="D224">
        <v>2</v>
      </c>
      <c r="E224" t="s">
        <v>457</v>
      </c>
      <c r="F224" t="s">
        <v>858</v>
      </c>
      <c r="G224" t="s">
        <v>457</v>
      </c>
      <c r="H224" s="7">
        <f t="shared" si="3"/>
        <v>44900</v>
      </c>
      <c r="I224" s="7">
        <v>7184</v>
      </c>
    </row>
    <row r="225" spans="1:9">
      <c r="A225" t="s">
        <v>536</v>
      </c>
      <c r="B225" s="1">
        <v>42027</v>
      </c>
      <c r="C225" t="s">
        <v>537</v>
      </c>
      <c r="D225">
        <v>1</v>
      </c>
      <c r="E225" t="s">
        <v>538</v>
      </c>
      <c r="F225" t="s">
        <v>859</v>
      </c>
      <c r="G225" t="s">
        <v>538</v>
      </c>
      <c r="H225" s="7">
        <f t="shared" si="3"/>
        <v>25862.0625</v>
      </c>
      <c r="I225" s="7">
        <v>4137.93</v>
      </c>
    </row>
    <row r="226" spans="1:9">
      <c r="A226" t="s">
        <v>473</v>
      </c>
      <c r="B226" s="1">
        <v>42013</v>
      </c>
      <c r="C226" t="s">
        <v>451</v>
      </c>
      <c r="D226">
        <v>2</v>
      </c>
      <c r="E226" t="s">
        <v>474</v>
      </c>
      <c r="F226" t="s">
        <v>860</v>
      </c>
      <c r="G226" t="s">
        <v>474</v>
      </c>
      <c r="H226" s="7">
        <f t="shared" si="3"/>
        <v>300</v>
      </c>
      <c r="I226" s="7">
        <v>48</v>
      </c>
    </row>
    <row r="227" spans="1:9">
      <c r="A227" t="s">
        <v>286</v>
      </c>
      <c r="B227" s="1">
        <v>42035</v>
      </c>
      <c r="C227">
        <v>11314</v>
      </c>
      <c r="D227">
        <v>1</v>
      </c>
      <c r="E227" t="s">
        <v>287</v>
      </c>
      <c r="F227" s="17" t="s">
        <v>861</v>
      </c>
      <c r="G227" s="17" t="s">
        <v>287</v>
      </c>
      <c r="H227" s="7">
        <f t="shared" si="3"/>
        <v>693.125</v>
      </c>
      <c r="I227" s="7">
        <v>110.9</v>
      </c>
    </row>
    <row r="228" spans="1:9">
      <c r="A228" t="s">
        <v>568</v>
      </c>
      <c r="B228" s="1">
        <v>42033</v>
      </c>
      <c r="C228" t="s">
        <v>569</v>
      </c>
      <c r="D228">
        <v>2</v>
      </c>
      <c r="E228" t="s">
        <v>570</v>
      </c>
      <c r="F228" t="s">
        <v>862</v>
      </c>
      <c r="G228" t="s">
        <v>570</v>
      </c>
      <c r="H228" s="7">
        <f t="shared" si="3"/>
        <v>1182.625</v>
      </c>
      <c r="I228" s="7">
        <v>189.22</v>
      </c>
    </row>
    <row r="229" spans="1:9">
      <c r="A229" t="s">
        <v>329</v>
      </c>
      <c r="B229" s="1">
        <v>42035</v>
      </c>
      <c r="C229" t="s">
        <v>330</v>
      </c>
      <c r="D229">
        <v>1</v>
      </c>
      <c r="E229" t="s">
        <v>331</v>
      </c>
      <c r="F229" s="17" t="s">
        <v>863</v>
      </c>
      <c r="G229" s="17" t="s">
        <v>331</v>
      </c>
      <c r="H229" s="7">
        <f t="shared" si="3"/>
        <v>83.875</v>
      </c>
      <c r="I229" s="7">
        <v>13.42</v>
      </c>
    </row>
    <row r="230" spans="1:9">
      <c r="A230" t="s">
        <v>303</v>
      </c>
      <c r="B230" s="1">
        <v>42035</v>
      </c>
      <c r="C230">
        <v>11324</v>
      </c>
      <c r="D230">
        <v>1</v>
      </c>
      <c r="E230" t="s">
        <v>304</v>
      </c>
      <c r="F230" s="17" t="s">
        <v>864</v>
      </c>
      <c r="G230" s="17" t="s">
        <v>304</v>
      </c>
      <c r="H230" s="7">
        <f t="shared" si="3"/>
        <v>419.8125</v>
      </c>
      <c r="I230" s="7">
        <v>67.17</v>
      </c>
    </row>
    <row r="231" spans="1:9">
      <c r="A231" t="s">
        <v>265</v>
      </c>
      <c r="B231" s="1">
        <v>42035</v>
      </c>
      <c r="C231">
        <v>11297</v>
      </c>
      <c r="D231">
        <v>1</v>
      </c>
      <c r="E231" t="s">
        <v>266</v>
      </c>
      <c r="F231" s="17" t="s">
        <v>865</v>
      </c>
      <c r="G231" s="17" t="s">
        <v>866</v>
      </c>
      <c r="H231" s="7">
        <f t="shared" si="3"/>
        <v>128.8125</v>
      </c>
      <c r="I231" s="7">
        <v>20.61</v>
      </c>
    </row>
    <row r="232" spans="1:9">
      <c r="A232" t="s">
        <v>621</v>
      </c>
      <c r="B232" s="1">
        <v>42010</v>
      </c>
      <c r="C232" t="s">
        <v>622</v>
      </c>
      <c r="D232">
        <v>1</v>
      </c>
      <c r="E232" t="s">
        <v>517</v>
      </c>
      <c r="F232" t="s">
        <v>867</v>
      </c>
      <c r="G232" t="s">
        <v>517</v>
      </c>
      <c r="H232" s="7">
        <f t="shared" si="3"/>
        <v>603448.25</v>
      </c>
      <c r="I232" s="7">
        <v>96551.72</v>
      </c>
    </row>
    <row r="233" spans="1:9">
      <c r="A233" t="s">
        <v>515</v>
      </c>
      <c r="B233" s="1">
        <v>42026</v>
      </c>
      <c r="C233" t="s">
        <v>516</v>
      </c>
      <c r="D233">
        <v>1</v>
      </c>
      <c r="E233" t="s">
        <v>517</v>
      </c>
      <c r="F233" s="16" t="s">
        <v>867</v>
      </c>
      <c r="G233" t="s">
        <v>517</v>
      </c>
      <c r="H233" s="7">
        <f t="shared" si="3"/>
        <v>431034.5</v>
      </c>
      <c r="I233" s="7">
        <v>68965.52</v>
      </c>
    </row>
    <row r="234" spans="1:9">
      <c r="A234" t="s">
        <v>560</v>
      </c>
      <c r="B234" s="1">
        <v>42031</v>
      </c>
      <c r="C234" t="s">
        <v>561</v>
      </c>
      <c r="D234">
        <v>1</v>
      </c>
      <c r="E234" t="s">
        <v>562</v>
      </c>
      <c r="F234" s="17" t="s">
        <v>970</v>
      </c>
      <c r="G234" s="17" t="s">
        <v>562</v>
      </c>
      <c r="H234" s="7">
        <f t="shared" si="3"/>
        <v>4862.5</v>
      </c>
      <c r="I234" s="7">
        <v>778</v>
      </c>
    </row>
    <row r="235" spans="1:9">
      <c r="A235" t="s">
        <v>434</v>
      </c>
      <c r="B235" s="1">
        <v>42011</v>
      </c>
      <c r="C235" t="s">
        <v>435</v>
      </c>
      <c r="D235">
        <v>1</v>
      </c>
      <c r="E235" t="s">
        <v>436</v>
      </c>
      <c r="F235" t="s">
        <v>868</v>
      </c>
      <c r="G235" t="s">
        <v>436</v>
      </c>
      <c r="H235" s="7">
        <f t="shared" si="3"/>
        <v>6445</v>
      </c>
      <c r="I235" s="7">
        <v>1031.2</v>
      </c>
    </row>
    <row r="236" spans="1:9">
      <c r="A236" t="s">
        <v>437</v>
      </c>
      <c r="B236" s="1">
        <v>42011</v>
      </c>
      <c r="C236" t="s">
        <v>438</v>
      </c>
      <c r="D236">
        <v>1</v>
      </c>
      <c r="E236" t="s">
        <v>436</v>
      </c>
      <c r="F236" t="s">
        <v>868</v>
      </c>
      <c r="G236" t="s">
        <v>436</v>
      </c>
      <c r="H236" s="7">
        <f t="shared" si="3"/>
        <v>11139.1875</v>
      </c>
      <c r="I236" s="7">
        <v>1782.27</v>
      </c>
    </row>
    <row r="237" spans="1:9">
      <c r="A237" t="s">
        <v>191</v>
      </c>
      <c r="B237" s="1">
        <v>42034</v>
      </c>
      <c r="C237" t="s">
        <v>192</v>
      </c>
      <c r="D237">
        <v>1</v>
      </c>
      <c r="E237" t="s">
        <v>193</v>
      </c>
      <c r="F237" s="18" t="s">
        <v>869</v>
      </c>
      <c r="G237" s="19" t="s">
        <v>870</v>
      </c>
      <c r="H237" s="7">
        <f t="shared" si="3"/>
        <v>164099.5625</v>
      </c>
      <c r="I237" s="7">
        <v>26255.93</v>
      </c>
    </row>
    <row r="238" spans="1:9">
      <c r="A238" t="s">
        <v>66</v>
      </c>
      <c r="B238" s="1">
        <v>42017</v>
      </c>
      <c r="C238" t="s">
        <v>67</v>
      </c>
      <c r="D238">
        <v>1</v>
      </c>
      <c r="E238" t="s">
        <v>68</v>
      </c>
      <c r="F238" s="34" t="s">
        <v>871</v>
      </c>
      <c r="G238" s="34" t="s">
        <v>872</v>
      </c>
      <c r="H238" s="7">
        <f t="shared" si="3"/>
        <v>183250.5625</v>
      </c>
      <c r="I238" s="7">
        <v>29320.09</v>
      </c>
    </row>
    <row r="239" spans="1:9">
      <c r="A239" t="s">
        <v>99</v>
      </c>
      <c r="B239" s="1">
        <v>42021</v>
      </c>
      <c r="C239" t="s">
        <v>100</v>
      </c>
      <c r="D239">
        <v>1</v>
      </c>
      <c r="E239" t="s">
        <v>101</v>
      </c>
      <c r="F239" s="16" t="s">
        <v>873</v>
      </c>
      <c r="G239" s="17" t="s">
        <v>874</v>
      </c>
      <c r="H239" s="7">
        <f t="shared" si="3"/>
        <v>248318.5</v>
      </c>
      <c r="I239" s="7">
        <v>39730.959999999999</v>
      </c>
    </row>
    <row r="240" spans="1:9">
      <c r="A240" t="s">
        <v>1</v>
      </c>
      <c r="B240" s="1">
        <v>42006</v>
      </c>
      <c r="C240" t="s">
        <v>2</v>
      </c>
      <c r="D240">
        <v>1</v>
      </c>
      <c r="E240" t="s">
        <v>3</v>
      </c>
      <c r="F240" s="25" t="s">
        <v>875</v>
      </c>
      <c r="G240" s="17" t="s">
        <v>876</v>
      </c>
      <c r="H240" s="7">
        <f t="shared" si="3"/>
        <v>272863.9375</v>
      </c>
      <c r="I240" s="7">
        <v>43658.23</v>
      </c>
    </row>
    <row r="241" spans="1:10">
      <c r="A241" t="s">
        <v>96</v>
      </c>
      <c r="B241" s="1">
        <v>42020</v>
      </c>
      <c r="C241" t="s">
        <v>97</v>
      </c>
      <c r="D241">
        <v>1</v>
      </c>
      <c r="E241" t="s">
        <v>98</v>
      </c>
      <c r="F241" s="35" t="s">
        <v>875</v>
      </c>
      <c r="G241" s="31" t="s">
        <v>877</v>
      </c>
      <c r="H241" s="7">
        <f t="shared" si="3"/>
        <v>248318.5</v>
      </c>
      <c r="I241" s="7">
        <v>39730.959999999999</v>
      </c>
    </row>
    <row r="242" spans="1:10">
      <c r="A242" t="s">
        <v>54</v>
      </c>
      <c r="B242" s="1">
        <v>42016</v>
      </c>
      <c r="C242" t="s">
        <v>55</v>
      </c>
      <c r="D242">
        <v>1</v>
      </c>
      <c r="E242" t="s">
        <v>56</v>
      </c>
      <c r="F242" s="35" t="s">
        <v>875</v>
      </c>
      <c r="G242" s="31" t="s">
        <v>877</v>
      </c>
      <c r="H242" s="7">
        <f t="shared" si="3"/>
        <v>163910.0625</v>
      </c>
      <c r="I242" s="7">
        <v>26225.61</v>
      </c>
    </row>
    <row r="243" spans="1:10">
      <c r="A243" t="s">
        <v>417</v>
      </c>
      <c r="B243" s="1">
        <v>42006</v>
      </c>
      <c r="C243" t="s">
        <v>418</v>
      </c>
      <c r="D243">
        <v>1</v>
      </c>
      <c r="E243" t="s">
        <v>419</v>
      </c>
      <c r="F243" s="32" t="s">
        <v>799</v>
      </c>
      <c r="G243" t="s">
        <v>0</v>
      </c>
      <c r="H243" s="7">
        <f t="shared" si="3"/>
        <v>224942.4375</v>
      </c>
      <c r="I243" s="7">
        <v>35990.79</v>
      </c>
    </row>
    <row r="244" spans="1:10">
      <c r="A244" t="s">
        <v>91</v>
      </c>
      <c r="B244" s="1">
        <v>42020</v>
      </c>
      <c r="C244" t="s">
        <v>90</v>
      </c>
      <c r="D244">
        <v>1</v>
      </c>
      <c r="E244" t="s">
        <v>0</v>
      </c>
      <c r="F244" s="32" t="s">
        <v>799</v>
      </c>
      <c r="G244" t="s">
        <v>0</v>
      </c>
      <c r="H244" s="7">
        <f t="shared" si="3"/>
        <v>-185377.375</v>
      </c>
      <c r="I244" s="7">
        <v>-29660.38</v>
      </c>
      <c r="J244" s="2"/>
    </row>
    <row r="245" spans="1:10">
      <c r="A245" t="s">
        <v>50</v>
      </c>
      <c r="B245" s="1">
        <v>42014</v>
      </c>
      <c r="C245" t="s">
        <v>51</v>
      </c>
      <c r="D245">
        <v>1</v>
      </c>
      <c r="E245" t="s">
        <v>0</v>
      </c>
      <c r="F245" s="32" t="s">
        <v>799</v>
      </c>
      <c r="G245" t="s">
        <v>0</v>
      </c>
      <c r="H245" s="7">
        <f t="shared" si="3"/>
        <v>-224942.4375</v>
      </c>
      <c r="I245" s="7">
        <v>-35990.79</v>
      </c>
      <c r="J245" s="2"/>
    </row>
    <row r="246" spans="1:10">
      <c r="A246" t="s">
        <v>4</v>
      </c>
      <c r="B246" s="1">
        <v>42006</v>
      </c>
      <c r="C246" t="s">
        <v>5</v>
      </c>
      <c r="D246">
        <v>1</v>
      </c>
      <c r="E246" t="s">
        <v>0</v>
      </c>
      <c r="F246" s="32" t="s">
        <v>799</v>
      </c>
      <c r="G246" t="s">
        <v>0</v>
      </c>
      <c r="H246" s="7">
        <f t="shared" si="3"/>
        <v>225004.5</v>
      </c>
      <c r="I246" s="7">
        <v>36000.720000000001</v>
      </c>
    </row>
    <row r="247" spans="1:10">
      <c r="A247" t="s">
        <v>36</v>
      </c>
      <c r="B247" s="1">
        <v>42011</v>
      </c>
      <c r="C247" t="s">
        <v>37</v>
      </c>
      <c r="D247">
        <v>1</v>
      </c>
      <c r="E247" t="s">
        <v>0</v>
      </c>
      <c r="F247" s="32" t="s">
        <v>799</v>
      </c>
      <c r="G247" t="s">
        <v>0</v>
      </c>
      <c r="H247" s="7">
        <f t="shared" si="3"/>
        <v>401556.875</v>
      </c>
      <c r="I247" s="7">
        <v>64249.1</v>
      </c>
    </row>
    <row r="248" spans="1:10">
      <c r="A248" t="s">
        <v>44</v>
      </c>
      <c r="B248" s="1">
        <v>42012</v>
      </c>
      <c r="C248" t="s">
        <v>45</v>
      </c>
      <c r="D248">
        <v>1</v>
      </c>
      <c r="E248" t="s">
        <v>0</v>
      </c>
      <c r="F248" s="32" t="s">
        <v>799</v>
      </c>
      <c r="G248" t="s">
        <v>0</v>
      </c>
      <c r="H248" s="7">
        <f t="shared" si="3"/>
        <v>156521.125</v>
      </c>
      <c r="I248" s="7">
        <v>25043.38</v>
      </c>
    </row>
    <row r="249" spans="1:10">
      <c r="A249" t="s">
        <v>46</v>
      </c>
      <c r="B249" s="1">
        <v>42014</v>
      </c>
      <c r="C249" t="s">
        <v>47</v>
      </c>
      <c r="D249">
        <v>1</v>
      </c>
      <c r="E249" t="s">
        <v>0</v>
      </c>
      <c r="F249" s="32" t="s">
        <v>799</v>
      </c>
      <c r="G249" t="s">
        <v>0</v>
      </c>
      <c r="H249" s="7">
        <f t="shared" si="3"/>
        <v>236990.6875</v>
      </c>
      <c r="I249" s="7">
        <v>37918.51</v>
      </c>
    </row>
    <row r="250" spans="1:10">
      <c r="A250" t="s">
        <v>48</v>
      </c>
      <c r="B250" s="1">
        <v>42014</v>
      </c>
      <c r="C250" t="s">
        <v>49</v>
      </c>
      <c r="D250">
        <v>1</v>
      </c>
      <c r="E250" t="s">
        <v>0</v>
      </c>
      <c r="F250" s="32" t="s">
        <v>799</v>
      </c>
      <c r="G250" t="s">
        <v>0</v>
      </c>
      <c r="H250" s="7">
        <f t="shared" si="3"/>
        <v>207008.6875</v>
      </c>
      <c r="I250" s="7">
        <v>33121.39</v>
      </c>
    </row>
    <row r="251" spans="1:10">
      <c r="A251" t="s">
        <v>52</v>
      </c>
      <c r="B251" s="1">
        <v>42014</v>
      </c>
      <c r="C251" t="s">
        <v>53</v>
      </c>
      <c r="D251">
        <v>1</v>
      </c>
      <c r="E251" t="s">
        <v>0</v>
      </c>
      <c r="F251" s="32" t="s">
        <v>799</v>
      </c>
      <c r="G251" t="s">
        <v>0</v>
      </c>
      <c r="H251" s="7">
        <f t="shared" si="3"/>
        <v>216135.0625</v>
      </c>
      <c r="I251" s="7">
        <v>34581.61</v>
      </c>
    </row>
    <row r="252" spans="1:10">
      <c r="A252" t="s">
        <v>57</v>
      </c>
      <c r="B252" s="1">
        <v>42016</v>
      </c>
      <c r="C252" t="s">
        <v>58</v>
      </c>
      <c r="D252">
        <v>1</v>
      </c>
      <c r="E252" t="s">
        <v>0</v>
      </c>
      <c r="F252" s="32" t="s">
        <v>799</v>
      </c>
      <c r="G252" t="s">
        <v>0</v>
      </c>
      <c r="H252" s="7">
        <f t="shared" si="3"/>
        <v>167890.8125</v>
      </c>
      <c r="I252" s="7">
        <v>26862.53</v>
      </c>
    </row>
    <row r="253" spans="1:10">
      <c r="A253" t="s">
        <v>59</v>
      </c>
      <c r="B253" s="1">
        <v>42016</v>
      </c>
      <c r="C253" t="s">
        <v>60</v>
      </c>
      <c r="D253">
        <v>1</v>
      </c>
      <c r="E253" t="s">
        <v>0</v>
      </c>
      <c r="F253" s="32" t="s">
        <v>799</v>
      </c>
      <c r="G253" t="s">
        <v>0</v>
      </c>
      <c r="H253" s="7">
        <f t="shared" si="3"/>
        <v>366626.125</v>
      </c>
      <c r="I253" s="7">
        <v>58660.18</v>
      </c>
    </row>
    <row r="254" spans="1:10">
      <c r="A254" t="s">
        <v>61</v>
      </c>
      <c r="B254" s="1">
        <v>42016</v>
      </c>
      <c r="C254" t="s">
        <v>62</v>
      </c>
      <c r="D254">
        <v>1</v>
      </c>
      <c r="E254" t="s">
        <v>0</v>
      </c>
      <c r="F254" s="32" t="s">
        <v>799</v>
      </c>
      <c r="G254" t="s">
        <v>0</v>
      </c>
      <c r="H254" s="7">
        <f t="shared" si="3"/>
        <v>477955.3125</v>
      </c>
      <c r="I254" s="7">
        <v>76472.850000000006</v>
      </c>
    </row>
    <row r="255" spans="1:10">
      <c r="A255" t="s">
        <v>92</v>
      </c>
      <c r="B255" s="1">
        <v>42020</v>
      </c>
      <c r="C255" t="s">
        <v>93</v>
      </c>
      <c r="D255">
        <v>1</v>
      </c>
      <c r="E255" t="s">
        <v>0</v>
      </c>
      <c r="F255" s="32" t="s">
        <v>799</v>
      </c>
      <c r="G255" t="s">
        <v>0</v>
      </c>
      <c r="H255" s="7">
        <f t="shared" si="3"/>
        <v>185377.375</v>
      </c>
      <c r="I255" s="7">
        <v>29660.38</v>
      </c>
    </row>
    <row r="256" spans="1:10">
      <c r="A256" t="s">
        <v>94</v>
      </c>
      <c r="B256" s="1">
        <v>42020</v>
      </c>
      <c r="C256" t="s">
        <v>95</v>
      </c>
      <c r="D256">
        <v>1</v>
      </c>
      <c r="E256" t="s">
        <v>0</v>
      </c>
      <c r="F256" s="32" t="s">
        <v>799</v>
      </c>
      <c r="G256" t="s">
        <v>0</v>
      </c>
      <c r="H256" s="7">
        <f t="shared" si="3"/>
        <v>153711.5</v>
      </c>
      <c r="I256" s="7">
        <v>24593.84</v>
      </c>
    </row>
    <row r="257" spans="1:9">
      <c r="A257" t="s">
        <v>102</v>
      </c>
      <c r="B257" s="1">
        <v>42021</v>
      </c>
      <c r="C257" t="s">
        <v>103</v>
      </c>
      <c r="D257">
        <v>1</v>
      </c>
      <c r="E257" t="s">
        <v>0</v>
      </c>
      <c r="F257" s="32" t="s">
        <v>799</v>
      </c>
      <c r="G257" t="s">
        <v>0</v>
      </c>
      <c r="H257" s="7">
        <f t="shared" si="3"/>
        <v>195789.3125</v>
      </c>
      <c r="I257" s="7">
        <v>31326.29</v>
      </c>
    </row>
    <row r="258" spans="1:9">
      <c r="A258" t="s">
        <v>104</v>
      </c>
      <c r="B258" s="1">
        <v>42021</v>
      </c>
      <c r="C258" t="s">
        <v>105</v>
      </c>
      <c r="D258">
        <v>1</v>
      </c>
      <c r="E258" t="s">
        <v>0</v>
      </c>
      <c r="F258" s="32" t="s">
        <v>799</v>
      </c>
      <c r="G258" t="s">
        <v>0</v>
      </c>
      <c r="H258" s="7">
        <f t="shared" si="3"/>
        <v>185203.25</v>
      </c>
      <c r="I258" s="7">
        <v>29632.52</v>
      </c>
    </row>
    <row r="259" spans="1:9">
      <c r="A259" t="s">
        <v>113</v>
      </c>
      <c r="B259" s="1">
        <v>42025</v>
      </c>
      <c r="C259" t="s">
        <v>114</v>
      </c>
      <c r="D259">
        <v>1</v>
      </c>
      <c r="E259" t="s">
        <v>0</v>
      </c>
      <c r="F259" s="32" t="s">
        <v>799</v>
      </c>
      <c r="G259" t="s">
        <v>0</v>
      </c>
      <c r="H259" s="7">
        <f t="shared" ref="H259:H402" si="4">+I259/0.16</f>
        <v>224830.375</v>
      </c>
      <c r="I259" s="7">
        <v>35972.86</v>
      </c>
    </row>
    <row r="260" spans="1:9">
      <c r="A260" t="s">
        <v>115</v>
      </c>
      <c r="B260" s="1">
        <v>42025</v>
      </c>
      <c r="C260" t="s">
        <v>116</v>
      </c>
      <c r="D260">
        <v>1</v>
      </c>
      <c r="E260" t="s">
        <v>0</v>
      </c>
      <c r="F260" s="32" t="s">
        <v>799</v>
      </c>
      <c r="G260" t="s">
        <v>0</v>
      </c>
      <c r="H260" s="7">
        <f t="shared" si="4"/>
        <v>224830.375</v>
      </c>
      <c r="I260" s="7">
        <v>35972.86</v>
      </c>
    </row>
    <row r="261" spans="1:9">
      <c r="A261" t="s">
        <v>130</v>
      </c>
      <c r="B261" s="1">
        <v>42026</v>
      </c>
      <c r="C261" t="s">
        <v>131</v>
      </c>
      <c r="D261">
        <v>1</v>
      </c>
      <c r="E261" t="s">
        <v>0</v>
      </c>
      <c r="F261" s="32" t="s">
        <v>799</v>
      </c>
      <c r="G261" t="s">
        <v>0</v>
      </c>
      <c r="H261" s="7">
        <f t="shared" si="4"/>
        <v>224830.375</v>
      </c>
      <c r="I261" s="7">
        <v>35972.86</v>
      </c>
    </row>
    <row r="262" spans="1:9">
      <c r="A262" t="s">
        <v>128</v>
      </c>
      <c r="B262" s="1">
        <v>42026</v>
      </c>
      <c r="C262" t="s">
        <v>129</v>
      </c>
      <c r="D262">
        <v>1</v>
      </c>
      <c r="E262" t="s">
        <v>0</v>
      </c>
      <c r="F262" s="32" t="s">
        <v>799</v>
      </c>
      <c r="G262" t="s">
        <v>0</v>
      </c>
      <c r="H262" s="7">
        <f t="shared" si="4"/>
        <v>224830.375</v>
      </c>
      <c r="I262" s="7">
        <v>35972.86</v>
      </c>
    </row>
    <row r="263" spans="1:9">
      <c r="A263" t="s">
        <v>136</v>
      </c>
      <c r="B263" s="1">
        <v>42030</v>
      </c>
      <c r="C263" t="s">
        <v>137</v>
      </c>
      <c r="D263">
        <v>1</v>
      </c>
      <c r="E263" t="s">
        <v>0</v>
      </c>
      <c r="F263" s="32" t="s">
        <v>799</v>
      </c>
      <c r="G263" t="s">
        <v>0</v>
      </c>
      <c r="H263" s="7">
        <f t="shared" si="4"/>
        <v>185203.25</v>
      </c>
      <c r="I263" s="7">
        <v>29632.52</v>
      </c>
    </row>
    <row r="264" spans="1:9">
      <c r="A264" t="s">
        <v>141</v>
      </c>
      <c r="B264" s="1">
        <v>42031</v>
      </c>
      <c r="C264" t="s">
        <v>142</v>
      </c>
      <c r="D264">
        <v>1</v>
      </c>
      <c r="E264" t="s">
        <v>0</v>
      </c>
      <c r="F264" s="32" t="s">
        <v>799</v>
      </c>
      <c r="G264" t="s">
        <v>0</v>
      </c>
      <c r="H264" s="7">
        <f t="shared" si="4"/>
        <v>207070.75</v>
      </c>
      <c r="I264" s="7">
        <v>33131.32</v>
      </c>
    </row>
    <row r="265" spans="1:9">
      <c r="A265" t="s">
        <v>146</v>
      </c>
      <c r="B265" s="1">
        <v>42031</v>
      </c>
      <c r="C265" t="s">
        <v>147</v>
      </c>
      <c r="D265">
        <v>1</v>
      </c>
      <c r="E265" t="s">
        <v>0</v>
      </c>
      <c r="F265" s="32" t="s">
        <v>799</v>
      </c>
      <c r="G265" t="s">
        <v>0</v>
      </c>
      <c r="H265" s="7">
        <f t="shared" si="4"/>
        <v>260727.62499999997</v>
      </c>
      <c r="I265" s="7">
        <v>41716.42</v>
      </c>
    </row>
    <row r="266" spans="1:9">
      <c r="A266" t="s">
        <v>148</v>
      </c>
      <c r="B266" s="1">
        <v>42031</v>
      </c>
      <c r="C266" t="s">
        <v>149</v>
      </c>
      <c r="D266">
        <v>1</v>
      </c>
      <c r="E266" t="s">
        <v>0</v>
      </c>
      <c r="F266" s="32" t="s">
        <v>799</v>
      </c>
      <c r="G266" t="s">
        <v>0</v>
      </c>
      <c r="H266" s="7">
        <f t="shared" si="4"/>
        <v>224830.375</v>
      </c>
      <c r="I266" s="7">
        <v>35972.86</v>
      </c>
    </row>
    <row r="267" spans="1:9">
      <c r="A267" t="s">
        <v>150</v>
      </c>
      <c r="B267" s="1">
        <v>42031</v>
      </c>
      <c r="C267" t="s">
        <v>151</v>
      </c>
      <c r="D267">
        <v>1</v>
      </c>
      <c r="E267" t="s">
        <v>0</v>
      </c>
      <c r="F267" s="32" t="s">
        <v>799</v>
      </c>
      <c r="G267" t="s">
        <v>0</v>
      </c>
      <c r="H267" s="7">
        <f t="shared" si="4"/>
        <v>236878.625</v>
      </c>
      <c r="I267" s="7">
        <v>37900.58</v>
      </c>
    </row>
    <row r="268" spans="1:9">
      <c r="A268" t="s">
        <v>156</v>
      </c>
      <c r="B268" s="1">
        <v>42032</v>
      </c>
      <c r="C268" t="s">
        <v>157</v>
      </c>
      <c r="D268">
        <v>1</v>
      </c>
      <c r="E268" t="s">
        <v>0</v>
      </c>
      <c r="F268" s="32" t="s">
        <v>799</v>
      </c>
      <c r="G268" t="s">
        <v>0</v>
      </c>
      <c r="H268" s="7">
        <f t="shared" si="4"/>
        <v>206896.625</v>
      </c>
      <c r="I268" s="7">
        <v>33103.46</v>
      </c>
    </row>
    <row r="269" spans="1:9">
      <c r="A269" t="s">
        <v>158</v>
      </c>
      <c r="B269" s="1">
        <v>42032</v>
      </c>
      <c r="C269" t="s">
        <v>159</v>
      </c>
      <c r="D269">
        <v>1</v>
      </c>
      <c r="E269" t="s">
        <v>0</v>
      </c>
      <c r="F269" s="32" t="s">
        <v>799</v>
      </c>
      <c r="G269" t="s">
        <v>0</v>
      </c>
      <c r="H269" s="7">
        <f t="shared" si="4"/>
        <v>189939.9375</v>
      </c>
      <c r="I269" s="7">
        <v>30390.39</v>
      </c>
    </row>
    <row r="270" spans="1:9">
      <c r="A270" t="s">
        <v>160</v>
      </c>
      <c r="B270" s="1">
        <v>42032</v>
      </c>
      <c r="C270" t="s">
        <v>161</v>
      </c>
      <c r="D270">
        <v>1</v>
      </c>
      <c r="E270" t="s">
        <v>0</v>
      </c>
      <c r="F270" s="32" t="s">
        <v>799</v>
      </c>
      <c r="G270" t="s">
        <v>0</v>
      </c>
      <c r="H270" s="7">
        <f t="shared" si="4"/>
        <v>189939.9375</v>
      </c>
      <c r="I270" s="7">
        <v>30390.39</v>
      </c>
    </row>
    <row r="271" spans="1:9">
      <c r="A271" t="s">
        <v>162</v>
      </c>
      <c r="B271" s="1">
        <v>42032</v>
      </c>
      <c r="C271" t="s">
        <v>163</v>
      </c>
      <c r="D271">
        <v>1</v>
      </c>
      <c r="E271" t="s">
        <v>0</v>
      </c>
      <c r="F271" s="32" t="s">
        <v>799</v>
      </c>
      <c r="G271" t="s">
        <v>0</v>
      </c>
      <c r="H271" s="7">
        <f t="shared" si="4"/>
        <v>280675.6875</v>
      </c>
      <c r="I271" s="7">
        <v>44908.11</v>
      </c>
    </row>
    <row r="272" spans="1:9">
      <c r="A272" t="s">
        <v>164</v>
      </c>
      <c r="B272" s="1">
        <v>42032</v>
      </c>
      <c r="C272" t="s">
        <v>165</v>
      </c>
      <c r="D272">
        <v>1</v>
      </c>
      <c r="E272" t="s">
        <v>0</v>
      </c>
      <c r="F272" s="32" t="s">
        <v>799</v>
      </c>
      <c r="G272" t="s">
        <v>0</v>
      </c>
      <c r="H272" s="7">
        <f t="shared" si="4"/>
        <v>317100</v>
      </c>
      <c r="I272" s="7">
        <v>50736</v>
      </c>
    </row>
    <row r="273" spans="1:9">
      <c r="A273" t="s">
        <v>166</v>
      </c>
      <c r="B273" s="1">
        <v>42032</v>
      </c>
      <c r="C273" t="s">
        <v>167</v>
      </c>
      <c r="D273">
        <v>1</v>
      </c>
      <c r="E273" t="s">
        <v>0</v>
      </c>
      <c r="F273" s="32" t="s">
        <v>799</v>
      </c>
      <c r="G273" t="s">
        <v>0</v>
      </c>
      <c r="H273" s="7">
        <f t="shared" si="4"/>
        <v>366626.125</v>
      </c>
      <c r="I273" s="7">
        <v>58660.18</v>
      </c>
    </row>
    <row r="274" spans="1:9">
      <c r="A274" t="s">
        <v>168</v>
      </c>
      <c r="B274" s="1">
        <v>42032</v>
      </c>
      <c r="C274" t="s">
        <v>169</v>
      </c>
      <c r="D274">
        <v>1</v>
      </c>
      <c r="E274" t="s">
        <v>0</v>
      </c>
      <c r="F274" s="32" t="s">
        <v>799</v>
      </c>
      <c r="G274" t="s">
        <v>0</v>
      </c>
      <c r="H274" s="7">
        <f t="shared" si="4"/>
        <v>366626.125</v>
      </c>
      <c r="I274" s="7">
        <v>58660.18</v>
      </c>
    </row>
    <row r="275" spans="1:9">
      <c r="A275" t="s">
        <v>180</v>
      </c>
      <c r="B275" s="1">
        <v>42033</v>
      </c>
      <c r="C275" t="s">
        <v>170</v>
      </c>
      <c r="D275">
        <v>1</v>
      </c>
      <c r="E275" t="s">
        <v>0</v>
      </c>
      <c r="F275" s="32" t="s">
        <v>799</v>
      </c>
      <c r="G275" t="s">
        <v>0</v>
      </c>
      <c r="H275" s="7">
        <f t="shared" si="4"/>
        <v>224830.375</v>
      </c>
      <c r="I275" s="7">
        <v>35972.86</v>
      </c>
    </row>
    <row r="276" spans="1:9">
      <c r="A276" t="s">
        <v>174</v>
      </c>
      <c r="B276" s="1">
        <v>42033</v>
      </c>
      <c r="C276" t="s">
        <v>175</v>
      </c>
      <c r="D276">
        <v>1</v>
      </c>
      <c r="E276" t="s">
        <v>0</v>
      </c>
      <c r="F276" s="32" t="s">
        <v>799</v>
      </c>
      <c r="G276" t="s">
        <v>0</v>
      </c>
      <c r="H276" s="7">
        <f t="shared" si="4"/>
        <v>224830.375</v>
      </c>
      <c r="I276" s="7">
        <v>35972.86</v>
      </c>
    </row>
    <row r="277" spans="1:9">
      <c r="A277" t="s">
        <v>176</v>
      </c>
      <c r="B277" s="1">
        <v>42033</v>
      </c>
      <c r="C277" t="s">
        <v>177</v>
      </c>
      <c r="D277">
        <v>1</v>
      </c>
      <c r="E277" t="s">
        <v>0</v>
      </c>
      <c r="F277" s="32" t="s">
        <v>799</v>
      </c>
      <c r="G277" t="s">
        <v>0</v>
      </c>
      <c r="H277" s="7">
        <f t="shared" si="4"/>
        <v>224830.375</v>
      </c>
      <c r="I277" s="7">
        <v>35972.86</v>
      </c>
    </row>
    <row r="278" spans="1:9">
      <c r="A278" t="s">
        <v>178</v>
      </c>
      <c r="B278" s="1">
        <v>42033</v>
      </c>
      <c r="C278" t="s">
        <v>179</v>
      </c>
      <c r="D278">
        <v>1</v>
      </c>
      <c r="E278" t="s">
        <v>0</v>
      </c>
      <c r="F278" s="32" t="s">
        <v>799</v>
      </c>
      <c r="G278" t="s">
        <v>0</v>
      </c>
      <c r="H278" s="7">
        <f t="shared" si="4"/>
        <v>224830.375</v>
      </c>
      <c r="I278" s="7">
        <v>35972.86</v>
      </c>
    </row>
    <row r="279" spans="1:9">
      <c r="A279" t="s">
        <v>152</v>
      </c>
      <c r="B279" s="1">
        <v>42032</v>
      </c>
      <c r="C279" t="s">
        <v>153</v>
      </c>
      <c r="D279">
        <v>1</v>
      </c>
      <c r="E279" t="s">
        <v>0</v>
      </c>
      <c r="F279" s="32" t="s">
        <v>799</v>
      </c>
      <c r="G279" t="s">
        <v>0</v>
      </c>
      <c r="H279" s="7">
        <f t="shared" si="4"/>
        <v>224830.375</v>
      </c>
      <c r="I279" s="7">
        <v>35972.86</v>
      </c>
    </row>
    <row r="280" spans="1:9">
      <c r="A280" t="s">
        <v>184</v>
      </c>
      <c r="B280" s="1">
        <v>42033</v>
      </c>
      <c r="C280" t="s">
        <v>185</v>
      </c>
      <c r="D280">
        <v>1</v>
      </c>
      <c r="E280" t="s">
        <v>0</v>
      </c>
      <c r="F280" s="32" t="s">
        <v>799</v>
      </c>
      <c r="G280" t="s">
        <v>0</v>
      </c>
      <c r="H280" s="7">
        <f t="shared" si="4"/>
        <v>177356.3125</v>
      </c>
      <c r="I280" s="7">
        <v>28377.01</v>
      </c>
    </row>
    <row r="281" spans="1:9">
      <c r="A281" t="s">
        <v>189</v>
      </c>
      <c r="B281" s="1">
        <v>42034</v>
      </c>
      <c r="C281" t="s">
        <v>190</v>
      </c>
      <c r="D281">
        <v>1</v>
      </c>
      <c r="E281" t="s">
        <v>0</v>
      </c>
      <c r="F281" s="32" t="s">
        <v>799</v>
      </c>
      <c r="G281" t="s">
        <v>0</v>
      </c>
      <c r="H281" s="7">
        <f t="shared" si="4"/>
        <v>177356.125</v>
      </c>
      <c r="I281" s="7">
        <v>28376.98</v>
      </c>
    </row>
    <row r="282" spans="1:9">
      <c r="A282" t="s">
        <v>194</v>
      </c>
      <c r="B282" s="1">
        <v>42034</v>
      </c>
      <c r="C282" t="s">
        <v>195</v>
      </c>
      <c r="D282">
        <v>1</v>
      </c>
      <c r="E282" t="s">
        <v>0</v>
      </c>
      <c r="F282" s="32" t="s">
        <v>799</v>
      </c>
      <c r="G282" t="s">
        <v>0</v>
      </c>
      <c r="H282" s="7">
        <f t="shared" si="4"/>
        <v>185203.25</v>
      </c>
      <c r="I282" s="7">
        <v>29632.52</v>
      </c>
    </row>
    <row r="283" spans="1:9">
      <c r="A283" t="s">
        <v>201</v>
      </c>
      <c r="B283" s="1">
        <v>42035</v>
      </c>
      <c r="C283" t="s">
        <v>202</v>
      </c>
      <c r="D283">
        <v>1</v>
      </c>
      <c r="E283" t="s">
        <v>0</v>
      </c>
      <c r="F283" s="32" t="s">
        <v>799</v>
      </c>
      <c r="G283" t="s">
        <v>0</v>
      </c>
      <c r="H283" s="7">
        <f t="shared" si="4"/>
        <v>224830.375</v>
      </c>
      <c r="I283" s="7">
        <v>35972.86</v>
      </c>
    </row>
    <row r="284" spans="1:9">
      <c r="A284" t="s">
        <v>203</v>
      </c>
      <c r="B284" s="1">
        <v>42035</v>
      </c>
      <c r="C284" t="s">
        <v>204</v>
      </c>
      <c r="D284">
        <v>1</v>
      </c>
      <c r="E284" t="s">
        <v>0</v>
      </c>
      <c r="F284" s="32" t="s">
        <v>799</v>
      </c>
      <c r="G284" t="s">
        <v>0</v>
      </c>
      <c r="H284" s="7">
        <f t="shared" si="4"/>
        <v>156409.0625</v>
      </c>
      <c r="I284" s="7">
        <v>25025.45</v>
      </c>
    </row>
    <row r="285" spans="1:9">
      <c r="A285" t="s">
        <v>205</v>
      </c>
      <c r="B285" s="1">
        <v>42035</v>
      </c>
      <c r="C285" t="s">
        <v>206</v>
      </c>
      <c r="D285">
        <v>1</v>
      </c>
      <c r="E285" t="s">
        <v>0</v>
      </c>
      <c r="F285" s="32" t="s">
        <v>799</v>
      </c>
      <c r="G285" t="s">
        <v>0</v>
      </c>
      <c r="H285" s="7">
        <f t="shared" si="4"/>
        <v>163934.875</v>
      </c>
      <c r="I285" s="7">
        <v>26229.58</v>
      </c>
    </row>
    <row r="286" spans="1:9">
      <c r="A286" t="s">
        <v>207</v>
      </c>
      <c r="B286" s="1">
        <v>42035</v>
      </c>
      <c r="C286" t="s">
        <v>208</v>
      </c>
      <c r="D286">
        <v>1</v>
      </c>
      <c r="E286" t="s">
        <v>0</v>
      </c>
      <c r="F286" s="32" t="s">
        <v>799</v>
      </c>
      <c r="G286" t="s">
        <v>0</v>
      </c>
      <c r="H286" s="7">
        <f t="shared" si="4"/>
        <v>163934.875</v>
      </c>
      <c r="I286" s="7">
        <v>26229.58</v>
      </c>
    </row>
    <row r="287" spans="1:9">
      <c r="A287" t="s">
        <v>209</v>
      </c>
      <c r="B287" s="1">
        <v>42035</v>
      </c>
      <c r="C287" t="s">
        <v>210</v>
      </c>
      <c r="D287">
        <v>1</v>
      </c>
      <c r="E287" t="s">
        <v>0</v>
      </c>
      <c r="F287" s="32" t="s">
        <v>799</v>
      </c>
      <c r="G287" t="s">
        <v>0</v>
      </c>
      <c r="H287" s="7">
        <f t="shared" si="4"/>
        <v>167890.8125</v>
      </c>
      <c r="I287" s="7">
        <v>26862.53</v>
      </c>
    </row>
    <row r="288" spans="1:9">
      <c r="A288" t="s">
        <v>211</v>
      </c>
      <c r="B288" s="1">
        <v>42035</v>
      </c>
      <c r="C288" t="s">
        <v>212</v>
      </c>
      <c r="D288">
        <v>1</v>
      </c>
      <c r="E288" t="s">
        <v>0</v>
      </c>
      <c r="F288" s="32" t="s">
        <v>799</v>
      </c>
      <c r="G288" t="s">
        <v>0</v>
      </c>
      <c r="H288" s="7">
        <f t="shared" si="4"/>
        <v>220511</v>
      </c>
      <c r="I288" s="7">
        <v>35281.760000000002</v>
      </c>
    </row>
    <row r="289" spans="1:11">
      <c r="A289" t="s">
        <v>213</v>
      </c>
      <c r="B289" s="1">
        <v>42035</v>
      </c>
      <c r="C289" t="s">
        <v>214</v>
      </c>
      <c r="D289">
        <v>1</v>
      </c>
      <c r="E289" t="s">
        <v>0</v>
      </c>
      <c r="F289" s="32" t="s">
        <v>799</v>
      </c>
      <c r="G289" t="s">
        <v>0</v>
      </c>
      <c r="H289" s="7">
        <f t="shared" si="4"/>
        <v>183076.4375</v>
      </c>
      <c r="I289" s="7">
        <v>29292.23</v>
      </c>
    </row>
    <row r="290" spans="1:11">
      <c r="A290" t="s">
        <v>481</v>
      </c>
      <c r="B290" s="1">
        <v>42016</v>
      </c>
      <c r="C290" t="s">
        <v>482</v>
      </c>
      <c r="D290">
        <v>1</v>
      </c>
      <c r="E290" t="s">
        <v>0</v>
      </c>
      <c r="F290" s="32" t="s">
        <v>799</v>
      </c>
      <c r="G290" t="s">
        <v>0</v>
      </c>
      <c r="H290" s="7">
        <f t="shared" si="4"/>
        <v>364234.75</v>
      </c>
      <c r="I290" s="7">
        <v>58277.56</v>
      </c>
    </row>
    <row r="291" spans="1:11">
      <c r="A291" t="s">
        <v>413</v>
      </c>
      <c r="B291" s="1">
        <v>42035</v>
      </c>
      <c r="C291">
        <v>11280</v>
      </c>
      <c r="D291">
        <v>1</v>
      </c>
      <c r="E291" t="s">
        <v>414</v>
      </c>
      <c r="F291" s="33" t="s">
        <v>878</v>
      </c>
      <c r="G291" s="33" t="s">
        <v>414</v>
      </c>
      <c r="H291" s="7">
        <f t="shared" si="4"/>
        <v>370</v>
      </c>
      <c r="I291" s="7">
        <v>59.2</v>
      </c>
    </row>
    <row r="292" spans="1:11">
      <c r="A292" t="s">
        <v>343</v>
      </c>
      <c r="B292" s="1">
        <v>42035</v>
      </c>
      <c r="C292" t="s">
        <v>344</v>
      </c>
      <c r="D292">
        <v>1</v>
      </c>
      <c r="E292" t="s">
        <v>345</v>
      </c>
      <c r="F292" s="36" t="s">
        <v>714</v>
      </c>
      <c r="G292" s="17" t="s">
        <v>715</v>
      </c>
      <c r="H292" s="28">
        <f t="shared" ref="H292:H323" si="5">I292/0.16</f>
        <v>377.56249999999994</v>
      </c>
      <c r="I292" s="36">
        <v>60.41</v>
      </c>
      <c r="J292" s="7"/>
    </row>
    <row r="293" spans="1:11">
      <c r="A293" t="s">
        <v>343</v>
      </c>
      <c r="B293" s="1">
        <v>42035</v>
      </c>
      <c r="C293" t="s">
        <v>344</v>
      </c>
      <c r="D293">
        <v>1</v>
      </c>
      <c r="E293" t="s">
        <v>345</v>
      </c>
      <c r="F293" s="36" t="s">
        <v>714</v>
      </c>
      <c r="G293" s="17" t="s">
        <v>715</v>
      </c>
      <c r="H293" s="28">
        <f t="shared" si="5"/>
        <v>317.25</v>
      </c>
      <c r="I293" s="36">
        <v>50.76</v>
      </c>
    </row>
    <row r="294" spans="1:11">
      <c r="A294" t="s">
        <v>343</v>
      </c>
      <c r="B294" s="1">
        <v>42035</v>
      </c>
      <c r="C294" t="s">
        <v>344</v>
      </c>
      <c r="D294">
        <v>1</v>
      </c>
      <c r="E294" t="s">
        <v>345</v>
      </c>
      <c r="F294" s="36" t="s">
        <v>879</v>
      </c>
      <c r="G294" s="17" t="s">
        <v>880</v>
      </c>
      <c r="H294" s="28">
        <f t="shared" si="5"/>
        <v>293.75</v>
      </c>
      <c r="I294" s="36">
        <v>47</v>
      </c>
    </row>
    <row r="295" spans="1:11">
      <c r="A295" t="s">
        <v>343</v>
      </c>
      <c r="B295" s="1">
        <v>42035</v>
      </c>
      <c r="C295" t="s">
        <v>344</v>
      </c>
      <c r="D295">
        <v>1</v>
      </c>
      <c r="E295" t="s">
        <v>345</v>
      </c>
      <c r="F295" s="36" t="s">
        <v>881</v>
      </c>
      <c r="G295" s="17" t="s">
        <v>882</v>
      </c>
      <c r="H295" s="28">
        <f t="shared" si="5"/>
        <v>54.75</v>
      </c>
      <c r="I295" s="36">
        <v>8.76</v>
      </c>
    </row>
    <row r="296" spans="1:11">
      <c r="A296" t="s">
        <v>343</v>
      </c>
      <c r="B296" s="1">
        <v>42035</v>
      </c>
      <c r="C296" t="s">
        <v>344</v>
      </c>
      <c r="D296">
        <v>1</v>
      </c>
      <c r="E296" t="s">
        <v>345</v>
      </c>
      <c r="F296" s="17" t="s">
        <v>722</v>
      </c>
      <c r="G296" s="17" t="s">
        <v>723</v>
      </c>
      <c r="H296" s="28">
        <f t="shared" si="5"/>
        <v>571.625</v>
      </c>
      <c r="I296" s="36">
        <v>91.46</v>
      </c>
    </row>
    <row r="297" spans="1:11">
      <c r="A297" t="s">
        <v>343</v>
      </c>
      <c r="B297" s="1">
        <v>42035</v>
      </c>
      <c r="C297" t="s">
        <v>344</v>
      </c>
      <c r="D297">
        <v>1</v>
      </c>
      <c r="E297" t="s">
        <v>345</v>
      </c>
      <c r="F297" s="36" t="s">
        <v>883</v>
      </c>
      <c r="G297" s="17" t="s">
        <v>884</v>
      </c>
      <c r="H297" s="28">
        <f t="shared" si="5"/>
        <v>455.31249999999994</v>
      </c>
      <c r="I297" s="36">
        <v>72.849999999999994</v>
      </c>
      <c r="J297" s="2">
        <f>2070.25-H292-H293-H294-H295-H296-H297</f>
        <v>0</v>
      </c>
      <c r="K297" s="7">
        <f>331.24-I292-I293-I294-I295-I296-I297</f>
        <v>0</v>
      </c>
    </row>
    <row r="298" spans="1:11">
      <c r="A298" t="s">
        <v>340</v>
      </c>
      <c r="B298" s="1">
        <v>42035</v>
      </c>
      <c r="C298" t="s">
        <v>341</v>
      </c>
      <c r="D298">
        <v>1</v>
      </c>
      <c r="E298" t="s">
        <v>342</v>
      </c>
      <c r="F298" s="36" t="s">
        <v>714</v>
      </c>
      <c r="G298" s="17" t="s">
        <v>715</v>
      </c>
      <c r="H298" s="28">
        <f t="shared" si="5"/>
        <v>46.5625</v>
      </c>
      <c r="I298" s="36">
        <v>7.45</v>
      </c>
      <c r="J298" s="7"/>
    </row>
    <row r="299" spans="1:11">
      <c r="A299" t="s">
        <v>340</v>
      </c>
      <c r="B299" s="1">
        <v>42035</v>
      </c>
      <c r="C299" t="s">
        <v>341</v>
      </c>
      <c r="D299">
        <v>1</v>
      </c>
      <c r="E299" t="s">
        <v>342</v>
      </c>
      <c r="F299" s="17" t="s">
        <v>722</v>
      </c>
      <c r="G299" s="17" t="s">
        <v>723</v>
      </c>
      <c r="H299" s="28">
        <f t="shared" si="5"/>
        <v>56.0625</v>
      </c>
      <c r="I299" s="36">
        <v>8.9700000000000006</v>
      </c>
    </row>
    <row r="300" spans="1:11">
      <c r="A300" t="s">
        <v>340</v>
      </c>
      <c r="B300" s="1">
        <v>42035</v>
      </c>
      <c r="C300" t="s">
        <v>341</v>
      </c>
      <c r="D300">
        <v>1</v>
      </c>
      <c r="E300" t="s">
        <v>342</v>
      </c>
      <c r="F300" s="36" t="s">
        <v>885</v>
      </c>
      <c r="G300" s="17" t="s">
        <v>886</v>
      </c>
      <c r="H300" s="28">
        <f t="shared" si="5"/>
        <v>100.625</v>
      </c>
      <c r="I300" s="36">
        <v>16.100000000000001</v>
      </c>
      <c r="J300" s="2">
        <f>203.25-H298-H299-H300</f>
        <v>0</v>
      </c>
      <c r="K300" s="7">
        <f>32.52-I298-I299-I300</f>
        <v>0</v>
      </c>
    </row>
    <row r="301" spans="1:11">
      <c r="A301" t="s">
        <v>388</v>
      </c>
      <c r="B301" s="1">
        <v>42035</v>
      </c>
      <c r="C301" t="s">
        <v>389</v>
      </c>
      <c r="D301">
        <v>1</v>
      </c>
      <c r="E301" t="s">
        <v>390</v>
      </c>
      <c r="F301" s="36" t="s">
        <v>887</v>
      </c>
      <c r="G301" s="17" t="s">
        <v>888</v>
      </c>
      <c r="H301" s="28">
        <f t="shared" si="5"/>
        <v>819.5</v>
      </c>
      <c r="I301" s="36">
        <v>131.12</v>
      </c>
      <c r="J301" s="7"/>
    </row>
    <row r="302" spans="1:11">
      <c r="A302" t="s">
        <v>388</v>
      </c>
      <c r="B302" s="1">
        <v>42035</v>
      </c>
      <c r="C302" t="s">
        <v>389</v>
      </c>
      <c r="D302">
        <v>1</v>
      </c>
      <c r="E302" t="s">
        <v>390</v>
      </c>
      <c r="F302" s="36" t="s">
        <v>714</v>
      </c>
      <c r="G302" s="17" t="s">
        <v>715</v>
      </c>
      <c r="H302" s="28">
        <f t="shared" si="5"/>
        <v>312.9375</v>
      </c>
      <c r="I302" s="36">
        <v>50.07</v>
      </c>
    </row>
    <row r="303" spans="1:11">
      <c r="A303" t="s">
        <v>388</v>
      </c>
      <c r="B303" s="1">
        <v>42035</v>
      </c>
      <c r="C303" t="s">
        <v>389</v>
      </c>
      <c r="D303">
        <v>1</v>
      </c>
      <c r="E303" t="s">
        <v>390</v>
      </c>
      <c r="F303" s="36" t="s">
        <v>751</v>
      </c>
      <c r="G303" s="17" t="s">
        <v>752</v>
      </c>
      <c r="H303" s="28">
        <f t="shared" si="5"/>
        <v>925.87499999999989</v>
      </c>
      <c r="I303" s="36">
        <v>148.13999999999999</v>
      </c>
    </row>
    <row r="304" spans="1:11">
      <c r="A304" t="s">
        <v>388</v>
      </c>
      <c r="B304" s="1">
        <v>42035</v>
      </c>
      <c r="C304" t="s">
        <v>389</v>
      </c>
      <c r="D304">
        <v>1</v>
      </c>
      <c r="E304" t="s">
        <v>390</v>
      </c>
      <c r="F304" s="36" t="s">
        <v>751</v>
      </c>
      <c r="G304" s="17" t="s">
        <v>752</v>
      </c>
      <c r="H304" s="28">
        <f t="shared" si="5"/>
        <v>756.9375</v>
      </c>
      <c r="I304" s="36">
        <v>121.11</v>
      </c>
    </row>
    <row r="305" spans="1:11">
      <c r="A305" t="s">
        <v>388</v>
      </c>
      <c r="B305" s="1">
        <v>42035</v>
      </c>
      <c r="C305" t="s">
        <v>389</v>
      </c>
      <c r="D305">
        <v>1</v>
      </c>
      <c r="E305" t="s">
        <v>390</v>
      </c>
      <c r="F305" s="17" t="s">
        <v>722</v>
      </c>
      <c r="G305" s="17" t="s">
        <v>723</v>
      </c>
      <c r="H305" s="28">
        <f t="shared" si="5"/>
        <v>1013.875</v>
      </c>
      <c r="I305" s="36">
        <v>162.22</v>
      </c>
    </row>
    <row r="306" spans="1:11">
      <c r="A306" t="s">
        <v>388</v>
      </c>
      <c r="B306" s="1">
        <v>42035</v>
      </c>
      <c r="C306" t="s">
        <v>389</v>
      </c>
      <c r="D306">
        <v>1</v>
      </c>
      <c r="E306" t="s">
        <v>390</v>
      </c>
      <c r="F306" s="36" t="s">
        <v>889</v>
      </c>
      <c r="G306" s="17" t="s">
        <v>890</v>
      </c>
      <c r="H306" s="28">
        <f t="shared" si="5"/>
        <v>125</v>
      </c>
      <c r="I306" s="36">
        <v>20</v>
      </c>
    </row>
    <row r="307" spans="1:11">
      <c r="A307" t="s">
        <v>388</v>
      </c>
      <c r="B307" s="1">
        <v>42035</v>
      </c>
      <c r="C307" t="s">
        <v>389</v>
      </c>
      <c r="D307">
        <v>1</v>
      </c>
      <c r="E307" t="s">
        <v>390</v>
      </c>
      <c r="F307" s="36" t="s">
        <v>891</v>
      </c>
      <c r="G307" s="17" t="s">
        <v>892</v>
      </c>
      <c r="H307" s="28">
        <f t="shared" si="5"/>
        <v>854.18749999999989</v>
      </c>
      <c r="I307" s="36">
        <v>136.66999999999999</v>
      </c>
    </row>
    <row r="308" spans="1:11">
      <c r="A308" t="s">
        <v>388</v>
      </c>
      <c r="B308" s="1">
        <v>42035</v>
      </c>
      <c r="C308" t="s">
        <v>389</v>
      </c>
      <c r="D308">
        <v>1</v>
      </c>
      <c r="E308" t="s">
        <v>390</v>
      </c>
      <c r="F308" s="36" t="s">
        <v>760</v>
      </c>
      <c r="G308" s="17" t="s">
        <v>761</v>
      </c>
      <c r="H308" s="28">
        <f t="shared" si="5"/>
        <v>86.187499999999986</v>
      </c>
      <c r="I308" s="36">
        <v>13.79</v>
      </c>
    </row>
    <row r="309" spans="1:11">
      <c r="A309" t="s">
        <v>388</v>
      </c>
      <c r="B309" s="1">
        <v>42035</v>
      </c>
      <c r="C309" t="s">
        <v>389</v>
      </c>
      <c r="D309">
        <v>1</v>
      </c>
      <c r="E309" t="s">
        <v>390</v>
      </c>
      <c r="F309" s="36" t="s">
        <v>893</v>
      </c>
      <c r="G309" s="17" t="s">
        <v>894</v>
      </c>
      <c r="H309" s="28">
        <f t="shared" si="5"/>
        <v>842.68750000000011</v>
      </c>
      <c r="I309" s="36">
        <v>134.83000000000001</v>
      </c>
    </row>
    <row r="310" spans="1:11">
      <c r="A310" t="s">
        <v>388</v>
      </c>
      <c r="B310" s="1">
        <v>42035</v>
      </c>
      <c r="C310" t="s">
        <v>389</v>
      </c>
      <c r="D310">
        <v>1</v>
      </c>
      <c r="E310" t="s">
        <v>390</v>
      </c>
      <c r="F310" s="36" t="s">
        <v>895</v>
      </c>
      <c r="G310" s="17" t="s">
        <v>896</v>
      </c>
      <c r="H310" s="28">
        <f t="shared" si="5"/>
        <v>61.187499999999993</v>
      </c>
      <c r="I310" s="36">
        <v>9.7899999999999991</v>
      </c>
    </row>
    <row r="311" spans="1:11">
      <c r="A311" t="s">
        <v>388</v>
      </c>
      <c r="B311" s="1">
        <v>42035</v>
      </c>
      <c r="C311" t="s">
        <v>389</v>
      </c>
      <c r="D311">
        <v>1</v>
      </c>
      <c r="E311" t="s">
        <v>390</v>
      </c>
      <c r="F311" s="36" t="s">
        <v>897</v>
      </c>
      <c r="G311" s="17" t="s">
        <v>898</v>
      </c>
      <c r="H311" s="28">
        <f t="shared" si="5"/>
        <v>209.68749999999997</v>
      </c>
      <c r="I311" s="36">
        <v>33.549999999999997</v>
      </c>
    </row>
    <row r="312" spans="1:11">
      <c r="A312" t="s">
        <v>388</v>
      </c>
      <c r="B312" s="1">
        <v>42035</v>
      </c>
      <c r="C312" t="s">
        <v>389</v>
      </c>
      <c r="D312">
        <v>1</v>
      </c>
      <c r="E312" t="s">
        <v>390</v>
      </c>
      <c r="F312" s="36" t="s">
        <v>899</v>
      </c>
      <c r="G312" s="17" t="s">
        <v>900</v>
      </c>
      <c r="H312" s="28">
        <f t="shared" si="5"/>
        <v>755.12499999999989</v>
      </c>
      <c r="I312" s="36">
        <v>120.82</v>
      </c>
      <c r="J312" s="2">
        <f>6763.19-H301-H302-H303-H304-H305-H306-H307-H308-H309-H310-H311-H312</f>
        <v>2.4999999997135092E-3</v>
      </c>
      <c r="K312" s="7">
        <f>1082.11-I301-I302-I303-I304-I305-I306-I307-I308-I309-I310-I311-I312</f>
        <v>-1.5631940186722204E-13</v>
      </c>
    </row>
    <row r="313" spans="1:11">
      <c r="A313" t="s">
        <v>373</v>
      </c>
      <c r="B313" s="1">
        <v>42035</v>
      </c>
      <c r="C313" t="s">
        <v>374</v>
      </c>
      <c r="D313">
        <v>1</v>
      </c>
      <c r="E313" t="s">
        <v>375</v>
      </c>
      <c r="F313" s="36" t="s">
        <v>901</v>
      </c>
      <c r="G313" s="17" t="s">
        <v>902</v>
      </c>
      <c r="H313" s="28">
        <f t="shared" si="5"/>
        <v>296.625</v>
      </c>
      <c r="I313" s="36">
        <v>47.46</v>
      </c>
      <c r="J313" s="7"/>
    </row>
    <row r="314" spans="1:11">
      <c r="A314" t="s">
        <v>373</v>
      </c>
      <c r="B314" s="1">
        <v>42035</v>
      </c>
      <c r="C314" t="s">
        <v>374</v>
      </c>
      <c r="D314">
        <v>1</v>
      </c>
      <c r="E314" t="s">
        <v>375</v>
      </c>
      <c r="F314" s="36" t="s">
        <v>714</v>
      </c>
      <c r="G314" s="17" t="s">
        <v>715</v>
      </c>
      <c r="H314" s="28">
        <f t="shared" si="5"/>
        <v>312.9375</v>
      </c>
      <c r="I314" s="36">
        <v>50.07</v>
      </c>
    </row>
    <row r="315" spans="1:11">
      <c r="A315" t="s">
        <v>373</v>
      </c>
      <c r="B315" s="1">
        <v>42035</v>
      </c>
      <c r="C315" t="s">
        <v>374</v>
      </c>
      <c r="D315">
        <v>1</v>
      </c>
      <c r="E315" t="s">
        <v>375</v>
      </c>
      <c r="F315" s="36" t="s">
        <v>751</v>
      </c>
      <c r="G315" s="17" t="s">
        <v>752</v>
      </c>
      <c r="H315" s="28">
        <f t="shared" si="5"/>
        <v>1622.4374999999998</v>
      </c>
      <c r="I315" s="36">
        <v>259.58999999999997</v>
      </c>
    </row>
    <row r="316" spans="1:11">
      <c r="A316" t="s">
        <v>373</v>
      </c>
      <c r="B316" s="1">
        <v>42035</v>
      </c>
      <c r="C316" t="s">
        <v>374</v>
      </c>
      <c r="D316">
        <v>1</v>
      </c>
      <c r="E316" t="s">
        <v>375</v>
      </c>
      <c r="F316" s="17" t="s">
        <v>722</v>
      </c>
      <c r="G316" s="17" t="s">
        <v>723</v>
      </c>
      <c r="H316" s="28">
        <f t="shared" si="5"/>
        <v>1091.5</v>
      </c>
      <c r="I316" s="36">
        <v>174.64</v>
      </c>
    </row>
    <row r="317" spans="1:11">
      <c r="A317" t="s">
        <v>373</v>
      </c>
      <c r="B317" s="1">
        <v>42035</v>
      </c>
      <c r="C317" t="s">
        <v>374</v>
      </c>
      <c r="D317">
        <v>1</v>
      </c>
      <c r="E317" t="s">
        <v>375</v>
      </c>
      <c r="F317" s="36" t="s">
        <v>903</v>
      </c>
      <c r="G317" s="17" t="s">
        <v>904</v>
      </c>
      <c r="H317" s="28">
        <f t="shared" si="5"/>
        <v>923.0625</v>
      </c>
      <c r="I317" s="36">
        <v>147.69</v>
      </c>
    </row>
    <row r="318" spans="1:11">
      <c r="A318" t="s">
        <v>373</v>
      </c>
      <c r="B318" s="1">
        <v>42035</v>
      </c>
      <c r="C318" t="s">
        <v>374</v>
      </c>
      <c r="D318">
        <v>1</v>
      </c>
      <c r="E318" t="s">
        <v>375</v>
      </c>
      <c r="F318" s="36" t="s">
        <v>905</v>
      </c>
      <c r="G318" s="17" t="s">
        <v>906</v>
      </c>
      <c r="H318" s="28">
        <f t="shared" si="5"/>
        <v>797.125</v>
      </c>
      <c r="I318" s="36">
        <v>127.54</v>
      </c>
    </row>
    <row r="319" spans="1:11">
      <c r="A319" t="s">
        <v>373</v>
      </c>
      <c r="B319" s="1">
        <v>42035</v>
      </c>
      <c r="C319" t="s">
        <v>374</v>
      </c>
      <c r="D319">
        <v>1</v>
      </c>
      <c r="E319" t="s">
        <v>375</v>
      </c>
      <c r="F319" s="36" t="s">
        <v>895</v>
      </c>
      <c r="G319" s="17" t="s">
        <v>896</v>
      </c>
      <c r="H319" s="28">
        <f t="shared" si="5"/>
        <v>112.0625</v>
      </c>
      <c r="I319" s="36">
        <v>17.93</v>
      </c>
    </row>
    <row r="320" spans="1:11">
      <c r="A320" t="s">
        <v>373</v>
      </c>
      <c r="B320" s="1">
        <v>42035</v>
      </c>
      <c r="C320" t="s">
        <v>374</v>
      </c>
      <c r="D320">
        <v>1</v>
      </c>
      <c r="E320" t="s">
        <v>375</v>
      </c>
      <c r="F320" s="36" t="s">
        <v>770</v>
      </c>
      <c r="G320" s="17" t="s">
        <v>771</v>
      </c>
      <c r="H320" s="28">
        <f t="shared" si="5"/>
        <v>853.62500000000011</v>
      </c>
      <c r="I320" s="36">
        <v>136.58000000000001</v>
      </c>
    </row>
    <row r="321" spans="1:11">
      <c r="A321" t="s">
        <v>373</v>
      </c>
      <c r="B321" s="1">
        <v>42035</v>
      </c>
      <c r="C321" t="s">
        <v>374</v>
      </c>
      <c r="D321">
        <v>1</v>
      </c>
      <c r="E321" t="s">
        <v>375</v>
      </c>
      <c r="F321" s="36" t="s">
        <v>907</v>
      </c>
      <c r="G321" s="17" t="s">
        <v>908</v>
      </c>
      <c r="H321" s="28">
        <f t="shared" si="5"/>
        <v>112.0625</v>
      </c>
      <c r="I321" s="36">
        <v>17.93</v>
      </c>
    </row>
    <row r="322" spans="1:11">
      <c r="A322" t="s">
        <v>373</v>
      </c>
      <c r="B322" s="1">
        <v>42035</v>
      </c>
      <c r="C322" t="s">
        <v>374</v>
      </c>
      <c r="D322">
        <v>1</v>
      </c>
      <c r="E322" t="s">
        <v>375</v>
      </c>
      <c r="F322" s="36" t="s">
        <v>909</v>
      </c>
      <c r="G322" s="17" t="s">
        <v>910</v>
      </c>
      <c r="H322" s="28">
        <f t="shared" si="5"/>
        <v>819.5</v>
      </c>
      <c r="I322" s="36">
        <v>131.12</v>
      </c>
      <c r="J322" s="2">
        <f>6940.94-H313-H314-H315-H316-H317-H318-H319-H320-H321-H322</f>
        <v>2.4999999994861355E-3</v>
      </c>
      <c r="K322" s="7">
        <f>1110.55-I313-I314-I315-I316-I317-I318-I319-I320-I321-I322</f>
        <v>0</v>
      </c>
    </row>
    <row r="323" spans="1:11">
      <c r="A323" t="s">
        <v>394</v>
      </c>
      <c r="B323" s="1">
        <v>42035</v>
      </c>
      <c r="C323" t="s">
        <v>395</v>
      </c>
      <c r="D323">
        <v>1</v>
      </c>
      <c r="E323" t="s">
        <v>396</v>
      </c>
      <c r="F323" s="36" t="s">
        <v>714</v>
      </c>
      <c r="G323" s="17" t="s">
        <v>715</v>
      </c>
      <c r="H323" s="28">
        <f t="shared" si="5"/>
        <v>312.9375</v>
      </c>
      <c r="I323" s="17">
        <v>50.07</v>
      </c>
      <c r="J323" s="7"/>
    </row>
    <row r="324" spans="1:11">
      <c r="A324" t="s">
        <v>394</v>
      </c>
      <c r="B324" s="1">
        <v>42035</v>
      </c>
      <c r="C324" t="s">
        <v>395</v>
      </c>
      <c r="D324">
        <v>1</v>
      </c>
      <c r="E324" t="s">
        <v>396</v>
      </c>
      <c r="F324" s="17" t="s">
        <v>722</v>
      </c>
      <c r="G324" s="17" t="s">
        <v>723</v>
      </c>
      <c r="H324" s="28">
        <f t="shared" ref="H324:H355" si="6">I324/0.16</f>
        <v>176.8125</v>
      </c>
      <c r="I324" s="17">
        <v>28.29</v>
      </c>
    </row>
    <row r="325" spans="1:11">
      <c r="A325" t="s">
        <v>394</v>
      </c>
      <c r="B325" s="1">
        <v>42035</v>
      </c>
      <c r="C325" t="s">
        <v>395</v>
      </c>
      <c r="D325">
        <v>1</v>
      </c>
      <c r="E325" t="s">
        <v>396</v>
      </c>
      <c r="F325" s="17" t="s">
        <v>911</v>
      </c>
      <c r="G325" s="17" t="s">
        <v>912</v>
      </c>
      <c r="H325" s="28">
        <f t="shared" si="6"/>
        <v>92.25</v>
      </c>
      <c r="I325" s="17">
        <v>14.76</v>
      </c>
    </row>
    <row r="326" spans="1:11">
      <c r="A326" t="s">
        <v>394</v>
      </c>
      <c r="B326" s="1">
        <v>42035</v>
      </c>
      <c r="C326" t="s">
        <v>395</v>
      </c>
      <c r="D326">
        <v>1</v>
      </c>
      <c r="E326" t="s">
        <v>396</v>
      </c>
      <c r="F326" s="17" t="s">
        <v>780</v>
      </c>
      <c r="G326" s="17" t="s">
        <v>781</v>
      </c>
      <c r="H326" s="28">
        <f t="shared" si="6"/>
        <v>335.5625</v>
      </c>
      <c r="I326" s="17">
        <v>53.69</v>
      </c>
      <c r="J326" s="2">
        <f>917.56-H323-H324-H325-H326</f>
        <v>-2.5000000000545697E-3</v>
      </c>
      <c r="K326" s="7">
        <f>146.81-I323-I324-I325-I326</f>
        <v>0</v>
      </c>
    </row>
    <row r="327" spans="1:11">
      <c r="A327" t="s">
        <v>400</v>
      </c>
      <c r="B327" s="1">
        <v>42035</v>
      </c>
      <c r="C327" t="s">
        <v>401</v>
      </c>
      <c r="D327">
        <v>1</v>
      </c>
      <c r="E327" t="s">
        <v>402</v>
      </c>
      <c r="F327" s="17" t="s">
        <v>745</v>
      </c>
      <c r="G327" s="17" t="s">
        <v>746</v>
      </c>
      <c r="H327" s="28">
        <f t="shared" si="6"/>
        <v>86.187499999999986</v>
      </c>
      <c r="I327" s="17">
        <v>13.79</v>
      </c>
      <c r="J327" s="7"/>
    </row>
    <row r="328" spans="1:11">
      <c r="A328" t="s">
        <v>400</v>
      </c>
      <c r="B328" s="1">
        <v>42035</v>
      </c>
      <c r="C328" t="s">
        <v>401</v>
      </c>
      <c r="D328">
        <v>1</v>
      </c>
      <c r="E328" t="s">
        <v>402</v>
      </c>
      <c r="F328" s="36" t="s">
        <v>714</v>
      </c>
      <c r="G328" s="17" t="s">
        <v>715</v>
      </c>
      <c r="H328" s="28">
        <f t="shared" si="6"/>
        <v>205.18749999999997</v>
      </c>
      <c r="I328" s="17">
        <v>32.83</v>
      </c>
    </row>
    <row r="329" spans="1:11">
      <c r="A329" t="s">
        <v>400</v>
      </c>
      <c r="B329" s="1">
        <v>42035</v>
      </c>
      <c r="C329" t="s">
        <v>401</v>
      </c>
      <c r="D329">
        <v>1</v>
      </c>
      <c r="E329" t="s">
        <v>402</v>
      </c>
      <c r="F329" s="17" t="s">
        <v>722</v>
      </c>
      <c r="G329" s="17" t="s">
        <v>723</v>
      </c>
      <c r="H329" s="28">
        <f t="shared" si="6"/>
        <v>245.75</v>
      </c>
      <c r="I329" s="17">
        <v>39.32</v>
      </c>
    </row>
    <row r="330" spans="1:11">
      <c r="A330" t="s">
        <v>400</v>
      </c>
      <c r="B330" s="1">
        <v>42035</v>
      </c>
      <c r="C330" t="s">
        <v>401</v>
      </c>
      <c r="D330">
        <v>1</v>
      </c>
      <c r="E330" t="s">
        <v>402</v>
      </c>
      <c r="F330" s="17" t="s">
        <v>780</v>
      </c>
      <c r="G330" s="17" t="s">
        <v>781</v>
      </c>
      <c r="H330" s="28">
        <f t="shared" si="6"/>
        <v>335.75</v>
      </c>
      <c r="I330" s="17">
        <v>53.72</v>
      </c>
      <c r="J330" s="2">
        <f>872.88-H327-H328-H329-H330</f>
        <v>4.9999999999954525E-3</v>
      </c>
      <c r="K330" s="7">
        <f>139.66-I327-I328-I329-I330</f>
        <v>0</v>
      </c>
    </row>
    <row r="331" spans="1:11">
      <c r="A331" t="s">
        <v>397</v>
      </c>
      <c r="B331" s="1">
        <v>42035</v>
      </c>
      <c r="C331" t="s">
        <v>398</v>
      </c>
      <c r="D331">
        <v>1</v>
      </c>
      <c r="E331" t="s">
        <v>399</v>
      </c>
      <c r="F331" s="17" t="s">
        <v>722</v>
      </c>
      <c r="G331" s="17" t="s">
        <v>723</v>
      </c>
      <c r="H331" s="28">
        <f t="shared" si="6"/>
        <v>363</v>
      </c>
      <c r="I331" s="17">
        <v>58.08</v>
      </c>
      <c r="J331" s="7"/>
    </row>
    <row r="332" spans="1:11">
      <c r="A332" t="s">
        <v>397</v>
      </c>
      <c r="B332" s="1">
        <v>42035</v>
      </c>
      <c r="C332" t="s">
        <v>398</v>
      </c>
      <c r="D332">
        <v>1</v>
      </c>
      <c r="E332" t="s">
        <v>399</v>
      </c>
      <c r="F332" s="17" t="s">
        <v>913</v>
      </c>
      <c r="G332" s="17" t="s">
        <v>914</v>
      </c>
      <c r="H332" s="28">
        <f t="shared" si="6"/>
        <v>253.43749999999997</v>
      </c>
      <c r="I332" s="17">
        <v>40.549999999999997</v>
      </c>
    </row>
    <row r="333" spans="1:11">
      <c r="A333" t="s">
        <v>397</v>
      </c>
      <c r="B333" s="1">
        <v>42035</v>
      </c>
      <c r="C333" t="s">
        <v>398</v>
      </c>
      <c r="D333">
        <v>1</v>
      </c>
      <c r="E333" t="s">
        <v>399</v>
      </c>
      <c r="F333" s="17" t="s">
        <v>915</v>
      </c>
      <c r="G333" s="17" t="s">
        <v>916</v>
      </c>
      <c r="H333" s="28">
        <f t="shared" si="6"/>
        <v>844.81249999999989</v>
      </c>
      <c r="I333" s="17">
        <v>135.16999999999999</v>
      </c>
    </row>
    <row r="334" spans="1:11">
      <c r="A334" t="s">
        <v>397</v>
      </c>
      <c r="B334" s="1">
        <v>42035</v>
      </c>
      <c r="C334" t="s">
        <v>398</v>
      </c>
      <c r="D334">
        <v>1</v>
      </c>
      <c r="E334" t="s">
        <v>399</v>
      </c>
      <c r="F334" s="17" t="s">
        <v>917</v>
      </c>
      <c r="G334" s="17" t="s">
        <v>918</v>
      </c>
      <c r="H334" s="28">
        <f t="shared" si="6"/>
        <v>106.875</v>
      </c>
      <c r="I334" s="17">
        <v>17.100000000000001</v>
      </c>
    </row>
    <row r="335" spans="1:11">
      <c r="A335" t="s">
        <v>397</v>
      </c>
      <c r="B335" s="1">
        <v>42035</v>
      </c>
      <c r="C335" t="s">
        <v>398</v>
      </c>
      <c r="D335">
        <v>1</v>
      </c>
      <c r="E335" t="s">
        <v>399</v>
      </c>
      <c r="F335" s="17" t="s">
        <v>919</v>
      </c>
      <c r="G335" s="17" t="s">
        <v>920</v>
      </c>
      <c r="H335" s="28">
        <f t="shared" si="6"/>
        <v>419.37499999999994</v>
      </c>
      <c r="I335" s="17">
        <v>67.099999999999994</v>
      </c>
    </row>
    <row r="336" spans="1:11">
      <c r="A336" t="s">
        <v>397</v>
      </c>
      <c r="B336" s="1">
        <v>42035</v>
      </c>
      <c r="C336" t="s">
        <v>398</v>
      </c>
      <c r="D336">
        <v>1</v>
      </c>
      <c r="E336" t="s">
        <v>399</v>
      </c>
      <c r="F336" s="17" t="s">
        <v>921</v>
      </c>
      <c r="G336" s="17" t="s">
        <v>922</v>
      </c>
      <c r="H336" s="28">
        <f t="shared" si="6"/>
        <v>251.62499999999997</v>
      </c>
      <c r="I336" s="17">
        <v>40.26</v>
      </c>
      <c r="J336" s="2">
        <f>2239.13-H331-H332-H333-H334-H335-H336</f>
        <v>5.0000000003080913E-3</v>
      </c>
      <c r="K336" s="7">
        <f>358.26-I331-I332-I333-I334-I335-I336</f>
        <v>0</v>
      </c>
    </row>
    <row r="337" spans="1:11">
      <c r="A337" t="s">
        <v>391</v>
      </c>
      <c r="B337" s="1">
        <v>42035</v>
      </c>
      <c r="C337" t="s">
        <v>392</v>
      </c>
      <c r="D337">
        <v>1</v>
      </c>
      <c r="E337" t="s">
        <v>393</v>
      </c>
      <c r="F337" s="17" t="s">
        <v>923</v>
      </c>
      <c r="G337" s="17" t="s">
        <v>924</v>
      </c>
      <c r="H337" s="28">
        <f t="shared" si="6"/>
        <v>521.5625</v>
      </c>
      <c r="I337" s="17">
        <v>83.45</v>
      </c>
      <c r="J337" s="7"/>
    </row>
    <row r="338" spans="1:11">
      <c r="A338" t="s">
        <v>391</v>
      </c>
      <c r="B338" s="1">
        <v>42035</v>
      </c>
      <c r="C338" t="s">
        <v>392</v>
      </c>
      <c r="D338">
        <v>1</v>
      </c>
      <c r="E338" t="s">
        <v>393</v>
      </c>
      <c r="F338" s="17" t="s">
        <v>751</v>
      </c>
      <c r="G338" s="17" t="s">
        <v>752</v>
      </c>
      <c r="H338" s="28">
        <f t="shared" si="6"/>
        <v>325.9375</v>
      </c>
      <c r="I338" s="17">
        <v>52.15</v>
      </c>
    </row>
    <row r="339" spans="1:11">
      <c r="A339" t="s">
        <v>391</v>
      </c>
      <c r="B339" s="1">
        <v>42035</v>
      </c>
      <c r="C339" t="s">
        <v>392</v>
      </c>
      <c r="D339">
        <v>1</v>
      </c>
      <c r="E339" t="s">
        <v>393</v>
      </c>
      <c r="F339" s="17" t="s">
        <v>722</v>
      </c>
      <c r="G339" s="17" t="s">
        <v>723</v>
      </c>
      <c r="H339" s="28">
        <f t="shared" si="6"/>
        <v>701.75</v>
      </c>
      <c r="I339" s="17">
        <v>112.28</v>
      </c>
    </row>
    <row r="340" spans="1:11">
      <c r="A340" t="s">
        <v>391</v>
      </c>
      <c r="B340" s="1">
        <v>42035</v>
      </c>
      <c r="C340" t="s">
        <v>392</v>
      </c>
      <c r="D340">
        <v>1</v>
      </c>
      <c r="E340" t="s">
        <v>393</v>
      </c>
      <c r="F340" s="17" t="s">
        <v>925</v>
      </c>
      <c r="G340" s="17" t="s">
        <v>926</v>
      </c>
      <c r="H340" s="28">
        <f t="shared" si="6"/>
        <v>293.5625</v>
      </c>
      <c r="I340" s="17">
        <v>46.97</v>
      </c>
    </row>
    <row r="341" spans="1:11">
      <c r="A341" t="s">
        <v>391</v>
      </c>
      <c r="B341" s="1">
        <v>42035</v>
      </c>
      <c r="C341" t="s">
        <v>392</v>
      </c>
      <c r="D341">
        <v>1</v>
      </c>
      <c r="E341" t="s">
        <v>393</v>
      </c>
      <c r="F341" s="17" t="s">
        <v>927</v>
      </c>
      <c r="G341" s="17" t="s">
        <v>928</v>
      </c>
      <c r="H341" s="28">
        <f t="shared" si="6"/>
        <v>466.6875</v>
      </c>
      <c r="I341" s="17">
        <v>74.67</v>
      </c>
    </row>
    <row r="342" spans="1:11">
      <c r="A342" t="s">
        <v>391</v>
      </c>
      <c r="B342" s="1">
        <v>42035</v>
      </c>
      <c r="C342" t="s">
        <v>392</v>
      </c>
      <c r="D342">
        <v>1</v>
      </c>
      <c r="E342" t="s">
        <v>393</v>
      </c>
      <c r="F342" s="17" t="s">
        <v>895</v>
      </c>
      <c r="G342" s="17" t="s">
        <v>896</v>
      </c>
      <c r="H342" s="28">
        <f t="shared" si="6"/>
        <v>86.187499999999986</v>
      </c>
      <c r="I342" s="17">
        <v>13.79</v>
      </c>
      <c r="J342" s="2">
        <f>2395.69-H337-H338-H339-H340-H341-H342</f>
        <v>2.5000000000687805E-3</v>
      </c>
      <c r="K342" s="7">
        <f>383.31-I337-I338-I339-I340-I341-I342</f>
        <v>0</v>
      </c>
    </row>
    <row r="343" spans="1:11">
      <c r="A343" t="s">
        <v>358</v>
      </c>
      <c r="B343" s="1">
        <v>42035</v>
      </c>
      <c r="C343" t="s">
        <v>359</v>
      </c>
      <c r="D343">
        <v>1</v>
      </c>
      <c r="E343" t="s">
        <v>360</v>
      </c>
      <c r="F343" s="36" t="s">
        <v>714</v>
      </c>
      <c r="G343" s="17" t="s">
        <v>715</v>
      </c>
      <c r="H343" s="28">
        <f t="shared" si="6"/>
        <v>377.56249999999994</v>
      </c>
      <c r="I343" s="17">
        <v>60.41</v>
      </c>
      <c r="J343" s="7"/>
    </row>
    <row r="344" spans="1:11">
      <c r="A344" t="s">
        <v>358</v>
      </c>
      <c r="B344" s="1">
        <v>42035</v>
      </c>
      <c r="C344" t="s">
        <v>359</v>
      </c>
      <c r="D344">
        <v>1</v>
      </c>
      <c r="E344" t="s">
        <v>360</v>
      </c>
      <c r="F344" s="36" t="s">
        <v>714</v>
      </c>
      <c r="G344" s="17" t="s">
        <v>715</v>
      </c>
      <c r="H344" s="28">
        <f t="shared" si="6"/>
        <v>168.125</v>
      </c>
      <c r="I344" s="17">
        <v>26.9</v>
      </c>
    </row>
    <row r="345" spans="1:11">
      <c r="A345" t="s">
        <v>358</v>
      </c>
      <c r="B345" s="1">
        <v>42035</v>
      </c>
      <c r="C345" t="s">
        <v>359</v>
      </c>
      <c r="D345">
        <v>1</v>
      </c>
      <c r="E345" t="s">
        <v>360</v>
      </c>
      <c r="F345" s="36" t="s">
        <v>879</v>
      </c>
      <c r="G345" s="17" t="s">
        <v>880</v>
      </c>
      <c r="H345" s="28">
        <f t="shared" si="6"/>
        <v>293.75</v>
      </c>
      <c r="I345" s="17">
        <v>47</v>
      </c>
    </row>
    <row r="346" spans="1:11">
      <c r="A346" t="s">
        <v>358</v>
      </c>
      <c r="B346" s="1">
        <v>42035</v>
      </c>
      <c r="C346" t="s">
        <v>359</v>
      </c>
      <c r="D346">
        <v>1</v>
      </c>
      <c r="E346" t="s">
        <v>360</v>
      </c>
      <c r="F346" s="17" t="s">
        <v>722</v>
      </c>
      <c r="G346" s="17" t="s">
        <v>723</v>
      </c>
      <c r="H346" s="28">
        <f t="shared" si="6"/>
        <v>661.1875</v>
      </c>
      <c r="I346" s="17">
        <v>105.79</v>
      </c>
    </row>
    <row r="347" spans="1:11">
      <c r="A347" t="s">
        <v>358</v>
      </c>
      <c r="B347" s="1">
        <v>42035</v>
      </c>
      <c r="C347" t="s">
        <v>359</v>
      </c>
      <c r="D347">
        <v>1</v>
      </c>
      <c r="E347" t="s">
        <v>360</v>
      </c>
      <c r="F347" s="17" t="s">
        <v>929</v>
      </c>
      <c r="G347" s="17" t="s">
        <v>930</v>
      </c>
      <c r="H347" s="28">
        <f t="shared" si="6"/>
        <v>68.9375</v>
      </c>
      <c r="I347" s="17">
        <v>11.03</v>
      </c>
    </row>
    <row r="348" spans="1:11">
      <c r="A348" t="s">
        <v>358</v>
      </c>
      <c r="B348" s="1">
        <v>42035</v>
      </c>
      <c r="C348" t="s">
        <v>359</v>
      </c>
      <c r="D348">
        <v>1</v>
      </c>
      <c r="E348" t="s">
        <v>360</v>
      </c>
      <c r="F348" s="17" t="s">
        <v>931</v>
      </c>
      <c r="G348" s="17" t="s">
        <v>932</v>
      </c>
      <c r="H348" s="28">
        <f t="shared" si="6"/>
        <v>683.75</v>
      </c>
      <c r="I348" s="17">
        <v>109.4</v>
      </c>
      <c r="J348" s="2">
        <f>2253.31-H343-H344-H345-H346-H347-H348</f>
        <v>-2.5000000000545697E-3</v>
      </c>
      <c r="K348" s="7">
        <f>360.53-I343-I344-I345-I346-I347-I348</f>
        <v>0</v>
      </c>
    </row>
    <row r="349" spans="1:11">
      <c r="A349" t="s">
        <v>364</v>
      </c>
      <c r="B349" s="1">
        <v>42035</v>
      </c>
      <c r="C349" t="s">
        <v>365</v>
      </c>
      <c r="D349">
        <v>1</v>
      </c>
      <c r="E349" t="s">
        <v>366</v>
      </c>
      <c r="F349" s="36" t="s">
        <v>933</v>
      </c>
      <c r="G349" s="17" t="s">
        <v>934</v>
      </c>
      <c r="H349" s="28">
        <f t="shared" si="6"/>
        <v>293.5625</v>
      </c>
      <c r="I349" s="36">
        <v>46.97</v>
      </c>
      <c r="J349" s="7"/>
    </row>
    <row r="350" spans="1:11">
      <c r="A350" t="s">
        <v>364</v>
      </c>
      <c r="B350" s="1">
        <v>42035</v>
      </c>
      <c r="C350" t="s">
        <v>365</v>
      </c>
      <c r="D350">
        <v>1</v>
      </c>
      <c r="E350" t="s">
        <v>366</v>
      </c>
      <c r="F350" s="36" t="s">
        <v>714</v>
      </c>
      <c r="G350" s="17" t="s">
        <v>715</v>
      </c>
      <c r="H350" s="28">
        <f t="shared" si="6"/>
        <v>312.9375</v>
      </c>
      <c r="I350" s="36">
        <v>50.07</v>
      </c>
    </row>
    <row r="351" spans="1:11">
      <c r="A351" t="s">
        <v>364</v>
      </c>
      <c r="B351" s="1">
        <v>42035</v>
      </c>
      <c r="C351" t="s">
        <v>365</v>
      </c>
      <c r="D351">
        <v>1</v>
      </c>
      <c r="E351" t="s">
        <v>366</v>
      </c>
      <c r="F351" s="17" t="s">
        <v>722</v>
      </c>
      <c r="G351" s="17" t="s">
        <v>723</v>
      </c>
      <c r="H351" s="28">
        <f t="shared" si="6"/>
        <v>247.5</v>
      </c>
      <c r="I351" s="36">
        <v>39.6</v>
      </c>
    </row>
    <row r="352" spans="1:11">
      <c r="A352" t="s">
        <v>364</v>
      </c>
      <c r="B352" s="1">
        <v>42035</v>
      </c>
      <c r="C352" t="s">
        <v>365</v>
      </c>
      <c r="D352">
        <v>1</v>
      </c>
      <c r="E352" t="s">
        <v>366</v>
      </c>
      <c r="F352" s="36" t="s">
        <v>935</v>
      </c>
      <c r="G352" s="17" t="s">
        <v>936</v>
      </c>
      <c r="H352" s="28">
        <f t="shared" si="6"/>
        <v>86.187499999999986</v>
      </c>
      <c r="I352" s="36">
        <v>13.79</v>
      </c>
      <c r="J352" s="2">
        <f>940.19-H349-H350-H351-H352</f>
        <v>2.5000000000687805E-3</v>
      </c>
      <c r="K352" s="7">
        <f>150.43-I349-I350-I351-I352</f>
        <v>0</v>
      </c>
    </row>
    <row r="353" spans="1:11">
      <c r="A353" t="s">
        <v>361</v>
      </c>
      <c r="B353" s="1">
        <v>42035</v>
      </c>
      <c r="C353" t="s">
        <v>362</v>
      </c>
      <c r="D353">
        <v>1</v>
      </c>
      <c r="E353" t="s">
        <v>363</v>
      </c>
      <c r="F353" s="36" t="s">
        <v>714</v>
      </c>
      <c r="G353" s="17" t="s">
        <v>715</v>
      </c>
      <c r="H353" s="28">
        <f t="shared" si="6"/>
        <v>377.56249999999994</v>
      </c>
      <c r="I353" s="36">
        <v>60.41</v>
      </c>
      <c r="J353" s="7"/>
    </row>
    <row r="354" spans="1:11">
      <c r="A354" t="s">
        <v>361</v>
      </c>
      <c r="B354" s="1">
        <v>42035</v>
      </c>
      <c r="C354" t="s">
        <v>362</v>
      </c>
      <c r="D354">
        <v>1</v>
      </c>
      <c r="E354" t="s">
        <v>363</v>
      </c>
      <c r="F354" s="36" t="s">
        <v>879</v>
      </c>
      <c r="G354" s="17" t="s">
        <v>880</v>
      </c>
      <c r="H354" s="28">
        <f t="shared" si="6"/>
        <v>419.625</v>
      </c>
      <c r="I354" s="36">
        <v>67.14</v>
      </c>
    </row>
    <row r="355" spans="1:11">
      <c r="A355" t="s">
        <v>361</v>
      </c>
      <c r="B355" s="1">
        <v>42035</v>
      </c>
      <c r="C355" t="s">
        <v>362</v>
      </c>
      <c r="D355">
        <v>1</v>
      </c>
      <c r="E355" t="s">
        <v>363</v>
      </c>
      <c r="F355" s="17" t="s">
        <v>722</v>
      </c>
      <c r="G355" s="17" t="s">
        <v>723</v>
      </c>
      <c r="H355" s="28">
        <f t="shared" si="6"/>
        <v>445.6875</v>
      </c>
      <c r="I355" s="36">
        <v>71.31</v>
      </c>
    </row>
    <row r="356" spans="1:11">
      <c r="A356" t="s">
        <v>361</v>
      </c>
      <c r="B356" s="1">
        <v>42035</v>
      </c>
      <c r="C356" t="s">
        <v>362</v>
      </c>
      <c r="D356">
        <v>1</v>
      </c>
      <c r="E356" t="s">
        <v>363</v>
      </c>
      <c r="F356" s="17" t="s">
        <v>929</v>
      </c>
      <c r="G356" s="17" t="s">
        <v>930</v>
      </c>
      <c r="H356" s="28">
        <f t="shared" ref="H356:H387" si="7">I356/0.16</f>
        <v>68.9375</v>
      </c>
      <c r="I356" s="36">
        <v>11.03</v>
      </c>
      <c r="J356" s="2">
        <f>1311.81-H353-H354-H355-H356</f>
        <v>-2.5000000000545697E-3</v>
      </c>
      <c r="K356" s="7">
        <f>209.89-I353-I354-I355-I356</f>
        <v>0</v>
      </c>
    </row>
    <row r="357" spans="1:11">
      <c r="A357" t="s">
        <v>370</v>
      </c>
      <c r="B357" s="1">
        <v>42035</v>
      </c>
      <c r="C357" t="s">
        <v>371</v>
      </c>
      <c r="D357">
        <v>1</v>
      </c>
      <c r="E357" t="s">
        <v>372</v>
      </c>
      <c r="F357" s="36" t="s">
        <v>714</v>
      </c>
      <c r="G357" s="17" t="s">
        <v>715</v>
      </c>
      <c r="H357" s="28">
        <f t="shared" si="7"/>
        <v>377.56249999999994</v>
      </c>
      <c r="I357" s="36">
        <v>60.41</v>
      </c>
      <c r="J357" s="7"/>
    </row>
    <row r="358" spans="1:11">
      <c r="A358" t="s">
        <v>370</v>
      </c>
      <c r="B358" s="1">
        <v>42035</v>
      </c>
      <c r="C358" t="s">
        <v>371</v>
      </c>
      <c r="D358">
        <v>1</v>
      </c>
      <c r="E358" t="s">
        <v>372</v>
      </c>
      <c r="F358" s="36" t="s">
        <v>879</v>
      </c>
      <c r="G358" s="17" t="s">
        <v>880</v>
      </c>
      <c r="H358" s="28">
        <f t="shared" si="7"/>
        <v>461.56249999999994</v>
      </c>
      <c r="I358" s="36">
        <v>73.849999999999994</v>
      </c>
    </row>
    <row r="359" spans="1:11">
      <c r="A359" t="s">
        <v>370</v>
      </c>
      <c r="B359" s="1">
        <v>42035</v>
      </c>
      <c r="C359" t="s">
        <v>371</v>
      </c>
      <c r="D359">
        <v>1</v>
      </c>
      <c r="E359" t="s">
        <v>372</v>
      </c>
      <c r="F359" s="17" t="s">
        <v>722</v>
      </c>
      <c r="G359" s="17" t="s">
        <v>723</v>
      </c>
      <c r="H359" s="28">
        <f t="shared" si="7"/>
        <v>445.6875</v>
      </c>
      <c r="I359" s="36">
        <v>71.31</v>
      </c>
      <c r="J359" s="2">
        <f>1284.81-H357-H358-H359</f>
        <v>-2.4999999999977263E-3</v>
      </c>
      <c r="K359" s="7">
        <f>205.57-I357-I358-I359</f>
        <v>0</v>
      </c>
    </row>
    <row r="360" spans="1:11">
      <c r="A360" t="s">
        <v>367</v>
      </c>
      <c r="B360" s="1">
        <v>42035</v>
      </c>
      <c r="C360" t="s">
        <v>368</v>
      </c>
      <c r="D360">
        <v>1</v>
      </c>
      <c r="E360" t="s">
        <v>369</v>
      </c>
      <c r="F360" s="36" t="s">
        <v>714</v>
      </c>
      <c r="G360" s="17" t="s">
        <v>715</v>
      </c>
      <c r="H360" s="28">
        <f t="shared" si="7"/>
        <v>805.18750000000011</v>
      </c>
      <c r="I360" s="36">
        <v>128.83000000000001</v>
      </c>
      <c r="J360" s="7"/>
    </row>
    <row r="361" spans="1:11">
      <c r="A361" t="s">
        <v>367</v>
      </c>
      <c r="B361" s="1">
        <v>42035</v>
      </c>
      <c r="C361" t="s">
        <v>368</v>
      </c>
      <c r="D361">
        <v>1</v>
      </c>
      <c r="E361" t="s">
        <v>369</v>
      </c>
      <c r="F361" s="36" t="s">
        <v>879</v>
      </c>
      <c r="G361" s="17" t="s">
        <v>880</v>
      </c>
      <c r="H361" s="28">
        <f t="shared" si="7"/>
        <v>335.6875</v>
      </c>
      <c r="I361" s="36">
        <v>53.71</v>
      </c>
    </row>
    <row r="362" spans="1:11">
      <c r="A362" t="s">
        <v>367</v>
      </c>
      <c r="B362" s="1">
        <v>42035</v>
      </c>
      <c r="C362" t="s">
        <v>368</v>
      </c>
      <c r="D362">
        <v>1</v>
      </c>
      <c r="E362" t="s">
        <v>369</v>
      </c>
      <c r="F362" s="17" t="s">
        <v>722</v>
      </c>
      <c r="G362" s="17" t="s">
        <v>723</v>
      </c>
      <c r="H362" s="28">
        <f t="shared" si="7"/>
        <v>722.4375</v>
      </c>
      <c r="I362" s="36">
        <v>115.59</v>
      </c>
    </row>
    <row r="363" spans="1:11">
      <c r="A363" t="s">
        <v>367</v>
      </c>
      <c r="B363" s="1">
        <v>42035</v>
      </c>
      <c r="C363" t="s">
        <v>368</v>
      </c>
      <c r="D363">
        <v>1</v>
      </c>
      <c r="E363" t="s">
        <v>369</v>
      </c>
      <c r="F363" s="17" t="s">
        <v>929</v>
      </c>
      <c r="G363" s="17" t="s">
        <v>930</v>
      </c>
      <c r="H363" s="28">
        <f t="shared" si="7"/>
        <v>68.9375</v>
      </c>
      <c r="I363" s="36">
        <v>11.03</v>
      </c>
    </row>
    <row r="364" spans="1:11">
      <c r="A364" t="s">
        <v>367</v>
      </c>
      <c r="B364" s="1">
        <v>42035</v>
      </c>
      <c r="C364" t="s">
        <v>368</v>
      </c>
      <c r="D364">
        <v>1</v>
      </c>
      <c r="E364" t="s">
        <v>369</v>
      </c>
      <c r="F364" s="36" t="s">
        <v>883</v>
      </c>
      <c r="G364" s="17" t="s">
        <v>884</v>
      </c>
      <c r="H364" s="28">
        <f t="shared" si="7"/>
        <v>814.75000000000011</v>
      </c>
      <c r="I364" s="36">
        <v>130.36000000000001</v>
      </c>
      <c r="J364" s="2">
        <f>2747-H360-H361-H362-H363-H364</f>
        <v>0</v>
      </c>
      <c r="K364" s="7">
        <f>439.52-I360-I361-I362-I363-I364</f>
        <v>0</v>
      </c>
    </row>
    <row r="365" spans="1:11">
      <c r="A365" t="s">
        <v>376</v>
      </c>
      <c r="B365" s="1">
        <v>42035</v>
      </c>
      <c r="C365" t="s">
        <v>377</v>
      </c>
      <c r="D365">
        <v>1</v>
      </c>
      <c r="E365" t="s">
        <v>378</v>
      </c>
      <c r="F365" s="36" t="s">
        <v>714</v>
      </c>
      <c r="G365" s="17" t="s">
        <v>715</v>
      </c>
      <c r="H365" s="28">
        <f t="shared" si="7"/>
        <v>205.18749999999997</v>
      </c>
      <c r="I365" s="36">
        <v>32.83</v>
      </c>
      <c r="J365" s="7"/>
    </row>
    <row r="366" spans="1:11">
      <c r="A366" t="s">
        <v>376</v>
      </c>
      <c r="B366" s="1">
        <v>42035</v>
      </c>
      <c r="C366" t="s">
        <v>377</v>
      </c>
      <c r="D366">
        <v>1</v>
      </c>
      <c r="E366" t="s">
        <v>378</v>
      </c>
      <c r="F366" s="36" t="s">
        <v>935</v>
      </c>
      <c r="G366" s="17" t="s">
        <v>936</v>
      </c>
      <c r="H366" s="28">
        <f t="shared" si="7"/>
        <v>86.187499999999986</v>
      </c>
      <c r="I366" s="36">
        <v>13.79</v>
      </c>
      <c r="J366" s="2">
        <f>291.38-H365-H366</f>
        <v>5.0000000000380851E-3</v>
      </c>
      <c r="K366" s="7">
        <f>46.62-I365-I366</f>
        <v>0</v>
      </c>
    </row>
    <row r="367" spans="1:11">
      <c r="A367" t="s">
        <v>379</v>
      </c>
      <c r="B367" s="1">
        <v>42035</v>
      </c>
      <c r="C367" t="s">
        <v>380</v>
      </c>
      <c r="D367">
        <v>1</v>
      </c>
      <c r="E367" t="s">
        <v>381</v>
      </c>
      <c r="F367" s="36" t="s">
        <v>745</v>
      </c>
      <c r="G367" s="17" t="s">
        <v>746</v>
      </c>
      <c r="H367" s="28">
        <f t="shared" si="7"/>
        <v>120.68749999999999</v>
      </c>
      <c r="I367" s="36">
        <v>19.309999999999999</v>
      </c>
      <c r="J367" s="7"/>
    </row>
    <row r="368" spans="1:11">
      <c r="A368" t="s">
        <v>379</v>
      </c>
      <c r="B368" s="1">
        <v>42035</v>
      </c>
      <c r="C368" t="s">
        <v>380</v>
      </c>
      <c r="D368">
        <v>1</v>
      </c>
      <c r="E368" t="s">
        <v>381</v>
      </c>
      <c r="F368" s="36" t="s">
        <v>714</v>
      </c>
      <c r="G368" s="17" t="s">
        <v>715</v>
      </c>
      <c r="H368" s="28">
        <f t="shared" si="7"/>
        <v>205.18749999999997</v>
      </c>
      <c r="I368" s="36">
        <v>32.83</v>
      </c>
    </row>
    <row r="369" spans="1:11">
      <c r="A369" t="s">
        <v>379</v>
      </c>
      <c r="B369" s="1">
        <v>42035</v>
      </c>
      <c r="C369" t="s">
        <v>380</v>
      </c>
      <c r="D369">
        <v>1</v>
      </c>
      <c r="E369" t="s">
        <v>381</v>
      </c>
      <c r="F369" s="17" t="s">
        <v>722</v>
      </c>
      <c r="G369" s="17" t="s">
        <v>723</v>
      </c>
      <c r="H369" s="28">
        <f t="shared" si="7"/>
        <v>247.5</v>
      </c>
      <c r="I369" s="36">
        <v>39.6</v>
      </c>
    </row>
    <row r="370" spans="1:11">
      <c r="A370" t="s">
        <v>379</v>
      </c>
      <c r="B370" s="1">
        <v>42035</v>
      </c>
      <c r="C370" t="s">
        <v>380</v>
      </c>
      <c r="D370">
        <v>1</v>
      </c>
      <c r="E370" t="s">
        <v>381</v>
      </c>
      <c r="F370" s="36" t="s">
        <v>780</v>
      </c>
      <c r="G370" s="17" t="s">
        <v>781</v>
      </c>
      <c r="H370" s="28">
        <f t="shared" si="7"/>
        <v>335.625</v>
      </c>
      <c r="I370" s="36">
        <v>53.7</v>
      </c>
      <c r="J370" s="2">
        <f>909-H367-H368-H369-H370</f>
        <v>0</v>
      </c>
      <c r="K370" s="7">
        <f>145.44-I367-I368-I369-I370</f>
        <v>0</v>
      </c>
    </row>
    <row r="371" spans="1:11">
      <c r="A371" t="s">
        <v>385</v>
      </c>
      <c r="B371" s="1">
        <v>42035</v>
      </c>
      <c r="C371" t="s">
        <v>386</v>
      </c>
      <c r="D371">
        <v>1</v>
      </c>
      <c r="E371" t="s">
        <v>387</v>
      </c>
      <c r="F371" s="36" t="s">
        <v>714</v>
      </c>
      <c r="G371" s="17" t="s">
        <v>715</v>
      </c>
      <c r="H371" s="28">
        <f t="shared" si="7"/>
        <v>62.9375</v>
      </c>
      <c r="I371" s="17">
        <v>10.07</v>
      </c>
      <c r="J371" s="7"/>
    </row>
    <row r="372" spans="1:11">
      <c r="A372" t="s">
        <v>385</v>
      </c>
      <c r="B372" s="1">
        <v>42035</v>
      </c>
      <c r="C372" t="s">
        <v>386</v>
      </c>
      <c r="D372">
        <v>1</v>
      </c>
      <c r="E372" t="s">
        <v>387</v>
      </c>
      <c r="F372" s="17" t="s">
        <v>722</v>
      </c>
      <c r="G372" s="17" t="s">
        <v>723</v>
      </c>
      <c r="H372" s="28">
        <f t="shared" si="7"/>
        <v>56.0625</v>
      </c>
      <c r="I372" s="17">
        <v>8.9700000000000006</v>
      </c>
    </row>
    <row r="373" spans="1:11">
      <c r="A373" t="s">
        <v>385</v>
      </c>
      <c r="B373" s="1">
        <v>42035</v>
      </c>
      <c r="C373" t="s">
        <v>386</v>
      </c>
      <c r="D373">
        <v>1</v>
      </c>
      <c r="E373" t="s">
        <v>387</v>
      </c>
      <c r="F373" s="17" t="s">
        <v>937</v>
      </c>
      <c r="G373" s="17" t="s">
        <v>938</v>
      </c>
      <c r="H373" s="28">
        <f t="shared" si="7"/>
        <v>125.81249999999999</v>
      </c>
      <c r="I373" s="17">
        <v>20.13</v>
      </c>
      <c r="J373" s="2">
        <f>244.81-H371-H372-H373</f>
        <v>-2.4999999999835154E-3</v>
      </c>
      <c r="K373" s="7">
        <f>39.17-I371-I372-I373</f>
        <v>0</v>
      </c>
    </row>
    <row r="374" spans="1:11">
      <c r="A374" t="s">
        <v>355</v>
      </c>
      <c r="B374" s="1">
        <v>42035</v>
      </c>
      <c r="C374" t="s">
        <v>356</v>
      </c>
      <c r="D374">
        <v>1</v>
      </c>
      <c r="E374" t="s">
        <v>357</v>
      </c>
      <c r="F374" s="36" t="s">
        <v>714</v>
      </c>
      <c r="G374" s="17" t="s">
        <v>715</v>
      </c>
      <c r="H374" s="28">
        <f t="shared" si="7"/>
        <v>56.0625</v>
      </c>
      <c r="I374" s="36">
        <v>8.9700000000000006</v>
      </c>
      <c r="J374" s="7"/>
    </row>
    <row r="375" spans="1:11">
      <c r="A375" t="s">
        <v>355</v>
      </c>
      <c r="B375" s="1">
        <v>42035</v>
      </c>
      <c r="C375" t="s">
        <v>356</v>
      </c>
      <c r="D375">
        <v>1</v>
      </c>
      <c r="E375" t="s">
        <v>357</v>
      </c>
      <c r="F375" s="17" t="s">
        <v>722</v>
      </c>
      <c r="G375" s="17" t="s">
        <v>723</v>
      </c>
      <c r="H375" s="28">
        <f t="shared" si="7"/>
        <v>118.1875</v>
      </c>
      <c r="I375" s="36">
        <v>18.91</v>
      </c>
    </row>
    <row r="376" spans="1:11">
      <c r="A376" t="s">
        <v>355</v>
      </c>
      <c r="B376" s="1">
        <v>42035</v>
      </c>
      <c r="C376" t="s">
        <v>356</v>
      </c>
      <c r="D376">
        <v>1</v>
      </c>
      <c r="E376" t="s">
        <v>357</v>
      </c>
      <c r="F376" s="36" t="s">
        <v>764</v>
      </c>
      <c r="G376" s="17" t="s">
        <v>765</v>
      </c>
      <c r="H376" s="28">
        <f t="shared" si="7"/>
        <v>215.49999999999997</v>
      </c>
      <c r="I376" s="36">
        <v>34.479999999999997</v>
      </c>
    </row>
    <row r="377" spans="1:11">
      <c r="A377" t="s">
        <v>355</v>
      </c>
      <c r="B377" s="1">
        <v>42035</v>
      </c>
      <c r="C377" t="s">
        <v>356</v>
      </c>
      <c r="D377">
        <v>1</v>
      </c>
      <c r="E377" t="s">
        <v>357</v>
      </c>
      <c r="F377" s="36" t="s">
        <v>939</v>
      </c>
      <c r="G377" s="17" t="s">
        <v>940</v>
      </c>
      <c r="H377" s="28">
        <f t="shared" si="7"/>
        <v>81.875</v>
      </c>
      <c r="I377" s="36">
        <v>13.1</v>
      </c>
    </row>
    <row r="378" spans="1:11">
      <c r="A378" t="s">
        <v>355</v>
      </c>
      <c r="B378" s="1">
        <v>42035</v>
      </c>
      <c r="C378" t="s">
        <v>356</v>
      </c>
      <c r="D378">
        <v>1</v>
      </c>
      <c r="E378" t="s">
        <v>357</v>
      </c>
      <c r="F378" s="36" t="s">
        <v>941</v>
      </c>
      <c r="G378" s="17" t="s">
        <v>942</v>
      </c>
      <c r="H378" s="28">
        <f t="shared" si="7"/>
        <v>419.37499999999994</v>
      </c>
      <c r="I378" s="36">
        <v>67.099999999999994</v>
      </c>
      <c r="J378" s="2">
        <f>891-H374-H375-H376-H377-H378</f>
        <v>0</v>
      </c>
      <c r="K378" s="7">
        <f>142.56-I374-I375-I376-I377-I378</f>
        <v>0</v>
      </c>
    </row>
    <row r="379" spans="1:11">
      <c r="A379" t="s">
        <v>382</v>
      </c>
      <c r="B379" s="1">
        <v>42035</v>
      </c>
      <c r="C379" t="s">
        <v>383</v>
      </c>
      <c r="D379">
        <v>1</v>
      </c>
      <c r="E379" t="s">
        <v>384</v>
      </c>
      <c r="F379" s="36" t="s">
        <v>714</v>
      </c>
      <c r="G379" s="17" t="s">
        <v>715</v>
      </c>
      <c r="H379" s="28">
        <f t="shared" si="7"/>
        <v>205.18749999999997</v>
      </c>
      <c r="I379" s="17">
        <v>32.83</v>
      </c>
      <c r="J379" s="7"/>
    </row>
    <row r="380" spans="1:11">
      <c r="A380" t="s">
        <v>382</v>
      </c>
      <c r="B380" s="1">
        <v>42035</v>
      </c>
      <c r="C380" t="s">
        <v>383</v>
      </c>
      <c r="D380">
        <v>1</v>
      </c>
      <c r="E380" t="s">
        <v>384</v>
      </c>
      <c r="F380" s="17" t="s">
        <v>722</v>
      </c>
      <c r="G380" s="17" t="s">
        <v>723</v>
      </c>
      <c r="H380" s="28">
        <f t="shared" si="7"/>
        <v>176.8125</v>
      </c>
      <c r="I380" s="17">
        <v>28.29</v>
      </c>
    </row>
    <row r="381" spans="1:11">
      <c r="A381" t="s">
        <v>382</v>
      </c>
      <c r="B381" s="1">
        <v>42035</v>
      </c>
      <c r="C381" t="s">
        <v>383</v>
      </c>
      <c r="D381">
        <v>1</v>
      </c>
      <c r="E381" t="s">
        <v>384</v>
      </c>
      <c r="F381" s="17" t="s">
        <v>943</v>
      </c>
      <c r="G381" s="17" t="s">
        <v>944</v>
      </c>
      <c r="H381" s="28">
        <f t="shared" si="7"/>
        <v>341.4375</v>
      </c>
      <c r="I381" s="17">
        <v>54.63</v>
      </c>
    </row>
    <row r="382" spans="1:11">
      <c r="A382" t="s">
        <v>382</v>
      </c>
      <c r="B382" s="1">
        <v>42035</v>
      </c>
      <c r="C382" t="s">
        <v>383</v>
      </c>
      <c r="D382">
        <v>1</v>
      </c>
      <c r="E382" t="s">
        <v>384</v>
      </c>
      <c r="F382" s="17" t="s">
        <v>935</v>
      </c>
      <c r="G382" s="17" t="s">
        <v>936</v>
      </c>
      <c r="H382" s="28">
        <f t="shared" si="7"/>
        <v>86.187499999999986</v>
      </c>
      <c r="I382" s="17">
        <v>13.79</v>
      </c>
      <c r="J382" s="2">
        <f>809.63-H379-H380-H381-H382</f>
        <v>5.0000000000096634E-3</v>
      </c>
      <c r="K382" s="7">
        <f>129.54-I379-I380-I381-I382</f>
        <v>-1.4210854715202004E-14</v>
      </c>
    </row>
    <row r="383" spans="1:11">
      <c r="A383" t="s">
        <v>349</v>
      </c>
      <c r="B383" s="1">
        <v>42035</v>
      </c>
      <c r="C383" t="s">
        <v>350</v>
      </c>
      <c r="D383">
        <v>1</v>
      </c>
      <c r="E383" t="s">
        <v>351</v>
      </c>
      <c r="F383" s="36" t="s">
        <v>749</v>
      </c>
      <c r="G383" s="17" t="s">
        <v>750</v>
      </c>
      <c r="H383" s="28">
        <f t="shared" si="7"/>
        <v>75.875</v>
      </c>
      <c r="I383" s="36">
        <v>12.14</v>
      </c>
      <c r="J383" s="7"/>
    </row>
    <row r="384" spans="1:11">
      <c r="A384" t="s">
        <v>349</v>
      </c>
      <c r="B384" s="1">
        <v>42035</v>
      </c>
      <c r="C384" t="s">
        <v>350</v>
      </c>
      <c r="D384">
        <v>1</v>
      </c>
      <c r="E384" t="s">
        <v>351</v>
      </c>
      <c r="F384" s="17" t="s">
        <v>722</v>
      </c>
      <c r="G384" s="17" t="s">
        <v>723</v>
      </c>
      <c r="H384" s="28">
        <f t="shared" si="7"/>
        <v>323.3125</v>
      </c>
      <c r="I384" s="36">
        <v>51.73</v>
      </c>
      <c r="J384" s="7"/>
    </row>
    <row r="385" spans="1:11">
      <c r="A385" t="s">
        <v>349</v>
      </c>
      <c r="B385" s="1">
        <v>42035</v>
      </c>
      <c r="C385" t="s">
        <v>350</v>
      </c>
      <c r="D385">
        <v>1</v>
      </c>
      <c r="E385" t="s">
        <v>351</v>
      </c>
      <c r="F385" s="36" t="s">
        <v>915</v>
      </c>
      <c r="G385" s="17" t="s">
        <v>916</v>
      </c>
      <c r="H385" s="28">
        <f t="shared" si="7"/>
        <v>681.0625</v>
      </c>
      <c r="I385" s="36">
        <v>108.97</v>
      </c>
    </row>
    <row r="386" spans="1:11">
      <c r="A386" t="s">
        <v>349</v>
      </c>
      <c r="B386" s="1">
        <v>42035</v>
      </c>
      <c r="C386" t="s">
        <v>350</v>
      </c>
      <c r="D386">
        <v>1</v>
      </c>
      <c r="E386" t="s">
        <v>351</v>
      </c>
      <c r="F386" s="36" t="s">
        <v>945</v>
      </c>
      <c r="G386" s="17" t="s">
        <v>946</v>
      </c>
      <c r="H386" s="28">
        <f t="shared" si="7"/>
        <v>822</v>
      </c>
      <c r="I386" s="36">
        <v>131.52000000000001</v>
      </c>
    </row>
    <row r="387" spans="1:11">
      <c r="A387" t="s">
        <v>349</v>
      </c>
      <c r="B387" s="1">
        <v>42035</v>
      </c>
      <c r="C387" t="s">
        <v>350</v>
      </c>
      <c r="D387">
        <v>1</v>
      </c>
      <c r="E387" t="s">
        <v>351</v>
      </c>
      <c r="F387" s="36" t="s">
        <v>947</v>
      </c>
      <c r="G387" s="17" t="s">
        <v>948</v>
      </c>
      <c r="H387" s="28">
        <f t="shared" si="7"/>
        <v>400.9375</v>
      </c>
      <c r="I387" s="36">
        <v>64.150000000000006</v>
      </c>
      <c r="J387" s="2">
        <f>2303.19-H383-H384-H385-H386-H387</f>
        <v>2.5000000000545697E-3</v>
      </c>
      <c r="K387" s="7">
        <f>368.51-I383-I384-I385-I386-I387</f>
        <v>0</v>
      </c>
    </row>
    <row r="388" spans="1:11">
      <c r="A388" t="s">
        <v>352</v>
      </c>
      <c r="B388" s="1">
        <v>42035</v>
      </c>
      <c r="C388" t="s">
        <v>353</v>
      </c>
      <c r="D388">
        <v>1</v>
      </c>
      <c r="E388" t="s">
        <v>354</v>
      </c>
      <c r="F388" s="17" t="s">
        <v>714</v>
      </c>
      <c r="G388" s="17" t="s">
        <v>715</v>
      </c>
      <c r="H388" s="28">
        <f t="shared" ref="H388:H399" si="8">I388/0.16</f>
        <v>377.56249999999994</v>
      </c>
      <c r="I388" s="17">
        <v>60.41</v>
      </c>
      <c r="J388" s="7"/>
    </row>
    <row r="389" spans="1:11">
      <c r="A389" t="s">
        <v>352</v>
      </c>
      <c r="B389" s="1">
        <v>42035</v>
      </c>
      <c r="C389" t="s">
        <v>353</v>
      </c>
      <c r="D389">
        <v>1</v>
      </c>
      <c r="E389" t="s">
        <v>354</v>
      </c>
      <c r="F389" s="36" t="s">
        <v>879</v>
      </c>
      <c r="G389" s="17" t="s">
        <v>880</v>
      </c>
      <c r="H389" s="28">
        <f t="shared" si="8"/>
        <v>377.625</v>
      </c>
      <c r="I389" s="17">
        <v>60.42</v>
      </c>
    </row>
    <row r="390" spans="1:11">
      <c r="A390" t="s">
        <v>352</v>
      </c>
      <c r="B390" s="1">
        <v>42035</v>
      </c>
      <c r="C390" t="s">
        <v>353</v>
      </c>
      <c r="D390">
        <v>1</v>
      </c>
      <c r="E390" t="s">
        <v>354</v>
      </c>
      <c r="F390" s="17" t="s">
        <v>722</v>
      </c>
      <c r="G390" s="17" t="s">
        <v>723</v>
      </c>
      <c r="H390" s="28">
        <f t="shared" si="8"/>
        <v>445.6875</v>
      </c>
      <c r="I390" s="17">
        <v>71.31</v>
      </c>
      <c r="J390" s="2">
        <f>1200.88-H388-H389-H390</f>
        <v>5.0000000001091394E-3</v>
      </c>
      <c r="K390" s="7">
        <f>192.14-I388-I389-I390</f>
        <v>0</v>
      </c>
    </row>
    <row r="391" spans="1:11">
      <c r="A391" t="s">
        <v>346</v>
      </c>
      <c r="B391" s="1">
        <v>42035</v>
      </c>
      <c r="C391" t="s">
        <v>347</v>
      </c>
      <c r="D391">
        <v>1</v>
      </c>
      <c r="E391" t="s">
        <v>348</v>
      </c>
      <c r="F391" s="36" t="s">
        <v>714</v>
      </c>
      <c r="G391" s="17" t="s">
        <v>715</v>
      </c>
      <c r="H391" s="28">
        <f t="shared" si="8"/>
        <v>62.9375</v>
      </c>
      <c r="I391" s="36">
        <v>10.07</v>
      </c>
      <c r="J391" s="7"/>
    </row>
    <row r="392" spans="1:11">
      <c r="A392" t="s">
        <v>346</v>
      </c>
      <c r="B392" s="1">
        <v>42035</v>
      </c>
      <c r="C392" t="s">
        <v>347</v>
      </c>
      <c r="D392">
        <v>1</v>
      </c>
      <c r="E392" t="s">
        <v>348</v>
      </c>
      <c r="F392" s="17" t="s">
        <v>722</v>
      </c>
      <c r="G392" s="17" t="s">
        <v>723</v>
      </c>
      <c r="H392" s="28">
        <f t="shared" si="8"/>
        <v>56.0625</v>
      </c>
      <c r="I392" s="36">
        <v>8.9700000000000006</v>
      </c>
    </row>
    <row r="393" spans="1:11">
      <c r="A393" t="s">
        <v>346</v>
      </c>
      <c r="B393" s="1">
        <v>42035</v>
      </c>
      <c r="C393" t="s">
        <v>347</v>
      </c>
      <c r="D393">
        <v>1</v>
      </c>
      <c r="E393" t="s">
        <v>348</v>
      </c>
      <c r="F393" s="36" t="s">
        <v>937</v>
      </c>
      <c r="G393" s="17" t="s">
        <v>938</v>
      </c>
      <c r="H393" s="28">
        <f t="shared" si="8"/>
        <v>83.875</v>
      </c>
      <c r="I393" s="36">
        <v>13.42</v>
      </c>
      <c r="J393" s="2">
        <f>202.88-H391-H392-H393</f>
        <v>4.9999999999954525E-3</v>
      </c>
      <c r="K393" s="7">
        <f>32.46-I391-I392-I393</f>
        <v>0</v>
      </c>
    </row>
    <row r="394" spans="1:11">
      <c r="A394" t="s">
        <v>337</v>
      </c>
      <c r="B394" s="1">
        <v>42035</v>
      </c>
      <c r="C394" t="s">
        <v>338</v>
      </c>
      <c r="D394">
        <v>1</v>
      </c>
      <c r="E394" t="s">
        <v>339</v>
      </c>
      <c r="F394" s="36" t="s">
        <v>714</v>
      </c>
      <c r="G394" s="17" t="s">
        <v>715</v>
      </c>
      <c r="H394" s="28">
        <f t="shared" si="8"/>
        <v>317.25</v>
      </c>
      <c r="I394" s="36">
        <v>50.76</v>
      </c>
      <c r="J394" s="7"/>
    </row>
    <row r="395" spans="1:11">
      <c r="A395" t="s">
        <v>337</v>
      </c>
      <c r="B395" s="1">
        <v>42035</v>
      </c>
      <c r="C395" t="s">
        <v>338</v>
      </c>
      <c r="D395">
        <v>1</v>
      </c>
      <c r="E395" t="s">
        <v>339</v>
      </c>
      <c r="F395" s="36" t="s">
        <v>714</v>
      </c>
      <c r="G395" s="17" t="s">
        <v>715</v>
      </c>
      <c r="H395" s="28">
        <f t="shared" si="8"/>
        <v>377.56249999999994</v>
      </c>
      <c r="I395" s="36">
        <v>60.41</v>
      </c>
      <c r="J395" s="7"/>
    </row>
    <row r="396" spans="1:11">
      <c r="A396" t="s">
        <v>337</v>
      </c>
      <c r="B396" s="1">
        <v>42035</v>
      </c>
      <c r="C396" t="s">
        <v>338</v>
      </c>
      <c r="D396">
        <v>1</v>
      </c>
      <c r="E396" t="s">
        <v>339</v>
      </c>
      <c r="F396" s="36" t="s">
        <v>879</v>
      </c>
      <c r="G396" s="17" t="s">
        <v>880</v>
      </c>
      <c r="H396" s="28">
        <f t="shared" si="8"/>
        <v>335.6875</v>
      </c>
      <c r="I396" s="36">
        <v>53.71</v>
      </c>
      <c r="J396" s="7"/>
    </row>
    <row r="397" spans="1:11">
      <c r="A397" t="s">
        <v>337</v>
      </c>
      <c r="B397" s="1">
        <v>42035</v>
      </c>
      <c r="C397" t="s">
        <v>338</v>
      </c>
      <c r="D397">
        <v>1</v>
      </c>
      <c r="E397" t="s">
        <v>339</v>
      </c>
      <c r="F397" s="17" t="s">
        <v>722</v>
      </c>
      <c r="G397" s="17" t="s">
        <v>723</v>
      </c>
      <c r="H397" s="28">
        <f t="shared" si="8"/>
        <v>722.4375</v>
      </c>
      <c r="I397" s="36">
        <v>115.59</v>
      </c>
      <c r="J397" s="7"/>
    </row>
    <row r="398" spans="1:11">
      <c r="A398" t="s">
        <v>337</v>
      </c>
      <c r="B398" s="1">
        <v>42035</v>
      </c>
      <c r="C398" t="s">
        <v>338</v>
      </c>
      <c r="D398">
        <v>1</v>
      </c>
      <c r="E398" t="s">
        <v>339</v>
      </c>
      <c r="F398" s="36" t="s">
        <v>949</v>
      </c>
      <c r="G398" s="17" t="s">
        <v>950</v>
      </c>
      <c r="H398" s="28">
        <f t="shared" si="8"/>
        <v>73.25</v>
      </c>
      <c r="I398" s="36">
        <v>11.72</v>
      </c>
      <c r="J398" s="7"/>
    </row>
    <row r="399" spans="1:11">
      <c r="A399" t="s">
        <v>337</v>
      </c>
      <c r="B399" s="1">
        <v>42035</v>
      </c>
      <c r="C399" t="s">
        <v>338</v>
      </c>
      <c r="D399">
        <v>1</v>
      </c>
      <c r="E399" t="s">
        <v>339</v>
      </c>
      <c r="F399" s="36" t="s">
        <v>883</v>
      </c>
      <c r="G399" s="17" t="s">
        <v>884</v>
      </c>
      <c r="H399" s="28">
        <f t="shared" si="8"/>
        <v>865.25</v>
      </c>
      <c r="I399" s="36">
        <v>138.44</v>
      </c>
      <c r="J399" s="7">
        <f>2691.44-H394-H395-H396-H397-H398-H399</f>
        <v>2.5000000000545697E-3</v>
      </c>
      <c r="K399" s="7">
        <f>430.63-I394-I395-I396-I397-I398-I399</f>
        <v>0</v>
      </c>
    </row>
    <row r="400" spans="1:11">
      <c r="A400" t="s">
        <v>15</v>
      </c>
      <c r="B400" s="1">
        <v>42006</v>
      </c>
      <c r="C400" t="s">
        <v>16</v>
      </c>
      <c r="D400">
        <v>1</v>
      </c>
      <c r="E400" t="s">
        <v>17</v>
      </c>
      <c r="F400" s="31" t="s">
        <v>951</v>
      </c>
      <c r="G400" s="31" t="s">
        <v>40</v>
      </c>
      <c r="H400" s="7">
        <f t="shared" si="4"/>
        <v>177530.4375</v>
      </c>
      <c r="I400" s="7">
        <v>28404.87</v>
      </c>
    </row>
    <row r="401" spans="1:11">
      <c r="A401" t="s">
        <v>38</v>
      </c>
      <c r="B401" s="1">
        <v>42011</v>
      </c>
      <c r="C401" t="s">
        <v>39</v>
      </c>
      <c r="D401">
        <v>1</v>
      </c>
      <c r="E401" t="s">
        <v>40</v>
      </c>
      <c r="F401" s="31" t="s">
        <v>951</v>
      </c>
      <c r="G401" s="31" t="s">
        <v>40</v>
      </c>
      <c r="H401" s="7">
        <f t="shared" si="4"/>
        <v>225004.5</v>
      </c>
      <c r="I401" s="7">
        <v>36000.720000000001</v>
      </c>
    </row>
    <row r="402" spans="1:11">
      <c r="A402" t="s">
        <v>640</v>
      </c>
      <c r="B402" s="1">
        <v>42020</v>
      </c>
      <c r="C402" t="s">
        <v>641</v>
      </c>
      <c r="D402">
        <v>1</v>
      </c>
      <c r="E402" t="s">
        <v>642</v>
      </c>
      <c r="F402" t="s">
        <v>952</v>
      </c>
      <c r="G402" t="s">
        <v>642</v>
      </c>
      <c r="H402" s="7">
        <f t="shared" si="4"/>
        <v>1800</v>
      </c>
      <c r="I402" s="7">
        <v>288</v>
      </c>
    </row>
    <row r="403" spans="1:11">
      <c r="A403" t="s">
        <v>258</v>
      </c>
      <c r="B403" s="1">
        <v>42035</v>
      </c>
      <c r="C403">
        <v>11286</v>
      </c>
      <c r="D403">
        <v>1</v>
      </c>
      <c r="E403" t="s">
        <v>259</v>
      </c>
      <c r="F403" s="17" t="s">
        <v>714</v>
      </c>
      <c r="G403" s="17" t="s">
        <v>715</v>
      </c>
      <c r="H403" s="28">
        <v>377.5625</v>
      </c>
      <c r="I403" s="17">
        <v>60.41</v>
      </c>
      <c r="J403" s="7"/>
    </row>
    <row r="404" spans="1:11">
      <c r="A404" t="s">
        <v>258</v>
      </c>
      <c r="B404" s="1">
        <v>42035</v>
      </c>
      <c r="C404">
        <v>11286</v>
      </c>
      <c r="D404">
        <v>1</v>
      </c>
      <c r="E404" t="s">
        <v>259</v>
      </c>
      <c r="F404" s="17" t="s">
        <v>714</v>
      </c>
      <c r="G404" s="17" t="s">
        <v>715</v>
      </c>
      <c r="H404" s="28">
        <v>377.5625</v>
      </c>
      <c r="I404" s="17">
        <v>60.41</v>
      </c>
    </row>
    <row r="405" spans="1:11">
      <c r="A405" t="s">
        <v>258</v>
      </c>
      <c r="B405" s="1">
        <v>42035</v>
      </c>
      <c r="C405">
        <v>11286</v>
      </c>
      <c r="D405">
        <v>1</v>
      </c>
      <c r="E405" t="s">
        <v>259</v>
      </c>
      <c r="F405" s="17" t="s">
        <v>953</v>
      </c>
      <c r="G405" s="17" t="s">
        <v>954</v>
      </c>
      <c r="H405" s="28">
        <v>147.4375</v>
      </c>
      <c r="I405" s="17">
        <v>23.59</v>
      </c>
    </row>
    <row r="406" spans="1:11">
      <c r="A406" t="s">
        <v>258</v>
      </c>
      <c r="B406" s="1">
        <v>42035</v>
      </c>
      <c r="C406">
        <v>11286</v>
      </c>
      <c r="D406">
        <v>1</v>
      </c>
      <c r="E406" t="s">
        <v>259</v>
      </c>
      <c r="F406" s="17" t="s">
        <v>972</v>
      </c>
      <c r="G406" s="17" t="s">
        <v>973</v>
      </c>
      <c r="H406" s="28">
        <v>112.0625</v>
      </c>
      <c r="I406" s="17">
        <v>17.93</v>
      </c>
    </row>
    <row r="407" spans="1:11" ht="15.75" thickBot="1">
      <c r="A407" t="s">
        <v>258</v>
      </c>
      <c r="B407" s="1">
        <v>42035</v>
      </c>
      <c r="C407">
        <v>11286</v>
      </c>
      <c r="D407">
        <v>1</v>
      </c>
      <c r="E407" t="s">
        <v>259</v>
      </c>
      <c r="F407" s="17" t="s">
        <v>955</v>
      </c>
      <c r="G407" s="17" t="s">
        <v>971</v>
      </c>
      <c r="H407" s="37">
        <v>779.75</v>
      </c>
      <c r="I407" s="38">
        <v>124.76</v>
      </c>
      <c r="J407" s="2">
        <f>1794.38-H403-H404-H405-H406-H407</f>
        <v>5.0000000001091394E-3</v>
      </c>
      <c r="K407" s="7">
        <f>287.1-I403-I404-I405-I406-I407</f>
        <v>0</v>
      </c>
    </row>
    <row r="408" spans="1:11">
      <c r="B408" s="1"/>
    </row>
    <row r="409" spans="1:11">
      <c r="H409" s="8"/>
      <c r="I409" s="8"/>
    </row>
    <row r="410" spans="1:11">
      <c r="H410" s="9">
        <f>SUM(H7:H409)</f>
        <v>24098622.625</v>
      </c>
      <c r="I410" s="9">
        <f>SUM(I7:I409)</f>
        <v>3855779.6200000006</v>
      </c>
    </row>
    <row r="411" spans="1:11">
      <c r="H411" s="10">
        <f>4384334.68-528555.06</f>
        <v>3855779.6199999996</v>
      </c>
      <c r="I411" s="7">
        <f>+H411-I410</f>
        <v>0</v>
      </c>
    </row>
    <row r="416" spans="1:11">
      <c r="F416" s="11"/>
    </row>
    <row r="417" spans="1:10">
      <c r="F417" s="12" t="s">
        <v>696</v>
      </c>
    </row>
    <row r="418" spans="1:10">
      <c r="F418" s="13" t="s">
        <v>7285</v>
      </c>
    </row>
    <row r="419" spans="1:10">
      <c r="F419" s="11"/>
    </row>
    <row r="420" spans="1:10">
      <c r="A420" s="14"/>
      <c r="B420" s="14"/>
      <c r="C420" s="14"/>
      <c r="D420" s="14"/>
      <c r="E420" s="14"/>
      <c r="F420" s="14" t="s">
        <v>692</v>
      </c>
      <c r="G420" s="14" t="s">
        <v>693</v>
      </c>
      <c r="H420" s="15" t="s">
        <v>694</v>
      </c>
      <c r="I420" s="14" t="s">
        <v>695</v>
      </c>
      <c r="J420" s="14" t="s">
        <v>697</v>
      </c>
    </row>
    <row r="421" spans="1:10">
      <c r="A421" s="150" t="s">
        <v>7544</v>
      </c>
      <c r="B421">
        <v>85</v>
      </c>
      <c r="F421" s="19" t="s">
        <v>709</v>
      </c>
      <c r="G421" s="19" t="s">
        <v>710</v>
      </c>
      <c r="H421" s="7">
        <f>+I421/0.16</f>
        <v>677765.625</v>
      </c>
      <c r="I421" s="7">
        <f>+SUMIF($F$7:$F$407,F421,$I$7:$I$407)</f>
        <v>108442.5</v>
      </c>
    </row>
    <row r="422" spans="1:10">
      <c r="A422" s="150" t="s">
        <v>7544</v>
      </c>
      <c r="B422">
        <v>85</v>
      </c>
      <c r="F422" t="s">
        <v>705</v>
      </c>
      <c r="G422" t="s">
        <v>541</v>
      </c>
      <c r="H422" s="7">
        <f t="shared" ref="H422:H485" si="9">+I422/0.16</f>
        <v>45043.125</v>
      </c>
      <c r="I422" s="7">
        <f t="shared" ref="I422:I485" si="10">+SUMIF($F$7:$F$407,F422,$I$7:$I$407)</f>
        <v>7206.9</v>
      </c>
    </row>
    <row r="423" spans="1:10">
      <c r="A423" s="150" t="s">
        <v>7544</v>
      </c>
      <c r="B423">
        <v>85</v>
      </c>
      <c r="F423" s="17" t="s">
        <v>923</v>
      </c>
      <c r="G423" s="17" t="s">
        <v>924</v>
      </c>
      <c r="H423" s="7">
        <f t="shared" si="9"/>
        <v>521.5625</v>
      </c>
      <c r="I423" s="7">
        <f t="shared" si="10"/>
        <v>83.45</v>
      </c>
    </row>
    <row r="424" spans="1:10">
      <c r="A424" s="150" t="s">
        <v>7544</v>
      </c>
      <c r="B424">
        <v>85</v>
      </c>
      <c r="F424" s="23" t="s">
        <v>733</v>
      </c>
      <c r="G424" s="24" t="s">
        <v>734</v>
      </c>
      <c r="H424" s="7">
        <f t="shared" si="9"/>
        <v>1076.4375</v>
      </c>
      <c r="I424" s="7">
        <f t="shared" si="10"/>
        <v>172.23</v>
      </c>
    </row>
    <row r="425" spans="1:10">
      <c r="A425" s="150" t="s">
        <v>7544</v>
      </c>
      <c r="B425">
        <v>85</v>
      </c>
      <c r="F425" t="s">
        <v>701</v>
      </c>
      <c r="G425" t="s">
        <v>462</v>
      </c>
      <c r="H425" s="7">
        <f t="shared" si="9"/>
        <v>3103.4375</v>
      </c>
      <c r="I425" s="7">
        <f t="shared" si="10"/>
        <v>496.55</v>
      </c>
    </row>
    <row r="426" spans="1:10">
      <c r="A426" s="150" t="s">
        <v>7544</v>
      </c>
      <c r="B426">
        <v>85</v>
      </c>
      <c r="F426" s="36" t="s">
        <v>879</v>
      </c>
      <c r="G426" s="17" t="s">
        <v>880</v>
      </c>
      <c r="H426" s="7">
        <f t="shared" si="9"/>
        <v>2517.6875</v>
      </c>
      <c r="I426" s="7">
        <f t="shared" si="10"/>
        <v>402.83</v>
      </c>
    </row>
    <row r="427" spans="1:10">
      <c r="A427" s="150" t="s">
        <v>7544</v>
      </c>
      <c r="B427">
        <v>85</v>
      </c>
      <c r="F427" s="36" t="s">
        <v>933</v>
      </c>
      <c r="G427" s="17" t="s">
        <v>934</v>
      </c>
      <c r="H427" s="7">
        <f t="shared" si="9"/>
        <v>293.5625</v>
      </c>
      <c r="I427" s="7">
        <f t="shared" si="10"/>
        <v>46.97</v>
      </c>
    </row>
    <row r="428" spans="1:10">
      <c r="A428" s="150" t="s">
        <v>7544</v>
      </c>
      <c r="B428">
        <v>85</v>
      </c>
      <c r="F428" s="17" t="s">
        <v>826</v>
      </c>
      <c r="G428" s="17" t="s">
        <v>291</v>
      </c>
      <c r="H428" s="7">
        <f t="shared" si="9"/>
        <v>286.1875</v>
      </c>
      <c r="I428" s="7">
        <f t="shared" si="10"/>
        <v>45.79</v>
      </c>
    </row>
    <row r="429" spans="1:10">
      <c r="A429" s="150" t="s">
        <v>7544</v>
      </c>
      <c r="B429">
        <v>85</v>
      </c>
      <c r="F429" s="17" t="s">
        <v>711</v>
      </c>
      <c r="G429" s="17" t="s">
        <v>317</v>
      </c>
      <c r="H429" s="7">
        <f t="shared" si="9"/>
        <v>193.75</v>
      </c>
      <c r="I429" s="7">
        <f t="shared" si="10"/>
        <v>31</v>
      </c>
    </row>
    <row r="430" spans="1:10">
      <c r="A430" s="150" t="s">
        <v>7544</v>
      </c>
      <c r="B430">
        <v>85</v>
      </c>
      <c r="F430" t="s">
        <v>745</v>
      </c>
      <c r="G430" t="s">
        <v>746</v>
      </c>
      <c r="H430" s="7">
        <f t="shared" si="9"/>
        <v>392.1875</v>
      </c>
      <c r="I430" s="7">
        <f t="shared" si="10"/>
        <v>62.75</v>
      </c>
    </row>
    <row r="431" spans="1:10">
      <c r="A431" s="150" t="s">
        <v>7544</v>
      </c>
      <c r="B431">
        <v>85</v>
      </c>
      <c r="F431" s="18" t="s">
        <v>707</v>
      </c>
      <c r="G431" s="18" t="s">
        <v>708</v>
      </c>
      <c r="H431" s="7">
        <f t="shared" si="9"/>
        <v>366800.25</v>
      </c>
      <c r="I431" s="7">
        <f t="shared" si="10"/>
        <v>58688.04</v>
      </c>
    </row>
    <row r="432" spans="1:10">
      <c r="A432" s="150" t="s">
        <v>7544</v>
      </c>
      <c r="B432">
        <v>85</v>
      </c>
      <c r="F432" s="16" t="s">
        <v>7341</v>
      </c>
      <c r="G432" t="s">
        <v>7342</v>
      </c>
      <c r="H432" s="7">
        <f t="shared" si="9"/>
        <v>86206.875</v>
      </c>
      <c r="I432" s="7">
        <f t="shared" si="10"/>
        <v>13793.1</v>
      </c>
    </row>
    <row r="433" spans="1:9">
      <c r="A433" s="150" t="s">
        <v>7544</v>
      </c>
      <c r="B433">
        <v>85</v>
      </c>
      <c r="F433" t="s">
        <v>702</v>
      </c>
      <c r="G433" t="s">
        <v>635</v>
      </c>
      <c r="H433" s="7">
        <f t="shared" si="9"/>
        <v>47993</v>
      </c>
      <c r="I433" s="7">
        <f t="shared" si="10"/>
        <v>7678.88</v>
      </c>
    </row>
    <row r="434" spans="1:9">
      <c r="A434" s="150" t="s">
        <v>7544</v>
      </c>
      <c r="B434">
        <v>85</v>
      </c>
      <c r="F434" s="36" t="s">
        <v>714</v>
      </c>
      <c r="G434" s="17" t="s">
        <v>715</v>
      </c>
      <c r="H434" s="7">
        <f t="shared" si="9"/>
        <v>9341.4374999999982</v>
      </c>
      <c r="I434" s="7">
        <f t="shared" si="10"/>
        <v>1494.6299999999999</v>
      </c>
    </row>
    <row r="435" spans="1:9">
      <c r="A435" s="150" t="s">
        <v>7544</v>
      </c>
      <c r="B435">
        <v>85</v>
      </c>
      <c r="F435" t="s">
        <v>751</v>
      </c>
      <c r="G435" t="s">
        <v>752</v>
      </c>
      <c r="H435" s="7">
        <f t="shared" si="9"/>
        <v>5119.1875</v>
      </c>
      <c r="I435" s="7">
        <f t="shared" si="10"/>
        <v>819.07</v>
      </c>
    </row>
    <row r="436" spans="1:9">
      <c r="A436" s="150" t="s">
        <v>7544</v>
      </c>
      <c r="B436">
        <v>85</v>
      </c>
      <c r="F436" s="16" t="s">
        <v>698</v>
      </c>
      <c r="G436" s="17" t="s">
        <v>699</v>
      </c>
      <c r="H436" s="7">
        <f t="shared" si="9"/>
        <v>148824.5625</v>
      </c>
      <c r="I436" s="7">
        <f t="shared" si="10"/>
        <v>23811.93</v>
      </c>
    </row>
    <row r="437" spans="1:9">
      <c r="A437" s="150" t="s">
        <v>7544</v>
      </c>
      <c r="B437">
        <v>85</v>
      </c>
      <c r="F437" s="36" t="s">
        <v>901</v>
      </c>
      <c r="G437" s="17" t="s">
        <v>902</v>
      </c>
      <c r="H437" s="7">
        <f t="shared" si="9"/>
        <v>296.625</v>
      </c>
      <c r="I437" s="7">
        <f t="shared" si="10"/>
        <v>47.46</v>
      </c>
    </row>
    <row r="438" spans="1:9">
      <c r="A438" s="150" t="s">
        <v>7544</v>
      </c>
      <c r="B438">
        <v>85</v>
      </c>
      <c r="F438" t="s">
        <v>749</v>
      </c>
      <c r="G438" t="s">
        <v>750</v>
      </c>
      <c r="H438" s="7">
        <f t="shared" si="9"/>
        <v>263.75</v>
      </c>
      <c r="I438" s="7">
        <f t="shared" si="10"/>
        <v>42.2</v>
      </c>
    </row>
    <row r="439" spans="1:9">
      <c r="A439" s="150" t="s">
        <v>7544</v>
      </c>
      <c r="B439">
        <v>85</v>
      </c>
      <c r="F439" s="39" t="s">
        <v>958</v>
      </c>
      <c r="G439" s="31" t="s">
        <v>959</v>
      </c>
      <c r="H439" s="7">
        <f t="shared" si="9"/>
        <v>211018.5625</v>
      </c>
      <c r="I439" s="7">
        <f t="shared" si="10"/>
        <v>33762.97</v>
      </c>
    </row>
    <row r="440" spans="1:9">
      <c r="A440" s="150" t="s">
        <v>7544</v>
      </c>
      <c r="B440">
        <v>85</v>
      </c>
      <c r="F440" s="20" t="s">
        <v>713</v>
      </c>
      <c r="G440" t="s">
        <v>485</v>
      </c>
      <c r="H440" s="7">
        <f t="shared" si="9"/>
        <v>42393.0625</v>
      </c>
      <c r="I440" s="7">
        <f t="shared" si="10"/>
        <v>6782.89</v>
      </c>
    </row>
    <row r="441" spans="1:9">
      <c r="A441" s="150" t="s">
        <v>7544</v>
      </c>
      <c r="B441">
        <v>85</v>
      </c>
      <c r="F441" s="17" t="s">
        <v>786</v>
      </c>
      <c r="G441" s="17" t="s">
        <v>787</v>
      </c>
      <c r="H441" s="7">
        <f t="shared" si="9"/>
        <v>118.99999999999999</v>
      </c>
      <c r="I441" s="7">
        <f t="shared" si="10"/>
        <v>19.04</v>
      </c>
    </row>
    <row r="442" spans="1:9">
      <c r="A442" s="150" t="s">
        <v>7544</v>
      </c>
      <c r="B442">
        <v>85</v>
      </c>
      <c r="F442" s="20" t="s">
        <v>737</v>
      </c>
      <c r="G442" s="25" t="s">
        <v>738</v>
      </c>
      <c r="H442" s="7">
        <f t="shared" si="9"/>
        <v>13922</v>
      </c>
      <c r="I442" s="7">
        <f t="shared" si="10"/>
        <v>2227.52</v>
      </c>
    </row>
    <row r="443" spans="1:9">
      <c r="A443" s="150" t="s">
        <v>7544</v>
      </c>
      <c r="B443">
        <v>85</v>
      </c>
      <c r="F443" s="16" t="s">
        <v>735</v>
      </c>
      <c r="G443" s="25" t="s">
        <v>736</v>
      </c>
      <c r="H443" s="7">
        <f t="shared" si="9"/>
        <v>180</v>
      </c>
      <c r="I443" s="7">
        <f t="shared" si="10"/>
        <v>28.8</v>
      </c>
    </row>
    <row r="444" spans="1:9">
      <c r="A444" s="150" t="s">
        <v>7544</v>
      </c>
      <c r="B444">
        <v>85</v>
      </c>
      <c r="F444" s="20" t="s">
        <v>741</v>
      </c>
      <c r="G444" s="26" t="s">
        <v>742</v>
      </c>
      <c r="H444" s="7">
        <f t="shared" si="9"/>
        <v>70</v>
      </c>
      <c r="I444" s="7">
        <f t="shared" si="10"/>
        <v>11.2</v>
      </c>
    </row>
    <row r="445" spans="1:9">
      <c r="A445" s="150" t="s">
        <v>7544</v>
      </c>
      <c r="B445">
        <v>85</v>
      </c>
      <c r="F445" s="20" t="s">
        <v>739</v>
      </c>
      <c r="G445" s="26" t="s">
        <v>740</v>
      </c>
      <c r="H445" s="7">
        <f t="shared" si="9"/>
        <v>8677.25</v>
      </c>
      <c r="I445" s="7">
        <f t="shared" si="10"/>
        <v>1388.36</v>
      </c>
    </row>
    <row r="446" spans="1:9">
      <c r="A446" s="150" t="s">
        <v>7544</v>
      </c>
      <c r="B446">
        <v>85</v>
      </c>
      <c r="F446" s="17" t="s">
        <v>712</v>
      </c>
      <c r="G446" s="17" t="s">
        <v>312</v>
      </c>
      <c r="H446" s="7">
        <f t="shared" si="9"/>
        <v>120.68749999999999</v>
      </c>
      <c r="I446" s="7">
        <f t="shared" si="10"/>
        <v>19.309999999999999</v>
      </c>
    </row>
    <row r="447" spans="1:9">
      <c r="A447" s="150" t="s">
        <v>7544</v>
      </c>
      <c r="B447">
        <v>85</v>
      </c>
      <c r="F447" s="20" t="s">
        <v>743</v>
      </c>
      <c r="G447" s="26" t="s">
        <v>744</v>
      </c>
      <c r="H447" s="7">
        <f t="shared" si="9"/>
        <v>240</v>
      </c>
      <c r="I447" s="7">
        <f t="shared" si="10"/>
        <v>38.4</v>
      </c>
    </row>
    <row r="448" spans="1:9">
      <c r="A448" s="150" t="s">
        <v>7544</v>
      </c>
      <c r="B448">
        <v>85</v>
      </c>
      <c r="F448" s="29" t="s">
        <v>790</v>
      </c>
      <c r="G448" t="s">
        <v>428</v>
      </c>
      <c r="H448" s="7">
        <f t="shared" si="9"/>
        <v>1594131.3124999998</v>
      </c>
      <c r="I448" s="7">
        <f t="shared" si="10"/>
        <v>255061.00999999998</v>
      </c>
    </row>
    <row r="449" spans="1:10">
      <c r="A449" s="150" t="s">
        <v>7544</v>
      </c>
      <c r="B449" s="150" t="s">
        <v>7566</v>
      </c>
      <c r="F449" s="16" t="s">
        <v>956</v>
      </c>
      <c r="G449" t="s">
        <v>957</v>
      </c>
      <c r="H449" s="7">
        <f t="shared" si="9"/>
        <v>36890.4375</v>
      </c>
      <c r="I449" s="7">
        <f t="shared" si="10"/>
        <v>5902.47</v>
      </c>
      <c r="J449">
        <v>3934.98</v>
      </c>
    </row>
    <row r="450" spans="1:10">
      <c r="A450" s="150" t="s">
        <v>7544</v>
      </c>
      <c r="B450">
        <v>85</v>
      </c>
      <c r="F450" t="s">
        <v>720</v>
      </c>
      <c r="G450" t="s">
        <v>721</v>
      </c>
      <c r="H450" s="7">
        <f t="shared" si="9"/>
        <v>5185.1875</v>
      </c>
      <c r="I450" s="7">
        <f t="shared" si="10"/>
        <v>829.63</v>
      </c>
    </row>
    <row r="451" spans="1:10">
      <c r="A451" s="150" t="s">
        <v>7544</v>
      </c>
      <c r="B451">
        <v>85</v>
      </c>
      <c r="F451" s="20" t="s">
        <v>724</v>
      </c>
      <c r="G451" s="17" t="s">
        <v>725</v>
      </c>
      <c r="H451" s="7">
        <f t="shared" si="9"/>
        <v>680709.625</v>
      </c>
      <c r="I451" s="7">
        <f t="shared" si="10"/>
        <v>108913.54000000001</v>
      </c>
    </row>
    <row r="452" spans="1:10">
      <c r="A452" s="150" t="s">
        <v>7544</v>
      </c>
      <c r="B452">
        <v>85</v>
      </c>
      <c r="F452" s="36" t="s">
        <v>895</v>
      </c>
      <c r="G452" s="17" t="s">
        <v>896</v>
      </c>
      <c r="H452" s="7">
        <f t="shared" si="9"/>
        <v>259.4375</v>
      </c>
      <c r="I452" s="7">
        <f t="shared" si="10"/>
        <v>41.51</v>
      </c>
    </row>
    <row r="453" spans="1:10">
      <c r="A453" s="150" t="s">
        <v>7544</v>
      </c>
      <c r="B453">
        <v>85</v>
      </c>
      <c r="F453" s="36" t="s">
        <v>881</v>
      </c>
      <c r="G453" s="17" t="s">
        <v>882</v>
      </c>
      <c r="H453" s="7">
        <f t="shared" si="9"/>
        <v>54.75</v>
      </c>
      <c r="I453" s="7">
        <f t="shared" si="10"/>
        <v>8.76</v>
      </c>
    </row>
    <row r="454" spans="1:10">
      <c r="A454" s="150" t="s">
        <v>7544</v>
      </c>
      <c r="B454">
        <v>85</v>
      </c>
      <c r="F454" t="s">
        <v>730</v>
      </c>
      <c r="G454" t="s">
        <v>476</v>
      </c>
      <c r="H454" s="7">
        <f t="shared" si="9"/>
        <v>20103.4375</v>
      </c>
      <c r="I454" s="7">
        <f t="shared" si="10"/>
        <v>3216.55</v>
      </c>
    </row>
    <row r="455" spans="1:10">
      <c r="A455" s="150" t="s">
        <v>7544</v>
      </c>
      <c r="B455">
        <v>85</v>
      </c>
      <c r="F455" s="17" t="s">
        <v>731</v>
      </c>
      <c r="G455" s="17" t="s">
        <v>732</v>
      </c>
      <c r="H455" s="7">
        <f t="shared" si="9"/>
        <v>78.375</v>
      </c>
      <c r="I455" s="7">
        <f t="shared" si="10"/>
        <v>12.54</v>
      </c>
    </row>
    <row r="456" spans="1:10">
      <c r="A456" s="150" t="s">
        <v>7544</v>
      </c>
      <c r="B456">
        <v>85</v>
      </c>
      <c r="F456" s="29" t="s">
        <v>808</v>
      </c>
      <c r="G456" t="s">
        <v>489</v>
      </c>
      <c r="H456" s="7">
        <f t="shared" si="9"/>
        <v>13925.874999999998</v>
      </c>
      <c r="I456" s="7">
        <f t="shared" si="10"/>
        <v>2228.14</v>
      </c>
    </row>
    <row r="457" spans="1:10">
      <c r="A457" s="150" t="s">
        <v>7544</v>
      </c>
      <c r="B457">
        <v>85</v>
      </c>
      <c r="F457" s="36" t="s">
        <v>949</v>
      </c>
      <c r="G457" s="17" t="s">
        <v>950</v>
      </c>
      <c r="H457" s="7">
        <f t="shared" si="9"/>
        <v>73.25</v>
      </c>
      <c r="I457" s="7">
        <f t="shared" si="10"/>
        <v>11.72</v>
      </c>
    </row>
    <row r="458" spans="1:10">
      <c r="A458" s="150" t="s">
        <v>7544</v>
      </c>
      <c r="B458">
        <v>85</v>
      </c>
      <c r="F458" t="s">
        <v>729</v>
      </c>
      <c r="G458" t="s">
        <v>653</v>
      </c>
      <c r="H458" s="7">
        <f t="shared" si="9"/>
        <v>1293.125</v>
      </c>
      <c r="I458" s="7">
        <f t="shared" si="10"/>
        <v>206.9</v>
      </c>
    </row>
    <row r="459" spans="1:10">
      <c r="A459" s="150" t="s">
        <v>7544</v>
      </c>
      <c r="B459">
        <v>85</v>
      </c>
      <c r="F459" t="s">
        <v>753</v>
      </c>
      <c r="G459" t="s">
        <v>754</v>
      </c>
      <c r="H459" s="7">
        <f t="shared" si="9"/>
        <v>520.0625</v>
      </c>
      <c r="I459" s="7">
        <f t="shared" si="10"/>
        <v>83.21</v>
      </c>
    </row>
    <row r="460" spans="1:10">
      <c r="A460" s="150" t="s">
        <v>7544</v>
      </c>
      <c r="B460">
        <v>85</v>
      </c>
      <c r="F460" s="17" t="s">
        <v>726</v>
      </c>
      <c r="G460" s="17" t="s">
        <v>293</v>
      </c>
      <c r="H460" s="7">
        <f t="shared" si="9"/>
        <v>174.1875</v>
      </c>
      <c r="I460" s="7">
        <f t="shared" si="10"/>
        <v>27.87</v>
      </c>
    </row>
    <row r="461" spans="1:10">
      <c r="A461" s="150" t="s">
        <v>7544</v>
      </c>
      <c r="B461">
        <v>85</v>
      </c>
      <c r="F461" t="s">
        <v>759</v>
      </c>
      <c r="G461" t="s">
        <v>270</v>
      </c>
      <c r="H461" s="7">
        <f t="shared" si="9"/>
        <v>263.6875</v>
      </c>
      <c r="I461" s="7">
        <f t="shared" si="10"/>
        <v>42.19</v>
      </c>
    </row>
    <row r="462" spans="1:10">
      <c r="A462" s="150" t="s">
        <v>7544</v>
      </c>
      <c r="B462">
        <v>85</v>
      </c>
      <c r="F462" t="s">
        <v>755</v>
      </c>
      <c r="G462" t="s">
        <v>756</v>
      </c>
      <c r="H462" s="7">
        <f t="shared" si="9"/>
        <v>1079.3125</v>
      </c>
      <c r="I462" s="7">
        <f t="shared" si="10"/>
        <v>172.69</v>
      </c>
    </row>
    <row r="463" spans="1:10">
      <c r="A463" s="150" t="s">
        <v>7544</v>
      </c>
      <c r="B463">
        <v>85</v>
      </c>
      <c r="F463" t="s">
        <v>757</v>
      </c>
      <c r="G463" t="s">
        <v>758</v>
      </c>
      <c r="H463" s="7">
        <f t="shared" si="9"/>
        <v>245.75</v>
      </c>
      <c r="I463" s="7">
        <f t="shared" si="10"/>
        <v>39.32</v>
      </c>
    </row>
    <row r="464" spans="1:10">
      <c r="A464" s="150" t="s">
        <v>7544</v>
      </c>
      <c r="B464">
        <v>85</v>
      </c>
      <c r="F464" s="17" t="s">
        <v>925</v>
      </c>
      <c r="G464" s="17" t="s">
        <v>926</v>
      </c>
      <c r="H464" s="7">
        <f t="shared" si="9"/>
        <v>293.5625</v>
      </c>
      <c r="I464" s="7">
        <f t="shared" si="10"/>
        <v>46.97</v>
      </c>
    </row>
    <row r="465" spans="1:11">
      <c r="A465" s="150" t="s">
        <v>7544</v>
      </c>
      <c r="B465">
        <v>85</v>
      </c>
      <c r="F465" t="s">
        <v>817</v>
      </c>
      <c r="G465" t="s">
        <v>818</v>
      </c>
      <c r="H465" s="7">
        <f t="shared" si="9"/>
        <v>172.4375</v>
      </c>
      <c r="I465" s="7">
        <f t="shared" si="10"/>
        <v>27.59</v>
      </c>
    </row>
    <row r="466" spans="1:11">
      <c r="A466" s="150" t="s">
        <v>7544</v>
      </c>
      <c r="B466">
        <v>85</v>
      </c>
      <c r="F466" s="11" t="s">
        <v>727</v>
      </c>
      <c r="G466" s="19" t="s">
        <v>728</v>
      </c>
      <c r="H466" s="7">
        <f t="shared" si="9"/>
        <v>533765.6875</v>
      </c>
      <c r="I466" s="7">
        <f t="shared" si="10"/>
        <v>85402.510000000009</v>
      </c>
    </row>
    <row r="467" spans="1:11">
      <c r="A467" s="150" t="s">
        <v>7544</v>
      </c>
      <c r="B467">
        <v>85</v>
      </c>
      <c r="F467" s="36" t="s">
        <v>903</v>
      </c>
      <c r="G467" s="17" t="s">
        <v>904</v>
      </c>
      <c r="H467" s="7">
        <f t="shared" si="9"/>
        <v>923.0625</v>
      </c>
      <c r="I467" s="7">
        <f t="shared" si="10"/>
        <v>147.69</v>
      </c>
    </row>
    <row r="468" spans="1:11">
      <c r="A468" s="150" t="s">
        <v>7544</v>
      </c>
      <c r="B468">
        <v>85</v>
      </c>
      <c r="F468" s="30" t="s">
        <v>791</v>
      </c>
      <c r="G468" s="31" t="s">
        <v>792</v>
      </c>
      <c r="H468" s="7">
        <f t="shared" si="9"/>
        <v>463579.8125</v>
      </c>
      <c r="I468" s="7">
        <f t="shared" si="10"/>
        <v>74172.77</v>
      </c>
    </row>
    <row r="469" spans="1:11">
      <c r="A469" s="150" t="s">
        <v>7544</v>
      </c>
      <c r="B469">
        <v>85</v>
      </c>
      <c r="F469" s="11" t="s">
        <v>793</v>
      </c>
      <c r="G469" s="17" t="s">
        <v>794</v>
      </c>
      <c r="H469" s="7">
        <f t="shared" si="9"/>
        <v>860657.74999999988</v>
      </c>
      <c r="I469" s="7">
        <f t="shared" si="10"/>
        <v>137705.24</v>
      </c>
    </row>
    <row r="470" spans="1:11">
      <c r="A470" s="150" t="s">
        <v>7544</v>
      </c>
      <c r="B470">
        <v>85</v>
      </c>
      <c r="F470" s="31" t="s">
        <v>797</v>
      </c>
      <c r="G470" s="31" t="s">
        <v>798</v>
      </c>
      <c r="H470" s="7">
        <f t="shared" si="9"/>
        <v>299669.75</v>
      </c>
      <c r="I470" s="7">
        <f t="shared" si="10"/>
        <v>47947.16</v>
      </c>
    </row>
    <row r="471" spans="1:11">
      <c r="A471" s="150" t="s">
        <v>7544</v>
      </c>
      <c r="B471">
        <v>85</v>
      </c>
      <c r="F471" t="s">
        <v>795</v>
      </c>
      <c r="G471" t="s">
        <v>638</v>
      </c>
      <c r="H471" s="7">
        <f t="shared" si="9"/>
        <v>76800</v>
      </c>
      <c r="I471" s="7">
        <f t="shared" si="10"/>
        <v>12288</v>
      </c>
    </row>
    <row r="472" spans="1:11">
      <c r="A472" s="150" t="s">
        <v>7544</v>
      </c>
      <c r="B472">
        <v>85</v>
      </c>
      <c r="F472" s="36" t="s">
        <v>885</v>
      </c>
      <c r="G472" s="17" t="s">
        <v>886</v>
      </c>
      <c r="H472" s="7">
        <f t="shared" si="9"/>
        <v>100.625</v>
      </c>
      <c r="I472" s="7">
        <f t="shared" si="10"/>
        <v>16.100000000000001</v>
      </c>
    </row>
    <row r="473" spans="1:11">
      <c r="A473" s="150" t="s">
        <v>7544</v>
      </c>
      <c r="B473">
        <v>85</v>
      </c>
      <c r="F473" t="s">
        <v>796</v>
      </c>
      <c r="G473" t="s">
        <v>573</v>
      </c>
      <c r="H473" s="7">
        <f t="shared" si="9"/>
        <v>189.6875</v>
      </c>
      <c r="I473" s="7">
        <f t="shared" si="10"/>
        <v>30.35</v>
      </c>
    </row>
    <row r="474" spans="1:11">
      <c r="A474" s="150" t="s">
        <v>7544</v>
      </c>
      <c r="B474">
        <v>85</v>
      </c>
      <c r="F474" s="17" t="s">
        <v>704</v>
      </c>
      <c r="G474" s="17" t="s">
        <v>237</v>
      </c>
      <c r="H474" s="7">
        <f t="shared" si="9"/>
        <v>3448.125</v>
      </c>
      <c r="I474" s="7">
        <f t="shared" si="10"/>
        <v>551.70000000000005</v>
      </c>
    </row>
    <row r="475" spans="1:11">
      <c r="A475" s="150" t="s">
        <v>7544</v>
      </c>
      <c r="B475">
        <v>85</v>
      </c>
      <c r="F475" s="16" t="s">
        <v>961</v>
      </c>
      <c r="G475" t="s">
        <v>962</v>
      </c>
      <c r="H475" s="7">
        <f t="shared" si="9"/>
        <v>637.1875</v>
      </c>
      <c r="I475" s="7">
        <f t="shared" si="10"/>
        <v>101.95</v>
      </c>
    </row>
    <row r="476" spans="1:11">
      <c r="A476" s="150" t="s">
        <v>7544</v>
      </c>
      <c r="B476">
        <v>85</v>
      </c>
      <c r="F476" s="36" t="s">
        <v>905</v>
      </c>
      <c r="G476" s="17" t="s">
        <v>906</v>
      </c>
      <c r="H476" s="7">
        <f t="shared" si="9"/>
        <v>797.125</v>
      </c>
      <c r="I476" s="7">
        <f t="shared" si="10"/>
        <v>127.54</v>
      </c>
    </row>
    <row r="477" spans="1:11">
      <c r="A477" s="150" t="s">
        <v>7544</v>
      </c>
      <c r="B477">
        <v>85</v>
      </c>
      <c r="F477" s="17" t="s">
        <v>968</v>
      </c>
      <c r="G477" s="17" t="s">
        <v>496</v>
      </c>
      <c r="H477" s="7">
        <f t="shared" si="9"/>
        <v>65852.0625</v>
      </c>
      <c r="I477" s="7">
        <f t="shared" si="10"/>
        <v>10536.33</v>
      </c>
    </row>
    <row r="478" spans="1:11">
      <c r="A478" s="150" t="s">
        <v>7544</v>
      </c>
      <c r="B478">
        <v>85</v>
      </c>
      <c r="F478" s="31" t="s">
        <v>800</v>
      </c>
      <c r="G478" s="31" t="s">
        <v>801</v>
      </c>
      <c r="H478" s="7">
        <f t="shared" si="9"/>
        <v>43.25</v>
      </c>
      <c r="I478" s="7">
        <f t="shared" si="10"/>
        <v>6.92</v>
      </c>
    </row>
    <row r="479" spans="1:11">
      <c r="A479" s="150" t="s">
        <v>7544</v>
      </c>
      <c r="B479">
        <v>85</v>
      </c>
      <c r="F479" t="s">
        <v>805</v>
      </c>
      <c r="G479" t="s">
        <v>579</v>
      </c>
      <c r="H479" s="7">
        <f t="shared" si="9"/>
        <v>1880</v>
      </c>
      <c r="I479" s="7">
        <f t="shared" si="10"/>
        <v>300.8</v>
      </c>
      <c r="J479">
        <v>11.6</v>
      </c>
      <c r="K479" s="7">
        <f>+H479*0.04</f>
        <v>75.2</v>
      </c>
    </row>
    <row r="480" spans="1:11">
      <c r="A480" s="150" t="s">
        <v>7544</v>
      </c>
      <c r="B480">
        <v>85</v>
      </c>
      <c r="F480" s="17" t="s">
        <v>804</v>
      </c>
      <c r="G480" s="17" t="s">
        <v>285</v>
      </c>
      <c r="H480" s="7">
        <f t="shared" si="9"/>
        <v>238.37499999999994</v>
      </c>
      <c r="I480" s="7">
        <f t="shared" si="10"/>
        <v>38.139999999999993</v>
      </c>
    </row>
    <row r="481" spans="1:9">
      <c r="A481" s="150" t="s">
        <v>7544</v>
      </c>
      <c r="B481">
        <v>85</v>
      </c>
      <c r="F481" s="17" t="s">
        <v>807</v>
      </c>
      <c r="G481" s="17" t="s">
        <v>268</v>
      </c>
      <c r="H481" s="7">
        <f t="shared" si="9"/>
        <v>1200</v>
      </c>
      <c r="I481" s="7">
        <f t="shared" si="10"/>
        <v>192</v>
      </c>
    </row>
    <row r="482" spans="1:9">
      <c r="A482" s="150" t="s">
        <v>7544</v>
      </c>
      <c r="B482">
        <v>85</v>
      </c>
      <c r="F482" s="17" t="s">
        <v>703</v>
      </c>
      <c r="G482" s="17" t="s">
        <v>273</v>
      </c>
      <c r="H482" s="7">
        <f t="shared" si="9"/>
        <v>646.5625</v>
      </c>
      <c r="I482" s="7">
        <f t="shared" si="10"/>
        <v>103.45</v>
      </c>
    </row>
    <row r="483" spans="1:9">
      <c r="A483" s="150" t="s">
        <v>7544</v>
      </c>
      <c r="B483">
        <v>85</v>
      </c>
      <c r="F483" s="36" t="s">
        <v>889</v>
      </c>
      <c r="G483" s="17" t="s">
        <v>890</v>
      </c>
      <c r="H483" s="7">
        <f t="shared" si="9"/>
        <v>125</v>
      </c>
      <c r="I483" s="7">
        <f t="shared" si="10"/>
        <v>20</v>
      </c>
    </row>
    <row r="484" spans="1:9">
      <c r="A484" s="150" t="s">
        <v>7544</v>
      </c>
      <c r="B484">
        <v>85</v>
      </c>
      <c r="F484" s="36" t="s">
        <v>891</v>
      </c>
      <c r="G484" s="17" t="s">
        <v>892</v>
      </c>
      <c r="H484" s="7">
        <f t="shared" si="9"/>
        <v>854.18749999999989</v>
      </c>
      <c r="I484" s="7">
        <f t="shared" si="10"/>
        <v>136.66999999999999</v>
      </c>
    </row>
    <row r="485" spans="1:9">
      <c r="A485" s="150" t="s">
        <v>7544</v>
      </c>
      <c r="B485">
        <v>85</v>
      </c>
      <c r="F485" s="17" t="s">
        <v>943</v>
      </c>
      <c r="G485" s="17" t="s">
        <v>944</v>
      </c>
      <c r="H485" s="7">
        <f t="shared" si="9"/>
        <v>341.4375</v>
      </c>
      <c r="I485" s="7">
        <f t="shared" si="10"/>
        <v>54.63</v>
      </c>
    </row>
    <row r="486" spans="1:9">
      <c r="A486" s="150" t="s">
        <v>7544</v>
      </c>
      <c r="B486">
        <v>85</v>
      </c>
      <c r="F486" t="s">
        <v>762</v>
      </c>
      <c r="G486" t="s">
        <v>763</v>
      </c>
      <c r="H486" s="7">
        <f t="shared" ref="H486:H549" si="11">+I486/0.16</f>
        <v>64.6875</v>
      </c>
      <c r="I486" s="7">
        <f t="shared" ref="I486:I549" si="12">+SUMIF($F$7:$F$407,F486,$I$7:$I$407)</f>
        <v>10.35</v>
      </c>
    </row>
    <row r="487" spans="1:9">
      <c r="A487" s="150" t="s">
        <v>7544</v>
      </c>
      <c r="B487">
        <v>85</v>
      </c>
      <c r="F487" t="s">
        <v>815</v>
      </c>
      <c r="G487" t="s">
        <v>446</v>
      </c>
      <c r="H487" s="7">
        <f t="shared" si="11"/>
        <v>1137.625</v>
      </c>
      <c r="I487" s="7">
        <f t="shared" si="12"/>
        <v>182.02</v>
      </c>
    </row>
    <row r="488" spans="1:9">
      <c r="A488" s="150" t="s">
        <v>7544</v>
      </c>
      <c r="B488">
        <v>85</v>
      </c>
      <c r="F488" s="17" t="s">
        <v>816</v>
      </c>
      <c r="G488" s="17" t="s">
        <v>319</v>
      </c>
      <c r="H488" s="7">
        <f t="shared" si="11"/>
        <v>322.9375</v>
      </c>
      <c r="I488" s="7">
        <f t="shared" si="12"/>
        <v>51.67</v>
      </c>
    </row>
    <row r="489" spans="1:9">
      <c r="A489" s="150" t="s">
        <v>7544</v>
      </c>
      <c r="B489">
        <v>85</v>
      </c>
      <c r="F489" s="17" t="s">
        <v>953</v>
      </c>
      <c r="G489" s="17" t="s">
        <v>954</v>
      </c>
      <c r="H489" s="7">
        <f t="shared" si="11"/>
        <v>147.4375</v>
      </c>
      <c r="I489" s="7">
        <f t="shared" si="12"/>
        <v>23.59</v>
      </c>
    </row>
    <row r="490" spans="1:9">
      <c r="A490" s="150" t="s">
        <v>7544</v>
      </c>
      <c r="B490">
        <v>85</v>
      </c>
      <c r="F490" s="17" t="s">
        <v>913</v>
      </c>
      <c r="G490" s="17" t="s">
        <v>914</v>
      </c>
      <c r="H490" s="7">
        <f t="shared" si="11"/>
        <v>253.43749999999997</v>
      </c>
      <c r="I490" s="7">
        <f t="shared" si="12"/>
        <v>40.549999999999997</v>
      </c>
    </row>
    <row r="491" spans="1:9">
      <c r="A491" s="150" t="s">
        <v>7544</v>
      </c>
      <c r="B491">
        <v>85</v>
      </c>
      <c r="F491" s="36" t="s">
        <v>893</v>
      </c>
      <c r="G491" s="17" t="s">
        <v>894</v>
      </c>
      <c r="H491" s="7">
        <f t="shared" si="11"/>
        <v>842.68750000000011</v>
      </c>
      <c r="I491" s="7">
        <f t="shared" si="12"/>
        <v>134.83000000000001</v>
      </c>
    </row>
    <row r="492" spans="1:9">
      <c r="A492" s="150" t="s">
        <v>7544</v>
      </c>
      <c r="B492">
        <v>85</v>
      </c>
      <c r="F492" t="s">
        <v>764</v>
      </c>
      <c r="G492" t="s">
        <v>765</v>
      </c>
      <c r="H492" s="7">
        <f t="shared" si="11"/>
        <v>430.99999999999994</v>
      </c>
      <c r="I492" s="7">
        <f t="shared" si="12"/>
        <v>68.959999999999994</v>
      </c>
    </row>
    <row r="493" spans="1:9">
      <c r="A493" s="150" t="s">
        <v>7544</v>
      </c>
      <c r="B493">
        <v>85</v>
      </c>
      <c r="F493" s="36" t="s">
        <v>937</v>
      </c>
      <c r="G493" s="17" t="s">
        <v>938</v>
      </c>
      <c r="H493" s="7">
        <f t="shared" si="11"/>
        <v>209.68749999999997</v>
      </c>
      <c r="I493" s="7">
        <f t="shared" si="12"/>
        <v>33.549999999999997</v>
      </c>
    </row>
    <row r="494" spans="1:9">
      <c r="A494" s="150" t="s">
        <v>7544</v>
      </c>
      <c r="B494">
        <v>85</v>
      </c>
      <c r="F494" s="16" t="s">
        <v>811</v>
      </c>
      <c r="G494" t="s">
        <v>812</v>
      </c>
      <c r="H494" s="7">
        <f t="shared" si="11"/>
        <v>3080.1875</v>
      </c>
      <c r="I494" s="7">
        <f t="shared" si="12"/>
        <v>492.83</v>
      </c>
    </row>
    <row r="495" spans="1:9">
      <c r="A495" s="150" t="s">
        <v>7544</v>
      </c>
      <c r="B495">
        <v>85</v>
      </c>
      <c r="F495" s="17" t="s">
        <v>722</v>
      </c>
      <c r="G495" s="17" t="s">
        <v>723</v>
      </c>
      <c r="H495" s="7">
        <f t="shared" si="11"/>
        <v>13018.312499999998</v>
      </c>
      <c r="I495" s="7">
        <f t="shared" si="12"/>
        <v>2082.9299999999998</v>
      </c>
    </row>
    <row r="496" spans="1:9">
      <c r="A496" s="150" t="s">
        <v>7544</v>
      </c>
      <c r="B496">
        <v>85</v>
      </c>
      <c r="F496" s="25" t="s">
        <v>813</v>
      </c>
      <c r="G496" s="17" t="s">
        <v>814</v>
      </c>
      <c r="H496" s="7">
        <f t="shared" si="11"/>
        <v>211191.87499999997</v>
      </c>
      <c r="I496" s="7">
        <f t="shared" si="12"/>
        <v>33790.699999999997</v>
      </c>
    </row>
    <row r="497" spans="1:11">
      <c r="A497" s="150" t="s">
        <v>7544</v>
      </c>
      <c r="B497">
        <v>85</v>
      </c>
      <c r="F497" s="17" t="s">
        <v>7340</v>
      </c>
      <c r="G497" t="s">
        <v>677</v>
      </c>
      <c r="H497" s="7">
        <f t="shared" si="11"/>
        <v>4310.375</v>
      </c>
      <c r="I497" s="7">
        <f t="shared" si="12"/>
        <v>689.66</v>
      </c>
    </row>
    <row r="498" spans="1:11">
      <c r="A498" s="150" t="s">
        <v>7544</v>
      </c>
      <c r="B498">
        <v>85</v>
      </c>
      <c r="F498" s="16" t="s">
        <v>806</v>
      </c>
      <c r="G498" t="s">
        <v>503</v>
      </c>
      <c r="H498" s="7">
        <f t="shared" si="11"/>
        <v>10898.375</v>
      </c>
      <c r="I498" s="7">
        <f t="shared" si="12"/>
        <v>1743.74</v>
      </c>
    </row>
    <row r="499" spans="1:11">
      <c r="A499" s="150" t="s">
        <v>7544</v>
      </c>
      <c r="B499">
        <v>85</v>
      </c>
      <c r="F499" s="17" t="s">
        <v>820</v>
      </c>
      <c r="G499" s="17" t="s">
        <v>324</v>
      </c>
      <c r="H499" s="7">
        <f t="shared" si="11"/>
        <v>253.43749999999997</v>
      </c>
      <c r="I499" s="7">
        <f t="shared" si="12"/>
        <v>40.549999999999997</v>
      </c>
    </row>
    <row r="500" spans="1:11">
      <c r="A500" s="150" t="s">
        <v>7544</v>
      </c>
      <c r="B500">
        <v>85</v>
      </c>
      <c r="F500" s="33" t="s">
        <v>840</v>
      </c>
      <c r="G500" s="33" t="s">
        <v>409</v>
      </c>
      <c r="H500" s="7">
        <f t="shared" si="11"/>
        <v>258.5</v>
      </c>
      <c r="I500" s="7">
        <f t="shared" si="12"/>
        <v>41.36</v>
      </c>
    </row>
    <row r="501" spans="1:11">
      <c r="A501" s="150" t="s">
        <v>7544</v>
      </c>
      <c r="B501">
        <v>85</v>
      </c>
      <c r="F501" s="17" t="s">
        <v>911</v>
      </c>
      <c r="G501" s="17" t="s">
        <v>912</v>
      </c>
      <c r="H501" s="7">
        <f t="shared" si="11"/>
        <v>92.25</v>
      </c>
      <c r="I501" s="7">
        <f t="shared" si="12"/>
        <v>14.76</v>
      </c>
    </row>
    <row r="502" spans="1:11">
      <c r="A502" s="150" t="s">
        <v>7544</v>
      </c>
      <c r="B502">
        <v>85</v>
      </c>
      <c r="F502" s="17" t="s">
        <v>927</v>
      </c>
      <c r="G502" s="17" t="s">
        <v>928</v>
      </c>
      <c r="H502" s="7">
        <f t="shared" si="11"/>
        <v>466.6875</v>
      </c>
      <c r="I502" s="7">
        <f t="shared" si="12"/>
        <v>74.67</v>
      </c>
    </row>
    <row r="503" spans="1:11">
      <c r="A503" s="150" t="s">
        <v>7544</v>
      </c>
      <c r="B503">
        <v>85</v>
      </c>
      <c r="F503" s="17" t="s">
        <v>955</v>
      </c>
      <c r="G503" s="17" t="s">
        <v>971</v>
      </c>
      <c r="H503" s="7">
        <f t="shared" si="11"/>
        <v>779.75</v>
      </c>
      <c r="I503" s="7">
        <f t="shared" si="12"/>
        <v>124.76</v>
      </c>
    </row>
    <row r="504" spans="1:11">
      <c r="A504" s="150" t="s">
        <v>7544</v>
      </c>
      <c r="B504">
        <v>85</v>
      </c>
      <c r="F504" s="36" t="s">
        <v>887</v>
      </c>
      <c r="G504" s="17" t="s">
        <v>888</v>
      </c>
      <c r="H504" s="7">
        <f t="shared" si="11"/>
        <v>819.5</v>
      </c>
      <c r="I504" s="7">
        <f t="shared" si="12"/>
        <v>131.12</v>
      </c>
    </row>
    <row r="505" spans="1:11">
      <c r="A505" s="150" t="s">
        <v>7544</v>
      </c>
      <c r="B505">
        <v>85</v>
      </c>
      <c r="F505" t="s">
        <v>823</v>
      </c>
      <c r="G505" t="s">
        <v>824</v>
      </c>
      <c r="H505" s="7">
        <f t="shared" si="11"/>
        <v>17490.0625</v>
      </c>
      <c r="I505" s="7">
        <f t="shared" si="12"/>
        <v>2798.41</v>
      </c>
    </row>
    <row r="506" spans="1:11">
      <c r="A506" s="150" t="s">
        <v>7544</v>
      </c>
      <c r="B506">
        <v>85</v>
      </c>
      <c r="F506" t="s">
        <v>809</v>
      </c>
      <c r="G506" t="s">
        <v>810</v>
      </c>
      <c r="H506" s="7">
        <f t="shared" si="11"/>
        <v>3503.4374999999995</v>
      </c>
      <c r="I506" s="7">
        <f t="shared" si="12"/>
        <v>560.54999999999995</v>
      </c>
    </row>
    <row r="507" spans="1:11">
      <c r="A507" s="150" t="s">
        <v>7544</v>
      </c>
      <c r="B507">
        <v>85</v>
      </c>
      <c r="F507" s="17" t="s">
        <v>821</v>
      </c>
      <c r="G507" s="17" t="s">
        <v>263</v>
      </c>
      <c r="H507" s="7">
        <f t="shared" si="11"/>
        <v>1379.25</v>
      </c>
      <c r="I507" s="7">
        <f t="shared" si="12"/>
        <v>220.68</v>
      </c>
    </row>
    <row r="508" spans="1:11">
      <c r="A508" s="150" t="s">
        <v>7544</v>
      </c>
      <c r="B508">
        <v>85</v>
      </c>
      <c r="F508" s="21" t="s">
        <v>716</v>
      </c>
      <c r="G508" s="22" t="s">
        <v>717</v>
      </c>
      <c r="H508" s="7">
        <f t="shared" si="11"/>
        <v>5077.8125</v>
      </c>
      <c r="I508" s="7">
        <f t="shared" si="12"/>
        <v>812.45</v>
      </c>
    </row>
    <row r="509" spans="1:11">
      <c r="A509" s="150" t="s">
        <v>7544</v>
      </c>
      <c r="B509">
        <v>85</v>
      </c>
      <c r="F509" t="s">
        <v>822</v>
      </c>
      <c r="G509" t="s">
        <v>588</v>
      </c>
      <c r="H509" s="7">
        <f t="shared" si="11"/>
        <v>227</v>
      </c>
      <c r="I509" s="7">
        <f t="shared" si="12"/>
        <v>36.32</v>
      </c>
      <c r="J509">
        <v>3.92</v>
      </c>
      <c r="K509" s="7">
        <f>+H509*0.04</f>
        <v>9.08</v>
      </c>
    </row>
    <row r="510" spans="1:11">
      <c r="A510" s="150" t="s">
        <v>7544</v>
      </c>
      <c r="B510">
        <v>85</v>
      </c>
      <c r="F510" t="s">
        <v>827</v>
      </c>
      <c r="G510" t="s">
        <v>650</v>
      </c>
      <c r="H510" s="7">
        <f t="shared" si="11"/>
        <v>1792.0000000000002</v>
      </c>
      <c r="I510" s="7">
        <f t="shared" si="12"/>
        <v>286.72000000000003</v>
      </c>
    </row>
    <row r="511" spans="1:11">
      <c r="A511" s="150" t="s">
        <v>7544</v>
      </c>
      <c r="B511">
        <v>85</v>
      </c>
      <c r="F511" s="17" t="s">
        <v>828</v>
      </c>
      <c r="G511" s="17" t="s">
        <v>336</v>
      </c>
      <c r="H511" s="7">
        <f t="shared" si="11"/>
        <v>43.3125</v>
      </c>
      <c r="I511" s="7">
        <f t="shared" si="12"/>
        <v>6.93</v>
      </c>
    </row>
    <row r="512" spans="1:11">
      <c r="A512" s="150" t="s">
        <v>7544</v>
      </c>
      <c r="B512">
        <v>85</v>
      </c>
      <c r="F512" t="s">
        <v>830</v>
      </c>
      <c r="G512" t="s">
        <v>564</v>
      </c>
      <c r="H512" s="7">
        <f t="shared" si="11"/>
        <v>301738.75</v>
      </c>
      <c r="I512" s="7">
        <f t="shared" si="12"/>
        <v>48278.2</v>
      </c>
    </row>
    <row r="513" spans="1:10">
      <c r="A513" s="150" t="s">
        <v>7544</v>
      </c>
      <c r="B513">
        <v>85</v>
      </c>
      <c r="F513" t="s">
        <v>836</v>
      </c>
      <c r="G513" t="s">
        <v>472</v>
      </c>
      <c r="H513" s="7">
        <f t="shared" si="11"/>
        <v>11020.3125</v>
      </c>
      <c r="I513" s="7">
        <f t="shared" si="12"/>
        <v>1763.25</v>
      </c>
    </row>
    <row r="514" spans="1:10">
      <c r="A514" s="150" t="s">
        <v>7544</v>
      </c>
      <c r="B514" s="150" t="s">
        <v>7566</v>
      </c>
      <c r="F514" s="20" t="s">
        <v>829</v>
      </c>
      <c r="G514" s="25" t="s">
        <v>529</v>
      </c>
      <c r="H514" s="7">
        <f t="shared" si="11"/>
        <v>132978.75</v>
      </c>
      <c r="I514" s="7">
        <f t="shared" si="12"/>
        <v>21276.6</v>
      </c>
      <c r="J514">
        <v>14285.71</v>
      </c>
    </row>
    <row r="515" spans="1:10">
      <c r="A515" s="150" t="s">
        <v>7544</v>
      </c>
      <c r="B515">
        <v>85</v>
      </c>
      <c r="F515" t="s">
        <v>834</v>
      </c>
      <c r="G515" t="s">
        <v>520</v>
      </c>
      <c r="H515" s="7">
        <f t="shared" si="11"/>
        <v>103448.25</v>
      </c>
      <c r="I515" s="7">
        <f t="shared" si="12"/>
        <v>16551.72</v>
      </c>
    </row>
    <row r="516" spans="1:10">
      <c r="A516" s="150" t="s">
        <v>7544</v>
      </c>
      <c r="B516">
        <v>85</v>
      </c>
      <c r="F516" s="36" t="s">
        <v>939</v>
      </c>
      <c r="G516" s="17" t="s">
        <v>940</v>
      </c>
      <c r="H516" s="7">
        <f t="shared" si="11"/>
        <v>81.875</v>
      </c>
      <c r="I516" s="7">
        <f t="shared" si="12"/>
        <v>13.1</v>
      </c>
    </row>
    <row r="517" spans="1:10">
      <c r="A517" s="150" t="s">
        <v>7544</v>
      </c>
      <c r="B517">
        <v>85</v>
      </c>
      <c r="F517" s="17" t="s">
        <v>700</v>
      </c>
      <c r="G517" s="17" t="s">
        <v>301</v>
      </c>
      <c r="H517" s="7">
        <f t="shared" si="11"/>
        <v>124</v>
      </c>
      <c r="I517" s="7">
        <f t="shared" si="12"/>
        <v>19.84</v>
      </c>
    </row>
    <row r="518" spans="1:10">
      <c r="A518" s="150" t="s">
        <v>7544</v>
      </c>
      <c r="B518">
        <v>85</v>
      </c>
      <c r="F518" t="s">
        <v>835</v>
      </c>
      <c r="G518" t="s">
        <v>585</v>
      </c>
      <c r="H518" s="7">
        <f t="shared" si="11"/>
        <v>2414</v>
      </c>
      <c r="I518" s="7">
        <f t="shared" si="12"/>
        <v>386.24</v>
      </c>
    </row>
    <row r="519" spans="1:10">
      <c r="A519" s="150" t="s">
        <v>7544</v>
      </c>
      <c r="B519" s="150" t="s">
        <v>7567</v>
      </c>
      <c r="F519" t="s">
        <v>803</v>
      </c>
      <c r="G519" t="s">
        <v>625</v>
      </c>
      <c r="H519" s="7">
        <f t="shared" si="11"/>
        <v>6182.625</v>
      </c>
      <c r="I519" s="7">
        <f t="shared" si="12"/>
        <v>989.22</v>
      </c>
      <c r="J519">
        <v>802.45</v>
      </c>
    </row>
    <row r="520" spans="1:10">
      <c r="A520" s="150" t="s">
        <v>7544</v>
      </c>
      <c r="B520">
        <v>85</v>
      </c>
      <c r="F520" t="s">
        <v>766</v>
      </c>
      <c r="G520" t="s">
        <v>767</v>
      </c>
      <c r="H520" s="7">
        <f t="shared" si="11"/>
        <v>172.4375</v>
      </c>
      <c r="I520" s="7">
        <f t="shared" si="12"/>
        <v>27.59</v>
      </c>
    </row>
    <row r="521" spans="1:10">
      <c r="A521" s="150" t="s">
        <v>7544</v>
      </c>
      <c r="B521">
        <v>85</v>
      </c>
      <c r="F521" t="s">
        <v>1589</v>
      </c>
      <c r="G521" t="s">
        <v>1341</v>
      </c>
      <c r="H521" s="7">
        <f t="shared" si="11"/>
        <v>2580</v>
      </c>
      <c r="I521" s="7">
        <f t="shared" si="12"/>
        <v>412.8</v>
      </c>
    </row>
    <row r="522" spans="1:10">
      <c r="A522" s="150" t="s">
        <v>7544</v>
      </c>
      <c r="B522">
        <v>85</v>
      </c>
      <c r="F522" t="s">
        <v>838</v>
      </c>
      <c r="G522" t="s">
        <v>467</v>
      </c>
      <c r="H522" s="7">
        <f t="shared" si="11"/>
        <v>8312.4375</v>
      </c>
      <c r="I522" s="7">
        <f t="shared" si="12"/>
        <v>1329.99</v>
      </c>
    </row>
    <row r="523" spans="1:10">
      <c r="A523" s="150" t="s">
        <v>7544</v>
      </c>
      <c r="B523">
        <v>85</v>
      </c>
      <c r="F523" t="s">
        <v>760</v>
      </c>
      <c r="G523" t="s">
        <v>761</v>
      </c>
      <c r="H523" s="7">
        <f t="shared" si="11"/>
        <v>188.75</v>
      </c>
      <c r="I523" s="7">
        <f t="shared" si="12"/>
        <v>30.2</v>
      </c>
    </row>
    <row r="524" spans="1:10">
      <c r="A524" s="150" t="s">
        <v>7544</v>
      </c>
      <c r="B524">
        <v>85</v>
      </c>
      <c r="F524" s="17" t="s">
        <v>842</v>
      </c>
      <c r="G524" s="17" t="s">
        <v>277</v>
      </c>
      <c r="H524" s="7">
        <f t="shared" si="11"/>
        <v>58.1875</v>
      </c>
      <c r="I524" s="7">
        <f t="shared" si="12"/>
        <v>9.31</v>
      </c>
    </row>
    <row r="525" spans="1:10">
      <c r="A525" s="150" t="s">
        <v>7544</v>
      </c>
      <c r="B525">
        <v>85</v>
      </c>
      <c r="F525" t="s">
        <v>841</v>
      </c>
      <c r="G525" t="s">
        <v>544</v>
      </c>
      <c r="H525" s="7">
        <f t="shared" si="11"/>
        <v>1335.3125</v>
      </c>
      <c r="I525" s="7">
        <f t="shared" si="12"/>
        <v>213.65</v>
      </c>
    </row>
    <row r="526" spans="1:10">
      <c r="A526" s="150" t="s">
        <v>7544</v>
      </c>
      <c r="B526">
        <v>85</v>
      </c>
      <c r="F526" s="17" t="s">
        <v>837</v>
      </c>
      <c r="G526" s="17" t="s">
        <v>261</v>
      </c>
      <c r="H526" s="7">
        <f t="shared" si="11"/>
        <v>709.4375</v>
      </c>
      <c r="I526" s="7">
        <f t="shared" si="12"/>
        <v>113.51</v>
      </c>
    </row>
    <row r="527" spans="1:10">
      <c r="A527" s="150" t="s">
        <v>7544</v>
      </c>
      <c r="B527">
        <v>85</v>
      </c>
      <c r="F527" s="17" t="s">
        <v>825</v>
      </c>
      <c r="G527" s="17" t="s">
        <v>253</v>
      </c>
      <c r="H527" s="7">
        <f t="shared" si="11"/>
        <v>900</v>
      </c>
      <c r="I527" s="7">
        <f t="shared" si="12"/>
        <v>144</v>
      </c>
    </row>
    <row r="528" spans="1:10">
      <c r="A528" s="150" t="s">
        <v>7544</v>
      </c>
      <c r="B528">
        <v>85</v>
      </c>
      <c r="F528" t="s">
        <v>768</v>
      </c>
      <c r="G528" t="s">
        <v>283</v>
      </c>
      <c r="H528" s="7">
        <f t="shared" si="11"/>
        <v>823.25</v>
      </c>
      <c r="I528" s="7">
        <f t="shared" si="12"/>
        <v>131.72</v>
      </c>
    </row>
    <row r="529" spans="1:10">
      <c r="A529" s="150" t="s">
        <v>7544</v>
      </c>
      <c r="B529">
        <v>85</v>
      </c>
      <c r="F529" s="17" t="s">
        <v>963</v>
      </c>
      <c r="G529" s="17" t="s">
        <v>964</v>
      </c>
      <c r="H529" s="7">
        <f t="shared" si="11"/>
        <v>263409.9375</v>
      </c>
      <c r="I529" s="7">
        <f t="shared" si="12"/>
        <v>42145.59</v>
      </c>
    </row>
    <row r="530" spans="1:10">
      <c r="A530" s="150" t="s">
        <v>7544</v>
      </c>
      <c r="B530">
        <v>85</v>
      </c>
      <c r="F530" t="s">
        <v>843</v>
      </c>
      <c r="G530" t="s">
        <v>470</v>
      </c>
      <c r="H530" s="7">
        <f t="shared" si="11"/>
        <v>6797</v>
      </c>
      <c r="I530" s="7">
        <f t="shared" si="12"/>
        <v>1087.52</v>
      </c>
    </row>
    <row r="531" spans="1:10">
      <c r="A531" s="150" t="s">
        <v>7544</v>
      </c>
      <c r="B531">
        <v>85</v>
      </c>
      <c r="F531" t="s">
        <v>844</v>
      </c>
      <c r="G531" t="s">
        <v>665</v>
      </c>
      <c r="H531" s="7">
        <f t="shared" si="11"/>
        <v>800</v>
      </c>
      <c r="I531" s="7">
        <f t="shared" si="12"/>
        <v>128</v>
      </c>
    </row>
    <row r="532" spans="1:10">
      <c r="A532" s="150" t="s">
        <v>7544</v>
      </c>
      <c r="B532">
        <v>85</v>
      </c>
      <c r="F532" t="s">
        <v>846</v>
      </c>
      <c r="G532" t="s">
        <v>663</v>
      </c>
      <c r="H532" s="7">
        <f t="shared" si="11"/>
        <v>3640</v>
      </c>
      <c r="I532" s="7">
        <f t="shared" si="12"/>
        <v>582.4</v>
      </c>
    </row>
    <row r="533" spans="1:10">
      <c r="A533" s="150" t="s">
        <v>7544</v>
      </c>
      <c r="B533" s="150" t="s">
        <v>7566</v>
      </c>
      <c r="F533" s="20" t="s">
        <v>845</v>
      </c>
      <c r="G533" s="25" t="s">
        <v>532</v>
      </c>
      <c r="H533" s="7">
        <f t="shared" si="11"/>
        <v>132978.75</v>
      </c>
      <c r="I533" s="7">
        <f t="shared" si="12"/>
        <v>21276.6</v>
      </c>
      <c r="J533">
        <v>14285.71</v>
      </c>
    </row>
    <row r="534" spans="1:10">
      <c r="A534" s="150" t="s">
        <v>7544</v>
      </c>
      <c r="B534">
        <v>85</v>
      </c>
      <c r="F534" s="33" t="s">
        <v>847</v>
      </c>
      <c r="G534" s="33" t="s">
        <v>411</v>
      </c>
      <c r="H534" s="7">
        <f t="shared" si="11"/>
        <v>260.4375</v>
      </c>
      <c r="I534" s="7">
        <f t="shared" si="12"/>
        <v>41.67</v>
      </c>
    </row>
    <row r="535" spans="1:10">
      <c r="A535" s="150" t="s">
        <v>7544</v>
      </c>
      <c r="B535">
        <v>85</v>
      </c>
      <c r="F535" t="s">
        <v>965</v>
      </c>
      <c r="G535" s="19" t="s">
        <v>966</v>
      </c>
      <c r="H535" s="7">
        <f t="shared" si="11"/>
        <v>272690.6875</v>
      </c>
      <c r="I535" s="7">
        <f t="shared" si="12"/>
        <v>43630.51</v>
      </c>
    </row>
    <row r="536" spans="1:10">
      <c r="A536" s="150" t="s">
        <v>7544</v>
      </c>
      <c r="B536">
        <v>85</v>
      </c>
      <c r="F536" s="18" t="s">
        <v>849</v>
      </c>
      <c r="G536" s="19" t="s">
        <v>850</v>
      </c>
      <c r="H536" s="7">
        <f t="shared" si="11"/>
        <v>774263.4375</v>
      </c>
      <c r="I536" s="7">
        <f t="shared" si="12"/>
        <v>123882.15</v>
      </c>
    </row>
    <row r="537" spans="1:10">
      <c r="A537" s="150" t="s">
        <v>7544</v>
      </c>
      <c r="B537">
        <v>85</v>
      </c>
      <c r="F537" t="s">
        <v>769</v>
      </c>
      <c r="G537" t="s">
        <v>645</v>
      </c>
      <c r="H537" s="7">
        <f t="shared" si="11"/>
        <v>1367.25</v>
      </c>
      <c r="I537" s="7">
        <f t="shared" si="12"/>
        <v>218.76</v>
      </c>
    </row>
    <row r="538" spans="1:10">
      <c r="A538" s="150" t="s">
        <v>7544</v>
      </c>
      <c r="B538">
        <v>85</v>
      </c>
      <c r="F538" s="36" t="s">
        <v>897</v>
      </c>
      <c r="G538" s="17" t="s">
        <v>898</v>
      </c>
      <c r="H538" s="7">
        <f t="shared" si="11"/>
        <v>209.68749999999997</v>
      </c>
      <c r="I538" s="7">
        <f t="shared" si="12"/>
        <v>33.549999999999997</v>
      </c>
    </row>
    <row r="539" spans="1:10">
      <c r="A539" s="150" t="s">
        <v>7544</v>
      </c>
      <c r="B539">
        <v>85</v>
      </c>
      <c r="F539" t="s">
        <v>770</v>
      </c>
      <c r="G539" t="s">
        <v>771</v>
      </c>
      <c r="H539" s="7">
        <f t="shared" si="11"/>
        <v>1377.1875</v>
      </c>
      <c r="I539" s="7">
        <f t="shared" si="12"/>
        <v>220.35000000000002</v>
      </c>
    </row>
    <row r="540" spans="1:10">
      <c r="A540" s="150" t="s">
        <v>7544</v>
      </c>
      <c r="B540">
        <v>85</v>
      </c>
      <c r="F540" s="36" t="s">
        <v>915</v>
      </c>
      <c r="G540" s="17" t="s">
        <v>916</v>
      </c>
      <c r="H540" s="7">
        <f t="shared" si="11"/>
        <v>1525.8749999999998</v>
      </c>
      <c r="I540" s="7">
        <f t="shared" si="12"/>
        <v>244.14</v>
      </c>
    </row>
    <row r="541" spans="1:10">
      <c r="A541" s="150" t="s">
        <v>7544</v>
      </c>
      <c r="B541">
        <v>85</v>
      </c>
      <c r="F541" t="s">
        <v>848</v>
      </c>
      <c r="G541" t="s">
        <v>449</v>
      </c>
      <c r="H541" s="7">
        <f t="shared" si="11"/>
        <v>19800</v>
      </c>
      <c r="I541" s="7">
        <f t="shared" si="12"/>
        <v>3168</v>
      </c>
    </row>
    <row r="542" spans="1:10">
      <c r="A542" s="150" t="s">
        <v>7544</v>
      </c>
      <c r="B542">
        <v>85</v>
      </c>
      <c r="F542" s="36" t="s">
        <v>899</v>
      </c>
      <c r="G542" s="17" t="s">
        <v>900</v>
      </c>
      <c r="H542" s="7">
        <f t="shared" si="11"/>
        <v>755.12499999999989</v>
      </c>
      <c r="I542" s="7">
        <f t="shared" si="12"/>
        <v>120.82</v>
      </c>
    </row>
    <row r="543" spans="1:10">
      <c r="A543" s="150" t="s">
        <v>7544</v>
      </c>
      <c r="B543">
        <v>85</v>
      </c>
      <c r="F543" s="17" t="s">
        <v>919</v>
      </c>
      <c r="G543" s="17" t="s">
        <v>920</v>
      </c>
      <c r="H543" s="7">
        <f t="shared" si="11"/>
        <v>419.37499999999994</v>
      </c>
      <c r="I543" s="7">
        <f t="shared" si="12"/>
        <v>67.099999999999994</v>
      </c>
    </row>
    <row r="544" spans="1:10">
      <c r="A544" s="150" t="s">
        <v>7544</v>
      </c>
      <c r="B544">
        <v>85</v>
      </c>
      <c r="F544" s="17" t="s">
        <v>969</v>
      </c>
      <c r="G544" s="17" t="s">
        <v>441</v>
      </c>
      <c r="H544" s="7">
        <f t="shared" si="11"/>
        <v>697</v>
      </c>
      <c r="I544" s="7">
        <f t="shared" si="12"/>
        <v>111.52</v>
      </c>
    </row>
    <row r="545" spans="1:9">
      <c r="A545" s="150" t="s">
        <v>7544</v>
      </c>
      <c r="B545">
        <v>85</v>
      </c>
      <c r="F545" s="17" t="s">
        <v>851</v>
      </c>
      <c r="G545" s="17" t="s">
        <v>289</v>
      </c>
      <c r="H545" s="7">
        <f t="shared" si="11"/>
        <v>450.81249999999994</v>
      </c>
      <c r="I545" s="7">
        <f t="shared" si="12"/>
        <v>72.13</v>
      </c>
    </row>
    <row r="546" spans="1:9">
      <c r="A546" s="150" t="s">
        <v>7544</v>
      </c>
      <c r="B546">
        <v>85</v>
      </c>
      <c r="F546" s="16" t="s">
        <v>854</v>
      </c>
      <c r="G546" s="19" t="s">
        <v>855</v>
      </c>
      <c r="H546" s="7">
        <f t="shared" si="11"/>
        <v>156573.6875</v>
      </c>
      <c r="I546" s="7">
        <f t="shared" si="12"/>
        <v>25051.79</v>
      </c>
    </row>
    <row r="547" spans="1:9">
      <c r="A547" s="150" t="s">
        <v>7544</v>
      </c>
      <c r="B547">
        <v>85</v>
      </c>
      <c r="F547" s="17" t="s">
        <v>917</v>
      </c>
      <c r="G547" s="17" t="s">
        <v>918</v>
      </c>
      <c r="H547" s="7">
        <f t="shared" si="11"/>
        <v>106.875</v>
      </c>
      <c r="I547" s="7">
        <f t="shared" si="12"/>
        <v>17.100000000000001</v>
      </c>
    </row>
    <row r="548" spans="1:9">
      <c r="A548" s="150" t="s">
        <v>7544</v>
      </c>
      <c r="B548">
        <v>85</v>
      </c>
      <c r="F548" s="17" t="s">
        <v>852</v>
      </c>
      <c r="G548" s="17" t="s">
        <v>333</v>
      </c>
      <c r="H548" s="7">
        <f t="shared" si="11"/>
        <v>64.625</v>
      </c>
      <c r="I548" s="7">
        <f t="shared" si="12"/>
        <v>10.34</v>
      </c>
    </row>
    <row r="549" spans="1:9">
      <c r="A549" s="150" t="s">
        <v>7544</v>
      </c>
      <c r="B549">
        <v>85</v>
      </c>
      <c r="F549" s="21" t="s">
        <v>832</v>
      </c>
      <c r="G549" s="22" t="s">
        <v>833</v>
      </c>
      <c r="H549" s="7">
        <f t="shared" si="11"/>
        <v>25255.25</v>
      </c>
      <c r="I549" s="7">
        <f t="shared" si="12"/>
        <v>4040.84</v>
      </c>
    </row>
    <row r="550" spans="1:9">
      <c r="A550" s="150" t="s">
        <v>7544</v>
      </c>
      <c r="B550">
        <v>85</v>
      </c>
      <c r="F550" t="s">
        <v>856</v>
      </c>
      <c r="G550" t="s">
        <v>582</v>
      </c>
      <c r="H550" s="7">
        <f t="shared" ref="H550:H595" si="13">+I550/0.16</f>
        <v>450</v>
      </c>
      <c r="I550" s="7">
        <f t="shared" ref="I550:I595" si="14">+SUMIF($F$7:$F$407,F550,$I$7:$I$407)</f>
        <v>72</v>
      </c>
    </row>
    <row r="551" spans="1:9">
      <c r="A551" s="150" t="s">
        <v>7544</v>
      </c>
      <c r="B551">
        <v>85</v>
      </c>
      <c r="F551" t="s">
        <v>860</v>
      </c>
      <c r="G551" t="s">
        <v>474</v>
      </c>
      <c r="H551" s="7">
        <f t="shared" si="13"/>
        <v>300</v>
      </c>
      <c r="I551" s="7">
        <f t="shared" si="14"/>
        <v>48</v>
      </c>
    </row>
    <row r="552" spans="1:9">
      <c r="A552" s="150" t="s">
        <v>7544</v>
      </c>
      <c r="B552">
        <v>85</v>
      </c>
      <c r="F552" s="17" t="s">
        <v>857</v>
      </c>
      <c r="G552" s="17" t="s">
        <v>315</v>
      </c>
      <c r="H552" s="7">
        <f t="shared" si="13"/>
        <v>57.375</v>
      </c>
      <c r="I552" s="7">
        <f t="shared" si="14"/>
        <v>9.18</v>
      </c>
    </row>
    <row r="553" spans="1:9">
      <c r="A553" s="150" t="s">
        <v>7544</v>
      </c>
      <c r="B553">
        <v>85</v>
      </c>
      <c r="F553" t="s">
        <v>858</v>
      </c>
      <c r="G553" t="s">
        <v>457</v>
      </c>
      <c r="H553" s="7">
        <f t="shared" si="13"/>
        <v>60600</v>
      </c>
      <c r="I553" s="7">
        <f t="shared" si="14"/>
        <v>9696</v>
      </c>
    </row>
    <row r="554" spans="1:9">
      <c r="A554" s="150" t="s">
        <v>7544</v>
      </c>
      <c r="B554">
        <v>85</v>
      </c>
      <c r="F554" s="36" t="s">
        <v>907</v>
      </c>
      <c r="G554" s="17" t="s">
        <v>908</v>
      </c>
      <c r="H554" s="7">
        <f t="shared" si="13"/>
        <v>112.0625</v>
      </c>
      <c r="I554" s="7">
        <f t="shared" si="14"/>
        <v>17.93</v>
      </c>
    </row>
    <row r="555" spans="1:9">
      <c r="A555" s="150" t="s">
        <v>7544</v>
      </c>
      <c r="B555">
        <v>85</v>
      </c>
      <c r="F555" s="17" t="s">
        <v>706</v>
      </c>
      <c r="G555" s="17" t="s">
        <v>299</v>
      </c>
      <c r="H555" s="7">
        <f t="shared" si="13"/>
        <v>81.0625</v>
      </c>
      <c r="I555" s="7">
        <f t="shared" si="14"/>
        <v>12.97</v>
      </c>
    </row>
    <row r="556" spans="1:9">
      <c r="A556" s="150" t="s">
        <v>7544</v>
      </c>
      <c r="B556">
        <v>85</v>
      </c>
      <c r="F556" s="21" t="s">
        <v>718</v>
      </c>
      <c r="G556" s="22" t="s">
        <v>719</v>
      </c>
      <c r="H556" s="7">
        <f t="shared" si="13"/>
        <v>114.6875</v>
      </c>
      <c r="I556" s="7">
        <f t="shared" si="14"/>
        <v>18.350000000000001</v>
      </c>
    </row>
    <row r="557" spans="1:9">
      <c r="A557" s="150" t="s">
        <v>7544</v>
      </c>
      <c r="B557">
        <v>85</v>
      </c>
      <c r="F557" s="17" t="s">
        <v>929</v>
      </c>
      <c r="G557" s="17" t="s">
        <v>930</v>
      </c>
      <c r="H557" s="7">
        <f t="shared" si="13"/>
        <v>206.81249999999997</v>
      </c>
      <c r="I557" s="7">
        <f t="shared" si="14"/>
        <v>33.089999999999996</v>
      </c>
    </row>
    <row r="558" spans="1:9">
      <c r="A558" s="150" t="s">
        <v>7544</v>
      </c>
      <c r="B558">
        <v>85</v>
      </c>
      <c r="F558" t="s">
        <v>859</v>
      </c>
      <c r="G558" t="s">
        <v>538</v>
      </c>
      <c r="H558" s="7">
        <f t="shared" si="13"/>
        <v>25862.0625</v>
      </c>
      <c r="I558" s="7">
        <f t="shared" si="14"/>
        <v>4137.93</v>
      </c>
    </row>
    <row r="559" spans="1:9">
      <c r="A559" s="150" t="s">
        <v>7544</v>
      </c>
      <c r="B559">
        <v>85</v>
      </c>
      <c r="F559" s="17" t="s">
        <v>861</v>
      </c>
      <c r="G559" s="17" t="s">
        <v>287</v>
      </c>
      <c r="H559" s="7">
        <f t="shared" si="13"/>
        <v>693.125</v>
      </c>
      <c r="I559" s="7">
        <f t="shared" si="14"/>
        <v>110.9</v>
      </c>
    </row>
    <row r="560" spans="1:9">
      <c r="A560" s="150" t="s">
        <v>7544</v>
      </c>
      <c r="B560">
        <v>85</v>
      </c>
      <c r="F560" s="17" t="s">
        <v>788</v>
      </c>
      <c r="G560" s="17" t="s">
        <v>789</v>
      </c>
      <c r="H560" s="7">
        <f t="shared" si="13"/>
        <v>78.4375</v>
      </c>
      <c r="I560" s="7">
        <f t="shared" si="14"/>
        <v>12.55</v>
      </c>
    </row>
    <row r="561" spans="1:9">
      <c r="A561" s="150" t="s">
        <v>7544</v>
      </c>
      <c r="B561">
        <v>85</v>
      </c>
      <c r="F561" s="17" t="s">
        <v>972</v>
      </c>
      <c r="G561" s="17" t="s">
        <v>973</v>
      </c>
      <c r="H561" s="7">
        <f t="shared" si="13"/>
        <v>112.0625</v>
      </c>
      <c r="I561" s="7">
        <f t="shared" si="14"/>
        <v>17.93</v>
      </c>
    </row>
    <row r="562" spans="1:9">
      <c r="A562" s="150" t="s">
        <v>7544</v>
      </c>
      <c r="B562">
        <v>85</v>
      </c>
      <c r="F562" s="36" t="s">
        <v>941</v>
      </c>
      <c r="G562" s="17" t="s">
        <v>942</v>
      </c>
      <c r="H562" s="7">
        <f t="shared" si="13"/>
        <v>419.37499999999994</v>
      </c>
      <c r="I562" s="7">
        <f t="shared" si="14"/>
        <v>67.099999999999994</v>
      </c>
    </row>
    <row r="563" spans="1:9">
      <c r="A563" s="150" t="s">
        <v>7544</v>
      </c>
      <c r="B563">
        <v>85</v>
      </c>
      <c r="F563" s="17" t="s">
        <v>839</v>
      </c>
      <c r="G563" s="17" t="s">
        <v>295</v>
      </c>
      <c r="H563" s="7">
        <f t="shared" si="13"/>
        <v>776.0625</v>
      </c>
      <c r="I563" s="7">
        <f t="shared" si="14"/>
        <v>124.17</v>
      </c>
    </row>
    <row r="564" spans="1:9">
      <c r="A564" s="150" t="s">
        <v>7544</v>
      </c>
      <c r="B564">
        <v>85</v>
      </c>
      <c r="F564" t="s">
        <v>772</v>
      </c>
      <c r="G564" t="s">
        <v>773</v>
      </c>
      <c r="H564" s="7">
        <f t="shared" si="13"/>
        <v>419.37499999999994</v>
      </c>
      <c r="I564" s="7">
        <f t="shared" si="14"/>
        <v>67.099999999999994</v>
      </c>
    </row>
    <row r="565" spans="1:9">
      <c r="A565" s="150" t="s">
        <v>7544</v>
      </c>
      <c r="B565">
        <v>85</v>
      </c>
      <c r="F565" s="36" t="s">
        <v>909</v>
      </c>
      <c r="G565" s="17" t="s">
        <v>910</v>
      </c>
      <c r="H565" s="7">
        <f t="shared" si="13"/>
        <v>819.5</v>
      </c>
      <c r="I565" s="7">
        <f t="shared" si="14"/>
        <v>131.12</v>
      </c>
    </row>
    <row r="566" spans="1:9">
      <c r="A566" s="150" t="s">
        <v>7544</v>
      </c>
      <c r="B566">
        <v>85</v>
      </c>
      <c r="F566" t="s">
        <v>774</v>
      </c>
      <c r="G566" t="s">
        <v>775</v>
      </c>
      <c r="H566" s="7">
        <f t="shared" si="13"/>
        <v>455.31249999999994</v>
      </c>
      <c r="I566" s="7">
        <f t="shared" si="14"/>
        <v>72.849999999999994</v>
      </c>
    </row>
    <row r="567" spans="1:9">
      <c r="A567" s="150" t="s">
        <v>7544</v>
      </c>
      <c r="B567">
        <v>85</v>
      </c>
      <c r="F567" t="s">
        <v>867</v>
      </c>
      <c r="G567" t="s">
        <v>517</v>
      </c>
      <c r="H567" s="7">
        <f t="shared" si="13"/>
        <v>1034482.7499999999</v>
      </c>
      <c r="I567" s="7">
        <f t="shared" si="14"/>
        <v>165517.24</v>
      </c>
    </row>
    <row r="568" spans="1:9">
      <c r="A568" s="150" t="s">
        <v>7544</v>
      </c>
      <c r="B568">
        <v>85</v>
      </c>
      <c r="F568" s="17" t="s">
        <v>865</v>
      </c>
      <c r="G568" s="17" t="s">
        <v>866</v>
      </c>
      <c r="H568" s="7">
        <f t="shared" si="13"/>
        <v>128.8125</v>
      </c>
      <c r="I568" s="7">
        <f t="shared" si="14"/>
        <v>20.61</v>
      </c>
    </row>
    <row r="569" spans="1:9">
      <c r="A569" s="150" t="s">
        <v>7544</v>
      </c>
      <c r="B569">
        <v>85</v>
      </c>
      <c r="F569" t="s">
        <v>782</v>
      </c>
      <c r="G569" t="s">
        <v>783</v>
      </c>
      <c r="H569" s="7">
        <f t="shared" si="13"/>
        <v>335.5</v>
      </c>
      <c r="I569" s="7">
        <f t="shared" si="14"/>
        <v>53.68</v>
      </c>
    </row>
    <row r="570" spans="1:9">
      <c r="A570" s="150" t="s">
        <v>7544</v>
      </c>
      <c r="B570">
        <v>85</v>
      </c>
      <c r="F570" t="s">
        <v>863</v>
      </c>
      <c r="G570" t="s">
        <v>967</v>
      </c>
      <c r="H570" s="7">
        <f t="shared" si="13"/>
        <v>49257.25</v>
      </c>
      <c r="I570" s="7">
        <f t="shared" si="14"/>
        <v>7881.16</v>
      </c>
    </row>
    <row r="571" spans="1:9">
      <c r="A571" s="150" t="s">
        <v>7544</v>
      </c>
      <c r="B571">
        <v>85</v>
      </c>
      <c r="F571" s="17" t="s">
        <v>864</v>
      </c>
      <c r="G571" s="17" t="s">
        <v>304</v>
      </c>
      <c r="H571" s="7">
        <f t="shared" si="13"/>
        <v>419.8125</v>
      </c>
      <c r="I571" s="7">
        <f t="shared" si="14"/>
        <v>67.17</v>
      </c>
    </row>
    <row r="572" spans="1:9">
      <c r="A572" s="150" t="s">
        <v>7544</v>
      </c>
      <c r="B572">
        <v>85</v>
      </c>
      <c r="F572" s="36" t="s">
        <v>945</v>
      </c>
      <c r="G572" s="17" t="s">
        <v>946</v>
      </c>
      <c r="H572" s="7">
        <f t="shared" si="13"/>
        <v>822</v>
      </c>
      <c r="I572" s="7">
        <f t="shared" si="14"/>
        <v>131.52000000000001</v>
      </c>
    </row>
    <row r="573" spans="1:9">
      <c r="A573" s="150" t="s">
        <v>7544</v>
      </c>
      <c r="B573">
        <v>85</v>
      </c>
      <c r="F573" s="36" t="s">
        <v>883</v>
      </c>
      <c r="G573" s="17" t="s">
        <v>884</v>
      </c>
      <c r="H573" s="7">
        <f t="shared" si="13"/>
        <v>2135.3125</v>
      </c>
      <c r="I573" s="7">
        <f t="shared" si="14"/>
        <v>341.65</v>
      </c>
    </row>
    <row r="574" spans="1:9">
      <c r="A574" s="150" t="s">
        <v>7544</v>
      </c>
      <c r="B574">
        <v>85</v>
      </c>
      <c r="F574" t="s">
        <v>862</v>
      </c>
      <c r="G574" t="s">
        <v>570</v>
      </c>
      <c r="H574" s="7">
        <f t="shared" si="13"/>
        <v>1182.625</v>
      </c>
      <c r="I574" s="7">
        <f t="shared" si="14"/>
        <v>189.22</v>
      </c>
    </row>
    <row r="575" spans="1:9">
      <c r="A575" s="150" t="s">
        <v>7544</v>
      </c>
      <c r="B575">
        <v>85</v>
      </c>
      <c r="F575" s="17" t="s">
        <v>853</v>
      </c>
      <c r="G575" s="17" t="s">
        <v>297</v>
      </c>
      <c r="H575" s="7">
        <f t="shared" si="13"/>
        <v>250</v>
      </c>
      <c r="I575" s="7">
        <f t="shared" si="14"/>
        <v>40</v>
      </c>
    </row>
    <row r="576" spans="1:9">
      <c r="A576" s="150" t="s">
        <v>7544</v>
      </c>
      <c r="B576">
        <v>85</v>
      </c>
      <c r="F576" t="s">
        <v>776</v>
      </c>
      <c r="G576" t="s">
        <v>777</v>
      </c>
      <c r="H576" s="7">
        <f t="shared" si="13"/>
        <v>546.3125</v>
      </c>
      <c r="I576" s="7">
        <f t="shared" si="14"/>
        <v>87.41</v>
      </c>
    </row>
    <row r="577" spans="1:9">
      <c r="A577" s="150" t="s">
        <v>7544</v>
      </c>
      <c r="B577">
        <v>85</v>
      </c>
      <c r="F577" t="s">
        <v>778</v>
      </c>
      <c r="G577" t="s">
        <v>779</v>
      </c>
      <c r="H577" s="7">
        <f t="shared" si="13"/>
        <v>209.8125</v>
      </c>
      <c r="I577" s="7">
        <f t="shared" si="14"/>
        <v>33.57</v>
      </c>
    </row>
    <row r="578" spans="1:9">
      <c r="A578" s="150" t="s">
        <v>7544</v>
      </c>
      <c r="B578">
        <v>85</v>
      </c>
      <c r="F578" s="17" t="s">
        <v>921</v>
      </c>
      <c r="G578" s="17" t="s">
        <v>922</v>
      </c>
      <c r="H578" s="7">
        <f t="shared" si="13"/>
        <v>251.62499999999997</v>
      </c>
      <c r="I578" s="7">
        <f t="shared" si="14"/>
        <v>40.26</v>
      </c>
    </row>
    <row r="579" spans="1:9">
      <c r="A579" s="150" t="s">
        <v>7544</v>
      </c>
      <c r="B579">
        <v>85</v>
      </c>
      <c r="F579" t="s">
        <v>780</v>
      </c>
      <c r="G579" t="s">
        <v>781</v>
      </c>
      <c r="H579" s="7">
        <f t="shared" si="13"/>
        <v>1342.5</v>
      </c>
      <c r="I579" s="7">
        <f t="shared" si="14"/>
        <v>214.8</v>
      </c>
    </row>
    <row r="580" spans="1:9">
      <c r="A580" s="150" t="s">
        <v>7544</v>
      </c>
      <c r="B580">
        <v>85</v>
      </c>
      <c r="F580" s="17" t="s">
        <v>931</v>
      </c>
      <c r="G580" s="17" t="s">
        <v>932</v>
      </c>
      <c r="H580" s="7">
        <f t="shared" si="13"/>
        <v>683.75</v>
      </c>
      <c r="I580" s="7">
        <f t="shared" si="14"/>
        <v>109.4</v>
      </c>
    </row>
    <row r="581" spans="1:9">
      <c r="A581" s="150" t="s">
        <v>7544</v>
      </c>
      <c r="B581">
        <v>85</v>
      </c>
      <c r="F581" s="17" t="s">
        <v>970</v>
      </c>
      <c r="G581" s="17" t="s">
        <v>562</v>
      </c>
      <c r="H581" s="7">
        <f t="shared" si="13"/>
        <v>4862.5</v>
      </c>
      <c r="I581" s="7">
        <f t="shared" si="14"/>
        <v>778</v>
      </c>
    </row>
    <row r="582" spans="1:9">
      <c r="A582" s="150" t="s">
        <v>7544</v>
      </c>
      <c r="B582">
        <v>85</v>
      </c>
      <c r="F582" t="s">
        <v>799</v>
      </c>
      <c r="G582" t="s">
        <v>0</v>
      </c>
      <c r="H582" s="7">
        <f t="shared" si="13"/>
        <v>12047400.187500004</v>
      </c>
      <c r="I582" s="7">
        <f t="shared" si="14"/>
        <v>1927584.0300000005</v>
      </c>
    </row>
    <row r="583" spans="1:9">
      <c r="A583" s="150" t="s">
        <v>7544</v>
      </c>
      <c r="B583">
        <v>85</v>
      </c>
      <c r="F583" s="36" t="s">
        <v>947</v>
      </c>
      <c r="G583" s="17" t="s">
        <v>948</v>
      </c>
      <c r="H583" s="7">
        <f t="shared" si="13"/>
        <v>400.9375</v>
      </c>
      <c r="I583" s="7">
        <f t="shared" si="14"/>
        <v>64.150000000000006</v>
      </c>
    </row>
    <row r="584" spans="1:9">
      <c r="A584" s="150" t="s">
        <v>7544</v>
      </c>
      <c r="B584">
        <v>85</v>
      </c>
      <c r="F584" s="16" t="s">
        <v>873</v>
      </c>
      <c r="G584" s="17" t="s">
        <v>874</v>
      </c>
      <c r="H584" s="7">
        <f t="shared" si="13"/>
        <v>551975.31249999988</v>
      </c>
      <c r="I584" s="7">
        <f t="shared" si="14"/>
        <v>88316.049999999988</v>
      </c>
    </row>
    <row r="585" spans="1:9">
      <c r="A585" s="150" t="s">
        <v>7544</v>
      </c>
      <c r="B585">
        <v>85</v>
      </c>
      <c r="F585" t="s">
        <v>868</v>
      </c>
      <c r="G585" t="s">
        <v>436</v>
      </c>
      <c r="H585" s="7">
        <f t="shared" si="13"/>
        <v>17584.1875</v>
      </c>
      <c r="I585" s="7">
        <f t="shared" si="14"/>
        <v>2813.4700000000003</v>
      </c>
    </row>
    <row r="586" spans="1:9">
      <c r="A586" s="150" t="s">
        <v>7544</v>
      </c>
      <c r="B586">
        <v>85</v>
      </c>
      <c r="F586" s="18" t="s">
        <v>869</v>
      </c>
      <c r="G586" s="19" t="s">
        <v>870</v>
      </c>
      <c r="H586" s="7">
        <f t="shared" si="13"/>
        <v>164099.5625</v>
      </c>
      <c r="I586" s="7">
        <f t="shared" si="14"/>
        <v>26255.93</v>
      </c>
    </row>
    <row r="587" spans="1:9">
      <c r="A587" s="150" t="s">
        <v>7544</v>
      </c>
      <c r="B587">
        <v>85</v>
      </c>
      <c r="F587" s="25" t="s">
        <v>875</v>
      </c>
      <c r="G587" s="17" t="s">
        <v>876</v>
      </c>
      <c r="H587" s="7">
        <f t="shared" si="13"/>
        <v>685092.5</v>
      </c>
      <c r="I587" s="7">
        <f t="shared" si="14"/>
        <v>109614.8</v>
      </c>
    </row>
    <row r="588" spans="1:9">
      <c r="A588" s="150" t="s">
        <v>7544</v>
      </c>
      <c r="B588">
        <v>85</v>
      </c>
      <c r="F588" s="34" t="s">
        <v>871</v>
      </c>
      <c r="G588" s="34" t="s">
        <v>872</v>
      </c>
      <c r="H588" s="7">
        <f t="shared" si="13"/>
        <v>183250.5625</v>
      </c>
      <c r="I588" s="7">
        <f t="shared" si="14"/>
        <v>29320.09</v>
      </c>
    </row>
    <row r="589" spans="1:9">
      <c r="A589" s="150" t="s">
        <v>7544</v>
      </c>
      <c r="B589">
        <v>85</v>
      </c>
      <c r="F589" s="33" t="s">
        <v>878</v>
      </c>
      <c r="G589" s="33" t="s">
        <v>414</v>
      </c>
      <c r="H589" s="7">
        <f t="shared" si="13"/>
        <v>370</v>
      </c>
      <c r="I589" s="7">
        <f t="shared" si="14"/>
        <v>59.2</v>
      </c>
    </row>
    <row r="590" spans="1:9">
      <c r="A590" s="150" t="s">
        <v>7544</v>
      </c>
      <c r="B590">
        <v>85</v>
      </c>
      <c r="F590" s="36" t="s">
        <v>935</v>
      </c>
      <c r="G590" s="17" t="s">
        <v>936</v>
      </c>
      <c r="H590" s="7">
        <f t="shared" si="13"/>
        <v>258.5625</v>
      </c>
      <c r="I590" s="7">
        <f t="shared" si="14"/>
        <v>41.37</v>
      </c>
    </row>
    <row r="591" spans="1:9">
      <c r="A591" s="150" t="s">
        <v>7544</v>
      </c>
      <c r="B591">
        <v>85</v>
      </c>
      <c r="F591" t="s">
        <v>784</v>
      </c>
      <c r="G591" t="s">
        <v>785</v>
      </c>
      <c r="H591" s="7">
        <f t="shared" si="13"/>
        <v>152.5625</v>
      </c>
      <c r="I591" s="7">
        <f t="shared" si="14"/>
        <v>24.41</v>
      </c>
    </row>
    <row r="592" spans="1:9">
      <c r="A592" s="150" t="s">
        <v>7544</v>
      </c>
      <c r="B592">
        <v>85</v>
      </c>
      <c r="F592" t="s">
        <v>952</v>
      </c>
      <c r="G592" t="s">
        <v>642</v>
      </c>
      <c r="H592" s="7">
        <f t="shared" si="13"/>
        <v>1800</v>
      </c>
      <c r="I592" s="7">
        <f t="shared" si="14"/>
        <v>288</v>
      </c>
    </row>
    <row r="593" spans="1:11">
      <c r="A593" s="150" t="s">
        <v>7544</v>
      </c>
      <c r="B593">
        <v>85</v>
      </c>
      <c r="F593" s="17" t="s">
        <v>802</v>
      </c>
      <c r="G593" s="17" t="s">
        <v>275</v>
      </c>
      <c r="H593" s="7">
        <f t="shared" si="13"/>
        <v>568.9375</v>
      </c>
      <c r="I593" s="7">
        <f t="shared" si="14"/>
        <v>91.03</v>
      </c>
    </row>
    <row r="594" spans="1:11">
      <c r="A594" s="150" t="s">
        <v>7544</v>
      </c>
      <c r="B594">
        <v>85</v>
      </c>
      <c r="F594" s="31" t="s">
        <v>951</v>
      </c>
      <c r="G594" s="31" t="s">
        <v>40</v>
      </c>
      <c r="H594" s="7">
        <f t="shared" si="13"/>
        <v>402534.93749999994</v>
      </c>
      <c r="I594" s="7">
        <f t="shared" si="14"/>
        <v>64405.59</v>
      </c>
    </row>
    <row r="595" spans="1:11">
      <c r="A595" s="150" t="s">
        <v>7544</v>
      </c>
      <c r="B595">
        <v>85</v>
      </c>
      <c r="F595" t="s">
        <v>747</v>
      </c>
      <c r="G595" t="s">
        <v>748</v>
      </c>
      <c r="H595" s="7">
        <f t="shared" si="13"/>
        <v>80.1875</v>
      </c>
      <c r="I595" s="7">
        <f t="shared" si="14"/>
        <v>12.83</v>
      </c>
    </row>
    <row r="596" spans="1:11">
      <c r="H596" s="8"/>
      <c r="I596" s="8"/>
    </row>
    <row r="597" spans="1:11">
      <c r="H597" s="9">
        <f>SUM(H421:H596)</f>
        <v>24098622.625000004</v>
      </c>
      <c r="I597" s="9">
        <f>SUM(I421:I596)</f>
        <v>3855779.6200000006</v>
      </c>
      <c r="J597" s="9">
        <f>SUM(J421:J595)</f>
        <v>33324.369999999995</v>
      </c>
      <c r="K597" s="7">
        <f>SUM(K420:K595)</f>
        <v>84.28</v>
      </c>
    </row>
    <row r="598" spans="1:11">
      <c r="H598" s="151">
        <f>+H410</f>
        <v>24098622.625</v>
      </c>
      <c r="I598" s="151">
        <f>+I410</f>
        <v>3855779.6200000006</v>
      </c>
    </row>
    <row r="599" spans="1:11">
      <c r="H599" s="149">
        <f>+H597-H598</f>
        <v>0</v>
      </c>
      <c r="I599" s="149">
        <f>+I597-I598</f>
        <v>0</v>
      </c>
    </row>
  </sheetData>
  <sortState ref="A1:K412">
    <sortCondition ref="E1:E412"/>
  </sortState>
  <conditionalFormatting sqref="F421:G595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scale="23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814"/>
  <sheetViews>
    <sheetView topLeftCell="A791" zoomScaleNormal="100" workbookViewId="0">
      <selection activeCell="A593" sqref="A593:M815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.140625" bestFit="1" customWidth="1"/>
    <col min="4" max="4" width="2" bestFit="1" customWidth="1"/>
    <col min="5" max="5" width="39.7109375" bestFit="1" customWidth="1"/>
    <col min="6" max="6" width="21.140625" customWidth="1"/>
    <col min="7" max="7" width="21.42578125" customWidth="1"/>
    <col min="8" max="8" width="19.5703125" style="7" customWidth="1"/>
    <col min="9" max="9" width="13.140625" style="7" bestFit="1" customWidth="1"/>
    <col min="10" max="10" width="10.5703125" bestFit="1" customWidth="1"/>
  </cols>
  <sheetData>
    <row r="1" spans="1:9">
      <c r="A1" t="s">
        <v>684</v>
      </c>
    </row>
    <row r="2" spans="1:9">
      <c r="A2" t="s">
        <v>5632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5261</v>
      </c>
      <c r="B7" s="1">
        <v>42307</v>
      </c>
      <c r="C7" t="s">
        <v>5262</v>
      </c>
      <c r="D7">
        <v>1</v>
      </c>
      <c r="E7" t="s">
        <v>2215</v>
      </c>
      <c r="F7" t="s">
        <v>2215</v>
      </c>
      <c r="G7" t="s">
        <v>2748</v>
      </c>
      <c r="H7" s="7">
        <f>+I7/0.16</f>
        <v>19</v>
      </c>
      <c r="I7" s="7">
        <v>3.04</v>
      </c>
    </row>
    <row r="8" spans="1:9">
      <c r="A8" t="s">
        <v>5379</v>
      </c>
      <c r="B8" s="1">
        <v>42307</v>
      </c>
      <c r="C8" t="s">
        <v>5380</v>
      </c>
      <c r="D8">
        <v>1</v>
      </c>
      <c r="E8" t="s">
        <v>5381</v>
      </c>
      <c r="F8" t="s">
        <v>5381</v>
      </c>
      <c r="G8" t="s">
        <v>5665</v>
      </c>
      <c r="H8" s="7">
        <f t="shared" ref="H8:H70" si="0">+I8/0.16</f>
        <v>56.000000000000007</v>
      </c>
      <c r="I8" s="7">
        <v>8.9600000000000009</v>
      </c>
    </row>
    <row r="9" spans="1:9">
      <c r="A9" t="s">
        <v>5379</v>
      </c>
      <c r="B9" s="1">
        <v>42307</v>
      </c>
      <c r="C9" t="s">
        <v>5380</v>
      </c>
      <c r="D9">
        <v>1</v>
      </c>
      <c r="E9" t="s">
        <v>5381</v>
      </c>
      <c r="F9" t="s">
        <v>5381</v>
      </c>
      <c r="G9" t="s">
        <v>5665</v>
      </c>
      <c r="H9" s="7">
        <f t="shared" si="0"/>
        <v>265.5</v>
      </c>
      <c r="I9" s="7">
        <v>42.48</v>
      </c>
    </row>
    <row r="10" spans="1:9">
      <c r="A10" t="s">
        <v>5496</v>
      </c>
      <c r="B10" s="1">
        <v>42307</v>
      </c>
      <c r="C10" t="s">
        <v>5497</v>
      </c>
      <c r="D10">
        <v>1</v>
      </c>
      <c r="E10" t="s">
        <v>5381</v>
      </c>
      <c r="F10" t="s">
        <v>5381</v>
      </c>
      <c r="G10" t="s">
        <v>5665</v>
      </c>
      <c r="H10" s="7">
        <f t="shared" si="0"/>
        <v>265.5</v>
      </c>
      <c r="I10" s="7">
        <v>42.48</v>
      </c>
    </row>
    <row r="11" spans="1:9">
      <c r="A11" t="s">
        <v>5460</v>
      </c>
      <c r="B11" s="1">
        <v>42307</v>
      </c>
      <c r="C11" t="s">
        <v>5461</v>
      </c>
      <c r="D11">
        <v>1</v>
      </c>
      <c r="E11" t="s">
        <v>5381</v>
      </c>
      <c r="F11" t="s">
        <v>5381</v>
      </c>
      <c r="G11" t="s">
        <v>5665</v>
      </c>
      <c r="H11" s="7">
        <f t="shared" si="0"/>
        <v>265.5</v>
      </c>
      <c r="I11" s="7">
        <v>42.48</v>
      </c>
    </row>
    <row r="12" spans="1:9">
      <c r="A12" t="s">
        <v>5379</v>
      </c>
      <c r="B12" s="1">
        <v>42307</v>
      </c>
      <c r="C12" t="s">
        <v>5380</v>
      </c>
      <c r="D12">
        <v>1</v>
      </c>
      <c r="E12" t="s">
        <v>923</v>
      </c>
      <c r="F12" t="s">
        <v>923</v>
      </c>
      <c r="G12" t="s">
        <v>924</v>
      </c>
      <c r="H12" s="7">
        <f t="shared" si="0"/>
        <v>435.37499999999994</v>
      </c>
      <c r="I12" s="7">
        <v>69.66</v>
      </c>
    </row>
    <row r="13" spans="1:9">
      <c r="A13" t="s">
        <v>5409</v>
      </c>
      <c r="B13" s="1">
        <v>42308</v>
      </c>
      <c r="C13" t="s">
        <v>5410</v>
      </c>
      <c r="D13">
        <v>1</v>
      </c>
      <c r="E13" t="s">
        <v>923</v>
      </c>
      <c r="F13" s="17" t="s">
        <v>923</v>
      </c>
      <c r="G13" t="s">
        <v>924</v>
      </c>
      <c r="H13" s="7">
        <f t="shared" si="0"/>
        <v>750</v>
      </c>
      <c r="I13" s="7">
        <v>120</v>
      </c>
    </row>
    <row r="14" spans="1:9">
      <c r="A14" t="s">
        <v>5496</v>
      </c>
      <c r="B14" s="1">
        <v>42307</v>
      </c>
      <c r="C14" t="s">
        <v>5497</v>
      </c>
      <c r="D14">
        <v>1</v>
      </c>
      <c r="E14" t="s">
        <v>923</v>
      </c>
      <c r="F14" t="s">
        <v>923</v>
      </c>
      <c r="G14" t="s">
        <v>924</v>
      </c>
      <c r="H14" s="7">
        <f t="shared" si="0"/>
        <v>435.37499999999994</v>
      </c>
      <c r="I14" s="7">
        <v>69.66</v>
      </c>
    </row>
    <row r="15" spans="1:9">
      <c r="A15" t="s">
        <v>5460</v>
      </c>
      <c r="B15" s="1">
        <v>42307</v>
      </c>
      <c r="C15" t="s">
        <v>5461</v>
      </c>
      <c r="D15">
        <v>1</v>
      </c>
      <c r="E15" t="s">
        <v>923</v>
      </c>
      <c r="F15" t="s">
        <v>923</v>
      </c>
      <c r="G15" t="s">
        <v>924</v>
      </c>
      <c r="H15" s="7">
        <f t="shared" si="0"/>
        <v>531.9375</v>
      </c>
      <c r="I15" s="7">
        <v>85.11</v>
      </c>
    </row>
    <row r="16" spans="1:9">
      <c r="A16" t="s">
        <v>565</v>
      </c>
      <c r="B16" s="1">
        <v>42305</v>
      </c>
      <c r="C16" t="s">
        <v>4102</v>
      </c>
      <c r="D16">
        <v>2</v>
      </c>
      <c r="E16" t="s">
        <v>5623</v>
      </c>
      <c r="F16" t="s">
        <v>5666</v>
      </c>
      <c r="G16" t="s">
        <v>5623</v>
      </c>
      <c r="H16" s="7">
        <f t="shared" si="0"/>
        <v>5320</v>
      </c>
      <c r="I16" s="7">
        <v>851.2</v>
      </c>
    </row>
    <row r="17" spans="1:9">
      <c r="A17" t="s">
        <v>385</v>
      </c>
      <c r="B17" s="1">
        <v>42294</v>
      </c>
      <c r="C17" t="s">
        <v>5234</v>
      </c>
      <c r="D17">
        <v>1</v>
      </c>
      <c r="E17" t="s">
        <v>5235</v>
      </c>
      <c r="F17" t="s">
        <v>766</v>
      </c>
      <c r="G17" t="s">
        <v>767</v>
      </c>
      <c r="H17" s="7">
        <f t="shared" si="0"/>
        <v>172.4375</v>
      </c>
      <c r="I17" s="7">
        <v>27.59</v>
      </c>
    </row>
    <row r="18" spans="1:9">
      <c r="A18" t="s">
        <v>5231</v>
      </c>
      <c r="B18" s="1">
        <v>42294</v>
      </c>
      <c r="C18" t="s">
        <v>5232</v>
      </c>
      <c r="D18">
        <v>1</v>
      </c>
      <c r="E18" t="s">
        <v>5233</v>
      </c>
      <c r="F18" t="s">
        <v>766</v>
      </c>
      <c r="G18" t="s">
        <v>767</v>
      </c>
      <c r="H18" s="7">
        <f t="shared" si="0"/>
        <v>163.8125</v>
      </c>
      <c r="I18" s="7">
        <v>26.21</v>
      </c>
    </row>
    <row r="19" spans="1:9">
      <c r="A19" t="s">
        <v>5251</v>
      </c>
      <c r="B19" s="1">
        <v>42307</v>
      </c>
      <c r="C19" t="s">
        <v>5252</v>
      </c>
      <c r="D19">
        <v>1</v>
      </c>
      <c r="E19" t="s">
        <v>711</v>
      </c>
      <c r="F19" t="s">
        <v>711</v>
      </c>
      <c r="G19" t="s">
        <v>4211</v>
      </c>
      <c r="H19" s="7">
        <f t="shared" si="0"/>
        <v>465</v>
      </c>
      <c r="I19" s="7">
        <v>74.400000000000006</v>
      </c>
    </row>
    <row r="20" spans="1:9">
      <c r="A20" t="s">
        <v>5305</v>
      </c>
      <c r="B20" s="1">
        <v>42307</v>
      </c>
      <c r="C20" t="s">
        <v>5306</v>
      </c>
      <c r="D20">
        <v>1</v>
      </c>
      <c r="E20" t="s">
        <v>711</v>
      </c>
      <c r="F20" t="s">
        <v>711</v>
      </c>
      <c r="G20" t="s">
        <v>4211</v>
      </c>
      <c r="H20" s="7">
        <f t="shared" si="0"/>
        <v>180.75</v>
      </c>
      <c r="I20" s="7">
        <v>28.92</v>
      </c>
    </row>
    <row r="21" spans="1:9">
      <c r="A21" t="s">
        <v>5333</v>
      </c>
      <c r="B21" s="1">
        <v>42307</v>
      </c>
      <c r="C21" t="s">
        <v>5334</v>
      </c>
      <c r="D21">
        <v>1</v>
      </c>
      <c r="E21" t="s">
        <v>711</v>
      </c>
      <c r="F21" t="s">
        <v>711</v>
      </c>
      <c r="G21" t="s">
        <v>4211</v>
      </c>
      <c r="H21" s="7">
        <f t="shared" si="0"/>
        <v>267.0625</v>
      </c>
      <c r="I21" s="7">
        <v>42.73</v>
      </c>
    </row>
    <row r="22" spans="1:9">
      <c r="A22" t="s">
        <v>5448</v>
      </c>
      <c r="B22" s="1">
        <v>42307</v>
      </c>
      <c r="C22" t="s">
        <v>5449</v>
      </c>
      <c r="D22">
        <v>1</v>
      </c>
      <c r="E22" t="s">
        <v>745</v>
      </c>
      <c r="F22" t="s">
        <v>745</v>
      </c>
      <c r="G22" t="s">
        <v>746</v>
      </c>
      <c r="H22" s="7">
        <f t="shared" si="0"/>
        <v>69</v>
      </c>
      <c r="I22" s="7">
        <v>11.04</v>
      </c>
    </row>
    <row r="23" spans="1:9">
      <c r="A23" t="s">
        <v>5475</v>
      </c>
      <c r="B23" s="1">
        <v>42307</v>
      </c>
      <c r="C23" t="s">
        <v>5476</v>
      </c>
      <c r="D23">
        <v>1</v>
      </c>
      <c r="E23" t="s">
        <v>745</v>
      </c>
      <c r="F23" t="s">
        <v>745</v>
      </c>
      <c r="G23" t="s">
        <v>746</v>
      </c>
      <c r="H23" s="7">
        <f t="shared" si="0"/>
        <v>90.5</v>
      </c>
      <c r="I23" s="7">
        <v>14.48</v>
      </c>
    </row>
    <row r="24" spans="1:9">
      <c r="A24" t="s">
        <v>5406</v>
      </c>
      <c r="B24" s="1">
        <v>42307</v>
      </c>
      <c r="C24" t="s">
        <v>5407</v>
      </c>
      <c r="D24">
        <v>1</v>
      </c>
      <c r="E24" t="s">
        <v>5408</v>
      </c>
      <c r="F24" t="s">
        <v>5381</v>
      </c>
      <c r="G24" t="s">
        <v>5665</v>
      </c>
      <c r="H24" s="7">
        <f t="shared" si="0"/>
        <v>118.12499999999999</v>
      </c>
      <c r="I24" s="7">
        <v>18.899999999999999</v>
      </c>
    </row>
    <row r="25" spans="1:9">
      <c r="A25" t="s">
        <v>5481</v>
      </c>
      <c r="B25" s="1">
        <v>42307</v>
      </c>
      <c r="C25" t="s">
        <v>5482</v>
      </c>
      <c r="D25">
        <v>1</v>
      </c>
      <c r="E25" t="s">
        <v>714</v>
      </c>
      <c r="F25" t="s">
        <v>714</v>
      </c>
      <c r="G25" t="s">
        <v>715</v>
      </c>
      <c r="H25" s="7">
        <f t="shared" si="0"/>
        <v>243.125</v>
      </c>
      <c r="I25" s="7">
        <v>38.9</v>
      </c>
    </row>
    <row r="26" spans="1:9">
      <c r="A26" t="s">
        <v>5415</v>
      </c>
      <c r="B26" s="1">
        <v>42307</v>
      </c>
      <c r="C26" t="s">
        <v>5416</v>
      </c>
      <c r="D26">
        <v>1</v>
      </c>
      <c r="E26" t="s">
        <v>714</v>
      </c>
      <c r="F26" t="s">
        <v>714</v>
      </c>
      <c r="G26" t="s">
        <v>715</v>
      </c>
      <c r="H26" s="7">
        <f t="shared" si="0"/>
        <v>388.8125</v>
      </c>
      <c r="I26" s="7">
        <v>62.21</v>
      </c>
    </row>
    <row r="27" spans="1:9">
      <c r="A27" t="s">
        <v>5341</v>
      </c>
      <c r="B27" s="1">
        <v>42307</v>
      </c>
      <c r="C27" t="s">
        <v>5342</v>
      </c>
      <c r="D27">
        <v>1</v>
      </c>
      <c r="E27" t="s">
        <v>714</v>
      </c>
      <c r="F27" t="s">
        <v>714</v>
      </c>
      <c r="G27" t="s">
        <v>715</v>
      </c>
      <c r="H27" s="7">
        <f t="shared" si="0"/>
        <v>65.5</v>
      </c>
      <c r="I27" s="7">
        <v>10.48</v>
      </c>
    </row>
    <row r="28" spans="1:9">
      <c r="A28" t="s">
        <v>5352</v>
      </c>
      <c r="B28" s="1">
        <v>42307</v>
      </c>
      <c r="C28" t="s">
        <v>5353</v>
      </c>
      <c r="D28">
        <v>1</v>
      </c>
      <c r="E28" t="s">
        <v>714</v>
      </c>
      <c r="F28" t="s">
        <v>714</v>
      </c>
      <c r="G28" t="s">
        <v>715</v>
      </c>
      <c r="H28" s="7">
        <f t="shared" si="0"/>
        <v>48.25</v>
      </c>
      <c r="I28" s="7">
        <v>7.72</v>
      </c>
    </row>
    <row r="29" spans="1:9">
      <c r="A29" t="s">
        <v>5352</v>
      </c>
      <c r="B29" s="1">
        <v>42307</v>
      </c>
      <c r="C29" t="s">
        <v>5353</v>
      </c>
      <c r="D29">
        <v>1</v>
      </c>
      <c r="E29" t="s">
        <v>714</v>
      </c>
      <c r="F29" t="s">
        <v>714</v>
      </c>
      <c r="G29" t="s">
        <v>715</v>
      </c>
      <c r="H29" s="7">
        <f t="shared" si="0"/>
        <v>221.5625</v>
      </c>
      <c r="I29" s="7">
        <v>35.450000000000003</v>
      </c>
    </row>
    <row r="30" spans="1:9">
      <c r="A30" t="s">
        <v>5359</v>
      </c>
      <c r="B30" s="1">
        <v>42307</v>
      </c>
      <c r="C30" t="s">
        <v>5360</v>
      </c>
      <c r="D30">
        <v>1</v>
      </c>
      <c r="E30" t="s">
        <v>714</v>
      </c>
      <c r="F30" t="s">
        <v>714</v>
      </c>
      <c r="G30" t="s">
        <v>715</v>
      </c>
      <c r="H30" s="7">
        <f t="shared" si="0"/>
        <v>309.5</v>
      </c>
      <c r="I30" s="7">
        <v>49.52</v>
      </c>
    </row>
    <row r="31" spans="1:9">
      <c r="A31" t="s">
        <v>5361</v>
      </c>
      <c r="B31" s="1">
        <v>42307</v>
      </c>
      <c r="C31" t="s">
        <v>5362</v>
      </c>
      <c r="D31">
        <v>1</v>
      </c>
      <c r="E31" t="s">
        <v>714</v>
      </c>
      <c r="F31" t="s">
        <v>714</v>
      </c>
      <c r="G31" t="s">
        <v>715</v>
      </c>
      <c r="H31" s="7">
        <f t="shared" si="0"/>
        <v>48.25</v>
      </c>
      <c r="I31" s="7">
        <v>7.72</v>
      </c>
    </row>
    <row r="32" spans="1:9">
      <c r="A32" t="s">
        <v>5363</v>
      </c>
      <c r="B32" s="1">
        <v>42307</v>
      </c>
      <c r="C32" t="s">
        <v>5364</v>
      </c>
      <c r="D32">
        <v>1</v>
      </c>
      <c r="E32" t="s">
        <v>714</v>
      </c>
      <c r="F32" t="s">
        <v>714</v>
      </c>
      <c r="G32" t="s">
        <v>715</v>
      </c>
      <c r="H32" s="7">
        <f t="shared" si="0"/>
        <v>243.125</v>
      </c>
      <c r="I32" s="7">
        <v>38.9</v>
      </c>
    </row>
    <row r="33" spans="1:9">
      <c r="A33" t="s">
        <v>5367</v>
      </c>
      <c r="B33" s="1">
        <v>42307</v>
      </c>
      <c r="C33" t="s">
        <v>5368</v>
      </c>
      <c r="D33">
        <v>1</v>
      </c>
      <c r="E33" t="s">
        <v>714</v>
      </c>
      <c r="F33" t="s">
        <v>714</v>
      </c>
      <c r="G33" t="s">
        <v>715</v>
      </c>
      <c r="H33" s="7">
        <f t="shared" si="0"/>
        <v>326.75</v>
      </c>
      <c r="I33" s="7">
        <v>52.28</v>
      </c>
    </row>
    <row r="34" spans="1:9">
      <c r="A34" t="s">
        <v>5369</v>
      </c>
      <c r="B34" s="1">
        <v>42307</v>
      </c>
      <c r="C34" t="s">
        <v>5370</v>
      </c>
      <c r="D34">
        <v>1</v>
      </c>
      <c r="E34" t="s">
        <v>714</v>
      </c>
      <c r="F34" t="s">
        <v>714</v>
      </c>
      <c r="G34" t="s">
        <v>715</v>
      </c>
      <c r="H34" s="7">
        <f t="shared" si="0"/>
        <v>326.75</v>
      </c>
      <c r="I34" s="7">
        <v>52.28</v>
      </c>
    </row>
    <row r="35" spans="1:9">
      <c r="A35" t="s">
        <v>5372</v>
      </c>
      <c r="B35" s="1">
        <v>42307</v>
      </c>
      <c r="C35" t="s">
        <v>5373</v>
      </c>
      <c r="D35">
        <v>1</v>
      </c>
      <c r="E35" t="s">
        <v>714</v>
      </c>
      <c r="F35" t="s">
        <v>714</v>
      </c>
      <c r="G35" t="s">
        <v>715</v>
      </c>
      <c r="H35" s="7">
        <f t="shared" si="0"/>
        <v>326.75</v>
      </c>
      <c r="I35" s="7">
        <v>52.28</v>
      </c>
    </row>
    <row r="36" spans="1:9">
      <c r="A36" t="s">
        <v>5379</v>
      </c>
      <c r="B36" s="1">
        <v>42307</v>
      </c>
      <c r="C36" t="s">
        <v>5380</v>
      </c>
      <c r="D36">
        <v>1</v>
      </c>
      <c r="E36" t="s">
        <v>714</v>
      </c>
      <c r="F36" t="s">
        <v>714</v>
      </c>
      <c r="G36" t="s">
        <v>715</v>
      </c>
      <c r="H36" s="7">
        <f t="shared" si="0"/>
        <v>57.75</v>
      </c>
      <c r="I36" s="7">
        <v>9.24</v>
      </c>
    </row>
    <row r="37" spans="1:9">
      <c r="A37" t="s">
        <v>5514</v>
      </c>
      <c r="B37" s="1">
        <v>42307</v>
      </c>
      <c r="C37" t="s">
        <v>5515</v>
      </c>
      <c r="D37">
        <v>1</v>
      </c>
      <c r="E37" t="s">
        <v>714</v>
      </c>
      <c r="F37" s="83" t="s">
        <v>714</v>
      </c>
      <c r="G37" s="19" t="s">
        <v>715</v>
      </c>
      <c r="H37" s="7">
        <f t="shared" si="0"/>
        <v>65.5</v>
      </c>
      <c r="I37" s="7">
        <v>10.48</v>
      </c>
    </row>
    <row r="38" spans="1:9">
      <c r="A38" t="s">
        <v>5403</v>
      </c>
      <c r="B38" s="1">
        <v>42308</v>
      </c>
      <c r="C38" t="s">
        <v>5404</v>
      </c>
      <c r="D38">
        <v>1</v>
      </c>
      <c r="E38" t="s">
        <v>714</v>
      </c>
      <c r="F38" t="s">
        <v>714</v>
      </c>
      <c r="G38" t="s">
        <v>715</v>
      </c>
      <c r="H38" s="7">
        <f t="shared" si="0"/>
        <v>206.875</v>
      </c>
      <c r="I38" s="7">
        <v>33.1</v>
      </c>
    </row>
    <row r="39" spans="1:9">
      <c r="A39" t="s">
        <v>5388</v>
      </c>
      <c r="B39" s="1">
        <v>42308</v>
      </c>
      <c r="C39" t="s">
        <v>5389</v>
      </c>
      <c r="D39">
        <v>1</v>
      </c>
      <c r="E39" t="s">
        <v>714</v>
      </c>
      <c r="F39" t="s">
        <v>714</v>
      </c>
      <c r="G39" t="s">
        <v>715</v>
      </c>
      <c r="H39" s="7">
        <f t="shared" si="0"/>
        <v>309.5</v>
      </c>
      <c r="I39" s="7">
        <v>49.52</v>
      </c>
    </row>
    <row r="40" spans="1:9">
      <c r="A40" t="s">
        <v>5434</v>
      </c>
      <c r="B40" s="1">
        <v>42308</v>
      </c>
      <c r="C40" t="s">
        <v>5435</v>
      </c>
      <c r="D40">
        <v>1</v>
      </c>
      <c r="E40" t="s">
        <v>714</v>
      </c>
      <c r="F40" t="s">
        <v>714</v>
      </c>
      <c r="G40" t="s">
        <v>715</v>
      </c>
      <c r="H40" s="7">
        <f t="shared" si="0"/>
        <v>293.125</v>
      </c>
      <c r="I40" s="7">
        <v>46.9</v>
      </c>
    </row>
    <row r="41" spans="1:9">
      <c r="A41" t="s">
        <v>5386</v>
      </c>
      <c r="B41" s="1">
        <v>42307</v>
      </c>
      <c r="C41" t="s">
        <v>5387</v>
      </c>
      <c r="D41">
        <v>1</v>
      </c>
      <c r="E41" t="s">
        <v>714</v>
      </c>
      <c r="F41" t="s">
        <v>714</v>
      </c>
      <c r="G41" t="s">
        <v>715</v>
      </c>
      <c r="H41" s="7">
        <f t="shared" si="0"/>
        <v>57.75</v>
      </c>
      <c r="I41" s="7">
        <v>9.24</v>
      </c>
    </row>
    <row r="42" spans="1:9">
      <c r="A42" t="s">
        <v>5392</v>
      </c>
      <c r="B42" s="1">
        <v>42307</v>
      </c>
      <c r="C42" t="s">
        <v>5393</v>
      </c>
      <c r="D42">
        <v>1</v>
      </c>
      <c r="E42" t="s">
        <v>714</v>
      </c>
      <c r="F42" t="s">
        <v>714</v>
      </c>
      <c r="G42" t="s">
        <v>715</v>
      </c>
      <c r="H42" s="7">
        <f t="shared" si="0"/>
        <v>388.8125</v>
      </c>
      <c r="I42" s="7">
        <v>62.21</v>
      </c>
    </row>
    <row r="43" spans="1:9">
      <c r="A43" t="s">
        <v>5400</v>
      </c>
      <c r="B43" s="1">
        <v>42307</v>
      </c>
      <c r="C43" t="s">
        <v>5401</v>
      </c>
      <c r="D43">
        <v>1</v>
      </c>
      <c r="E43" t="s">
        <v>714</v>
      </c>
      <c r="F43" t="s">
        <v>714</v>
      </c>
      <c r="G43" t="s">
        <v>715</v>
      </c>
      <c r="H43" s="7">
        <f t="shared" si="0"/>
        <v>65.5</v>
      </c>
      <c r="I43" s="7">
        <v>10.48</v>
      </c>
    </row>
    <row r="44" spans="1:9">
      <c r="A44" t="s">
        <v>5400</v>
      </c>
      <c r="B44" s="1">
        <v>42307</v>
      </c>
      <c r="C44" t="s">
        <v>5401</v>
      </c>
      <c r="D44">
        <v>1</v>
      </c>
      <c r="E44" t="s">
        <v>714</v>
      </c>
      <c r="F44" t="s">
        <v>714</v>
      </c>
      <c r="G44" t="s">
        <v>715</v>
      </c>
      <c r="H44" s="7">
        <f t="shared" si="0"/>
        <v>88.8125</v>
      </c>
      <c r="I44" s="7">
        <v>14.21</v>
      </c>
    </row>
    <row r="45" spans="1:9">
      <c r="A45" t="s">
        <v>5400</v>
      </c>
      <c r="B45" s="1">
        <v>42307</v>
      </c>
      <c r="C45" t="s">
        <v>5401</v>
      </c>
      <c r="D45">
        <v>1</v>
      </c>
      <c r="E45" t="s">
        <v>714</v>
      </c>
      <c r="F45" t="s">
        <v>714</v>
      </c>
      <c r="G45" t="s">
        <v>715</v>
      </c>
      <c r="H45" s="7">
        <f t="shared" si="0"/>
        <v>154.3125</v>
      </c>
      <c r="I45" s="7">
        <v>24.69</v>
      </c>
    </row>
    <row r="46" spans="1:9">
      <c r="A46" t="s">
        <v>5406</v>
      </c>
      <c r="B46" s="1">
        <v>42307</v>
      </c>
      <c r="C46" t="s">
        <v>5407</v>
      </c>
      <c r="D46">
        <v>1</v>
      </c>
      <c r="E46" t="s">
        <v>714</v>
      </c>
      <c r="F46" t="s">
        <v>714</v>
      </c>
      <c r="G46" t="s">
        <v>715</v>
      </c>
      <c r="H46" s="7">
        <f t="shared" si="0"/>
        <v>48.25</v>
      </c>
      <c r="I46" s="7">
        <v>7.72</v>
      </c>
    </row>
    <row r="47" spans="1:9">
      <c r="A47" t="s">
        <v>5406</v>
      </c>
      <c r="B47" s="1">
        <v>42307</v>
      </c>
      <c r="C47" t="s">
        <v>5407</v>
      </c>
      <c r="D47">
        <v>1</v>
      </c>
      <c r="E47" t="s">
        <v>923</v>
      </c>
      <c r="F47" t="s">
        <v>923</v>
      </c>
      <c r="G47" t="s">
        <v>924</v>
      </c>
      <c r="H47" s="7">
        <f t="shared" si="0"/>
        <v>281.0625</v>
      </c>
      <c r="I47" s="7">
        <v>44.97</v>
      </c>
    </row>
    <row r="48" spans="1:9">
      <c r="A48" t="s">
        <v>5458</v>
      </c>
      <c r="B48" s="1">
        <v>42307</v>
      </c>
      <c r="C48" t="s">
        <v>5459</v>
      </c>
      <c r="D48">
        <v>1</v>
      </c>
      <c r="E48" t="s">
        <v>714</v>
      </c>
      <c r="F48" t="s">
        <v>714</v>
      </c>
      <c r="G48" t="s">
        <v>715</v>
      </c>
      <c r="H48" s="7">
        <f t="shared" si="0"/>
        <v>57.75</v>
      </c>
      <c r="I48" s="7">
        <v>9.24</v>
      </c>
    </row>
    <row r="49" spans="1:9">
      <c r="A49" t="s">
        <v>5463</v>
      </c>
      <c r="B49" s="1">
        <v>42307</v>
      </c>
      <c r="C49" t="s">
        <v>5464</v>
      </c>
      <c r="D49">
        <v>1</v>
      </c>
      <c r="E49" t="s">
        <v>714</v>
      </c>
      <c r="F49" t="s">
        <v>714</v>
      </c>
      <c r="G49" t="s">
        <v>715</v>
      </c>
      <c r="H49" s="7">
        <f t="shared" si="0"/>
        <v>163.8125</v>
      </c>
      <c r="I49" s="7">
        <v>26.21</v>
      </c>
    </row>
    <row r="50" spans="1:9">
      <c r="A50" t="s">
        <v>5485</v>
      </c>
      <c r="B50" s="1">
        <v>42307</v>
      </c>
      <c r="C50" t="s">
        <v>5486</v>
      </c>
      <c r="D50">
        <v>1</v>
      </c>
      <c r="E50" t="s">
        <v>714</v>
      </c>
      <c r="F50" t="s">
        <v>714</v>
      </c>
      <c r="G50" t="s">
        <v>715</v>
      </c>
      <c r="H50" s="7">
        <f t="shared" si="0"/>
        <v>48.25</v>
      </c>
      <c r="I50" s="7">
        <v>7.72</v>
      </c>
    </row>
    <row r="51" spans="1:9">
      <c r="A51" t="s">
        <v>5496</v>
      </c>
      <c r="B51" s="1">
        <v>42307</v>
      </c>
      <c r="C51" t="s">
        <v>5497</v>
      </c>
      <c r="D51">
        <v>1</v>
      </c>
      <c r="E51" t="s">
        <v>714</v>
      </c>
      <c r="F51" t="s">
        <v>714</v>
      </c>
      <c r="G51" t="s">
        <v>715</v>
      </c>
      <c r="H51" s="7">
        <f t="shared" si="0"/>
        <v>48.25</v>
      </c>
      <c r="I51" s="7">
        <v>7.72</v>
      </c>
    </row>
    <row r="52" spans="1:9">
      <c r="A52" t="s">
        <v>5440</v>
      </c>
      <c r="B52" s="1">
        <v>42307</v>
      </c>
      <c r="C52" t="s">
        <v>5441</v>
      </c>
      <c r="D52">
        <v>1</v>
      </c>
      <c r="E52" t="s">
        <v>714</v>
      </c>
      <c r="F52" t="s">
        <v>714</v>
      </c>
      <c r="G52" t="s">
        <v>715</v>
      </c>
      <c r="H52" s="7">
        <f t="shared" si="0"/>
        <v>326.75</v>
      </c>
      <c r="I52" s="7">
        <v>52.28</v>
      </c>
    </row>
    <row r="53" spans="1:9">
      <c r="A53" t="s">
        <v>5445</v>
      </c>
      <c r="B53" s="1">
        <v>42307</v>
      </c>
      <c r="C53" t="s">
        <v>5446</v>
      </c>
      <c r="D53">
        <v>1</v>
      </c>
      <c r="E53" t="s">
        <v>714</v>
      </c>
      <c r="F53" t="s">
        <v>714</v>
      </c>
      <c r="G53" t="s">
        <v>715</v>
      </c>
      <c r="H53" s="7">
        <f t="shared" si="0"/>
        <v>326.75</v>
      </c>
      <c r="I53" s="7">
        <v>52.28</v>
      </c>
    </row>
    <row r="54" spans="1:9">
      <c r="A54" t="s">
        <v>5454</v>
      </c>
      <c r="B54" s="1">
        <v>42307</v>
      </c>
      <c r="C54" t="s">
        <v>5455</v>
      </c>
      <c r="D54">
        <v>1</v>
      </c>
      <c r="E54" t="s">
        <v>714</v>
      </c>
      <c r="F54" t="s">
        <v>714</v>
      </c>
      <c r="G54" t="s">
        <v>715</v>
      </c>
      <c r="H54" s="7">
        <f t="shared" si="0"/>
        <v>309.5</v>
      </c>
      <c r="I54" s="7">
        <v>49.52</v>
      </c>
    </row>
    <row r="55" spans="1:9">
      <c r="A55" t="s">
        <v>5456</v>
      </c>
      <c r="B55" s="1">
        <v>42307</v>
      </c>
      <c r="C55" t="s">
        <v>5457</v>
      </c>
      <c r="D55">
        <v>1</v>
      </c>
      <c r="E55" s="19" t="s">
        <v>5330</v>
      </c>
      <c r="F55" s="19" t="s">
        <v>5330</v>
      </c>
      <c r="G55" t="s">
        <v>5693</v>
      </c>
      <c r="H55" s="7">
        <f t="shared" si="0"/>
        <v>176.75</v>
      </c>
      <c r="I55" s="7">
        <v>28.28</v>
      </c>
    </row>
    <row r="56" spans="1:9">
      <c r="A56" t="s">
        <v>5475</v>
      </c>
      <c r="B56" s="1">
        <v>42307</v>
      </c>
      <c r="C56" t="s">
        <v>5476</v>
      </c>
      <c r="D56">
        <v>1</v>
      </c>
      <c r="E56" t="s">
        <v>714</v>
      </c>
      <c r="F56" t="s">
        <v>714</v>
      </c>
      <c r="G56" t="s">
        <v>715</v>
      </c>
      <c r="H56" s="7">
        <f t="shared" si="0"/>
        <v>322.4375</v>
      </c>
      <c r="I56" s="7">
        <v>51.59</v>
      </c>
    </row>
    <row r="57" spans="1:9">
      <c r="A57" t="s">
        <v>5375</v>
      </c>
      <c r="B57" s="1">
        <v>42307</v>
      </c>
      <c r="C57" t="s">
        <v>5376</v>
      </c>
      <c r="D57">
        <v>1</v>
      </c>
      <c r="E57" t="s">
        <v>714</v>
      </c>
      <c r="F57" t="s">
        <v>714</v>
      </c>
      <c r="G57" t="s">
        <v>715</v>
      </c>
      <c r="H57" s="7">
        <f t="shared" si="0"/>
        <v>388.8125</v>
      </c>
      <c r="I57" s="7">
        <v>62.21</v>
      </c>
    </row>
    <row r="58" spans="1:9">
      <c r="A58" t="s">
        <v>5379</v>
      </c>
      <c r="B58" s="1">
        <v>42307</v>
      </c>
      <c r="C58" t="s">
        <v>5380</v>
      </c>
      <c r="D58">
        <v>1</v>
      </c>
      <c r="E58" t="s">
        <v>751</v>
      </c>
      <c r="F58" t="s">
        <v>751</v>
      </c>
      <c r="G58" t="s">
        <v>752</v>
      </c>
      <c r="H58" s="7">
        <f t="shared" si="0"/>
        <v>215.5625</v>
      </c>
      <c r="I58" s="7">
        <v>34.49</v>
      </c>
    </row>
    <row r="59" spans="1:9">
      <c r="A59" t="s">
        <v>5496</v>
      </c>
      <c r="B59" s="1">
        <v>42307</v>
      </c>
      <c r="C59" t="s">
        <v>5497</v>
      </c>
      <c r="D59">
        <v>1</v>
      </c>
      <c r="E59" t="s">
        <v>751</v>
      </c>
      <c r="F59" t="s">
        <v>751</v>
      </c>
      <c r="G59" t="s">
        <v>752</v>
      </c>
      <c r="H59" s="7">
        <f t="shared" si="0"/>
        <v>370.75</v>
      </c>
      <c r="I59" s="7">
        <v>59.32</v>
      </c>
    </row>
    <row r="60" spans="1:9">
      <c r="A60" t="s">
        <v>5460</v>
      </c>
      <c r="B60" s="1">
        <v>42307</v>
      </c>
      <c r="C60" t="s">
        <v>5461</v>
      </c>
      <c r="D60">
        <v>1</v>
      </c>
      <c r="E60" t="s">
        <v>751</v>
      </c>
      <c r="F60" t="s">
        <v>751</v>
      </c>
      <c r="G60" t="s">
        <v>752</v>
      </c>
      <c r="H60" s="7">
        <f t="shared" si="0"/>
        <v>174.1875</v>
      </c>
      <c r="I60" s="7">
        <v>27.87</v>
      </c>
    </row>
    <row r="61" spans="1:9">
      <c r="A61" t="s">
        <v>5434</v>
      </c>
      <c r="B61" s="1">
        <v>42308</v>
      </c>
      <c r="C61" t="s">
        <v>5435</v>
      </c>
      <c r="D61">
        <v>1</v>
      </c>
      <c r="E61" t="s">
        <v>5436</v>
      </c>
      <c r="F61" t="s">
        <v>5381</v>
      </c>
      <c r="G61" t="s">
        <v>5665</v>
      </c>
      <c r="H61" s="7">
        <f t="shared" si="0"/>
        <v>152.5625</v>
      </c>
      <c r="I61" s="7">
        <v>24.41</v>
      </c>
    </row>
    <row r="62" spans="1:9">
      <c r="A62" t="s">
        <v>5359</v>
      </c>
      <c r="B62" s="1">
        <v>42307</v>
      </c>
      <c r="C62" t="s">
        <v>5360</v>
      </c>
      <c r="D62">
        <v>1</v>
      </c>
      <c r="E62" t="s">
        <v>3903</v>
      </c>
      <c r="F62" t="s">
        <v>3903</v>
      </c>
      <c r="G62" t="s">
        <v>5667</v>
      </c>
      <c r="H62" s="7">
        <f t="shared" si="0"/>
        <v>96.5625</v>
      </c>
      <c r="I62" s="7">
        <v>15.45</v>
      </c>
    </row>
    <row r="63" spans="1:9">
      <c r="A63" t="s">
        <v>5434</v>
      </c>
      <c r="B63" s="1">
        <v>42308</v>
      </c>
      <c r="C63" t="s">
        <v>5435</v>
      </c>
      <c r="D63">
        <v>1</v>
      </c>
      <c r="E63" t="s">
        <v>5437</v>
      </c>
      <c r="F63" s="19" t="s">
        <v>722</v>
      </c>
      <c r="G63" s="19" t="s">
        <v>5437</v>
      </c>
      <c r="H63" s="7">
        <f t="shared" si="0"/>
        <v>115.5</v>
      </c>
      <c r="I63" s="7">
        <v>18.48</v>
      </c>
    </row>
    <row r="64" spans="1:9">
      <c r="A64" t="s">
        <v>5434</v>
      </c>
      <c r="B64" s="1">
        <v>42308</v>
      </c>
      <c r="C64" t="s">
        <v>5435</v>
      </c>
      <c r="D64">
        <v>1</v>
      </c>
      <c r="E64" t="s">
        <v>5438</v>
      </c>
      <c r="F64" s="84" t="s">
        <v>722</v>
      </c>
      <c r="G64" s="19" t="s">
        <v>5668</v>
      </c>
      <c r="H64" s="7">
        <f t="shared" si="0"/>
        <v>263.8125</v>
      </c>
      <c r="I64" s="7">
        <v>42.21</v>
      </c>
    </row>
    <row r="65" spans="1:9">
      <c r="A65" t="s">
        <v>2445</v>
      </c>
      <c r="B65" s="1">
        <v>42303</v>
      </c>
      <c r="C65" t="s">
        <v>5113</v>
      </c>
      <c r="D65">
        <v>1</v>
      </c>
      <c r="E65" t="s">
        <v>5114</v>
      </c>
      <c r="F65" s="72" t="s">
        <v>5633</v>
      </c>
      <c r="G65" t="s">
        <v>5669</v>
      </c>
      <c r="H65" s="7">
        <f t="shared" si="0"/>
        <v>185215.6875</v>
      </c>
      <c r="I65" s="7">
        <v>29634.51</v>
      </c>
    </row>
    <row r="66" spans="1:9">
      <c r="A66" t="s">
        <v>1179</v>
      </c>
      <c r="B66" s="1">
        <v>42304</v>
      </c>
      <c r="C66" t="s">
        <v>5142</v>
      </c>
      <c r="D66">
        <v>1</v>
      </c>
      <c r="E66" t="s">
        <v>5143</v>
      </c>
      <c r="F66" t="s">
        <v>1530</v>
      </c>
      <c r="G66" t="s">
        <v>5143</v>
      </c>
      <c r="H66" s="7">
        <f t="shared" si="0"/>
        <v>242464.43749999997</v>
      </c>
      <c r="I66" s="7">
        <v>38794.31</v>
      </c>
    </row>
    <row r="67" spans="1:9">
      <c r="A67" t="s">
        <v>4971</v>
      </c>
      <c r="B67" s="1">
        <v>42283</v>
      </c>
      <c r="C67" t="s">
        <v>4972</v>
      </c>
      <c r="D67">
        <v>1</v>
      </c>
      <c r="E67" t="s">
        <v>3259</v>
      </c>
      <c r="F67" s="45" t="s">
        <v>707</v>
      </c>
      <c r="G67" s="85" t="s">
        <v>708</v>
      </c>
      <c r="H67" s="7">
        <f t="shared" si="0"/>
        <v>243817.8125</v>
      </c>
      <c r="I67" s="7">
        <v>39010.85</v>
      </c>
    </row>
    <row r="68" spans="1:9">
      <c r="A68" t="s">
        <v>4998</v>
      </c>
      <c r="B68" s="1">
        <v>42284</v>
      </c>
      <c r="C68" t="s">
        <v>4999</v>
      </c>
      <c r="D68">
        <v>1</v>
      </c>
      <c r="E68" t="s">
        <v>3259</v>
      </c>
      <c r="F68" s="45" t="s">
        <v>707</v>
      </c>
      <c r="G68" s="85" t="s">
        <v>708</v>
      </c>
      <c r="H68" s="7">
        <f t="shared" si="0"/>
        <v>243817.8125</v>
      </c>
      <c r="I68" s="7">
        <v>39010.85</v>
      </c>
    </row>
    <row r="69" spans="1:9">
      <c r="A69" t="s">
        <v>5041</v>
      </c>
      <c r="B69" s="1">
        <v>42297</v>
      </c>
      <c r="C69" t="s">
        <v>5042</v>
      </c>
      <c r="D69">
        <v>1</v>
      </c>
      <c r="E69" t="s">
        <v>708</v>
      </c>
      <c r="F69" s="45" t="s">
        <v>707</v>
      </c>
      <c r="G69" s="85" t="s">
        <v>708</v>
      </c>
      <c r="H69" s="7">
        <f t="shared" si="0"/>
        <v>243817.8125</v>
      </c>
      <c r="I69" s="7">
        <v>39010.85</v>
      </c>
    </row>
    <row r="70" spans="1:9">
      <c r="A70" t="s">
        <v>3527</v>
      </c>
      <c r="B70" s="1">
        <v>42307</v>
      </c>
      <c r="C70" t="s">
        <v>5178</v>
      </c>
      <c r="D70">
        <v>1</v>
      </c>
      <c r="E70" t="s">
        <v>5179</v>
      </c>
      <c r="F70" s="86" t="s">
        <v>2192</v>
      </c>
      <c r="G70" s="87" t="s">
        <v>5670</v>
      </c>
      <c r="H70" s="7">
        <f t="shared" si="0"/>
        <v>195674.875</v>
      </c>
      <c r="I70" s="7">
        <v>31307.98</v>
      </c>
    </row>
    <row r="71" spans="1:9">
      <c r="A71" t="s">
        <v>5133</v>
      </c>
      <c r="B71" s="1">
        <v>42304</v>
      </c>
      <c r="C71" t="s">
        <v>5134</v>
      </c>
      <c r="D71">
        <v>1</v>
      </c>
      <c r="E71" t="s">
        <v>5135</v>
      </c>
      <c r="F71" t="s">
        <v>2690</v>
      </c>
      <c r="G71" t="s">
        <v>5671</v>
      </c>
      <c r="H71" s="7">
        <f t="shared" ref="H71:H144" si="1">+I71/0.16</f>
        <v>206605.24999999997</v>
      </c>
      <c r="I71" s="7">
        <v>33056.839999999997</v>
      </c>
    </row>
    <row r="72" spans="1:9">
      <c r="A72" t="s">
        <v>5100</v>
      </c>
      <c r="B72" s="1">
        <v>42303</v>
      </c>
      <c r="C72" t="s">
        <v>5101</v>
      </c>
      <c r="D72">
        <v>1</v>
      </c>
      <c r="E72" t="s">
        <v>5102</v>
      </c>
      <c r="F72" t="s">
        <v>2690</v>
      </c>
      <c r="G72" t="s">
        <v>5671</v>
      </c>
      <c r="H72" s="7">
        <f t="shared" si="1"/>
        <v>262791.9375</v>
      </c>
      <c r="I72" s="7">
        <v>42046.71</v>
      </c>
    </row>
    <row r="73" spans="1:9">
      <c r="A73" t="s">
        <v>1137</v>
      </c>
      <c r="B73" s="1">
        <v>42304</v>
      </c>
      <c r="C73" t="s">
        <v>5122</v>
      </c>
      <c r="D73">
        <v>1</v>
      </c>
      <c r="E73" t="s">
        <v>5123</v>
      </c>
      <c r="F73" t="s">
        <v>709</v>
      </c>
      <c r="G73" t="s">
        <v>710</v>
      </c>
      <c r="H73" s="7">
        <f t="shared" si="1"/>
        <v>171880.9375</v>
      </c>
      <c r="I73" s="7">
        <v>27500.95</v>
      </c>
    </row>
    <row r="74" spans="1:9">
      <c r="A74" t="s">
        <v>5448</v>
      </c>
      <c r="B74" s="1">
        <v>42307</v>
      </c>
      <c r="C74" t="s">
        <v>5449</v>
      </c>
      <c r="D74">
        <v>1</v>
      </c>
      <c r="E74" t="s">
        <v>5450</v>
      </c>
      <c r="F74" t="s">
        <v>5354</v>
      </c>
      <c r="G74" t="s">
        <v>5692</v>
      </c>
      <c r="H74" s="7">
        <f t="shared" si="1"/>
        <v>62.0625</v>
      </c>
      <c r="I74" s="7">
        <v>9.93</v>
      </c>
    </row>
    <row r="75" spans="1:9">
      <c r="A75" t="s">
        <v>5458</v>
      </c>
      <c r="B75" s="1">
        <v>42307</v>
      </c>
      <c r="C75" t="s">
        <v>5459</v>
      </c>
      <c r="D75">
        <v>1</v>
      </c>
      <c r="E75" t="s">
        <v>5450</v>
      </c>
      <c r="F75" t="s">
        <v>5354</v>
      </c>
      <c r="G75" t="s">
        <v>5692</v>
      </c>
      <c r="H75" s="7">
        <f t="shared" si="1"/>
        <v>62.0625</v>
      </c>
      <c r="I75" s="7">
        <v>9.93</v>
      </c>
    </row>
    <row r="76" spans="1:9">
      <c r="A76" t="s">
        <v>379</v>
      </c>
      <c r="B76" s="1">
        <v>42291</v>
      </c>
      <c r="C76" t="s">
        <v>5226</v>
      </c>
      <c r="D76">
        <v>1</v>
      </c>
      <c r="E76" t="s">
        <v>7231</v>
      </c>
      <c r="F76" t="s">
        <v>7230</v>
      </c>
      <c r="G76" t="s">
        <v>7231</v>
      </c>
      <c r="H76" s="7">
        <f t="shared" si="1"/>
        <v>300</v>
      </c>
      <c r="I76" s="7">
        <v>48</v>
      </c>
    </row>
    <row r="77" spans="1:9">
      <c r="A77" t="s">
        <v>5472</v>
      </c>
      <c r="B77" s="1">
        <v>42308</v>
      </c>
      <c r="C77" t="s">
        <v>5473</v>
      </c>
      <c r="D77">
        <v>1</v>
      </c>
      <c r="E77" t="s">
        <v>5474</v>
      </c>
      <c r="F77" s="139" t="s">
        <v>6585</v>
      </c>
      <c r="G77" t="s">
        <v>5672</v>
      </c>
      <c r="H77" s="7">
        <f t="shared" si="1"/>
        <v>334.5</v>
      </c>
      <c r="I77" s="7">
        <v>53.52</v>
      </c>
    </row>
    <row r="78" spans="1:9">
      <c r="A78" t="s">
        <v>373</v>
      </c>
      <c r="B78" s="1">
        <v>42278</v>
      </c>
      <c r="C78" t="s">
        <v>5219</v>
      </c>
      <c r="D78">
        <v>1</v>
      </c>
      <c r="E78" t="s">
        <v>4786</v>
      </c>
      <c r="F78" t="s">
        <v>5637</v>
      </c>
      <c r="G78" t="s">
        <v>4786</v>
      </c>
      <c r="H78" s="7">
        <f t="shared" si="1"/>
        <v>60.3125</v>
      </c>
      <c r="I78" s="7">
        <v>9.65</v>
      </c>
    </row>
    <row r="79" spans="1:9">
      <c r="A79" t="s">
        <v>5224</v>
      </c>
      <c r="B79" s="1">
        <v>42278</v>
      </c>
      <c r="C79" t="s">
        <v>5225</v>
      </c>
      <c r="D79">
        <v>1</v>
      </c>
      <c r="E79" t="s">
        <v>4786</v>
      </c>
      <c r="F79" t="s">
        <v>5637</v>
      </c>
      <c r="G79" t="s">
        <v>4786</v>
      </c>
      <c r="H79" s="7">
        <f t="shared" si="1"/>
        <v>51.749999999999993</v>
      </c>
      <c r="I79" s="7">
        <v>8.2799999999999994</v>
      </c>
    </row>
    <row r="80" spans="1:9">
      <c r="A80" t="s">
        <v>5136</v>
      </c>
      <c r="B80" s="1">
        <v>42304</v>
      </c>
      <c r="C80" t="s">
        <v>5137</v>
      </c>
      <c r="D80">
        <v>1</v>
      </c>
      <c r="E80" t="s">
        <v>5138</v>
      </c>
      <c r="F80" s="85" t="s">
        <v>5673</v>
      </c>
      <c r="G80" t="s">
        <v>5674</v>
      </c>
      <c r="H80" s="7">
        <f t="shared" si="1"/>
        <v>206605.24999999997</v>
      </c>
      <c r="I80" s="7">
        <v>33056.839999999997</v>
      </c>
    </row>
    <row r="81" spans="1:12">
      <c r="A81" t="s">
        <v>5428</v>
      </c>
      <c r="B81" s="1">
        <v>42307</v>
      </c>
      <c r="C81" t="s">
        <v>5429</v>
      </c>
      <c r="D81">
        <v>1</v>
      </c>
      <c r="E81" t="s">
        <v>7233</v>
      </c>
      <c r="F81" t="s">
        <v>7232</v>
      </c>
      <c r="G81" t="s">
        <v>7233</v>
      </c>
      <c r="H81" s="7">
        <f t="shared" si="1"/>
        <v>18.9375</v>
      </c>
      <c r="I81" s="7">
        <v>3.03</v>
      </c>
    </row>
    <row r="82" spans="1:12">
      <c r="A82" t="s">
        <v>5428</v>
      </c>
      <c r="B82" s="1">
        <v>42307</v>
      </c>
      <c r="C82" t="s">
        <v>5429</v>
      </c>
      <c r="D82">
        <v>1</v>
      </c>
      <c r="E82" t="s">
        <v>5430</v>
      </c>
      <c r="F82" t="s">
        <v>5430</v>
      </c>
      <c r="G82" t="s">
        <v>5675</v>
      </c>
      <c r="H82" s="7">
        <f t="shared" si="1"/>
        <v>25.874999999999996</v>
      </c>
      <c r="I82" s="7">
        <v>4.1399999999999997</v>
      </c>
    </row>
    <row r="83" spans="1:12">
      <c r="A83" t="s">
        <v>5388</v>
      </c>
      <c r="B83" s="1">
        <v>42308</v>
      </c>
      <c r="C83" t="s">
        <v>5389</v>
      </c>
      <c r="D83">
        <v>1</v>
      </c>
      <c r="E83" t="s">
        <v>5390</v>
      </c>
      <c r="F83" s="19" t="s">
        <v>5330</v>
      </c>
      <c r="G83" s="19" t="s">
        <v>5693</v>
      </c>
      <c r="H83" s="7">
        <f t="shared" si="1"/>
        <v>47.4375</v>
      </c>
      <c r="I83" s="7">
        <v>7.59</v>
      </c>
    </row>
    <row r="84" spans="1:12">
      <c r="A84" t="s">
        <v>5498</v>
      </c>
      <c r="B84" s="1">
        <v>42308</v>
      </c>
      <c r="C84" t="s">
        <v>5499</v>
      </c>
      <c r="D84">
        <v>1</v>
      </c>
      <c r="E84" t="s">
        <v>2221</v>
      </c>
      <c r="F84" t="s">
        <v>2221</v>
      </c>
      <c r="G84" t="s">
        <v>5676</v>
      </c>
      <c r="H84" s="7">
        <f t="shared" si="1"/>
        <v>500</v>
      </c>
      <c r="I84" s="7">
        <v>80</v>
      </c>
    </row>
    <row r="85" spans="1:12">
      <c r="A85" t="s">
        <v>5350</v>
      </c>
      <c r="B85" s="1">
        <v>42305</v>
      </c>
      <c r="C85" t="s">
        <v>5348</v>
      </c>
      <c r="D85">
        <v>1</v>
      </c>
      <c r="E85" t="s">
        <v>5351</v>
      </c>
      <c r="F85" s="19" t="s">
        <v>714</v>
      </c>
      <c r="G85" s="19" t="s">
        <v>715</v>
      </c>
      <c r="H85" s="100">
        <v>587.9375</v>
      </c>
      <c r="I85" s="100">
        <v>94.07</v>
      </c>
      <c r="J85" s="7"/>
      <c r="K85" s="7"/>
    </row>
    <row r="86" spans="1:12">
      <c r="A86" t="s">
        <v>5350</v>
      </c>
      <c r="B86" s="1">
        <v>42305</v>
      </c>
      <c r="C86" t="s">
        <v>5348</v>
      </c>
      <c r="D86">
        <v>1</v>
      </c>
      <c r="E86" t="s">
        <v>5351</v>
      </c>
      <c r="F86" s="19" t="s">
        <v>2755</v>
      </c>
      <c r="G86" s="19" t="s">
        <v>7234</v>
      </c>
      <c r="H86" s="7">
        <v>120.68749999999999</v>
      </c>
      <c r="I86" s="7">
        <v>19.309999999999999</v>
      </c>
    </row>
    <row r="87" spans="1:12">
      <c r="A87" t="s">
        <v>5350</v>
      </c>
      <c r="B87" s="1">
        <v>42305</v>
      </c>
      <c r="C87" t="s">
        <v>5348</v>
      </c>
      <c r="D87">
        <v>1</v>
      </c>
      <c r="E87" t="s">
        <v>5351</v>
      </c>
      <c r="F87" s="19" t="s">
        <v>716</v>
      </c>
      <c r="G87" s="19" t="s">
        <v>717</v>
      </c>
      <c r="H87" s="7">
        <v>1771.875</v>
      </c>
      <c r="I87" s="7">
        <v>283.5</v>
      </c>
    </row>
    <row r="88" spans="1:12">
      <c r="A88" t="s">
        <v>5350</v>
      </c>
      <c r="B88" s="1">
        <v>42305</v>
      </c>
      <c r="C88" t="s">
        <v>5348</v>
      </c>
      <c r="D88">
        <v>1</v>
      </c>
      <c r="E88" t="s">
        <v>5351</v>
      </c>
      <c r="F88" s="19" t="s">
        <v>2736</v>
      </c>
      <c r="G88" s="25" t="s">
        <v>2737</v>
      </c>
      <c r="H88" s="7">
        <v>125.875</v>
      </c>
      <c r="I88" s="7">
        <v>20.14</v>
      </c>
    </row>
    <row r="89" spans="1:12">
      <c r="A89" t="s">
        <v>5350</v>
      </c>
      <c r="B89" s="1">
        <v>42305</v>
      </c>
      <c r="C89" t="s">
        <v>5348</v>
      </c>
      <c r="D89">
        <v>1</v>
      </c>
      <c r="E89" t="s">
        <v>5351</v>
      </c>
      <c r="F89" s="19" t="s">
        <v>2736</v>
      </c>
      <c r="G89" s="19" t="s">
        <v>2737</v>
      </c>
      <c r="H89" s="7">
        <v>129.3125</v>
      </c>
      <c r="I89" s="7">
        <v>20.69</v>
      </c>
      <c r="J89" s="60">
        <f>2735.69-H85-H86-H87-H88-H89</f>
        <v>2.5000000000545697E-3</v>
      </c>
      <c r="K89" s="60">
        <f>437.71-I85-I86-I87-I88-I89</f>
        <v>0</v>
      </c>
    </row>
    <row r="90" spans="1:12">
      <c r="A90" t="s">
        <v>5347</v>
      </c>
      <c r="B90" s="1">
        <v>42300</v>
      </c>
      <c r="C90" t="s">
        <v>5348</v>
      </c>
      <c r="D90">
        <v>1</v>
      </c>
      <c r="E90" t="s">
        <v>5349</v>
      </c>
      <c r="F90" s="19" t="s">
        <v>714</v>
      </c>
      <c r="G90" s="19" t="s">
        <v>715</v>
      </c>
      <c r="H90" s="100">
        <f>+I90/0.16</f>
        <v>588.06249999999989</v>
      </c>
      <c r="I90" s="100">
        <f>94.07+0.02</f>
        <v>94.089999999999989</v>
      </c>
      <c r="J90" s="7"/>
      <c r="K90" s="7"/>
    </row>
    <row r="91" spans="1:12">
      <c r="A91" t="s">
        <v>5347</v>
      </c>
      <c r="B91" s="1">
        <v>42300</v>
      </c>
      <c r="C91" t="s">
        <v>5348</v>
      </c>
      <c r="D91">
        <v>1</v>
      </c>
      <c r="E91" t="s">
        <v>5349</v>
      </c>
      <c r="F91" s="19" t="s">
        <v>2755</v>
      </c>
      <c r="G91" s="19" t="s">
        <v>7234</v>
      </c>
      <c r="H91" s="100">
        <v>125</v>
      </c>
      <c r="I91" s="100">
        <v>20</v>
      </c>
    </row>
    <row r="92" spans="1:12">
      <c r="A92" t="s">
        <v>5347</v>
      </c>
      <c r="B92" s="1">
        <v>42300</v>
      </c>
      <c r="C92" t="s">
        <v>5348</v>
      </c>
      <c r="D92">
        <v>1</v>
      </c>
      <c r="E92" t="s">
        <v>5349</v>
      </c>
      <c r="F92" s="19" t="s">
        <v>716</v>
      </c>
      <c r="G92" s="19" t="s">
        <v>717</v>
      </c>
      <c r="H92" s="100">
        <v>2953.125</v>
      </c>
      <c r="I92" s="100">
        <v>472.5</v>
      </c>
    </row>
    <row r="93" spans="1:12">
      <c r="A93" t="s">
        <v>5347</v>
      </c>
      <c r="B93" s="1">
        <v>42300</v>
      </c>
      <c r="C93" t="s">
        <v>5348</v>
      </c>
      <c r="D93">
        <v>1</v>
      </c>
      <c r="E93" t="s">
        <v>5349</v>
      </c>
      <c r="F93" s="19" t="s">
        <v>3689</v>
      </c>
      <c r="G93" s="19" t="s">
        <v>6294</v>
      </c>
      <c r="H93" s="100">
        <v>129.3125</v>
      </c>
      <c r="I93" s="100">
        <v>20.69</v>
      </c>
    </row>
    <row r="94" spans="1:12">
      <c r="A94" t="s">
        <v>5347</v>
      </c>
      <c r="B94" s="1">
        <v>42300</v>
      </c>
      <c r="C94" t="s">
        <v>5348</v>
      </c>
      <c r="D94">
        <v>1</v>
      </c>
      <c r="E94" t="s">
        <v>5349</v>
      </c>
      <c r="F94" s="19" t="s">
        <v>2736</v>
      </c>
      <c r="G94" s="19" t="s">
        <v>2737</v>
      </c>
      <c r="H94" s="100">
        <v>125</v>
      </c>
      <c r="I94" s="100">
        <v>20</v>
      </c>
    </row>
    <row r="95" spans="1:12">
      <c r="A95" t="s">
        <v>5347</v>
      </c>
      <c r="B95" s="1">
        <v>42300</v>
      </c>
      <c r="C95" t="s">
        <v>5348</v>
      </c>
      <c r="D95">
        <v>1</v>
      </c>
      <c r="E95" t="s">
        <v>5349</v>
      </c>
      <c r="F95" s="19" t="s">
        <v>2736</v>
      </c>
      <c r="G95" s="19" t="s">
        <v>2737</v>
      </c>
      <c r="H95" s="100">
        <v>120.68749999999999</v>
      </c>
      <c r="I95" s="100">
        <v>19.309999999999999</v>
      </c>
    </row>
    <row r="96" spans="1:12">
      <c r="A96" t="s">
        <v>5347</v>
      </c>
      <c r="B96" s="1">
        <v>42300</v>
      </c>
      <c r="C96" t="s">
        <v>5348</v>
      </c>
      <c r="D96">
        <v>1</v>
      </c>
      <c r="E96" t="s">
        <v>5349</v>
      </c>
      <c r="F96" s="19" t="s">
        <v>7235</v>
      </c>
      <c r="G96" s="19" t="s">
        <v>7236</v>
      </c>
      <c r="H96" s="100">
        <v>76.625</v>
      </c>
      <c r="I96" s="100">
        <v>12.26</v>
      </c>
      <c r="J96" s="60">
        <f>4117.81-H90-H91-H92-H93-H94-H95-H96</f>
        <v>-2.4999999995856115E-3</v>
      </c>
      <c r="K96" s="60">
        <f>658.85-I90-I91-I92-I93-I94-I95-I96</f>
        <v>0</v>
      </c>
      <c r="L96" t="s">
        <v>960</v>
      </c>
    </row>
    <row r="97" spans="1:9">
      <c r="A97" t="s">
        <v>5496</v>
      </c>
      <c r="B97" s="1">
        <v>42307</v>
      </c>
      <c r="C97" t="s">
        <v>5497</v>
      </c>
      <c r="D97">
        <v>1</v>
      </c>
      <c r="E97" t="s">
        <v>895</v>
      </c>
      <c r="F97" t="s">
        <v>895</v>
      </c>
      <c r="G97" t="s">
        <v>5677</v>
      </c>
      <c r="H97" s="7">
        <f t="shared" si="1"/>
        <v>81.875</v>
      </c>
      <c r="I97" s="7">
        <v>13.1</v>
      </c>
    </row>
    <row r="98" spans="1:9">
      <c r="A98" t="s">
        <v>5460</v>
      </c>
      <c r="B98" s="1">
        <v>42307</v>
      </c>
      <c r="C98" t="s">
        <v>5461</v>
      </c>
      <c r="D98">
        <v>1</v>
      </c>
      <c r="E98" t="s">
        <v>895</v>
      </c>
      <c r="F98" t="s">
        <v>895</v>
      </c>
      <c r="G98" t="s">
        <v>5677</v>
      </c>
      <c r="H98" s="7">
        <f t="shared" si="1"/>
        <v>94.8125</v>
      </c>
      <c r="I98" s="7">
        <v>15.17</v>
      </c>
    </row>
    <row r="99" spans="1:9">
      <c r="A99" t="s">
        <v>976</v>
      </c>
      <c r="B99" s="1">
        <v>42282</v>
      </c>
      <c r="C99" t="s">
        <v>4962</v>
      </c>
      <c r="D99">
        <v>1</v>
      </c>
      <c r="E99" t="s">
        <v>1676</v>
      </c>
      <c r="F99" s="85" t="s">
        <v>727</v>
      </c>
      <c r="G99" t="s">
        <v>728</v>
      </c>
      <c r="H99" s="7">
        <f t="shared" si="1"/>
        <v>278610.375</v>
      </c>
      <c r="I99" s="7">
        <v>44577.66</v>
      </c>
    </row>
    <row r="100" spans="1:9">
      <c r="A100" t="s">
        <v>2589</v>
      </c>
      <c r="B100" s="1">
        <v>42283</v>
      </c>
      <c r="C100" t="s">
        <v>5551</v>
      </c>
      <c r="D100">
        <v>1</v>
      </c>
      <c r="E100" t="s">
        <v>728</v>
      </c>
      <c r="F100" s="58" t="s">
        <v>727</v>
      </c>
      <c r="G100" t="s">
        <v>728</v>
      </c>
      <c r="H100" s="7">
        <f t="shared" si="1"/>
        <v>1100</v>
      </c>
      <c r="I100" s="7">
        <v>176</v>
      </c>
    </row>
    <row r="101" spans="1:9">
      <c r="A101" t="s">
        <v>2048</v>
      </c>
      <c r="B101" s="1">
        <v>42283</v>
      </c>
      <c r="C101" t="s">
        <v>5554</v>
      </c>
      <c r="D101">
        <v>1</v>
      </c>
      <c r="E101" t="s">
        <v>1436</v>
      </c>
      <c r="F101" s="58" t="s">
        <v>1551</v>
      </c>
      <c r="G101" t="s">
        <v>1436</v>
      </c>
      <c r="H101" s="7">
        <f t="shared" si="1"/>
        <v>2415.9375</v>
      </c>
      <c r="I101" s="7">
        <v>386.55</v>
      </c>
    </row>
    <row r="102" spans="1:9">
      <c r="A102" t="s">
        <v>5445</v>
      </c>
      <c r="B102" s="1">
        <v>42307</v>
      </c>
      <c r="C102" t="s">
        <v>5446</v>
      </c>
      <c r="D102">
        <v>1</v>
      </c>
      <c r="E102" t="s">
        <v>5447</v>
      </c>
      <c r="F102" t="s">
        <v>5365</v>
      </c>
      <c r="G102" t="s">
        <v>5678</v>
      </c>
      <c r="H102" s="7">
        <f t="shared" si="1"/>
        <v>100.875</v>
      </c>
      <c r="I102" s="7">
        <v>16.14</v>
      </c>
    </row>
    <row r="103" spans="1:9">
      <c r="A103" t="s">
        <v>5445</v>
      </c>
      <c r="B103" s="1">
        <v>42307</v>
      </c>
      <c r="C103" t="s">
        <v>5446</v>
      </c>
      <c r="D103">
        <v>1</v>
      </c>
      <c r="E103" s="19" t="s">
        <v>5693</v>
      </c>
      <c r="F103" t="s">
        <v>5330</v>
      </c>
      <c r="G103" s="19" t="s">
        <v>5693</v>
      </c>
      <c r="H103" s="7">
        <f t="shared" si="1"/>
        <v>176.75</v>
      </c>
      <c r="I103" s="7">
        <v>28.28</v>
      </c>
    </row>
    <row r="104" spans="1:9">
      <c r="A104" t="s">
        <v>5363</v>
      </c>
      <c r="B104" s="1">
        <v>42307</v>
      </c>
      <c r="C104" t="s">
        <v>5364</v>
      </c>
      <c r="D104">
        <v>1</v>
      </c>
      <c r="E104" t="s">
        <v>5365</v>
      </c>
      <c r="F104" t="s">
        <v>5365</v>
      </c>
      <c r="G104" t="s">
        <v>5678</v>
      </c>
      <c r="H104" s="7">
        <f t="shared" si="1"/>
        <v>70.6875</v>
      </c>
      <c r="I104" s="7">
        <v>11.31</v>
      </c>
    </row>
    <row r="105" spans="1:9">
      <c r="A105" t="s">
        <v>5440</v>
      </c>
      <c r="B105" s="1">
        <v>42307</v>
      </c>
      <c r="C105" t="s">
        <v>5441</v>
      </c>
      <c r="D105">
        <v>1</v>
      </c>
      <c r="E105" t="s">
        <v>5365</v>
      </c>
      <c r="F105" t="s">
        <v>5365</v>
      </c>
      <c r="G105" t="s">
        <v>5678</v>
      </c>
      <c r="H105" s="7">
        <f t="shared" si="1"/>
        <v>100.875</v>
      </c>
      <c r="I105" s="7">
        <v>16.14</v>
      </c>
    </row>
    <row r="106" spans="1:9">
      <c r="A106" t="s">
        <v>5339</v>
      </c>
      <c r="B106" s="1">
        <v>42307</v>
      </c>
      <c r="C106" t="s">
        <v>5340</v>
      </c>
      <c r="D106">
        <v>1</v>
      </c>
      <c r="E106" t="s">
        <v>759</v>
      </c>
      <c r="F106" t="s">
        <v>759</v>
      </c>
      <c r="G106" t="s">
        <v>5679</v>
      </c>
      <c r="H106" s="7">
        <f t="shared" si="1"/>
        <v>155.0625</v>
      </c>
      <c r="I106" s="7">
        <v>24.81</v>
      </c>
    </row>
    <row r="107" spans="1:9">
      <c r="A107" t="s">
        <v>2592</v>
      </c>
      <c r="B107" s="1">
        <v>42283</v>
      </c>
      <c r="C107" t="s">
        <v>3606</v>
      </c>
      <c r="D107">
        <v>2</v>
      </c>
      <c r="E107" t="s">
        <v>476</v>
      </c>
      <c r="F107" s="58" t="s">
        <v>730</v>
      </c>
      <c r="G107" t="s">
        <v>476</v>
      </c>
      <c r="H107" s="7">
        <f t="shared" si="1"/>
        <v>7413.8125</v>
      </c>
      <c r="I107" s="7">
        <v>1186.21</v>
      </c>
    </row>
    <row r="108" spans="1:9">
      <c r="A108" t="s">
        <v>539</v>
      </c>
      <c r="B108" s="1">
        <v>42298</v>
      </c>
      <c r="C108" t="s">
        <v>5599</v>
      </c>
      <c r="D108">
        <v>2</v>
      </c>
      <c r="E108" t="s">
        <v>476</v>
      </c>
      <c r="F108" s="58" t="s">
        <v>730</v>
      </c>
      <c r="G108" t="s">
        <v>476</v>
      </c>
      <c r="H108" s="7">
        <f t="shared" si="1"/>
        <v>2500</v>
      </c>
      <c r="I108" s="7">
        <v>400</v>
      </c>
    </row>
    <row r="109" spans="1:9">
      <c r="A109" t="s">
        <v>370</v>
      </c>
      <c r="B109" s="1">
        <v>42284</v>
      </c>
      <c r="C109" t="s">
        <v>5215</v>
      </c>
      <c r="D109">
        <v>1</v>
      </c>
      <c r="E109" t="s">
        <v>576</v>
      </c>
      <c r="F109" s="139" t="s">
        <v>704</v>
      </c>
      <c r="G109" t="s">
        <v>576</v>
      </c>
      <c r="H109" s="7">
        <f t="shared" si="1"/>
        <v>215.49999999999997</v>
      </c>
      <c r="I109" s="7">
        <v>34.479999999999997</v>
      </c>
    </row>
    <row r="110" spans="1:9">
      <c r="A110" t="s">
        <v>367</v>
      </c>
      <c r="B110" s="1">
        <v>42287</v>
      </c>
      <c r="C110" t="s">
        <v>5211</v>
      </c>
      <c r="D110">
        <v>1</v>
      </c>
      <c r="E110" t="s">
        <v>576</v>
      </c>
      <c r="F110" s="139" t="s">
        <v>704</v>
      </c>
      <c r="G110" t="s">
        <v>576</v>
      </c>
      <c r="H110" s="7">
        <f t="shared" si="1"/>
        <v>215.49999999999997</v>
      </c>
      <c r="I110" s="7">
        <v>34.479999999999997</v>
      </c>
    </row>
    <row r="111" spans="1:9">
      <c r="A111" t="s">
        <v>382</v>
      </c>
      <c r="B111" s="1">
        <v>42291</v>
      </c>
      <c r="C111" t="s">
        <v>5230</v>
      </c>
      <c r="D111">
        <v>1</v>
      </c>
      <c r="E111" t="s">
        <v>576</v>
      </c>
      <c r="F111" s="139" t="s">
        <v>704</v>
      </c>
      <c r="G111" t="s">
        <v>576</v>
      </c>
      <c r="H111" s="7">
        <f t="shared" si="1"/>
        <v>431.0625</v>
      </c>
      <c r="I111" s="7">
        <v>68.97</v>
      </c>
    </row>
    <row r="112" spans="1:9">
      <c r="A112" t="s">
        <v>5199</v>
      </c>
      <c r="B112" s="1">
        <v>42308</v>
      </c>
      <c r="C112" t="s">
        <v>4200</v>
      </c>
      <c r="D112">
        <v>1</v>
      </c>
      <c r="E112" t="s">
        <v>5200</v>
      </c>
      <c r="F112" s="88" t="s">
        <v>741</v>
      </c>
      <c r="G112" s="45" t="s">
        <v>742</v>
      </c>
      <c r="H112" s="7">
        <f t="shared" si="1"/>
        <v>140</v>
      </c>
      <c r="I112" s="7">
        <v>22.4</v>
      </c>
    </row>
    <row r="113" spans="1:9">
      <c r="A113" t="s">
        <v>5201</v>
      </c>
      <c r="B113" s="1">
        <v>42308</v>
      </c>
      <c r="C113" t="s">
        <v>5202</v>
      </c>
      <c r="D113">
        <v>1</v>
      </c>
      <c r="E113" t="s">
        <v>5203</v>
      </c>
      <c r="F113" s="88" t="s">
        <v>743</v>
      </c>
      <c r="G113" s="45" t="s">
        <v>744</v>
      </c>
      <c r="H113" s="7">
        <f t="shared" si="1"/>
        <v>52</v>
      </c>
      <c r="I113" s="7">
        <v>8.32</v>
      </c>
    </row>
    <row r="114" spans="1:9">
      <c r="A114" t="s">
        <v>5206</v>
      </c>
      <c r="B114" s="1">
        <v>42308</v>
      </c>
      <c r="C114" t="s">
        <v>5207</v>
      </c>
      <c r="D114">
        <v>1</v>
      </c>
      <c r="E114" t="s">
        <v>5208</v>
      </c>
      <c r="F114" s="88" t="s">
        <v>739</v>
      </c>
      <c r="G114" s="45" t="s">
        <v>740</v>
      </c>
      <c r="H114" s="7">
        <f t="shared" si="1"/>
        <v>26</v>
      </c>
      <c r="I114" s="7">
        <v>4.16</v>
      </c>
    </row>
    <row r="115" spans="1:9">
      <c r="A115" t="s">
        <v>5238</v>
      </c>
      <c r="B115" s="1">
        <v>42308</v>
      </c>
      <c r="C115" t="s">
        <v>4422</v>
      </c>
      <c r="D115">
        <v>1</v>
      </c>
      <c r="E115" t="s">
        <v>5239</v>
      </c>
      <c r="F115" s="85" t="s">
        <v>733</v>
      </c>
      <c r="G115" s="107" t="s">
        <v>734</v>
      </c>
      <c r="H115" s="7">
        <f t="shared" si="1"/>
        <v>2239.4375</v>
      </c>
      <c r="I115" s="7">
        <v>358.31</v>
      </c>
    </row>
    <row r="116" spans="1:9">
      <c r="A116" t="s">
        <v>4792</v>
      </c>
      <c r="B116" s="1">
        <v>42308</v>
      </c>
      <c r="C116" t="s">
        <v>5204</v>
      </c>
      <c r="D116">
        <v>1</v>
      </c>
      <c r="E116" t="s">
        <v>5205</v>
      </c>
      <c r="F116" s="88" t="s">
        <v>739</v>
      </c>
      <c r="G116" s="45" t="s">
        <v>740</v>
      </c>
      <c r="H116" s="7">
        <f t="shared" si="1"/>
        <v>7951.8125</v>
      </c>
      <c r="I116" s="7">
        <v>1272.29</v>
      </c>
    </row>
    <row r="117" spans="1:9">
      <c r="A117" t="s">
        <v>2040</v>
      </c>
      <c r="B117" s="1">
        <v>42279</v>
      </c>
      <c r="C117" t="s">
        <v>5540</v>
      </c>
      <c r="D117">
        <v>1</v>
      </c>
      <c r="E117" t="s">
        <v>428</v>
      </c>
      <c r="F117" s="89" t="s">
        <v>790</v>
      </c>
      <c r="G117" t="s">
        <v>428</v>
      </c>
      <c r="H117" s="7">
        <f t="shared" si="1"/>
        <v>2208.3125</v>
      </c>
      <c r="I117" s="7">
        <v>353.33</v>
      </c>
    </row>
    <row r="118" spans="1:9">
      <c r="A118" t="s">
        <v>1333</v>
      </c>
      <c r="B118" s="1">
        <v>42279</v>
      </c>
      <c r="C118" t="s">
        <v>5543</v>
      </c>
      <c r="D118">
        <v>1</v>
      </c>
      <c r="E118" t="s">
        <v>428</v>
      </c>
      <c r="F118" s="90" t="s">
        <v>790</v>
      </c>
      <c r="G118" s="19" t="s">
        <v>428</v>
      </c>
      <c r="H118" s="7">
        <f t="shared" si="1"/>
        <v>163425.5625</v>
      </c>
      <c r="I118" s="7">
        <v>26148.09</v>
      </c>
    </row>
    <row r="119" spans="1:9">
      <c r="A119" t="s">
        <v>3109</v>
      </c>
      <c r="B119" s="1">
        <v>42282</v>
      </c>
      <c r="C119" t="s">
        <v>5544</v>
      </c>
      <c r="D119">
        <v>1</v>
      </c>
      <c r="E119" t="s">
        <v>428</v>
      </c>
      <c r="F119" s="89" t="s">
        <v>790</v>
      </c>
      <c r="G119" t="s">
        <v>428</v>
      </c>
      <c r="H119" s="7">
        <f t="shared" si="1"/>
        <v>163830.1875</v>
      </c>
      <c r="I119" s="7">
        <v>26212.83</v>
      </c>
    </row>
    <row r="120" spans="1:9">
      <c r="A120" t="s">
        <v>4106</v>
      </c>
      <c r="B120" s="1">
        <v>42282</v>
      </c>
      <c r="C120" t="s">
        <v>5545</v>
      </c>
      <c r="D120">
        <v>1</v>
      </c>
      <c r="E120" t="s">
        <v>428</v>
      </c>
      <c r="F120" s="89" t="s">
        <v>790</v>
      </c>
      <c r="G120" t="s">
        <v>428</v>
      </c>
      <c r="H120" s="7">
        <f t="shared" si="1"/>
        <v>30000</v>
      </c>
      <c r="I120" s="7">
        <v>4800</v>
      </c>
    </row>
    <row r="121" spans="1:9">
      <c r="A121" t="s">
        <v>473</v>
      </c>
      <c r="B121" s="1">
        <v>42286</v>
      </c>
      <c r="C121" t="s">
        <v>5565</v>
      </c>
      <c r="D121">
        <v>1</v>
      </c>
      <c r="E121" t="s">
        <v>428</v>
      </c>
      <c r="F121" s="89" t="s">
        <v>790</v>
      </c>
      <c r="G121" t="s">
        <v>428</v>
      </c>
      <c r="H121" s="7">
        <f t="shared" si="1"/>
        <v>96987.5625</v>
      </c>
      <c r="I121" s="7">
        <v>15518.01</v>
      </c>
    </row>
    <row r="122" spans="1:9">
      <c r="A122" t="s">
        <v>2079</v>
      </c>
      <c r="B122" s="1">
        <v>42289</v>
      </c>
      <c r="C122" t="s">
        <v>5567</v>
      </c>
      <c r="D122">
        <v>1</v>
      </c>
      <c r="E122" t="s">
        <v>428</v>
      </c>
      <c r="F122" s="89" t="s">
        <v>790</v>
      </c>
      <c r="G122" t="s">
        <v>428</v>
      </c>
      <c r="H122" s="7">
        <f t="shared" si="1"/>
        <v>31877.3125</v>
      </c>
      <c r="I122" s="7">
        <v>5100.37</v>
      </c>
    </row>
    <row r="123" spans="1:9">
      <c r="A123" t="s">
        <v>2632</v>
      </c>
      <c r="B123" s="1">
        <v>42289</v>
      </c>
      <c r="C123" t="s">
        <v>5568</v>
      </c>
      <c r="D123">
        <v>1</v>
      </c>
      <c r="E123" t="s">
        <v>428</v>
      </c>
      <c r="F123" s="89" t="s">
        <v>790</v>
      </c>
      <c r="G123" t="s">
        <v>428</v>
      </c>
      <c r="H123" s="7">
        <f t="shared" si="1"/>
        <v>65465.5625</v>
      </c>
      <c r="I123" s="7">
        <v>10474.49</v>
      </c>
    </row>
    <row r="124" spans="1:9">
      <c r="A124" t="s">
        <v>2104</v>
      </c>
      <c r="B124" s="1">
        <v>42291</v>
      </c>
      <c r="C124" t="s">
        <v>5574</v>
      </c>
      <c r="D124">
        <v>1</v>
      </c>
      <c r="E124" t="s">
        <v>428</v>
      </c>
      <c r="F124" t="s">
        <v>790</v>
      </c>
      <c r="G124" t="s">
        <v>428</v>
      </c>
      <c r="H124" s="7">
        <f t="shared" si="1"/>
        <v>40836.1875</v>
      </c>
      <c r="I124" s="7">
        <v>6533.79</v>
      </c>
    </row>
    <row r="125" spans="1:9">
      <c r="A125" t="s">
        <v>2106</v>
      </c>
      <c r="B125" s="1">
        <v>42291</v>
      </c>
      <c r="C125" t="s">
        <v>5575</v>
      </c>
      <c r="D125">
        <v>1</v>
      </c>
      <c r="E125" t="s">
        <v>428</v>
      </c>
      <c r="F125" t="s">
        <v>790</v>
      </c>
      <c r="G125" t="s">
        <v>428</v>
      </c>
      <c r="H125" s="7">
        <f t="shared" si="1"/>
        <v>431368.9375</v>
      </c>
      <c r="I125" s="7">
        <v>69019.03</v>
      </c>
    </row>
    <row r="126" spans="1:9">
      <c r="A126" t="s">
        <v>2108</v>
      </c>
      <c r="B126" s="1">
        <v>42291</v>
      </c>
      <c r="C126" t="s">
        <v>5576</v>
      </c>
      <c r="D126">
        <v>1</v>
      </c>
      <c r="E126" t="s">
        <v>428</v>
      </c>
      <c r="F126" t="s">
        <v>790</v>
      </c>
      <c r="G126" t="s">
        <v>428</v>
      </c>
      <c r="H126" s="7">
        <f t="shared" si="1"/>
        <v>11291.1875</v>
      </c>
      <c r="I126" s="7">
        <v>1806.59</v>
      </c>
    </row>
    <row r="127" spans="1:9">
      <c r="A127" t="s">
        <v>2110</v>
      </c>
      <c r="B127" s="1">
        <v>42291</v>
      </c>
      <c r="C127" t="s">
        <v>5577</v>
      </c>
      <c r="D127">
        <v>1</v>
      </c>
      <c r="E127" t="s">
        <v>428</v>
      </c>
      <c r="F127" t="s">
        <v>790</v>
      </c>
      <c r="G127" t="s">
        <v>428</v>
      </c>
      <c r="H127" s="7">
        <f t="shared" si="1"/>
        <v>2200</v>
      </c>
      <c r="I127" s="7">
        <v>352</v>
      </c>
    </row>
    <row r="128" spans="1:9">
      <c r="A128" t="s">
        <v>1385</v>
      </c>
      <c r="B128" s="1">
        <v>42293</v>
      </c>
      <c r="C128" t="s">
        <v>5582</v>
      </c>
      <c r="D128">
        <v>1</v>
      </c>
      <c r="E128" t="s">
        <v>428</v>
      </c>
      <c r="F128" t="s">
        <v>790</v>
      </c>
      <c r="G128" t="s">
        <v>428</v>
      </c>
      <c r="H128" s="7">
        <f t="shared" si="1"/>
        <v>156648.25</v>
      </c>
      <c r="I128" s="7">
        <v>25063.72</v>
      </c>
    </row>
    <row r="129" spans="1:9">
      <c r="A129" t="s">
        <v>4165</v>
      </c>
      <c r="B129" s="1">
        <v>42296</v>
      </c>
      <c r="C129" t="s">
        <v>5584</v>
      </c>
      <c r="D129">
        <v>1</v>
      </c>
      <c r="E129" t="s">
        <v>428</v>
      </c>
      <c r="F129" s="19" t="s">
        <v>790</v>
      </c>
      <c r="G129" s="19" t="s">
        <v>428</v>
      </c>
      <c r="H129" s="7">
        <f t="shared" si="1"/>
        <v>45632.875</v>
      </c>
      <c r="I129" s="7">
        <v>7301.26</v>
      </c>
    </row>
    <row r="130" spans="1:9">
      <c r="A130" t="s">
        <v>2135</v>
      </c>
      <c r="B130" s="1">
        <v>42297</v>
      </c>
      <c r="C130" t="s">
        <v>5585</v>
      </c>
      <c r="D130">
        <v>1</v>
      </c>
      <c r="E130" t="s">
        <v>428</v>
      </c>
      <c r="F130" t="s">
        <v>790</v>
      </c>
      <c r="G130" t="s">
        <v>428</v>
      </c>
      <c r="H130" s="7">
        <f t="shared" si="1"/>
        <v>10772.375</v>
      </c>
      <c r="I130" s="7">
        <v>1723.58</v>
      </c>
    </row>
    <row r="131" spans="1:9">
      <c r="A131" t="s">
        <v>2658</v>
      </c>
      <c r="B131" s="1">
        <v>42299</v>
      </c>
      <c r="C131" t="s">
        <v>5589</v>
      </c>
      <c r="D131">
        <v>1</v>
      </c>
      <c r="E131" t="s">
        <v>428</v>
      </c>
      <c r="F131" s="19" t="s">
        <v>790</v>
      </c>
      <c r="G131" s="19" t="s">
        <v>428</v>
      </c>
      <c r="H131" s="7">
        <f t="shared" si="1"/>
        <v>11974</v>
      </c>
      <c r="I131" s="7">
        <v>1915.84</v>
      </c>
    </row>
    <row r="132" spans="1:9">
      <c r="A132" t="s">
        <v>506</v>
      </c>
      <c r="B132" s="1">
        <v>42300</v>
      </c>
      <c r="C132" t="s">
        <v>5593</v>
      </c>
      <c r="D132">
        <v>1</v>
      </c>
      <c r="E132" t="s">
        <v>428</v>
      </c>
      <c r="F132" t="s">
        <v>790</v>
      </c>
      <c r="G132" t="s">
        <v>428</v>
      </c>
      <c r="H132" s="7">
        <f t="shared" si="1"/>
        <v>98188.625</v>
      </c>
      <c r="I132" s="7">
        <v>15710.18</v>
      </c>
    </row>
    <row r="133" spans="1:9">
      <c r="A133" t="s">
        <v>1469</v>
      </c>
      <c r="B133" s="1">
        <v>42306</v>
      </c>
      <c r="C133" t="s">
        <v>5611</v>
      </c>
      <c r="D133">
        <v>1</v>
      </c>
      <c r="E133" t="s">
        <v>428</v>
      </c>
      <c r="F133" s="91" t="s">
        <v>790</v>
      </c>
      <c r="G133" t="s">
        <v>428</v>
      </c>
      <c r="H133" s="7">
        <f t="shared" si="1"/>
        <v>1100</v>
      </c>
      <c r="I133" s="7">
        <v>176</v>
      </c>
    </row>
    <row r="134" spans="1:9">
      <c r="A134" t="s">
        <v>1470</v>
      </c>
      <c r="B134" s="1">
        <v>42307</v>
      </c>
      <c r="C134" t="s">
        <v>5614</v>
      </c>
      <c r="D134">
        <v>1</v>
      </c>
      <c r="E134" t="s">
        <v>428</v>
      </c>
      <c r="F134" s="19" t="s">
        <v>790</v>
      </c>
      <c r="G134" s="19" t="s">
        <v>428</v>
      </c>
      <c r="H134" s="7">
        <f t="shared" si="1"/>
        <v>4318</v>
      </c>
      <c r="I134" s="7">
        <v>690.88</v>
      </c>
    </row>
    <row r="135" spans="1:9">
      <c r="A135" t="s">
        <v>1481</v>
      </c>
      <c r="B135" s="1">
        <v>42307</v>
      </c>
      <c r="C135" t="s">
        <v>5618</v>
      </c>
      <c r="D135">
        <v>1</v>
      </c>
      <c r="E135" t="s">
        <v>428</v>
      </c>
      <c r="F135" s="19" t="s">
        <v>790</v>
      </c>
      <c r="G135" s="19" t="s">
        <v>428</v>
      </c>
      <c r="H135" s="7">
        <f t="shared" si="1"/>
        <v>210473.37499999997</v>
      </c>
      <c r="I135" s="7">
        <v>33675.74</v>
      </c>
    </row>
    <row r="136" spans="1:9">
      <c r="A136" t="s">
        <v>1483</v>
      </c>
      <c r="B136" s="1">
        <v>42307</v>
      </c>
      <c r="C136" t="s">
        <v>5619</v>
      </c>
      <c r="D136">
        <v>1</v>
      </c>
      <c r="E136" t="s">
        <v>428</v>
      </c>
      <c r="F136" s="19" t="s">
        <v>790</v>
      </c>
      <c r="G136" t="s">
        <v>428</v>
      </c>
      <c r="H136" s="7">
        <f t="shared" si="1"/>
        <v>260351.06249999997</v>
      </c>
      <c r="I136" s="7">
        <v>41656.17</v>
      </c>
    </row>
    <row r="137" spans="1:9">
      <c r="A137" t="s">
        <v>1485</v>
      </c>
      <c r="B137" s="1">
        <v>42307</v>
      </c>
      <c r="C137" t="s">
        <v>5620</v>
      </c>
      <c r="D137">
        <v>1</v>
      </c>
      <c r="E137" t="s">
        <v>428</v>
      </c>
      <c r="F137" s="19" t="s">
        <v>790</v>
      </c>
      <c r="G137" s="19" t="s">
        <v>428</v>
      </c>
      <c r="H137" s="7">
        <f t="shared" si="1"/>
        <v>1819.7500000000002</v>
      </c>
      <c r="I137" s="7">
        <v>291.16000000000003</v>
      </c>
    </row>
    <row r="138" spans="1:9">
      <c r="A138" t="s">
        <v>1487</v>
      </c>
      <c r="B138" s="1">
        <v>42307</v>
      </c>
      <c r="C138" t="s">
        <v>5621</v>
      </c>
      <c r="D138">
        <v>1</v>
      </c>
      <c r="E138" t="s">
        <v>428</v>
      </c>
      <c r="F138" s="19" t="s">
        <v>790</v>
      </c>
      <c r="G138" s="19" t="s">
        <v>428</v>
      </c>
      <c r="H138" s="7">
        <f t="shared" si="1"/>
        <v>324.3125</v>
      </c>
      <c r="I138" s="7">
        <v>51.89</v>
      </c>
    </row>
    <row r="139" spans="1:9">
      <c r="A139" t="s">
        <v>1490</v>
      </c>
      <c r="B139" s="1">
        <v>42305</v>
      </c>
      <c r="C139" t="s">
        <v>5622</v>
      </c>
      <c r="D139">
        <v>1</v>
      </c>
      <c r="E139" t="s">
        <v>428</v>
      </c>
      <c r="F139" s="19" t="s">
        <v>790</v>
      </c>
      <c r="G139" t="s">
        <v>428</v>
      </c>
      <c r="H139" s="7">
        <f t="shared" si="1"/>
        <v>11428.5</v>
      </c>
      <c r="I139" s="7">
        <v>1828.56</v>
      </c>
    </row>
    <row r="140" spans="1:9">
      <c r="A140" t="s">
        <v>5496</v>
      </c>
      <c r="B140" s="1">
        <v>42307</v>
      </c>
      <c r="C140" t="s">
        <v>5497</v>
      </c>
      <c r="D140">
        <v>1</v>
      </c>
      <c r="E140" t="s">
        <v>925</v>
      </c>
      <c r="F140" s="92" t="s">
        <v>925</v>
      </c>
      <c r="G140" s="92" t="s">
        <v>926</v>
      </c>
      <c r="H140" s="7">
        <f t="shared" si="1"/>
        <v>341.4375</v>
      </c>
      <c r="I140" s="7">
        <v>54.63</v>
      </c>
    </row>
    <row r="141" spans="1:9">
      <c r="A141" t="s">
        <v>5460</v>
      </c>
      <c r="B141" s="1">
        <v>42307</v>
      </c>
      <c r="C141" t="s">
        <v>5461</v>
      </c>
      <c r="D141">
        <v>1</v>
      </c>
      <c r="E141" t="s">
        <v>925</v>
      </c>
      <c r="F141" s="92" t="s">
        <v>925</v>
      </c>
      <c r="G141" s="92" t="s">
        <v>926</v>
      </c>
      <c r="H141" s="7">
        <f t="shared" si="1"/>
        <v>251.62499999999997</v>
      </c>
      <c r="I141" s="7">
        <v>40.26</v>
      </c>
    </row>
    <row r="142" spans="1:9">
      <c r="A142" t="s">
        <v>5415</v>
      </c>
      <c r="B142" s="1">
        <v>42307</v>
      </c>
      <c r="C142" t="s">
        <v>5416</v>
      </c>
      <c r="D142">
        <v>1</v>
      </c>
      <c r="E142" t="s">
        <v>5417</v>
      </c>
      <c r="F142" t="s">
        <v>5417</v>
      </c>
      <c r="G142" t="s">
        <v>5680</v>
      </c>
      <c r="H142" s="7">
        <f t="shared" si="1"/>
        <v>115.5</v>
      </c>
      <c r="I142" s="7">
        <v>18.48</v>
      </c>
    </row>
    <row r="143" spans="1:9">
      <c r="A143" t="s">
        <v>5327</v>
      </c>
      <c r="B143" s="1">
        <v>42307</v>
      </c>
      <c r="C143" t="s">
        <v>5328</v>
      </c>
      <c r="D143">
        <v>1</v>
      </c>
      <c r="E143" t="s">
        <v>3218</v>
      </c>
      <c r="F143" t="s">
        <v>3218</v>
      </c>
      <c r="G143" t="s">
        <v>5681</v>
      </c>
      <c r="H143" s="7">
        <f t="shared" si="1"/>
        <v>179.25</v>
      </c>
      <c r="I143" s="7">
        <v>28.68</v>
      </c>
    </row>
    <row r="144" spans="1:9">
      <c r="A144" t="s">
        <v>5327</v>
      </c>
      <c r="B144" s="1">
        <v>42307</v>
      </c>
      <c r="C144" t="s">
        <v>5328</v>
      </c>
      <c r="D144">
        <v>1</v>
      </c>
      <c r="E144" t="s">
        <v>4472</v>
      </c>
      <c r="F144" t="s">
        <v>4472</v>
      </c>
      <c r="G144" s="139" t="s">
        <v>7316</v>
      </c>
      <c r="H144" s="7">
        <f t="shared" si="1"/>
        <v>225.875</v>
      </c>
      <c r="I144" s="7">
        <v>36.14</v>
      </c>
    </row>
    <row r="145" spans="1:10">
      <c r="A145" t="s">
        <v>5452</v>
      </c>
      <c r="B145" s="1">
        <v>42307</v>
      </c>
      <c r="C145" t="s">
        <v>5453</v>
      </c>
      <c r="D145">
        <v>1</v>
      </c>
      <c r="E145" t="s">
        <v>727</v>
      </c>
      <c r="F145" s="19" t="s">
        <v>727</v>
      </c>
      <c r="G145" s="19" t="s">
        <v>728</v>
      </c>
      <c r="H145" s="7">
        <f t="shared" ref="H145:H208" si="2">+I145/0.16</f>
        <v>51.749999999999993</v>
      </c>
      <c r="I145" s="7">
        <v>8.2799999999999994</v>
      </c>
    </row>
    <row r="146" spans="1:10">
      <c r="A146" t="s">
        <v>5327</v>
      </c>
      <c r="B146" s="1">
        <v>42307</v>
      </c>
      <c r="C146" t="s">
        <v>5328</v>
      </c>
      <c r="D146">
        <v>1</v>
      </c>
      <c r="E146" t="s">
        <v>5329</v>
      </c>
      <c r="F146" t="s">
        <v>5329</v>
      </c>
      <c r="G146" t="s">
        <v>5682</v>
      </c>
      <c r="H146" s="7">
        <f t="shared" si="2"/>
        <v>91.375</v>
      </c>
      <c r="I146" s="7">
        <v>14.62</v>
      </c>
    </row>
    <row r="147" spans="1:10">
      <c r="A147" t="s">
        <v>5062</v>
      </c>
      <c r="B147" s="1">
        <v>42300</v>
      </c>
      <c r="C147" t="s">
        <v>5063</v>
      </c>
      <c r="D147">
        <v>1</v>
      </c>
      <c r="E147" t="s">
        <v>5064</v>
      </c>
      <c r="F147" s="85" t="s">
        <v>791</v>
      </c>
      <c r="G147" t="s">
        <v>5683</v>
      </c>
      <c r="H147" s="7">
        <f t="shared" si="2"/>
        <v>243817.8125</v>
      </c>
      <c r="I147" s="7">
        <v>39010.85</v>
      </c>
    </row>
    <row r="148" spans="1:10">
      <c r="A148" t="s">
        <v>5518</v>
      </c>
      <c r="B148" s="1">
        <v>42307</v>
      </c>
      <c r="C148" t="s">
        <v>5519</v>
      </c>
      <c r="D148">
        <v>1</v>
      </c>
      <c r="E148" t="s">
        <v>5520</v>
      </c>
      <c r="F148" s="58" t="s">
        <v>5684</v>
      </c>
      <c r="G148" s="19" t="s">
        <v>5685</v>
      </c>
      <c r="H148" s="7">
        <f t="shared" si="2"/>
        <v>1110.0625</v>
      </c>
      <c r="I148" s="7">
        <v>177.61</v>
      </c>
    </row>
    <row r="149" spans="1:10">
      <c r="A149" t="s">
        <v>376</v>
      </c>
      <c r="B149" s="1">
        <v>42278</v>
      </c>
      <c r="C149" t="s">
        <v>5223</v>
      </c>
      <c r="D149">
        <v>1</v>
      </c>
      <c r="E149" t="s">
        <v>7237</v>
      </c>
      <c r="F149" t="s">
        <v>4472</v>
      </c>
      <c r="G149" t="s">
        <v>7237</v>
      </c>
      <c r="H149" s="7">
        <f t="shared" si="2"/>
        <v>300</v>
      </c>
      <c r="I149" s="7">
        <v>48</v>
      </c>
    </row>
    <row r="150" spans="1:10">
      <c r="A150" t="s">
        <v>2605</v>
      </c>
      <c r="B150" s="1">
        <v>42283</v>
      </c>
      <c r="C150" t="s">
        <v>5556</v>
      </c>
      <c r="D150">
        <v>1</v>
      </c>
      <c r="E150" t="s">
        <v>638</v>
      </c>
      <c r="F150" s="58" t="s">
        <v>795</v>
      </c>
      <c r="G150" t="s">
        <v>638</v>
      </c>
      <c r="H150" s="7">
        <f t="shared" si="2"/>
        <v>111862.12499999999</v>
      </c>
      <c r="I150" s="7">
        <v>17897.939999999999</v>
      </c>
    </row>
    <row r="151" spans="1:10">
      <c r="A151" t="s">
        <v>5508</v>
      </c>
      <c r="B151" s="1">
        <v>42308</v>
      </c>
      <c r="C151" t="s">
        <v>5509</v>
      </c>
      <c r="D151">
        <v>1</v>
      </c>
      <c r="E151" t="s">
        <v>796</v>
      </c>
      <c r="F151" s="58" t="s">
        <v>796</v>
      </c>
      <c r="G151" t="s">
        <v>5686</v>
      </c>
      <c r="H151" s="7">
        <f t="shared" si="2"/>
        <v>51.749999999999993</v>
      </c>
      <c r="I151" s="7">
        <v>8.2799999999999994</v>
      </c>
    </row>
    <row r="152" spans="1:10">
      <c r="A152" t="s">
        <v>5510</v>
      </c>
      <c r="B152" s="1">
        <v>42308</v>
      </c>
      <c r="C152" t="s">
        <v>5511</v>
      </c>
      <c r="D152">
        <v>1</v>
      </c>
      <c r="E152" t="s">
        <v>5399</v>
      </c>
      <c r="F152" s="139" t="s">
        <v>704</v>
      </c>
      <c r="G152" t="s">
        <v>576</v>
      </c>
      <c r="H152" s="7">
        <f t="shared" si="2"/>
        <v>215.49999999999997</v>
      </c>
      <c r="I152" s="7">
        <v>34.479999999999997</v>
      </c>
    </row>
    <row r="153" spans="1:10">
      <c r="A153" t="s">
        <v>5397</v>
      </c>
      <c r="B153" s="1">
        <v>42283</v>
      </c>
      <c r="C153" t="s">
        <v>5398</v>
      </c>
      <c r="D153">
        <v>1</v>
      </c>
      <c r="E153" t="s">
        <v>5399</v>
      </c>
      <c r="F153" s="139" t="s">
        <v>704</v>
      </c>
      <c r="G153" t="s">
        <v>576</v>
      </c>
      <c r="H153" s="7">
        <f t="shared" si="2"/>
        <v>1551.75</v>
      </c>
      <c r="I153" s="7">
        <v>248.28</v>
      </c>
    </row>
    <row r="154" spans="1:10">
      <c r="A154" t="s">
        <v>5182</v>
      </c>
      <c r="B154" s="1">
        <v>42307</v>
      </c>
      <c r="C154" t="s">
        <v>5036</v>
      </c>
      <c r="D154">
        <v>1</v>
      </c>
      <c r="E154" t="s">
        <v>5112</v>
      </c>
      <c r="F154" s="72" t="s">
        <v>797</v>
      </c>
      <c r="G154" t="s">
        <v>2326</v>
      </c>
      <c r="H154" s="7">
        <f t="shared" si="2"/>
        <v>-185215.6875</v>
      </c>
      <c r="I154" s="7">
        <v>-29634.51</v>
      </c>
      <c r="J154" s="2"/>
    </row>
    <row r="155" spans="1:10">
      <c r="A155" t="s">
        <v>3547</v>
      </c>
      <c r="B155" s="1">
        <v>42307</v>
      </c>
      <c r="C155" t="s">
        <v>5036</v>
      </c>
      <c r="D155">
        <v>1</v>
      </c>
      <c r="E155" t="s">
        <v>2326</v>
      </c>
      <c r="F155" s="72" t="s">
        <v>797</v>
      </c>
      <c r="G155" t="s">
        <v>2326</v>
      </c>
      <c r="H155" s="7">
        <f t="shared" si="2"/>
        <v>185189.8125</v>
      </c>
      <c r="I155" s="7">
        <v>29630.37</v>
      </c>
    </row>
    <row r="156" spans="1:10">
      <c r="A156" t="s">
        <v>2165</v>
      </c>
      <c r="B156" s="1">
        <v>42306</v>
      </c>
      <c r="C156" t="s">
        <v>5613</v>
      </c>
      <c r="D156">
        <v>1</v>
      </c>
      <c r="E156" t="s">
        <v>715</v>
      </c>
      <c r="F156" s="91" t="s">
        <v>714</v>
      </c>
      <c r="G156" t="s">
        <v>715</v>
      </c>
      <c r="H156" s="7">
        <f t="shared" si="2"/>
        <v>1614.6875</v>
      </c>
      <c r="I156" s="7">
        <v>258.35000000000002</v>
      </c>
    </row>
    <row r="157" spans="1:10">
      <c r="A157" t="s">
        <v>5301</v>
      </c>
      <c r="B157" s="1">
        <v>42307</v>
      </c>
      <c r="C157" t="s">
        <v>5302</v>
      </c>
      <c r="D157">
        <v>1</v>
      </c>
      <c r="E157" t="s">
        <v>1561</v>
      </c>
      <c r="F157" t="s">
        <v>1561</v>
      </c>
      <c r="G157" t="s">
        <v>1188</v>
      </c>
      <c r="H157" s="7">
        <f t="shared" si="2"/>
        <v>190.0625</v>
      </c>
      <c r="I157" s="7">
        <v>30.41</v>
      </c>
    </row>
    <row r="158" spans="1:10">
      <c r="A158" t="s">
        <v>5479</v>
      </c>
      <c r="B158" s="1">
        <v>42307</v>
      </c>
      <c r="C158" t="s">
        <v>5480</v>
      </c>
      <c r="D158">
        <v>1</v>
      </c>
      <c r="E158" t="s">
        <v>1561</v>
      </c>
      <c r="F158" t="s">
        <v>1561</v>
      </c>
      <c r="G158" t="s">
        <v>1188</v>
      </c>
      <c r="H158" s="7">
        <f t="shared" si="2"/>
        <v>42.25</v>
      </c>
      <c r="I158" s="7">
        <v>6.76</v>
      </c>
    </row>
    <row r="159" spans="1:10">
      <c r="A159" t="s">
        <v>5406</v>
      </c>
      <c r="B159" s="1">
        <v>42307</v>
      </c>
      <c r="C159" t="s">
        <v>5407</v>
      </c>
      <c r="D159">
        <v>1</v>
      </c>
      <c r="E159" t="s">
        <v>3084</v>
      </c>
      <c r="F159" t="s">
        <v>3084</v>
      </c>
      <c r="G159" t="s">
        <v>5687</v>
      </c>
      <c r="H159" s="7">
        <f t="shared" si="2"/>
        <v>431.0625</v>
      </c>
      <c r="I159" s="7">
        <v>68.97</v>
      </c>
    </row>
    <row r="160" spans="1:10">
      <c r="A160" t="s">
        <v>5485</v>
      </c>
      <c r="B160" s="1">
        <v>42307</v>
      </c>
      <c r="C160" t="s">
        <v>5486</v>
      </c>
      <c r="D160">
        <v>1</v>
      </c>
      <c r="E160" t="s">
        <v>961</v>
      </c>
      <c r="F160" s="19" t="s">
        <v>961</v>
      </c>
      <c r="G160" s="19" t="s">
        <v>962</v>
      </c>
      <c r="H160" s="7">
        <f t="shared" si="2"/>
        <v>83.875</v>
      </c>
      <c r="I160" s="7">
        <v>13.42</v>
      </c>
    </row>
    <row r="161" spans="1:9">
      <c r="A161" t="s">
        <v>5392</v>
      </c>
      <c r="B161" s="1">
        <v>42307</v>
      </c>
      <c r="C161" t="s">
        <v>5393</v>
      </c>
      <c r="D161">
        <v>1</v>
      </c>
      <c r="E161" t="s">
        <v>5394</v>
      </c>
      <c r="F161" s="92" t="s">
        <v>5394</v>
      </c>
      <c r="G161" s="92" t="s">
        <v>5688</v>
      </c>
      <c r="H161" s="7">
        <f t="shared" si="2"/>
        <v>419.37499999999994</v>
      </c>
      <c r="I161" s="7">
        <v>67.099999999999994</v>
      </c>
    </row>
    <row r="162" spans="1:9">
      <c r="A162" t="s">
        <v>407</v>
      </c>
      <c r="B162" s="1">
        <v>42307</v>
      </c>
      <c r="C162" t="s">
        <v>5245</v>
      </c>
      <c r="D162">
        <v>1</v>
      </c>
      <c r="E162" t="s">
        <v>5246</v>
      </c>
      <c r="F162" t="s">
        <v>5246</v>
      </c>
      <c r="G162" t="s">
        <v>5689</v>
      </c>
      <c r="H162" s="7">
        <f t="shared" si="2"/>
        <v>575.875</v>
      </c>
      <c r="I162" s="7">
        <v>92.14</v>
      </c>
    </row>
    <row r="163" spans="1:9">
      <c r="A163" t="s">
        <v>2163</v>
      </c>
      <c r="B163" s="1">
        <v>42290</v>
      </c>
      <c r="C163" t="s">
        <v>5612</v>
      </c>
      <c r="D163">
        <v>1</v>
      </c>
      <c r="E163" t="s">
        <v>7239</v>
      </c>
      <c r="F163" s="89" t="s">
        <v>7238</v>
      </c>
      <c r="G163" t="s">
        <v>7239</v>
      </c>
      <c r="H163" s="7">
        <f t="shared" si="2"/>
        <v>13034.5</v>
      </c>
      <c r="I163" s="7">
        <v>2085.52</v>
      </c>
    </row>
    <row r="164" spans="1:9">
      <c r="A164" t="s">
        <v>5485</v>
      </c>
      <c r="B164" s="1">
        <v>42307</v>
      </c>
      <c r="C164" t="s">
        <v>5486</v>
      </c>
      <c r="D164">
        <v>1</v>
      </c>
      <c r="E164" t="s">
        <v>5487</v>
      </c>
      <c r="F164" t="s">
        <v>5330</v>
      </c>
      <c r="G164" t="s">
        <v>5693</v>
      </c>
      <c r="H164" s="7">
        <f t="shared" si="2"/>
        <v>56.0625</v>
      </c>
      <c r="I164" s="7">
        <v>8.9700000000000006</v>
      </c>
    </row>
    <row r="165" spans="1:9">
      <c r="A165" t="s">
        <v>1500</v>
      </c>
      <c r="B165" s="1">
        <v>42305</v>
      </c>
      <c r="C165" t="s">
        <v>5628</v>
      </c>
      <c r="D165">
        <v>1</v>
      </c>
      <c r="E165" t="s">
        <v>4864</v>
      </c>
      <c r="F165" s="58" t="s">
        <v>5642</v>
      </c>
      <c r="G165" t="s">
        <v>4864</v>
      </c>
      <c r="H165" s="7">
        <f t="shared" si="2"/>
        <v>15274</v>
      </c>
      <c r="I165" s="7">
        <v>2443.84</v>
      </c>
    </row>
    <row r="166" spans="1:9">
      <c r="A166" t="s">
        <v>3619</v>
      </c>
      <c r="B166" s="1">
        <v>42298</v>
      </c>
      <c r="C166" t="s">
        <v>5587</v>
      </c>
      <c r="D166">
        <v>1</v>
      </c>
      <c r="E166" t="s">
        <v>5588</v>
      </c>
      <c r="F166" s="19" t="s">
        <v>5690</v>
      </c>
      <c r="G166" s="19" t="s">
        <v>5588</v>
      </c>
      <c r="H166" s="7">
        <f t="shared" si="2"/>
        <v>1000</v>
      </c>
      <c r="I166" s="7">
        <v>160</v>
      </c>
    </row>
    <row r="167" spans="1:9">
      <c r="A167" t="s">
        <v>408</v>
      </c>
      <c r="B167" s="1">
        <v>42307</v>
      </c>
      <c r="C167" t="s">
        <v>5247</v>
      </c>
      <c r="D167">
        <v>1</v>
      </c>
      <c r="E167" t="s">
        <v>804</v>
      </c>
      <c r="F167" t="s">
        <v>804</v>
      </c>
      <c r="G167" t="s">
        <v>5691</v>
      </c>
      <c r="H167" s="7">
        <f t="shared" si="2"/>
        <v>88.125</v>
      </c>
      <c r="I167" s="7">
        <v>14.1</v>
      </c>
    </row>
    <row r="168" spans="1:9">
      <c r="A168" t="s">
        <v>410</v>
      </c>
      <c r="B168" s="1">
        <v>42307</v>
      </c>
      <c r="C168" t="s">
        <v>5248</v>
      </c>
      <c r="D168">
        <v>1</v>
      </c>
      <c r="E168" t="s">
        <v>804</v>
      </c>
      <c r="F168" t="s">
        <v>804</v>
      </c>
      <c r="G168" t="s">
        <v>5691</v>
      </c>
      <c r="H168" s="7">
        <f t="shared" si="2"/>
        <v>92.125</v>
      </c>
      <c r="I168" s="7">
        <v>14.74</v>
      </c>
    </row>
    <row r="169" spans="1:9">
      <c r="A169" t="s">
        <v>5257</v>
      </c>
      <c r="B169" s="1">
        <v>42307</v>
      </c>
      <c r="C169" t="s">
        <v>5258</v>
      </c>
      <c r="D169">
        <v>1</v>
      </c>
      <c r="E169" t="s">
        <v>804</v>
      </c>
      <c r="F169" t="s">
        <v>804</v>
      </c>
      <c r="G169" t="s">
        <v>5691</v>
      </c>
      <c r="H169" s="7">
        <f t="shared" si="2"/>
        <v>190</v>
      </c>
      <c r="I169" s="7">
        <v>30.4</v>
      </c>
    </row>
    <row r="170" spans="1:9">
      <c r="A170" t="s">
        <v>5263</v>
      </c>
      <c r="B170" s="1">
        <v>42307</v>
      </c>
      <c r="C170" t="s">
        <v>5264</v>
      </c>
      <c r="D170">
        <v>1</v>
      </c>
      <c r="E170" t="s">
        <v>804</v>
      </c>
      <c r="F170" t="s">
        <v>804</v>
      </c>
      <c r="G170" t="s">
        <v>5691</v>
      </c>
      <c r="H170" s="7">
        <f t="shared" si="2"/>
        <v>76</v>
      </c>
      <c r="I170" s="7">
        <v>12.16</v>
      </c>
    </row>
    <row r="171" spans="1:9">
      <c r="A171" t="s">
        <v>5303</v>
      </c>
      <c r="B171" s="1">
        <v>42307</v>
      </c>
      <c r="C171" t="s">
        <v>5304</v>
      </c>
      <c r="D171">
        <v>1</v>
      </c>
      <c r="E171" t="s">
        <v>804</v>
      </c>
      <c r="F171" t="s">
        <v>804</v>
      </c>
      <c r="G171" t="s">
        <v>5691</v>
      </c>
      <c r="H171" s="7">
        <f t="shared" si="2"/>
        <v>122</v>
      </c>
      <c r="I171" s="7">
        <v>19.52</v>
      </c>
    </row>
    <row r="172" spans="1:9">
      <c r="A172" t="s">
        <v>5309</v>
      </c>
      <c r="B172" s="1">
        <v>42307</v>
      </c>
      <c r="C172" t="s">
        <v>5310</v>
      </c>
      <c r="D172">
        <v>1</v>
      </c>
      <c r="E172" t="s">
        <v>804</v>
      </c>
      <c r="F172" t="s">
        <v>804</v>
      </c>
      <c r="G172" t="s">
        <v>5691</v>
      </c>
      <c r="H172" s="7">
        <f t="shared" si="2"/>
        <v>200</v>
      </c>
      <c r="I172" s="7">
        <v>32</v>
      </c>
    </row>
    <row r="173" spans="1:9">
      <c r="A173" t="s">
        <v>5325</v>
      </c>
      <c r="B173" s="1">
        <v>42307</v>
      </c>
      <c r="C173" t="s">
        <v>5326</v>
      </c>
      <c r="D173">
        <v>1</v>
      </c>
      <c r="E173" t="s">
        <v>804</v>
      </c>
      <c r="F173" t="s">
        <v>804</v>
      </c>
      <c r="G173" t="s">
        <v>5691</v>
      </c>
      <c r="H173" s="7">
        <f t="shared" si="2"/>
        <v>120</v>
      </c>
      <c r="I173" s="7">
        <v>19.2</v>
      </c>
    </row>
    <row r="174" spans="1:9">
      <c r="A174" t="s">
        <v>5504</v>
      </c>
      <c r="B174" s="1">
        <v>42308</v>
      </c>
      <c r="C174" t="s">
        <v>5505</v>
      </c>
      <c r="D174">
        <v>1</v>
      </c>
      <c r="E174" t="s">
        <v>804</v>
      </c>
      <c r="F174" t="s">
        <v>804</v>
      </c>
      <c r="G174" t="s">
        <v>5691</v>
      </c>
      <c r="H174" s="7">
        <f t="shared" si="2"/>
        <v>190.4375</v>
      </c>
      <c r="I174" s="7">
        <v>30.47</v>
      </c>
    </row>
    <row r="175" spans="1:9">
      <c r="A175" t="s">
        <v>5483</v>
      </c>
      <c r="B175" s="1">
        <v>42308</v>
      </c>
      <c r="C175" t="s">
        <v>5484</v>
      </c>
      <c r="D175">
        <v>1</v>
      </c>
      <c r="E175" t="s">
        <v>804</v>
      </c>
      <c r="F175" s="83" t="s">
        <v>804</v>
      </c>
      <c r="G175" t="s">
        <v>5691</v>
      </c>
      <c r="H175" s="7">
        <f t="shared" si="2"/>
        <v>102.5625</v>
      </c>
      <c r="I175" s="7">
        <v>16.41</v>
      </c>
    </row>
    <row r="176" spans="1:9">
      <c r="A176" t="s">
        <v>5352</v>
      </c>
      <c r="B176" s="1">
        <v>42307</v>
      </c>
      <c r="C176" t="s">
        <v>5353</v>
      </c>
      <c r="D176">
        <v>1</v>
      </c>
      <c r="E176" t="s">
        <v>5354</v>
      </c>
      <c r="F176" t="s">
        <v>5354</v>
      </c>
      <c r="G176" t="s">
        <v>5692</v>
      </c>
      <c r="H176" s="7">
        <f t="shared" si="2"/>
        <v>62.124999999999993</v>
      </c>
      <c r="I176" s="7">
        <v>9.94</v>
      </c>
    </row>
    <row r="177" spans="1:9">
      <c r="A177" t="s">
        <v>5428</v>
      </c>
      <c r="B177" s="1">
        <v>42307</v>
      </c>
      <c r="C177" t="s">
        <v>5429</v>
      </c>
      <c r="D177">
        <v>1</v>
      </c>
      <c r="E177" t="s">
        <v>5431</v>
      </c>
      <c r="F177" s="19" t="s">
        <v>5330</v>
      </c>
      <c r="G177" s="19" t="s">
        <v>5693</v>
      </c>
      <c r="H177" s="7">
        <f t="shared" si="2"/>
        <v>211.1875</v>
      </c>
      <c r="I177" s="7">
        <v>33.79</v>
      </c>
    </row>
    <row r="178" spans="1:9">
      <c r="A178" t="s">
        <v>5481</v>
      </c>
      <c r="B178" s="1">
        <v>42307</v>
      </c>
      <c r="C178" t="s">
        <v>5482</v>
      </c>
      <c r="D178">
        <v>1</v>
      </c>
      <c r="E178" t="s">
        <v>5330</v>
      </c>
      <c r="F178" s="19" t="s">
        <v>5330</v>
      </c>
      <c r="G178" s="19" t="s">
        <v>5693</v>
      </c>
      <c r="H178" s="7">
        <f t="shared" si="2"/>
        <v>176.75</v>
      </c>
      <c r="I178" s="7">
        <v>28.28</v>
      </c>
    </row>
    <row r="179" spans="1:9">
      <c r="A179" t="s">
        <v>5415</v>
      </c>
      <c r="B179" s="1">
        <v>42307</v>
      </c>
      <c r="C179" t="s">
        <v>5416</v>
      </c>
      <c r="D179">
        <v>1</v>
      </c>
      <c r="E179" t="s">
        <v>5330</v>
      </c>
      <c r="F179" s="19" t="s">
        <v>5330</v>
      </c>
      <c r="G179" s="19" t="s">
        <v>5693</v>
      </c>
      <c r="H179" s="7">
        <f t="shared" si="2"/>
        <v>56.0625</v>
      </c>
      <c r="I179" s="7">
        <v>8.9700000000000006</v>
      </c>
    </row>
    <row r="180" spans="1:9">
      <c r="A180" t="s">
        <v>5327</v>
      </c>
      <c r="B180" s="1">
        <v>42307</v>
      </c>
      <c r="C180" t="s">
        <v>5328</v>
      </c>
      <c r="D180">
        <v>1</v>
      </c>
      <c r="E180" t="s">
        <v>5330</v>
      </c>
      <c r="F180" s="19" t="s">
        <v>5330</v>
      </c>
      <c r="G180" s="19" t="s">
        <v>5693</v>
      </c>
      <c r="H180" s="7">
        <f t="shared" si="2"/>
        <v>353.4375</v>
      </c>
      <c r="I180" s="7">
        <v>56.55</v>
      </c>
    </row>
    <row r="181" spans="1:9">
      <c r="A181" t="s">
        <v>5341</v>
      </c>
      <c r="B181" s="1">
        <v>42307</v>
      </c>
      <c r="C181" t="s">
        <v>5342</v>
      </c>
      <c r="D181">
        <v>1</v>
      </c>
      <c r="E181" t="s">
        <v>5330</v>
      </c>
      <c r="F181" s="19" t="s">
        <v>5330</v>
      </c>
      <c r="G181" s="19" t="s">
        <v>5693</v>
      </c>
      <c r="H181" s="7">
        <f t="shared" si="2"/>
        <v>56.000000000000007</v>
      </c>
      <c r="I181" s="7">
        <v>8.9600000000000009</v>
      </c>
    </row>
    <row r="182" spans="1:9">
      <c r="A182" t="s">
        <v>5352</v>
      </c>
      <c r="B182" s="1">
        <v>42307</v>
      </c>
      <c r="C182" t="s">
        <v>5353</v>
      </c>
      <c r="D182">
        <v>1</v>
      </c>
      <c r="E182" t="s">
        <v>5330</v>
      </c>
      <c r="F182" s="19" t="s">
        <v>5330</v>
      </c>
      <c r="G182" s="19" t="s">
        <v>5693</v>
      </c>
      <c r="H182" s="7">
        <f t="shared" si="2"/>
        <v>56.0625</v>
      </c>
      <c r="I182" s="7">
        <v>8.9700000000000006</v>
      </c>
    </row>
    <row r="183" spans="1:9">
      <c r="A183" t="s">
        <v>5355</v>
      </c>
      <c r="B183" s="1">
        <v>42307</v>
      </c>
      <c r="C183" t="s">
        <v>5356</v>
      </c>
      <c r="D183">
        <v>1</v>
      </c>
      <c r="E183" t="s">
        <v>5330</v>
      </c>
      <c r="F183" s="19" t="s">
        <v>5330</v>
      </c>
      <c r="G183" s="19" t="s">
        <v>5693</v>
      </c>
      <c r="H183" s="7">
        <f t="shared" si="2"/>
        <v>176.4375</v>
      </c>
      <c r="I183" s="7">
        <v>28.23</v>
      </c>
    </row>
    <row r="184" spans="1:9">
      <c r="A184" t="s">
        <v>5359</v>
      </c>
      <c r="B184" s="1">
        <v>42307</v>
      </c>
      <c r="C184" t="s">
        <v>5360</v>
      </c>
      <c r="D184">
        <v>1</v>
      </c>
      <c r="E184" t="s">
        <v>5330</v>
      </c>
      <c r="F184" s="19" t="s">
        <v>5330</v>
      </c>
      <c r="G184" s="19" t="s">
        <v>5693</v>
      </c>
      <c r="H184" s="7">
        <f t="shared" si="2"/>
        <v>47.4375</v>
      </c>
      <c r="I184" s="7">
        <v>7.59</v>
      </c>
    </row>
    <row r="185" spans="1:9">
      <c r="A185" t="s">
        <v>5361</v>
      </c>
      <c r="B185" s="1">
        <v>42307</v>
      </c>
      <c r="C185" t="s">
        <v>5362</v>
      </c>
      <c r="D185">
        <v>1</v>
      </c>
      <c r="E185" t="s">
        <v>5330</v>
      </c>
      <c r="F185" s="19" t="s">
        <v>5330</v>
      </c>
      <c r="G185" s="19" t="s">
        <v>5693</v>
      </c>
      <c r="H185" s="7">
        <f t="shared" si="2"/>
        <v>56.0625</v>
      </c>
      <c r="I185" s="7">
        <v>8.9700000000000006</v>
      </c>
    </row>
    <row r="186" spans="1:9">
      <c r="A186" t="s">
        <v>5363</v>
      </c>
      <c r="B186" s="1">
        <v>42307</v>
      </c>
      <c r="C186" t="s">
        <v>5364</v>
      </c>
      <c r="D186">
        <v>1</v>
      </c>
      <c r="E186" t="s">
        <v>5330</v>
      </c>
      <c r="F186" s="19" t="s">
        <v>5330</v>
      </c>
      <c r="G186" s="19" t="s">
        <v>5693</v>
      </c>
      <c r="H186" s="7">
        <f t="shared" si="2"/>
        <v>176.75</v>
      </c>
      <c r="I186" s="7">
        <v>28.28</v>
      </c>
    </row>
    <row r="187" spans="1:9">
      <c r="A187" t="s">
        <v>5367</v>
      </c>
      <c r="B187" s="1">
        <v>42307</v>
      </c>
      <c r="C187" t="s">
        <v>5368</v>
      </c>
      <c r="D187">
        <v>1</v>
      </c>
      <c r="E187" t="s">
        <v>5330</v>
      </c>
      <c r="F187" s="19" t="s">
        <v>5330</v>
      </c>
      <c r="G187" s="19" t="s">
        <v>5693</v>
      </c>
      <c r="H187" s="7">
        <f t="shared" si="2"/>
        <v>176.75</v>
      </c>
      <c r="I187" s="7">
        <v>28.28</v>
      </c>
    </row>
    <row r="188" spans="1:9">
      <c r="A188" t="s">
        <v>5369</v>
      </c>
      <c r="B188" s="1">
        <v>42307</v>
      </c>
      <c r="C188" t="s">
        <v>5370</v>
      </c>
      <c r="D188">
        <v>1</v>
      </c>
      <c r="E188" t="s">
        <v>5330</v>
      </c>
      <c r="F188" s="19" t="s">
        <v>5330</v>
      </c>
      <c r="G188" s="19" t="s">
        <v>5693</v>
      </c>
      <c r="H188" s="7">
        <f t="shared" si="2"/>
        <v>176.75</v>
      </c>
      <c r="I188" s="7">
        <v>28.28</v>
      </c>
    </row>
    <row r="189" spans="1:9">
      <c r="A189" t="s">
        <v>5372</v>
      </c>
      <c r="B189" s="1">
        <v>42307</v>
      </c>
      <c r="C189" t="s">
        <v>5373</v>
      </c>
      <c r="D189">
        <v>1</v>
      </c>
      <c r="E189" t="s">
        <v>5330</v>
      </c>
      <c r="F189" s="19" t="s">
        <v>5330</v>
      </c>
      <c r="G189" s="19" t="s">
        <v>5693</v>
      </c>
      <c r="H189" s="7">
        <f t="shared" si="2"/>
        <v>176.75</v>
      </c>
      <c r="I189" s="7">
        <v>28.28</v>
      </c>
    </row>
    <row r="190" spans="1:9">
      <c r="A190" t="s">
        <v>5379</v>
      </c>
      <c r="B190" s="1">
        <v>42307</v>
      </c>
      <c r="C190" t="s">
        <v>5380</v>
      </c>
      <c r="D190">
        <v>1</v>
      </c>
      <c r="E190" t="s">
        <v>5330</v>
      </c>
      <c r="F190" s="19" t="s">
        <v>5330</v>
      </c>
      <c r="G190" s="19" t="s">
        <v>5693</v>
      </c>
      <c r="H190" s="7">
        <f t="shared" si="2"/>
        <v>86.187499999999986</v>
      </c>
      <c r="I190" s="7">
        <v>13.79</v>
      </c>
    </row>
    <row r="191" spans="1:9">
      <c r="A191" t="s">
        <v>5514</v>
      </c>
      <c r="B191" s="1">
        <v>42307</v>
      </c>
      <c r="C191" t="s">
        <v>5515</v>
      </c>
      <c r="D191">
        <v>1</v>
      </c>
      <c r="E191" t="s">
        <v>5330</v>
      </c>
      <c r="F191" s="19" t="s">
        <v>5330</v>
      </c>
      <c r="G191" s="19" t="s">
        <v>5693</v>
      </c>
      <c r="H191" s="7">
        <f t="shared" si="2"/>
        <v>56.0625</v>
      </c>
      <c r="I191" s="7">
        <v>8.9700000000000006</v>
      </c>
    </row>
    <row r="192" spans="1:9">
      <c r="A192" t="s">
        <v>5386</v>
      </c>
      <c r="B192" s="1">
        <v>42307</v>
      </c>
      <c r="C192" t="s">
        <v>5387</v>
      </c>
      <c r="D192">
        <v>1</v>
      </c>
      <c r="E192" t="s">
        <v>5330</v>
      </c>
      <c r="F192" s="19" t="s">
        <v>5330</v>
      </c>
      <c r="G192" s="19" t="s">
        <v>5693</v>
      </c>
      <c r="H192" s="7">
        <f t="shared" si="2"/>
        <v>56.0625</v>
      </c>
      <c r="I192" s="7">
        <v>8.9700000000000006</v>
      </c>
    </row>
    <row r="193" spans="1:9">
      <c r="A193" t="s">
        <v>5392</v>
      </c>
      <c r="B193" s="1">
        <v>42307</v>
      </c>
      <c r="C193" t="s">
        <v>5393</v>
      </c>
      <c r="D193">
        <v>1</v>
      </c>
      <c r="E193" t="s">
        <v>5330</v>
      </c>
      <c r="F193" s="19" t="s">
        <v>5330</v>
      </c>
      <c r="G193" s="19" t="s">
        <v>5693</v>
      </c>
      <c r="H193" s="7">
        <f t="shared" si="2"/>
        <v>56.0625</v>
      </c>
      <c r="I193" s="7">
        <v>8.9700000000000006</v>
      </c>
    </row>
    <row r="194" spans="1:9">
      <c r="A194" t="s">
        <v>5400</v>
      </c>
      <c r="B194" s="1">
        <v>42307</v>
      </c>
      <c r="C194" t="s">
        <v>5401</v>
      </c>
      <c r="D194">
        <v>1</v>
      </c>
      <c r="E194" t="s">
        <v>5330</v>
      </c>
      <c r="F194" s="19" t="s">
        <v>5330</v>
      </c>
      <c r="G194" s="19" t="s">
        <v>5693</v>
      </c>
      <c r="H194" s="7">
        <f t="shared" si="2"/>
        <v>56.0625</v>
      </c>
      <c r="I194" s="7">
        <v>8.9700000000000006</v>
      </c>
    </row>
    <row r="195" spans="1:9">
      <c r="A195" t="s">
        <v>5406</v>
      </c>
      <c r="B195" s="1">
        <v>42307</v>
      </c>
      <c r="C195" t="s">
        <v>5407</v>
      </c>
      <c r="D195">
        <v>1</v>
      </c>
      <c r="E195" t="s">
        <v>5330</v>
      </c>
      <c r="F195" s="19" t="s">
        <v>5330</v>
      </c>
      <c r="G195" s="19" t="s">
        <v>5693</v>
      </c>
      <c r="H195" s="7">
        <f t="shared" si="2"/>
        <v>116.375</v>
      </c>
      <c r="I195" s="7">
        <v>18.62</v>
      </c>
    </row>
    <row r="196" spans="1:9">
      <c r="A196" t="s">
        <v>5496</v>
      </c>
      <c r="B196" s="1">
        <v>42307</v>
      </c>
      <c r="C196" t="s">
        <v>5497</v>
      </c>
      <c r="D196">
        <v>1</v>
      </c>
      <c r="E196" t="s">
        <v>5330</v>
      </c>
      <c r="F196" s="19" t="s">
        <v>5330</v>
      </c>
      <c r="G196" s="19" t="s">
        <v>5693</v>
      </c>
      <c r="H196" s="7">
        <f t="shared" si="2"/>
        <v>25.874999999999996</v>
      </c>
      <c r="I196" s="7">
        <v>4.1399999999999997</v>
      </c>
    </row>
    <row r="197" spans="1:9">
      <c r="A197" t="s">
        <v>5496</v>
      </c>
      <c r="B197" s="1">
        <v>42307</v>
      </c>
      <c r="C197" t="s">
        <v>5497</v>
      </c>
      <c r="D197">
        <v>1</v>
      </c>
      <c r="E197" t="s">
        <v>5330</v>
      </c>
      <c r="F197" s="19" t="s">
        <v>5330</v>
      </c>
      <c r="G197" s="19" t="s">
        <v>5693</v>
      </c>
      <c r="H197" s="7">
        <f t="shared" si="2"/>
        <v>327.5625</v>
      </c>
      <c r="I197" s="7">
        <v>52.41</v>
      </c>
    </row>
    <row r="198" spans="1:9">
      <c r="A198" t="s">
        <v>5440</v>
      </c>
      <c r="B198" s="1">
        <v>42307</v>
      </c>
      <c r="C198" t="s">
        <v>5441</v>
      </c>
      <c r="D198">
        <v>1</v>
      </c>
      <c r="E198" t="s">
        <v>5330</v>
      </c>
      <c r="F198" s="19" t="s">
        <v>5330</v>
      </c>
      <c r="G198" s="19" t="s">
        <v>5693</v>
      </c>
      <c r="H198" s="7">
        <f t="shared" si="2"/>
        <v>176.75</v>
      </c>
      <c r="I198" s="7">
        <v>28.28</v>
      </c>
    </row>
    <row r="199" spans="1:9">
      <c r="A199" t="s">
        <v>5460</v>
      </c>
      <c r="B199" s="1">
        <v>42307</v>
      </c>
      <c r="C199" t="s">
        <v>5461</v>
      </c>
      <c r="D199">
        <v>1</v>
      </c>
      <c r="E199" t="s">
        <v>5330</v>
      </c>
      <c r="F199" s="19" t="s">
        <v>5330</v>
      </c>
      <c r="G199" s="19" t="s">
        <v>5693</v>
      </c>
      <c r="H199" s="7">
        <f t="shared" si="2"/>
        <v>305.1875</v>
      </c>
      <c r="I199" s="7">
        <v>48.83</v>
      </c>
    </row>
    <row r="200" spans="1:9">
      <c r="A200" t="s">
        <v>5475</v>
      </c>
      <c r="B200" s="1">
        <v>42307</v>
      </c>
      <c r="C200" t="s">
        <v>5476</v>
      </c>
      <c r="D200">
        <v>1</v>
      </c>
      <c r="E200" t="s">
        <v>5330</v>
      </c>
      <c r="F200" s="19" t="s">
        <v>5330</v>
      </c>
      <c r="G200" s="19" t="s">
        <v>5693</v>
      </c>
      <c r="H200" s="7">
        <f t="shared" si="2"/>
        <v>176.75</v>
      </c>
      <c r="I200" s="7">
        <v>28.28</v>
      </c>
    </row>
    <row r="201" spans="1:9">
      <c r="A201" t="s">
        <v>5375</v>
      </c>
      <c r="B201" s="1">
        <v>42307</v>
      </c>
      <c r="C201" t="s">
        <v>5376</v>
      </c>
      <c r="D201">
        <v>1</v>
      </c>
      <c r="E201" t="s">
        <v>5330</v>
      </c>
      <c r="F201" s="58" t="s">
        <v>5330</v>
      </c>
      <c r="G201" s="19" t="s">
        <v>5693</v>
      </c>
      <c r="H201" s="7">
        <f t="shared" si="2"/>
        <v>56.0625</v>
      </c>
      <c r="I201" s="7">
        <v>8.9700000000000006</v>
      </c>
    </row>
    <row r="202" spans="1:9">
      <c r="A202" t="s">
        <v>5375</v>
      </c>
      <c r="B202" s="1">
        <v>42307</v>
      </c>
      <c r="C202" t="s">
        <v>5376</v>
      </c>
      <c r="D202">
        <v>1</v>
      </c>
      <c r="E202" s="92" t="s">
        <v>7241</v>
      </c>
      <c r="F202" s="92" t="s">
        <v>7240</v>
      </c>
      <c r="G202" s="92" t="s">
        <v>7241</v>
      </c>
      <c r="H202" s="7">
        <f t="shared" si="2"/>
        <v>209.93750000000003</v>
      </c>
      <c r="I202" s="7">
        <v>33.590000000000003</v>
      </c>
    </row>
    <row r="203" spans="1:9">
      <c r="A203" t="s">
        <v>5307</v>
      </c>
      <c r="B203" s="1">
        <v>42307</v>
      </c>
      <c r="C203" t="s">
        <v>5308</v>
      </c>
      <c r="D203">
        <v>1</v>
      </c>
      <c r="E203" t="s">
        <v>807</v>
      </c>
      <c r="F203" t="s">
        <v>807</v>
      </c>
      <c r="G203" t="s">
        <v>2493</v>
      </c>
      <c r="H203" s="7">
        <f t="shared" si="2"/>
        <v>1989.9999999999998</v>
      </c>
      <c r="I203" s="7">
        <v>318.39999999999998</v>
      </c>
    </row>
    <row r="204" spans="1:9">
      <c r="A204" t="s">
        <v>5323</v>
      </c>
      <c r="B204" s="1">
        <v>42307</v>
      </c>
      <c r="C204" t="s">
        <v>5324</v>
      </c>
      <c r="D204">
        <v>1</v>
      </c>
      <c r="E204" t="s">
        <v>807</v>
      </c>
      <c r="F204" t="s">
        <v>807</v>
      </c>
      <c r="G204" t="s">
        <v>2493</v>
      </c>
      <c r="H204" s="7">
        <f t="shared" si="2"/>
        <v>840</v>
      </c>
      <c r="I204" s="7">
        <v>134.4</v>
      </c>
    </row>
    <row r="205" spans="1:9">
      <c r="A205" t="s">
        <v>2038</v>
      </c>
      <c r="B205" s="1">
        <v>42279</v>
      </c>
      <c r="C205" t="s">
        <v>5539</v>
      </c>
      <c r="D205">
        <v>1</v>
      </c>
      <c r="E205" t="s">
        <v>4853</v>
      </c>
      <c r="F205" s="89" t="s">
        <v>806</v>
      </c>
      <c r="G205" t="s">
        <v>503</v>
      </c>
      <c r="H205" s="7">
        <f t="shared" si="2"/>
        <v>11443.375</v>
      </c>
      <c r="I205" s="7">
        <v>1830.94</v>
      </c>
    </row>
    <row r="206" spans="1:9">
      <c r="A206" t="s">
        <v>2120</v>
      </c>
      <c r="B206" s="1">
        <v>42293</v>
      </c>
      <c r="C206" t="s">
        <v>5581</v>
      </c>
      <c r="D206">
        <v>1</v>
      </c>
      <c r="E206" t="s">
        <v>503</v>
      </c>
      <c r="F206" t="s">
        <v>806</v>
      </c>
      <c r="G206" t="s">
        <v>503</v>
      </c>
      <c r="H206" s="7">
        <f t="shared" si="2"/>
        <v>11443.375</v>
      </c>
      <c r="I206" s="7">
        <v>1830.94</v>
      </c>
    </row>
    <row r="207" spans="1:9">
      <c r="A207" t="s">
        <v>1392</v>
      </c>
      <c r="B207" s="1">
        <v>42296</v>
      </c>
      <c r="C207" t="s">
        <v>5583</v>
      </c>
      <c r="D207">
        <v>1</v>
      </c>
      <c r="E207" t="s">
        <v>503</v>
      </c>
      <c r="F207" t="s">
        <v>806</v>
      </c>
      <c r="G207" t="s">
        <v>503</v>
      </c>
      <c r="H207" s="7">
        <f t="shared" si="2"/>
        <v>34330.125</v>
      </c>
      <c r="I207" s="7">
        <v>5492.82</v>
      </c>
    </row>
    <row r="208" spans="1:9">
      <c r="A208" t="s">
        <v>5379</v>
      </c>
      <c r="B208" s="1">
        <v>42307</v>
      </c>
      <c r="C208" t="s">
        <v>5380</v>
      </c>
      <c r="D208">
        <v>1</v>
      </c>
      <c r="E208" t="s">
        <v>5382</v>
      </c>
      <c r="F208" t="s">
        <v>5382</v>
      </c>
      <c r="G208" t="s">
        <v>5694</v>
      </c>
      <c r="H208" s="7">
        <f t="shared" si="2"/>
        <v>44.8125</v>
      </c>
      <c r="I208" s="7">
        <v>7.17</v>
      </c>
    </row>
    <row r="209" spans="1:12">
      <c r="A209" t="s">
        <v>5379</v>
      </c>
      <c r="B209" s="1">
        <v>42307</v>
      </c>
      <c r="C209" t="s">
        <v>5380</v>
      </c>
      <c r="D209">
        <v>1</v>
      </c>
      <c r="E209" t="s">
        <v>5382</v>
      </c>
      <c r="F209" t="s">
        <v>7242</v>
      </c>
      <c r="G209" t="s">
        <v>7243</v>
      </c>
      <c r="H209" s="100">
        <v>93.9375</v>
      </c>
      <c r="I209" s="7">
        <v>15.03</v>
      </c>
      <c r="J209" s="7"/>
      <c r="K209" s="7"/>
    </row>
    <row r="210" spans="1:12">
      <c r="A210" t="s">
        <v>5379</v>
      </c>
      <c r="B210" s="1">
        <v>42307</v>
      </c>
      <c r="C210" t="s">
        <v>5380</v>
      </c>
      <c r="D210">
        <v>1</v>
      </c>
      <c r="E210" t="s">
        <v>5382</v>
      </c>
      <c r="F210" t="s">
        <v>5382</v>
      </c>
      <c r="G210" t="s">
        <v>5694</v>
      </c>
      <c r="H210" s="100">
        <v>125</v>
      </c>
      <c r="I210" s="7">
        <v>20</v>
      </c>
      <c r="J210" s="60">
        <f>218.94-H209-H210</f>
        <v>2.4999999999977263E-3</v>
      </c>
      <c r="K210" s="60">
        <f>35.03-I209-I210</f>
        <v>0</v>
      </c>
    </row>
    <row r="211" spans="1:12">
      <c r="A211" t="s">
        <v>2118</v>
      </c>
      <c r="B211" s="1">
        <v>42293</v>
      </c>
      <c r="C211" t="s">
        <v>5580</v>
      </c>
      <c r="D211">
        <v>1</v>
      </c>
      <c r="E211" s="19" t="s">
        <v>5717</v>
      </c>
      <c r="F211" s="19" t="s">
        <v>808</v>
      </c>
      <c r="G211" s="19" t="s">
        <v>5717</v>
      </c>
      <c r="H211" s="7">
        <f t="shared" ref="H211:H285" si="3">+I211/0.16</f>
        <v>4007.5625</v>
      </c>
      <c r="I211" s="7">
        <v>641.21</v>
      </c>
    </row>
    <row r="212" spans="1:12">
      <c r="A212" t="s">
        <v>4526</v>
      </c>
      <c r="B212" s="1">
        <v>42286</v>
      </c>
      <c r="C212" t="s">
        <v>5564</v>
      </c>
      <c r="D212">
        <v>1</v>
      </c>
      <c r="E212" t="s">
        <v>812</v>
      </c>
      <c r="F212" s="89" t="s">
        <v>811</v>
      </c>
      <c r="G212" t="s">
        <v>812</v>
      </c>
      <c r="H212" s="7">
        <f t="shared" si="3"/>
        <v>3657.75</v>
      </c>
      <c r="I212" s="7">
        <v>585.24</v>
      </c>
    </row>
    <row r="213" spans="1:12">
      <c r="A213" t="s">
        <v>492</v>
      </c>
      <c r="B213" s="1">
        <v>42292</v>
      </c>
      <c r="C213" t="s">
        <v>5578</v>
      </c>
      <c r="D213">
        <v>1</v>
      </c>
      <c r="E213" t="s">
        <v>5644</v>
      </c>
      <c r="F213" t="s">
        <v>5643</v>
      </c>
      <c r="G213" t="s">
        <v>5644</v>
      </c>
      <c r="H213" s="7">
        <f t="shared" si="3"/>
        <v>1212.9375</v>
      </c>
      <c r="I213" s="7">
        <v>194.07</v>
      </c>
    </row>
    <row r="214" spans="1:12">
      <c r="A214" t="s">
        <v>504</v>
      </c>
      <c r="B214" s="1">
        <v>42299</v>
      </c>
      <c r="C214" t="s">
        <v>5592</v>
      </c>
      <c r="D214">
        <v>1</v>
      </c>
      <c r="E214" t="s">
        <v>7245</v>
      </c>
      <c r="F214" t="s">
        <v>7244</v>
      </c>
      <c r="G214" t="s">
        <v>7245</v>
      </c>
      <c r="H214" s="7">
        <f t="shared" si="3"/>
        <v>2197.4375</v>
      </c>
      <c r="I214" s="7">
        <v>351.59</v>
      </c>
    </row>
    <row r="215" spans="1:12">
      <c r="A215" t="s">
        <v>5428</v>
      </c>
      <c r="B215" s="1">
        <v>42307</v>
      </c>
      <c r="C215" t="s">
        <v>5429</v>
      </c>
      <c r="D215">
        <v>1</v>
      </c>
      <c r="E215" t="s">
        <v>5432</v>
      </c>
      <c r="F215" s="92" t="s">
        <v>5432</v>
      </c>
      <c r="G215" s="92" t="s">
        <v>5695</v>
      </c>
      <c r="H215" s="7">
        <f t="shared" si="3"/>
        <v>227.74999999999997</v>
      </c>
      <c r="I215" s="7">
        <v>36.44</v>
      </c>
    </row>
    <row r="216" spans="1:12">
      <c r="A216" t="s">
        <v>5344</v>
      </c>
      <c r="B216" s="1">
        <v>42300</v>
      </c>
      <c r="C216" t="s">
        <v>5345</v>
      </c>
      <c r="D216">
        <v>1</v>
      </c>
      <c r="E216" t="s">
        <v>5346</v>
      </c>
      <c r="F216" s="19" t="s">
        <v>714</v>
      </c>
      <c r="G216" s="19" t="s">
        <v>715</v>
      </c>
      <c r="H216" s="100">
        <f>+I216/0.16</f>
        <v>309.62500000000006</v>
      </c>
      <c r="I216" s="100">
        <f>49.52+0.02</f>
        <v>49.540000000000006</v>
      </c>
      <c r="J216" s="7"/>
      <c r="K216" s="7"/>
    </row>
    <row r="217" spans="1:12">
      <c r="A217" t="s">
        <v>5344</v>
      </c>
      <c r="B217" s="1">
        <v>42300</v>
      </c>
      <c r="C217" t="s">
        <v>5345</v>
      </c>
      <c r="D217">
        <v>1</v>
      </c>
      <c r="E217" t="s">
        <v>5346</v>
      </c>
      <c r="F217" s="19" t="s">
        <v>714</v>
      </c>
      <c r="G217" s="19" t="s">
        <v>715</v>
      </c>
      <c r="H217" s="100">
        <v>280.1875</v>
      </c>
      <c r="I217" s="100">
        <v>44.83</v>
      </c>
    </row>
    <row r="218" spans="1:12">
      <c r="A218" t="s">
        <v>5344</v>
      </c>
      <c r="B218" s="1">
        <v>42300</v>
      </c>
      <c r="C218" t="s">
        <v>5345</v>
      </c>
      <c r="D218">
        <v>1</v>
      </c>
      <c r="E218" t="s">
        <v>5346</v>
      </c>
      <c r="F218" s="19" t="s">
        <v>716</v>
      </c>
      <c r="G218" s="19" t="s">
        <v>717</v>
      </c>
      <c r="H218" s="100">
        <v>2953.125</v>
      </c>
      <c r="I218" s="100">
        <v>472.5</v>
      </c>
    </row>
    <row r="219" spans="1:12">
      <c r="A219" t="s">
        <v>5344</v>
      </c>
      <c r="B219" s="1">
        <v>42300</v>
      </c>
      <c r="C219" t="s">
        <v>5345</v>
      </c>
      <c r="D219">
        <v>1</v>
      </c>
      <c r="E219" t="s">
        <v>5346</v>
      </c>
      <c r="F219" s="19" t="s">
        <v>1536</v>
      </c>
      <c r="G219" s="19" t="s">
        <v>1537</v>
      </c>
      <c r="H219" s="100">
        <v>120.68749999999999</v>
      </c>
      <c r="I219" s="100">
        <v>19.309999999999999</v>
      </c>
    </row>
    <row r="220" spans="1:12">
      <c r="A220" t="s">
        <v>5344</v>
      </c>
      <c r="B220" s="1">
        <v>42300</v>
      </c>
      <c r="C220" t="s">
        <v>5345</v>
      </c>
      <c r="D220">
        <v>1</v>
      </c>
      <c r="E220" t="s">
        <v>5346</v>
      </c>
      <c r="F220" s="19" t="s">
        <v>1534</v>
      </c>
      <c r="G220" s="19" t="s">
        <v>1535</v>
      </c>
      <c r="H220" s="100">
        <v>123.25</v>
      </c>
      <c r="I220" s="100">
        <v>19.72</v>
      </c>
    </row>
    <row r="221" spans="1:12">
      <c r="A221" t="s">
        <v>5344</v>
      </c>
      <c r="B221" s="1">
        <v>42300</v>
      </c>
      <c r="C221" t="s">
        <v>5345</v>
      </c>
      <c r="D221">
        <v>1</v>
      </c>
      <c r="E221" t="s">
        <v>5346</v>
      </c>
      <c r="F221" s="19" t="s">
        <v>1534</v>
      </c>
      <c r="G221" s="19" t="s">
        <v>1535</v>
      </c>
      <c r="H221" s="100">
        <v>131</v>
      </c>
      <c r="I221" s="100">
        <v>20.96</v>
      </c>
    </row>
    <row r="222" spans="1:12">
      <c r="A222" t="s">
        <v>5344</v>
      </c>
      <c r="B222" s="1">
        <v>42300</v>
      </c>
      <c r="C222" t="s">
        <v>5345</v>
      </c>
      <c r="D222">
        <v>1</v>
      </c>
      <c r="E222" t="s">
        <v>5346</v>
      </c>
      <c r="F222" s="19" t="s">
        <v>1534</v>
      </c>
      <c r="G222" s="19" t="s">
        <v>1535</v>
      </c>
      <c r="H222" s="100">
        <v>119</v>
      </c>
      <c r="I222" s="100">
        <v>19.04</v>
      </c>
    </row>
    <row r="223" spans="1:12">
      <c r="A223" t="s">
        <v>5344</v>
      </c>
      <c r="B223" s="1">
        <v>42300</v>
      </c>
      <c r="C223" t="s">
        <v>5345</v>
      </c>
      <c r="D223">
        <v>1</v>
      </c>
      <c r="E223" t="s">
        <v>5346</v>
      </c>
      <c r="F223" s="19" t="s">
        <v>788</v>
      </c>
      <c r="G223" s="19" t="s">
        <v>7246</v>
      </c>
      <c r="H223" s="100">
        <v>125.875</v>
      </c>
      <c r="I223" s="100">
        <v>20.14</v>
      </c>
      <c r="J223" s="60">
        <f>4162.75-H216-H217-H218-H219-H220-H221-H222-H223</f>
        <v>0</v>
      </c>
      <c r="K223" s="60">
        <f>666.04-I216-I217-I218-I219-I220-I221-I222-I223</f>
        <v>-4.2632564145606011E-14</v>
      </c>
      <c r="L223" t="s">
        <v>960</v>
      </c>
    </row>
    <row r="224" spans="1:12">
      <c r="A224" t="s">
        <v>5428</v>
      </c>
      <c r="B224" s="1">
        <v>42307</v>
      </c>
      <c r="C224" t="s">
        <v>5429</v>
      </c>
      <c r="D224">
        <v>1</v>
      </c>
      <c r="E224" t="s">
        <v>2729</v>
      </c>
      <c r="F224" t="s">
        <v>2729</v>
      </c>
      <c r="G224" t="s">
        <v>5696</v>
      </c>
      <c r="H224" s="7">
        <f t="shared" si="3"/>
        <v>97.4375</v>
      </c>
      <c r="I224" s="7">
        <v>15.59</v>
      </c>
    </row>
    <row r="225" spans="1:12">
      <c r="A225" t="s">
        <v>5379</v>
      </c>
      <c r="B225" s="1">
        <v>42307</v>
      </c>
      <c r="C225" t="s">
        <v>5380</v>
      </c>
      <c r="D225">
        <v>1</v>
      </c>
      <c r="E225" t="s">
        <v>5383</v>
      </c>
      <c r="F225" s="92" t="s">
        <v>5383</v>
      </c>
      <c r="G225" s="92" t="s">
        <v>2764</v>
      </c>
      <c r="H225" s="7">
        <f t="shared" si="3"/>
        <v>729.75</v>
      </c>
      <c r="I225" s="7">
        <v>116.76</v>
      </c>
    </row>
    <row r="226" spans="1:12">
      <c r="A226" t="s">
        <v>5327</v>
      </c>
      <c r="B226" s="1">
        <v>42307</v>
      </c>
      <c r="C226" t="s">
        <v>5328</v>
      </c>
      <c r="D226">
        <v>1</v>
      </c>
      <c r="E226" t="s">
        <v>5331</v>
      </c>
      <c r="F226" t="s">
        <v>5331</v>
      </c>
      <c r="G226" t="s">
        <v>5697</v>
      </c>
      <c r="H226" s="7">
        <f t="shared" si="3"/>
        <v>263.8125</v>
      </c>
      <c r="I226" s="7">
        <v>42.21</v>
      </c>
    </row>
    <row r="227" spans="1:12">
      <c r="A227" t="s">
        <v>5379</v>
      </c>
      <c r="B227" s="1">
        <v>42307</v>
      </c>
      <c r="C227" t="s">
        <v>5380</v>
      </c>
      <c r="D227">
        <v>1</v>
      </c>
      <c r="E227" t="s">
        <v>4425</v>
      </c>
      <c r="F227" s="92" t="s">
        <v>4425</v>
      </c>
      <c r="G227" s="92" t="s">
        <v>5698</v>
      </c>
      <c r="H227" s="7">
        <f t="shared" si="3"/>
        <v>341.4375</v>
      </c>
      <c r="I227" s="7">
        <v>54.63</v>
      </c>
    </row>
    <row r="228" spans="1:12">
      <c r="A228" t="s">
        <v>5434</v>
      </c>
      <c r="B228" s="1">
        <v>42308</v>
      </c>
      <c r="C228" t="s">
        <v>5435</v>
      </c>
      <c r="D228">
        <v>1</v>
      </c>
      <c r="E228" t="s">
        <v>4425</v>
      </c>
      <c r="F228" s="92" t="s">
        <v>4425</v>
      </c>
      <c r="G228" s="92" t="s">
        <v>5698</v>
      </c>
      <c r="H228" s="7">
        <f t="shared" si="3"/>
        <v>251.62499999999997</v>
      </c>
      <c r="I228" s="7">
        <v>40.26</v>
      </c>
    </row>
    <row r="229" spans="1:12">
      <c r="A229" t="s">
        <v>5352</v>
      </c>
      <c r="B229" s="1">
        <v>42307</v>
      </c>
      <c r="C229" t="s">
        <v>5353</v>
      </c>
      <c r="D229">
        <v>1</v>
      </c>
      <c r="E229" t="s">
        <v>764</v>
      </c>
      <c r="F229" t="s">
        <v>764</v>
      </c>
      <c r="G229" t="s">
        <v>765</v>
      </c>
      <c r="H229" s="7">
        <f t="shared" si="3"/>
        <v>335.5</v>
      </c>
      <c r="I229" s="7">
        <v>53.68</v>
      </c>
      <c r="J229" s="60">
        <f>+H229-[1]OCT.2015!$I$267</f>
        <v>113.93749999999997</v>
      </c>
      <c r="K229" s="60">
        <f>+I229-[1]OCT.2015!$J$267</f>
        <v>18.229999999999997</v>
      </c>
      <c r="L229" t="s">
        <v>5699</v>
      </c>
    </row>
    <row r="230" spans="1:12">
      <c r="A230" t="s">
        <v>5458</v>
      </c>
      <c r="B230" s="1">
        <v>42307</v>
      </c>
      <c r="C230" t="s">
        <v>5459</v>
      </c>
      <c r="D230">
        <v>1</v>
      </c>
      <c r="E230" t="s">
        <v>764</v>
      </c>
      <c r="F230" t="s">
        <v>764</v>
      </c>
      <c r="G230" t="s">
        <v>765</v>
      </c>
      <c r="H230" s="7">
        <f t="shared" si="3"/>
        <v>221.5625</v>
      </c>
      <c r="I230" s="7">
        <v>35.450000000000003</v>
      </c>
    </row>
    <row r="231" spans="1:12">
      <c r="A231" t="s">
        <v>5355</v>
      </c>
      <c r="B231" s="1">
        <v>42307</v>
      </c>
      <c r="C231" t="s">
        <v>5356</v>
      </c>
      <c r="D231">
        <v>1</v>
      </c>
      <c r="E231" t="s">
        <v>5357</v>
      </c>
      <c r="F231" s="92" t="s">
        <v>5357</v>
      </c>
      <c r="G231" s="92" t="s">
        <v>5700</v>
      </c>
      <c r="H231" s="7">
        <f t="shared" si="3"/>
        <v>251.68750000000003</v>
      </c>
      <c r="I231" s="7">
        <v>40.270000000000003</v>
      </c>
    </row>
    <row r="232" spans="1:12">
      <c r="A232" t="s">
        <v>5400</v>
      </c>
      <c r="B232" s="1">
        <v>42307</v>
      </c>
      <c r="C232" t="s">
        <v>5401</v>
      </c>
      <c r="D232">
        <v>1</v>
      </c>
      <c r="E232" t="s">
        <v>5402</v>
      </c>
      <c r="F232" t="s">
        <v>5402</v>
      </c>
      <c r="G232" t="s">
        <v>5701</v>
      </c>
      <c r="H232" s="7">
        <f t="shared" si="3"/>
        <v>100</v>
      </c>
      <c r="I232" s="7">
        <v>16</v>
      </c>
    </row>
    <row r="233" spans="1:12">
      <c r="A233" t="s">
        <v>5409</v>
      </c>
      <c r="B233" s="1">
        <v>42308</v>
      </c>
      <c r="C233" t="s">
        <v>5410</v>
      </c>
      <c r="D233">
        <v>1</v>
      </c>
      <c r="E233" t="s">
        <v>5411</v>
      </c>
      <c r="F233" t="s">
        <v>5411</v>
      </c>
      <c r="G233" t="s">
        <v>5702</v>
      </c>
      <c r="H233" s="7">
        <f t="shared" si="3"/>
        <v>78.4375</v>
      </c>
      <c r="I233" s="7">
        <v>12.55</v>
      </c>
    </row>
    <row r="234" spans="1:12">
      <c r="A234" t="s">
        <v>5327</v>
      </c>
      <c r="B234" s="1">
        <v>42307</v>
      </c>
      <c r="C234" t="s">
        <v>5328</v>
      </c>
      <c r="D234">
        <v>1</v>
      </c>
      <c r="E234" t="s">
        <v>1626</v>
      </c>
      <c r="F234" t="s">
        <v>1626</v>
      </c>
      <c r="G234" t="s">
        <v>1627</v>
      </c>
      <c r="H234" s="7">
        <f t="shared" si="3"/>
        <v>167.75</v>
      </c>
      <c r="I234" s="7">
        <v>26.84</v>
      </c>
    </row>
    <row r="235" spans="1:12">
      <c r="A235" t="s">
        <v>5327</v>
      </c>
      <c r="B235" s="1">
        <v>42307</v>
      </c>
      <c r="C235" t="s">
        <v>5328</v>
      </c>
      <c r="D235">
        <v>1</v>
      </c>
      <c r="E235" t="s">
        <v>2766</v>
      </c>
      <c r="F235" t="s">
        <v>2765</v>
      </c>
      <c r="G235" t="s">
        <v>2766</v>
      </c>
      <c r="H235" s="7">
        <f t="shared" si="3"/>
        <v>1268</v>
      </c>
      <c r="I235" s="7">
        <v>202.88</v>
      </c>
    </row>
    <row r="236" spans="1:12">
      <c r="A236" t="s">
        <v>2058</v>
      </c>
      <c r="B236" s="1">
        <v>42283</v>
      </c>
      <c r="C236" t="s">
        <v>5561</v>
      </c>
      <c r="D236">
        <v>1</v>
      </c>
      <c r="E236" t="s">
        <v>1476</v>
      </c>
      <c r="F236" s="58" t="s">
        <v>1570</v>
      </c>
      <c r="G236" t="s">
        <v>1476</v>
      </c>
      <c r="H236" s="7">
        <f t="shared" si="3"/>
        <v>6079</v>
      </c>
      <c r="I236" s="7">
        <v>972.64</v>
      </c>
    </row>
    <row r="237" spans="1:12">
      <c r="A237" t="s">
        <v>1443</v>
      </c>
      <c r="B237" s="1">
        <v>42298</v>
      </c>
      <c r="C237" t="s">
        <v>5602</v>
      </c>
      <c r="D237">
        <v>1</v>
      </c>
      <c r="E237" t="s">
        <v>1476</v>
      </c>
      <c r="F237" s="61" t="s">
        <v>1570</v>
      </c>
      <c r="G237" t="s">
        <v>1476</v>
      </c>
      <c r="H237" s="7">
        <f t="shared" si="3"/>
        <v>517.5</v>
      </c>
      <c r="I237" s="7">
        <v>82.8</v>
      </c>
    </row>
    <row r="238" spans="1:12">
      <c r="A238" t="s">
        <v>2055</v>
      </c>
      <c r="B238" s="1">
        <v>42283</v>
      </c>
      <c r="C238" t="s">
        <v>5560</v>
      </c>
      <c r="D238">
        <v>1</v>
      </c>
      <c r="E238" t="s">
        <v>446</v>
      </c>
      <c r="F238" s="58" t="s">
        <v>815</v>
      </c>
      <c r="G238" t="s">
        <v>446</v>
      </c>
      <c r="H238" s="7">
        <f t="shared" si="3"/>
        <v>1085</v>
      </c>
      <c r="I238" s="7">
        <v>173.6</v>
      </c>
    </row>
    <row r="239" spans="1:12">
      <c r="A239" t="s">
        <v>1451</v>
      </c>
      <c r="B239" s="1">
        <v>42298</v>
      </c>
      <c r="C239" t="s">
        <v>5604</v>
      </c>
      <c r="D239">
        <v>1</v>
      </c>
      <c r="E239" t="s">
        <v>446</v>
      </c>
      <c r="F239" s="58" t="s">
        <v>815</v>
      </c>
      <c r="G239" t="s">
        <v>446</v>
      </c>
      <c r="H239" s="7">
        <f t="shared" si="3"/>
        <v>5287.1875</v>
      </c>
      <c r="I239" s="7">
        <v>845.95</v>
      </c>
    </row>
    <row r="240" spans="1:12">
      <c r="A240" t="s">
        <v>5428</v>
      </c>
      <c r="B240" s="1">
        <v>42307</v>
      </c>
      <c r="C240" t="s">
        <v>5429</v>
      </c>
      <c r="D240">
        <v>1</v>
      </c>
      <c r="E240" t="s">
        <v>5433</v>
      </c>
      <c r="F240" s="92" t="s">
        <v>5433</v>
      </c>
      <c r="G240" s="92" t="s">
        <v>5703</v>
      </c>
      <c r="H240" s="7">
        <f t="shared" si="3"/>
        <v>500.81249999999994</v>
      </c>
      <c r="I240" s="7">
        <v>80.13</v>
      </c>
    </row>
    <row r="241" spans="1:11">
      <c r="A241" t="s">
        <v>5442</v>
      </c>
      <c r="B241" s="1">
        <v>42308</v>
      </c>
      <c r="C241" t="s">
        <v>5443</v>
      </c>
      <c r="D241">
        <v>1</v>
      </c>
      <c r="E241" t="s">
        <v>5444</v>
      </c>
      <c r="F241" t="s">
        <v>714</v>
      </c>
      <c r="G241" t="s">
        <v>715</v>
      </c>
      <c r="H241" s="100">
        <v>48.25</v>
      </c>
      <c r="I241" s="7">
        <v>7.72</v>
      </c>
      <c r="J241" s="7"/>
      <c r="K241" s="7"/>
    </row>
    <row r="242" spans="1:11">
      <c r="A242" t="s">
        <v>5442</v>
      </c>
      <c r="B242" s="1">
        <v>42308</v>
      </c>
      <c r="C242" t="s">
        <v>5443</v>
      </c>
      <c r="D242">
        <v>1</v>
      </c>
      <c r="E242" t="s">
        <v>5444</v>
      </c>
      <c r="F242" s="19" t="s">
        <v>5330</v>
      </c>
      <c r="G242" s="19" t="s">
        <v>5693</v>
      </c>
      <c r="H242" s="100">
        <v>56.062500000000007</v>
      </c>
      <c r="I242" s="7">
        <v>8.9700000000000006</v>
      </c>
      <c r="J242" s="60">
        <f>104.31-H241-H242</f>
        <v>-2.5000000000048317E-3</v>
      </c>
      <c r="K242" s="60">
        <f>16.69-I241-I242</f>
        <v>0</v>
      </c>
    </row>
    <row r="243" spans="1:11">
      <c r="A243" t="s">
        <v>5506</v>
      </c>
      <c r="B243" s="1">
        <v>42308</v>
      </c>
      <c r="C243" t="s">
        <v>5507</v>
      </c>
      <c r="D243">
        <v>1</v>
      </c>
      <c r="E243" t="s">
        <v>820</v>
      </c>
      <c r="F243" t="s">
        <v>820</v>
      </c>
      <c r="G243" t="s">
        <v>5704</v>
      </c>
      <c r="H243" s="7">
        <f t="shared" si="3"/>
        <v>230.625</v>
      </c>
      <c r="I243" s="7">
        <v>36.9</v>
      </c>
    </row>
    <row r="244" spans="1:11">
      <c r="A244" t="s">
        <v>5488</v>
      </c>
      <c r="B244" s="1">
        <v>42308</v>
      </c>
      <c r="C244" t="s">
        <v>5489</v>
      </c>
      <c r="D244">
        <v>1</v>
      </c>
      <c r="E244" t="s">
        <v>5490</v>
      </c>
      <c r="F244" s="58" t="s">
        <v>820</v>
      </c>
      <c r="G244" t="s">
        <v>5704</v>
      </c>
      <c r="H244" s="7">
        <f t="shared" si="3"/>
        <v>24.0625</v>
      </c>
      <c r="I244" s="7">
        <v>3.85</v>
      </c>
    </row>
    <row r="245" spans="1:11">
      <c r="A245" t="s">
        <v>5481</v>
      </c>
      <c r="B245" s="1">
        <v>42307</v>
      </c>
      <c r="C245" t="s">
        <v>5482</v>
      </c>
      <c r="D245">
        <v>1</v>
      </c>
      <c r="E245" t="s">
        <v>911</v>
      </c>
      <c r="F245" t="s">
        <v>911</v>
      </c>
      <c r="G245" t="s">
        <v>5705</v>
      </c>
      <c r="H245" s="7">
        <f t="shared" si="3"/>
        <v>51.749999999999993</v>
      </c>
      <c r="I245" s="7">
        <v>8.2799999999999994</v>
      </c>
    </row>
    <row r="246" spans="1:11">
      <c r="A246" t="s">
        <v>5440</v>
      </c>
      <c r="B246" s="1">
        <v>42307</v>
      </c>
      <c r="C246" t="s">
        <v>5441</v>
      </c>
      <c r="D246">
        <v>1</v>
      </c>
      <c r="E246" t="s">
        <v>911</v>
      </c>
      <c r="F246" t="s">
        <v>911</v>
      </c>
      <c r="G246" t="s">
        <v>5705</v>
      </c>
      <c r="H246" s="7">
        <f t="shared" si="3"/>
        <v>68.9375</v>
      </c>
      <c r="I246" s="7">
        <v>11.03</v>
      </c>
    </row>
    <row r="247" spans="1:11">
      <c r="A247" t="s">
        <v>5445</v>
      </c>
      <c r="B247" s="1">
        <v>42307</v>
      </c>
      <c r="C247" t="s">
        <v>5446</v>
      </c>
      <c r="D247">
        <v>1</v>
      </c>
      <c r="E247" t="s">
        <v>911</v>
      </c>
      <c r="F247" t="s">
        <v>911</v>
      </c>
      <c r="G247" t="s">
        <v>5705</v>
      </c>
      <c r="H247" s="7">
        <f t="shared" si="3"/>
        <v>51.749999999999993</v>
      </c>
      <c r="I247" s="7">
        <v>8.2799999999999994</v>
      </c>
    </row>
    <row r="248" spans="1:11">
      <c r="A248" t="s">
        <v>1409</v>
      </c>
      <c r="B248" s="1">
        <v>42299</v>
      </c>
      <c r="C248" t="s">
        <v>5590</v>
      </c>
      <c r="D248">
        <v>1</v>
      </c>
      <c r="E248" t="s">
        <v>5591</v>
      </c>
      <c r="F248" t="s">
        <v>811</v>
      </c>
      <c r="G248" t="s">
        <v>812</v>
      </c>
      <c r="H248" s="100">
        <v>3412.9375000000005</v>
      </c>
      <c r="I248" s="7">
        <v>546.07000000000005</v>
      </c>
      <c r="J248" s="7"/>
      <c r="K248" s="7"/>
    </row>
    <row r="249" spans="1:11">
      <c r="A249" t="s">
        <v>1409</v>
      </c>
      <c r="B249" s="1">
        <v>42299</v>
      </c>
      <c r="C249" t="s">
        <v>5590</v>
      </c>
      <c r="D249">
        <v>1</v>
      </c>
      <c r="E249" t="s">
        <v>5591</v>
      </c>
      <c r="F249" t="s">
        <v>7247</v>
      </c>
      <c r="G249" t="s">
        <v>7248</v>
      </c>
      <c r="H249" s="100">
        <v>982.75</v>
      </c>
      <c r="I249" s="7">
        <v>157.24</v>
      </c>
      <c r="J249" s="60">
        <f>4395.69-H248-H249</f>
        <v>2.499999999145075E-3</v>
      </c>
      <c r="K249" s="60">
        <f>703.31-I248-I249</f>
        <v>0</v>
      </c>
    </row>
    <row r="250" spans="1:11">
      <c r="A250" t="s">
        <v>5392</v>
      </c>
      <c r="B250" s="1">
        <v>42307</v>
      </c>
      <c r="C250" t="s">
        <v>5393</v>
      </c>
      <c r="D250">
        <v>1</v>
      </c>
      <c r="E250" t="s">
        <v>5395</v>
      </c>
      <c r="F250" t="s">
        <v>5395</v>
      </c>
      <c r="G250" t="s">
        <v>5706</v>
      </c>
      <c r="H250" s="7">
        <f t="shared" si="3"/>
        <v>106</v>
      </c>
      <c r="I250" s="7">
        <v>16.96</v>
      </c>
    </row>
    <row r="251" spans="1:11">
      <c r="A251" t="s">
        <v>5283</v>
      </c>
      <c r="B251" s="1">
        <v>42307</v>
      </c>
      <c r="C251" t="s">
        <v>5284</v>
      </c>
      <c r="D251">
        <v>1</v>
      </c>
      <c r="E251" t="s">
        <v>821</v>
      </c>
      <c r="F251" t="s">
        <v>821</v>
      </c>
      <c r="G251" t="s">
        <v>5707</v>
      </c>
      <c r="H251" s="7">
        <f t="shared" si="3"/>
        <v>344.8125</v>
      </c>
      <c r="I251" s="7">
        <v>55.17</v>
      </c>
    </row>
    <row r="252" spans="1:11">
      <c r="A252" t="s">
        <v>2613</v>
      </c>
      <c r="B252" s="1">
        <v>42283</v>
      </c>
      <c r="C252" t="s">
        <v>3629</v>
      </c>
      <c r="D252">
        <v>2</v>
      </c>
      <c r="E252" t="s">
        <v>455</v>
      </c>
      <c r="F252" s="7" t="s">
        <v>823</v>
      </c>
      <c r="G252" t="s">
        <v>455</v>
      </c>
      <c r="H252" s="7">
        <f t="shared" si="3"/>
        <v>12113.0625</v>
      </c>
      <c r="I252" s="7">
        <v>1938.09</v>
      </c>
    </row>
    <row r="253" spans="1:11">
      <c r="A253" t="s">
        <v>549</v>
      </c>
      <c r="B253" s="1">
        <v>42298</v>
      </c>
      <c r="C253" t="s">
        <v>3639</v>
      </c>
      <c r="D253">
        <v>2</v>
      </c>
      <c r="E253" t="s">
        <v>455</v>
      </c>
      <c r="F253" s="58" t="s">
        <v>823</v>
      </c>
      <c r="G253" t="s">
        <v>455</v>
      </c>
      <c r="H253" s="7">
        <f t="shared" si="3"/>
        <v>5196.25</v>
      </c>
      <c r="I253" s="7">
        <v>831.4</v>
      </c>
    </row>
    <row r="254" spans="1:11">
      <c r="A254" t="s">
        <v>423</v>
      </c>
      <c r="B254" s="1">
        <v>42307</v>
      </c>
      <c r="C254" t="s">
        <v>5384</v>
      </c>
      <c r="D254">
        <v>1</v>
      </c>
      <c r="E254" t="s">
        <v>5385</v>
      </c>
      <c r="F254" s="19" t="s">
        <v>714</v>
      </c>
      <c r="G254" s="19" t="s">
        <v>715</v>
      </c>
      <c r="H254" s="100">
        <v>206.875</v>
      </c>
      <c r="I254" s="100">
        <v>33.1</v>
      </c>
      <c r="J254" s="7"/>
      <c r="K254" s="7"/>
    </row>
    <row r="255" spans="1:11">
      <c r="A255" t="s">
        <v>423</v>
      </c>
      <c r="B255" s="1">
        <v>42307</v>
      </c>
      <c r="C255" t="s">
        <v>5384</v>
      </c>
      <c r="D255">
        <v>1</v>
      </c>
      <c r="E255" t="s">
        <v>5385</v>
      </c>
      <c r="F255" s="92" t="s">
        <v>5330</v>
      </c>
      <c r="G255" s="92" t="s">
        <v>5693</v>
      </c>
      <c r="H255" s="100">
        <v>176.75</v>
      </c>
      <c r="I255" s="100">
        <v>28.28</v>
      </c>
    </row>
    <row r="256" spans="1:11">
      <c r="A256" t="s">
        <v>423</v>
      </c>
      <c r="B256" s="1">
        <v>42307</v>
      </c>
      <c r="C256" t="s">
        <v>5384</v>
      </c>
      <c r="D256">
        <v>1</v>
      </c>
      <c r="E256" t="s">
        <v>5385</v>
      </c>
      <c r="F256" s="92" t="s">
        <v>780</v>
      </c>
      <c r="G256" s="92" t="s">
        <v>781</v>
      </c>
      <c r="H256" s="100">
        <v>381.625</v>
      </c>
      <c r="I256" s="100">
        <v>61.06</v>
      </c>
    </row>
    <row r="257" spans="1:12">
      <c r="A257" t="s">
        <v>423</v>
      </c>
      <c r="B257" s="1">
        <v>42307</v>
      </c>
      <c r="C257" t="s">
        <v>5384</v>
      </c>
      <c r="D257">
        <v>1</v>
      </c>
      <c r="E257" t="s">
        <v>5385</v>
      </c>
      <c r="F257" s="92" t="s">
        <v>935</v>
      </c>
      <c r="G257" s="92" t="s">
        <v>5729</v>
      </c>
      <c r="H257" s="100">
        <v>86.1875</v>
      </c>
      <c r="I257" s="100">
        <v>13.79</v>
      </c>
      <c r="J257" s="60">
        <f>851.44-H254-H255-H256-H257</f>
        <v>2.5000000000545697E-3</v>
      </c>
      <c r="K257" s="60">
        <f>136.23-I254-I255-I256-I257</f>
        <v>0</v>
      </c>
    </row>
    <row r="258" spans="1:12">
      <c r="A258" t="s">
        <v>1434</v>
      </c>
      <c r="B258" s="1">
        <v>42298</v>
      </c>
      <c r="C258" t="s">
        <v>5600</v>
      </c>
      <c r="D258">
        <v>1</v>
      </c>
      <c r="E258" t="s">
        <v>2097</v>
      </c>
      <c r="F258" s="58" t="s">
        <v>2212</v>
      </c>
      <c r="G258" t="s">
        <v>2097</v>
      </c>
      <c r="H258" s="7">
        <f t="shared" si="3"/>
        <v>3785.625</v>
      </c>
      <c r="I258" s="7">
        <v>605.70000000000005</v>
      </c>
    </row>
    <row r="259" spans="1:12">
      <c r="A259" t="s">
        <v>5415</v>
      </c>
      <c r="B259" s="1">
        <v>42307</v>
      </c>
      <c r="C259" t="s">
        <v>5416</v>
      </c>
      <c r="D259">
        <v>1</v>
      </c>
      <c r="E259" t="s">
        <v>5418</v>
      </c>
      <c r="F259" t="s">
        <v>5418</v>
      </c>
      <c r="G259" t="s">
        <v>5708</v>
      </c>
      <c r="H259" s="7">
        <f t="shared" si="3"/>
        <v>210.0625</v>
      </c>
      <c r="I259" s="7">
        <v>33.61</v>
      </c>
    </row>
    <row r="260" spans="1:12">
      <c r="A260" t="s">
        <v>2595</v>
      </c>
      <c r="B260" s="1">
        <v>42283</v>
      </c>
      <c r="C260" t="s">
        <v>3607</v>
      </c>
      <c r="D260">
        <v>2</v>
      </c>
      <c r="E260" t="s">
        <v>650</v>
      </c>
      <c r="F260" s="58" t="s">
        <v>827</v>
      </c>
      <c r="G260" t="s">
        <v>650</v>
      </c>
      <c r="H260" s="7">
        <f t="shared" si="3"/>
        <v>1309</v>
      </c>
      <c r="I260" s="7">
        <v>209.44</v>
      </c>
    </row>
    <row r="261" spans="1:12">
      <c r="A261" t="s">
        <v>5409</v>
      </c>
      <c r="B261" s="1">
        <v>42308</v>
      </c>
      <c r="C261" t="s">
        <v>5410</v>
      </c>
      <c r="D261">
        <v>1</v>
      </c>
      <c r="E261" t="s">
        <v>5412</v>
      </c>
      <c r="F261" t="s">
        <v>5412</v>
      </c>
      <c r="G261" t="s">
        <v>5709</v>
      </c>
      <c r="H261" s="7">
        <f t="shared" si="3"/>
        <v>101.75</v>
      </c>
      <c r="I261" s="7">
        <v>16.28</v>
      </c>
    </row>
    <row r="262" spans="1:12">
      <c r="A262" t="s">
        <v>5327</v>
      </c>
      <c r="B262" s="1">
        <v>42307</v>
      </c>
      <c r="C262" t="s">
        <v>5328</v>
      </c>
      <c r="D262">
        <v>1</v>
      </c>
      <c r="E262" t="s">
        <v>5332</v>
      </c>
      <c r="F262" t="s">
        <v>5332</v>
      </c>
      <c r="G262" t="s">
        <v>5710</v>
      </c>
      <c r="H262" s="7">
        <f t="shared" si="3"/>
        <v>181.0625</v>
      </c>
      <c r="I262" s="7">
        <v>28.97</v>
      </c>
    </row>
    <row r="263" spans="1:12">
      <c r="A263" t="s">
        <v>5355</v>
      </c>
      <c r="B263" s="1">
        <v>42307</v>
      </c>
      <c r="C263" t="s">
        <v>5356</v>
      </c>
      <c r="D263">
        <v>1</v>
      </c>
      <c r="E263" t="s">
        <v>5358</v>
      </c>
      <c r="F263" t="s">
        <v>5358</v>
      </c>
      <c r="G263" t="s">
        <v>5711</v>
      </c>
      <c r="H263" s="7">
        <f t="shared" si="3"/>
        <v>140</v>
      </c>
      <c r="I263" s="7">
        <v>22.4</v>
      </c>
    </row>
    <row r="264" spans="1:12">
      <c r="A264" t="s">
        <v>499</v>
      </c>
      <c r="B264" s="1">
        <v>42298</v>
      </c>
      <c r="C264" t="s">
        <v>5586</v>
      </c>
      <c r="D264">
        <v>1</v>
      </c>
      <c r="E264" t="s">
        <v>2069</v>
      </c>
      <c r="F264" s="58" t="s">
        <v>2214</v>
      </c>
      <c r="G264" t="s">
        <v>2069</v>
      </c>
      <c r="H264" s="7">
        <f t="shared" si="3"/>
        <v>3277.5</v>
      </c>
      <c r="I264" s="7">
        <v>524.4</v>
      </c>
    </row>
    <row r="265" spans="1:12">
      <c r="A265" t="s">
        <v>2599</v>
      </c>
      <c r="B265" s="1">
        <v>42283</v>
      </c>
      <c r="C265" t="s">
        <v>5552</v>
      </c>
      <c r="D265">
        <v>1</v>
      </c>
      <c r="E265" t="s">
        <v>2069</v>
      </c>
      <c r="F265" t="s">
        <v>2214</v>
      </c>
      <c r="G265" t="s">
        <v>2069</v>
      </c>
      <c r="H265" s="7">
        <f t="shared" si="3"/>
        <v>10194</v>
      </c>
      <c r="I265" s="7">
        <v>1631.04</v>
      </c>
    </row>
    <row r="266" spans="1:12">
      <c r="A266" t="s">
        <v>5521</v>
      </c>
      <c r="B266" s="1">
        <v>42308</v>
      </c>
      <c r="C266" t="s">
        <v>5522</v>
      </c>
      <c r="D266">
        <v>1</v>
      </c>
      <c r="E266" t="s">
        <v>5523</v>
      </c>
      <c r="F266" t="s">
        <v>799</v>
      </c>
      <c r="G266" t="s">
        <v>1361</v>
      </c>
      <c r="H266" s="7">
        <f t="shared" si="3"/>
        <v>-996.8125</v>
      </c>
      <c r="I266" s="7">
        <v>-159.49</v>
      </c>
    </row>
    <row r="267" spans="1:12">
      <c r="A267" t="s">
        <v>5521</v>
      </c>
      <c r="B267" s="1">
        <v>42308</v>
      </c>
      <c r="C267" t="s">
        <v>5522</v>
      </c>
      <c r="D267">
        <v>1</v>
      </c>
      <c r="E267" t="s">
        <v>5523</v>
      </c>
      <c r="F267" t="s">
        <v>799</v>
      </c>
      <c r="G267" t="s">
        <v>1361</v>
      </c>
      <c r="H267" s="7">
        <f t="shared" si="3"/>
        <v>14413.624999999998</v>
      </c>
      <c r="I267" s="7">
        <v>2306.1799999999998</v>
      </c>
    </row>
    <row r="268" spans="1:12">
      <c r="A268" t="s">
        <v>4951</v>
      </c>
      <c r="B268" s="1">
        <v>42279</v>
      </c>
      <c r="C268" t="s">
        <v>4952</v>
      </c>
      <c r="D268">
        <v>1</v>
      </c>
      <c r="E268" t="s">
        <v>4953</v>
      </c>
      <c r="F268" t="s">
        <v>2187</v>
      </c>
      <c r="G268" t="s">
        <v>5712</v>
      </c>
      <c r="H268" s="7">
        <f t="shared" si="3"/>
        <v>325680.625</v>
      </c>
      <c r="I268" s="7">
        <v>52108.9</v>
      </c>
      <c r="J268" s="60">
        <f>+H268-[1]OCT.2015!$I$11</f>
        <v>20094.4375</v>
      </c>
      <c r="K268" s="60">
        <f>+I268-[1]OCT.2015!$J$11</f>
        <v>3215.1100000000006</v>
      </c>
      <c r="L268" t="s">
        <v>5699</v>
      </c>
    </row>
    <row r="269" spans="1:12">
      <c r="A269" t="s">
        <v>5419</v>
      </c>
      <c r="B269" s="1">
        <v>42308</v>
      </c>
      <c r="C269" t="s">
        <v>5420</v>
      </c>
      <c r="D269">
        <v>1</v>
      </c>
      <c r="E269" t="s">
        <v>3491</v>
      </c>
      <c r="F269" t="s">
        <v>714</v>
      </c>
      <c r="G269" t="s">
        <v>715</v>
      </c>
      <c r="H269" s="7">
        <f t="shared" si="3"/>
        <v>322.4375</v>
      </c>
      <c r="I269" s="7">
        <v>51.59</v>
      </c>
    </row>
    <row r="270" spans="1:12">
      <c r="A270" t="s">
        <v>5419</v>
      </c>
      <c r="B270" s="1">
        <v>42308</v>
      </c>
      <c r="C270" t="s">
        <v>5420</v>
      </c>
      <c r="D270">
        <v>1</v>
      </c>
      <c r="E270" t="s">
        <v>3465</v>
      </c>
      <c r="F270" t="s">
        <v>751</v>
      </c>
      <c r="G270" t="s">
        <v>752</v>
      </c>
      <c r="H270" s="7">
        <f t="shared" si="3"/>
        <v>1244.8125</v>
      </c>
      <c r="I270" s="7">
        <v>199.17</v>
      </c>
    </row>
    <row r="271" spans="1:12">
      <c r="A271" t="s">
        <v>5419</v>
      </c>
      <c r="B271" s="1">
        <v>42308</v>
      </c>
      <c r="C271" t="s">
        <v>5420</v>
      </c>
      <c r="D271">
        <v>1</v>
      </c>
      <c r="E271" t="s">
        <v>5421</v>
      </c>
      <c r="F271" t="s">
        <v>901</v>
      </c>
      <c r="G271" t="s">
        <v>5715</v>
      </c>
      <c r="H271" s="7">
        <f t="shared" si="3"/>
        <v>296.625</v>
      </c>
      <c r="I271" s="7">
        <v>47.46</v>
      </c>
    </row>
    <row r="272" spans="1:12">
      <c r="A272" t="s">
        <v>5419</v>
      </c>
      <c r="B272" s="1">
        <v>42308</v>
      </c>
      <c r="C272" t="s">
        <v>5420</v>
      </c>
      <c r="D272">
        <v>1</v>
      </c>
      <c r="E272" t="s">
        <v>5422</v>
      </c>
      <c r="F272" s="92" t="s">
        <v>5713</v>
      </c>
      <c r="G272" s="92" t="s">
        <v>5714</v>
      </c>
      <c r="H272" s="7">
        <f t="shared" si="3"/>
        <v>534.9375</v>
      </c>
      <c r="I272" s="7">
        <v>85.59</v>
      </c>
    </row>
    <row r="273" spans="1:12">
      <c r="A273" t="s">
        <v>2400</v>
      </c>
      <c r="B273" s="1">
        <v>42303</v>
      </c>
      <c r="C273" t="s">
        <v>5061</v>
      </c>
      <c r="D273">
        <v>1</v>
      </c>
      <c r="E273" t="s">
        <v>5111</v>
      </c>
      <c r="F273" t="s">
        <v>1530</v>
      </c>
      <c r="G273" t="s">
        <v>5143</v>
      </c>
      <c r="H273" s="7">
        <f t="shared" si="3"/>
        <v>179466.68749999997</v>
      </c>
      <c r="I273" s="7">
        <v>28714.67</v>
      </c>
      <c r="J273" s="60">
        <f>+H273-[1]OCT.2015!$I$67</f>
        <v>1311.3124999999709</v>
      </c>
      <c r="K273" s="60">
        <f>+I273-[1]OCT.2015!$J$67</f>
        <v>209.80999999999767</v>
      </c>
      <c r="L273" t="s">
        <v>5699</v>
      </c>
    </row>
    <row r="274" spans="1:12">
      <c r="A274" t="s">
        <v>5124</v>
      </c>
      <c r="B274" s="1">
        <v>42304</v>
      </c>
      <c r="C274" t="s">
        <v>5125</v>
      </c>
      <c r="D274">
        <v>1</v>
      </c>
      <c r="E274" t="s">
        <v>83</v>
      </c>
      <c r="F274" s="93" t="s">
        <v>958</v>
      </c>
      <c r="G274" t="s">
        <v>5716</v>
      </c>
      <c r="H274" s="7">
        <f t="shared" si="3"/>
        <v>305085.5</v>
      </c>
      <c r="I274" s="7">
        <v>48813.68</v>
      </c>
      <c r="J274" s="60">
        <f>+H274-[1]OCT.2015!$I$74</f>
        <v>-500.6875</v>
      </c>
      <c r="K274" s="60">
        <f>+I274-[1]OCT.2015!$J$74</f>
        <v>-80.110000000000582</v>
      </c>
      <c r="L274" t="s">
        <v>5699</v>
      </c>
    </row>
    <row r="275" spans="1:12">
      <c r="A275" t="s">
        <v>5165</v>
      </c>
      <c r="B275" s="1">
        <v>42306</v>
      </c>
      <c r="C275" t="s">
        <v>5153</v>
      </c>
      <c r="D275">
        <v>1</v>
      </c>
      <c r="E275" t="s">
        <v>5166</v>
      </c>
      <c r="F275" s="85" t="s">
        <v>5673</v>
      </c>
      <c r="G275" t="s">
        <v>5674</v>
      </c>
      <c r="H275" s="7">
        <f t="shared" si="3"/>
        <v>179466.5625</v>
      </c>
      <c r="I275" s="7">
        <v>28714.65</v>
      </c>
      <c r="J275" s="60">
        <f>+H275-[1]OCT.2015!$I$106</f>
        <v>1311.1875</v>
      </c>
      <c r="K275" s="60">
        <f>+I275-[1]OCT.2015!$J$106</f>
        <v>209.79000000000087</v>
      </c>
      <c r="L275" t="s">
        <v>5699</v>
      </c>
    </row>
    <row r="276" spans="1:12">
      <c r="A276" t="s">
        <v>1347</v>
      </c>
      <c r="B276" s="1">
        <v>42283</v>
      </c>
      <c r="C276" t="s">
        <v>5555</v>
      </c>
      <c r="D276">
        <v>1</v>
      </c>
      <c r="E276" t="s">
        <v>557</v>
      </c>
      <c r="F276" s="58" t="s">
        <v>956</v>
      </c>
      <c r="G276" t="s">
        <v>957</v>
      </c>
      <c r="H276" s="7">
        <f t="shared" si="3"/>
        <v>36890.4375</v>
      </c>
      <c r="I276" s="7">
        <v>5902.47</v>
      </c>
    </row>
    <row r="277" spans="1:12">
      <c r="A277" t="s">
        <v>5527</v>
      </c>
      <c r="B277" s="1">
        <v>42308</v>
      </c>
      <c r="C277" t="s">
        <v>5528</v>
      </c>
      <c r="D277">
        <v>1</v>
      </c>
      <c r="E277" t="s">
        <v>5529</v>
      </c>
      <c r="F277" t="s">
        <v>7325</v>
      </c>
      <c r="G277" t="s">
        <v>7326</v>
      </c>
      <c r="H277" s="7">
        <f t="shared" si="3"/>
        <v>1118.125</v>
      </c>
      <c r="I277" s="7">
        <v>178.9</v>
      </c>
    </row>
    <row r="278" spans="1:12">
      <c r="A278" t="s">
        <v>3124</v>
      </c>
      <c r="B278" s="1">
        <v>42284</v>
      </c>
      <c r="C278" t="s">
        <v>5550</v>
      </c>
      <c r="D278">
        <v>1</v>
      </c>
      <c r="E278" t="s">
        <v>1344</v>
      </c>
      <c r="F278" s="89" t="s">
        <v>808</v>
      </c>
      <c r="G278" t="s">
        <v>5717</v>
      </c>
      <c r="H278" s="7">
        <f t="shared" si="3"/>
        <v>15665.625</v>
      </c>
      <c r="I278" s="7">
        <v>2506.5</v>
      </c>
    </row>
    <row r="279" spans="1:12">
      <c r="A279" t="s">
        <v>5209</v>
      </c>
      <c r="B279" s="1">
        <v>42308</v>
      </c>
      <c r="C279" t="s">
        <v>4723</v>
      </c>
      <c r="D279">
        <v>1</v>
      </c>
      <c r="E279" t="s">
        <v>5210</v>
      </c>
      <c r="F279" s="88" t="s">
        <v>5718</v>
      </c>
      <c r="G279" t="s">
        <v>738</v>
      </c>
      <c r="H279" s="7">
        <f t="shared" si="3"/>
        <v>12358.1875</v>
      </c>
      <c r="I279" s="7">
        <v>1977.31</v>
      </c>
    </row>
    <row r="280" spans="1:12">
      <c r="A280" t="s">
        <v>5018</v>
      </c>
      <c r="B280" s="1">
        <v>42290</v>
      </c>
      <c r="C280" t="s">
        <v>5019</v>
      </c>
      <c r="D280">
        <v>1</v>
      </c>
      <c r="E280" t="s">
        <v>5020</v>
      </c>
      <c r="F280" s="85" t="s">
        <v>791</v>
      </c>
      <c r="G280" t="s">
        <v>5683</v>
      </c>
      <c r="H280" s="7">
        <f t="shared" si="3"/>
        <v>186576.6875</v>
      </c>
      <c r="I280" s="7">
        <v>29852.27</v>
      </c>
      <c r="J280" s="60">
        <f>+H280-[1]OCT.2015!$I$157</f>
        <v>1361</v>
      </c>
      <c r="K280" s="60">
        <f>+I280-[1]OCT.2015!$J$157</f>
        <v>217.76000000000204</v>
      </c>
      <c r="L280" t="s">
        <v>5699</v>
      </c>
    </row>
    <row r="281" spans="1:12">
      <c r="A281" t="s">
        <v>5185</v>
      </c>
      <c r="B281" s="1">
        <v>42308</v>
      </c>
      <c r="C281" t="s">
        <v>5186</v>
      </c>
      <c r="D281">
        <v>1</v>
      </c>
      <c r="E281" t="s">
        <v>5187</v>
      </c>
      <c r="F281" s="72" t="s">
        <v>797</v>
      </c>
      <c r="G281" t="s">
        <v>2326</v>
      </c>
      <c r="H281" s="7">
        <f t="shared" si="3"/>
        <v>186527.0625</v>
      </c>
      <c r="I281" s="7">
        <v>29844.33</v>
      </c>
      <c r="J281" s="60">
        <f>+H281-[1]OCT.2015!$I$175</f>
        <v>1311.375</v>
      </c>
      <c r="K281" s="60">
        <f>+I281-[1]OCT.2015!$J$175</f>
        <v>209.82000000000335</v>
      </c>
      <c r="L281" t="s">
        <v>5699</v>
      </c>
    </row>
    <row r="282" spans="1:12">
      <c r="A282" t="s">
        <v>2853</v>
      </c>
      <c r="B282" s="1">
        <v>42294</v>
      </c>
      <c r="C282" t="s">
        <v>5036</v>
      </c>
      <c r="D282">
        <v>1</v>
      </c>
      <c r="E282" t="s">
        <v>5037</v>
      </c>
      <c r="F282" s="72" t="s">
        <v>797</v>
      </c>
      <c r="G282" t="s">
        <v>2326</v>
      </c>
      <c r="H282" s="7">
        <f t="shared" si="3"/>
        <v>186527.0625</v>
      </c>
      <c r="I282" s="7">
        <v>29844.33</v>
      </c>
      <c r="J282" s="60">
        <f>+H282-[1]OCT.2015!$I$170</f>
        <v>1311.375</v>
      </c>
      <c r="K282" s="60">
        <f>+I282-[1]OCT.2015!$J$170</f>
        <v>209.82000000000335</v>
      </c>
      <c r="L282" t="s">
        <v>5699</v>
      </c>
    </row>
    <row r="283" spans="1:12">
      <c r="A283" t="s">
        <v>583</v>
      </c>
      <c r="B283" s="1">
        <v>42297</v>
      </c>
      <c r="C283" t="s">
        <v>5630</v>
      </c>
      <c r="D283">
        <v>1</v>
      </c>
      <c r="E283" t="s">
        <v>5631</v>
      </c>
      <c r="F283" t="s">
        <v>2751</v>
      </c>
      <c r="G283" s="17" t="s">
        <v>5728</v>
      </c>
      <c r="H283" s="7">
        <f t="shared" si="3"/>
        <v>838645.125</v>
      </c>
      <c r="I283" s="7">
        <v>134183.22</v>
      </c>
    </row>
    <row r="284" spans="1:12">
      <c r="A284" t="s">
        <v>5477</v>
      </c>
      <c r="B284" s="1">
        <v>42307</v>
      </c>
      <c r="C284" t="s">
        <v>5478</v>
      </c>
      <c r="D284">
        <v>1</v>
      </c>
      <c r="E284" t="s">
        <v>4245</v>
      </c>
      <c r="F284" t="s">
        <v>1561</v>
      </c>
      <c r="G284" t="s">
        <v>1188</v>
      </c>
      <c r="H284" s="7">
        <f t="shared" si="3"/>
        <v>146.5625</v>
      </c>
      <c r="I284" s="7">
        <v>23.45</v>
      </c>
    </row>
    <row r="285" spans="1:12">
      <c r="A285" t="s">
        <v>5419</v>
      </c>
      <c r="B285" s="1">
        <v>42308</v>
      </c>
      <c r="C285" t="s">
        <v>5420</v>
      </c>
      <c r="D285">
        <v>1</v>
      </c>
      <c r="E285" t="s">
        <v>5423</v>
      </c>
      <c r="F285" s="92" t="s">
        <v>5719</v>
      </c>
      <c r="G285" s="92" t="s">
        <v>5720</v>
      </c>
      <c r="H285" s="7">
        <f t="shared" si="3"/>
        <v>569.125</v>
      </c>
      <c r="I285" s="7">
        <v>91.06</v>
      </c>
    </row>
    <row r="286" spans="1:12">
      <c r="A286" t="s">
        <v>5419</v>
      </c>
      <c r="B286" s="1">
        <v>42308</v>
      </c>
      <c r="C286" t="s">
        <v>5420</v>
      </c>
      <c r="D286">
        <v>1</v>
      </c>
      <c r="E286" t="s">
        <v>3468</v>
      </c>
      <c r="F286" s="92" t="s">
        <v>905</v>
      </c>
      <c r="G286" s="92" t="s">
        <v>906</v>
      </c>
      <c r="H286" s="7">
        <f t="shared" ref="H286:H356" si="4">+I286/0.16</f>
        <v>619.875</v>
      </c>
      <c r="I286" s="7">
        <v>99.18</v>
      </c>
    </row>
    <row r="287" spans="1:12">
      <c r="A287" t="s">
        <v>515</v>
      </c>
      <c r="B287" s="1">
        <v>42303</v>
      </c>
      <c r="C287" t="s">
        <v>5596</v>
      </c>
      <c r="D287">
        <v>1</v>
      </c>
      <c r="E287" t="s">
        <v>5597</v>
      </c>
      <c r="F287" t="s">
        <v>7327</v>
      </c>
      <c r="G287" t="s">
        <v>7328</v>
      </c>
      <c r="H287" s="7">
        <f t="shared" si="4"/>
        <v>202586.1875</v>
      </c>
      <c r="I287" s="7">
        <v>32413.79</v>
      </c>
    </row>
    <row r="288" spans="1:12">
      <c r="A288" t="s">
        <v>3099</v>
      </c>
      <c r="B288" s="1">
        <v>42278</v>
      </c>
      <c r="C288" t="s">
        <v>5536</v>
      </c>
      <c r="D288">
        <v>1</v>
      </c>
      <c r="E288" t="s">
        <v>5537</v>
      </c>
      <c r="F288" s="89" t="s">
        <v>7249</v>
      </c>
      <c r="G288" t="s">
        <v>7250</v>
      </c>
      <c r="H288" s="100">
        <v>10.375</v>
      </c>
      <c r="I288" s="19">
        <v>1.66</v>
      </c>
      <c r="J288" s="7"/>
      <c r="K288" s="7"/>
    </row>
    <row r="289" spans="1:12">
      <c r="A289" t="s">
        <v>3099</v>
      </c>
      <c r="B289" s="1">
        <v>42278</v>
      </c>
      <c r="C289" t="s">
        <v>5536</v>
      </c>
      <c r="D289">
        <v>1</v>
      </c>
      <c r="E289" t="s">
        <v>5537</v>
      </c>
      <c r="F289" s="129" t="s">
        <v>7251</v>
      </c>
      <c r="G289" s="92" t="s">
        <v>7252</v>
      </c>
      <c r="H289" s="100">
        <v>251.625</v>
      </c>
      <c r="I289" s="19">
        <v>40.26</v>
      </c>
    </row>
    <row r="290" spans="1:12">
      <c r="A290" t="s">
        <v>3099</v>
      </c>
      <c r="B290" s="1">
        <v>42278</v>
      </c>
      <c r="C290" t="s">
        <v>5536</v>
      </c>
      <c r="D290">
        <v>1</v>
      </c>
      <c r="E290" t="s">
        <v>5537</v>
      </c>
      <c r="F290" s="89" t="s">
        <v>5330</v>
      </c>
      <c r="G290" t="s">
        <v>5693</v>
      </c>
      <c r="H290" s="100">
        <v>47.4375</v>
      </c>
      <c r="I290" s="19">
        <v>7.59</v>
      </c>
    </row>
    <row r="291" spans="1:12">
      <c r="A291" t="s">
        <v>3099</v>
      </c>
      <c r="B291" s="1">
        <v>42278</v>
      </c>
      <c r="C291" t="s">
        <v>5536</v>
      </c>
      <c r="D291">
        <v>1</v>
      </c>
      <c r="E291" t="s">
        <v>5537</v>
      </c>
      <c r="F291" s="89" t="s">
        <v>7253</v>
      </c>
      <c r="G291" t="s">
        <v>7254</v>
      </c>
      <c r="H291" s="100">
        <v>4646.5625</v>
      </c>
      <c r="I291" s="19">
        <v>743.45</v>
      </c>
    </row>
    <row r="292" spans="1:12">
      <c r="A292" t="s">
        <v>3099</v>
      </c>
      <c r="B292" s="1">
        <v>42278</v>
      </c>
      <c r="C292" t="s">
        <v>5536</v>
      </c>
      <c r="D292">
        <v>1</v>
      </c>
      <c r="E292" t="s">
        <v>5537</v>
      </c>
      <c r="F292" s="89" t="s">
        <v>5643</v>
      </c>
      <c r="G292" t="s">
        <v>5644</v>
      </c>
      <c r="H292" s="100">
        <v>3228.4374999999995</v>
      </c>
      <c r="I292" s="19">
        <v>516.54999999999995</v>
      </c>
      <c r="J292" s="60">
        <f>8184.44-H288-H289-H290-H291-H292</f>
        <v>2.5000000000545697E-3</v>
      </c>
      <c r="K292">
        <f>1309.51-I288-I289-I290-I291-I292</f>
        <v>0</v>
      </c>
    </row>
    <row r="293" spans="1:12">
      <c r="A293" t="s">
        <v>5321</v>
      </c>
      <c r="B293" s="1">
        <v>42307</v>
      </c>
      <c r="C293" t="s">
        <v>5322</v>
      </c>
      <c r="D293">
        <v>1</v>
      </c>
      <c r="E293" t="s">
        <v>3430</v>
      </c>
      <c r="F293" t="s">
        <v>821</v>
      </c>
      <c r="G293" t="s">
        <v>5707</v>
      </c>
      <c r="H293" s="7">
        <f t="shared" si="4"/>
        <v>689.6875</v>
      </c>
      <c r="I293" s="7">
        <v>110.35</v>
      </c>
    </row>
    <row r="294" spans="1:12">
      <c r="A294" t="s">
        <v>1325</v>
      </c>
      <c r="B294" s="1">
        <v>42278</v>
      </c>
      <c r="C294" t="s">
        <v>5538</v>
      </c>
      <c r="D294">
        <v>1</v>
      </c>
      <c r="E294" t="s">
        <v>3107</v>
      </c>
      <c r="F294" s="90" t="s">
        <v>822</v>
      </c>
      <c r="G294" s="19" t="s">
        <v>5721</v>
      </c>
      <c r="H294" s="7">
        <f t="shared" si="4"/>
        <v>227</v>
      </c>
      <c r="I294" s="7">
        <v>36.32</v>
      </c>
    </row>
    <row r="295" spans="1:12">
      <c r="A295" t="s">
        <v>1323</v>
      </c>
      <c r="B295" s="1">
        <v>42278</v>
      </c>
      <c r="C295" t="s">
        <v>5534</v>
      </c>
      <c r="D295">
        <v>1</v>
      </c>
      <c r="E295" t="s">
        <v>5535</v>
      </c>
      <c r="F295" s="17" t="s">
        <v>828</v>
      </c>
      <c r="G295" t="s">
        <v>518</v>
      </c>
      <c r="H295" s="7">
        <f t="shared" si="4"/>
        <v>2715.1875</v>
      </c>
      <c r="I295" s="7">
        <v>434.43</v>
      </c>
      <c r="J295" s="60">
        <f>+H295-[1]OCT.2015!$I$295</f>
        <v>-1.5625</v>
      </c>
      <c r="K295" s="60">
        <f>+I295-[1]OCT.2015!$J$295</f>
        <v>-0.25</v>
      </c>
      <c r="L295" t="s">
        <v>960</v>
      </c>
    </row>
    <row r="296" spans="1:12">
      <c r="A296" t="s">
        <v>2090</v>
      </c>
      <c r="B296" s="1">
        <v>42291</v>
      </c>
      <c r="C296" t="s">
        <v>5570</v>
      </c>
      <c r="D296">
        <v>1</v>
      </c>
      <c r="E296" t="s">
        <v>3624</v>
      </c>
      <c r="F296" s="19" t="s">
        <v>829</v>
      </c>
      <c r="G296" s="19" t="s">
        <v>529</v>
      </c>
      <c r="H296" s="7">
        <f t="shared" si="4"/>
        <v>133928.5625</v>
      </c>
      <c r="I296" s="7">
        <v>21428.57</v>
      </c>
    </row>
    <row r="297" spans="1:12">
      <c r="A297" t="s">
        <v>1328</v>
      </c>
      <c r="B297" s="1">
        <v>42279</v>
      </c>
      <c r="C297" t="s">
        <v>5541</v>
      </c>
      <c r="D297">
        <v>1</v>
      </c>
      <c r="E297" t="s">
        <v>5542</v>
      </c>
      <c r="F297" s="89" t="s">
        <v>7255</v>
      </c>
      <c r="G297" t="s">
        <v>7256</v>
      </c>
      <c r="H297" s="7">
        <f t="shared" si="4"/>
        <v>3456.25</v>
      </c>
      <c r="I297" s="7">
        <v>553</v>
      </c>
    </row>
    <row r="298" spans="1:12">
      <c r="A298" t="s">
        <v>5419</v>
      </c>
      <c r="B298" s="1">
        <v>42308</v>
      </c>
      <c r="C298" t="s">
        <v>5420</v>
      </c>
      <c r="D298">
        <v>1</v>
      </c>
      <c r="E298" t="s">
        <v>5424</v>
      </c>
      <c r="F298" t="s">
        <v>5722</v>
      </c>
      <c r="G298" t="s">
        <v>5723</v>
      </c>
      <c r="H298" s="7">
        <f t="shared" si="4"/>
        <v>125</v>
      </c>
      <c r="I298" s="7">
        <v>20</v>
      </c>
    </row>
    <row r="299" spans="1:12">
      <c r="A299" t="s">
        <v>3721</v>
      </c>
      <c r="B299" s="1">
        <v>42278</v>
      </c>
      <c r="C299" t="s">
        <v>4944</v>
      </c>
      <c r="D299">
        <v>1</v>
      </c>
      <c r="E299" t="s">
        <v>3717</v>
      </c>
      <c r="F299" t="s">
        <v>799</v>
      </c>
      <c r="G299" t="s">
        <v>0</v>
      </c>
      <c r="H299" s="7">
        <f t="shared" si="4"/>
        <v>140</v>
      </c>
      <c r="I299" s="7">
        <v>22.4</v>
      </c>
    </row>
    <row r="300" spans="1:12">
      <c r="A300" t="s">
        <v>3463</v>
      </c>
      <c r="B300" s="1">
        <v>42307</v>
      </c>
      <c r="C300" t="s">
        <v>5175</v>
      </c>
      <c r="D300">
        <v>1</v>
      </c>
      <c r="E300" t="s">
        <v>3717</v>
      </c>
      <c r="F300" t="s">
        <v>799</v>
      </c>
      <c r="G300" t="s">
        <v>0</v>
      </c>
      <c r="H300" s="7">
        <f t="shared" si="4"/>
        <v>70.5625</v>
      </c>
      <c r="I300" s="7">
        <v>11.29</v>
      </c>
    </row>
    <row r="301" spans="1:12">
      <c r="A301" t="s">
        <v>4945</v>
      </c>
      <c r="B301" s="1">
        <v>42278</v>
      </c>
      <c r="C301" t="s">
        <v>4946</v>
      </c>
      <c r="D301">
        <v>1</v>
      </c>
      <c r="E301" t="s">
        <v>3720</v>
      </c>
      <c r="F301" t="s">
        <v>799</v>
      </c>
      <c r="G301" t="s">
        <v>0</v>
      </c>
      <c r="H301" s="7">
        <f t="shared" si="4"/>
        <v>1254.25</v>
      </c>
      <c r="I301" s="7">
        <v>200.68</v>
      </c>
    </row>
    <row r="302" spans="1:12">
      <c r="A302" t="s">
        <v>1969</v>
      </c>
      <c r="B302" s="1">
        <v>42307</v>
      </c>
      <c r="C302" t="s">
        <v>5176</v>
      </c>
      <c r="D302">
        <v>1</v>
      </c>
      <c r="E302" t="s">
        <v>3720</v>
      </c>
      <c r="F302" t="s">
        <v>799</v>
      </c>
      <c r="G302" t="s">
        <v>0</v>
      </c>
      <c r="H302" s="7">
        <f t="shared" si="4"/>
        <v>1187.75</v>
      </c>
      <c r="I302" s="7">
        <v>190.04</v>
      </c>
    </row>
    <row r="303" spans="1:12">
      <c r="A303" t="s">
        <v>4949</v>
      </c>
      <c r="B303" s="1">
        <v>42278</v>
      </c>
      <c r="C303" t="s">
        <v>4950</v>
      </c>
      <c r="D303">
        <v>1</v>
      </c>
      <c r="E303" t="s">
        <v>3816</v>
      </c>
      <c r="F303" t="s">
        <v>799</v>
      </c>
      <c r="G303" t="s">
        <v>0</v>
      </c>
      <c r="H303" s="7">
        <f t="shared" si="4"/>
        <v>5566.875</v>
      </c>
      <c r="I303" s="7">
        <v>890.7</v>
      </c>
    </row>
    <row r="304" spans="1:12">
      <c r="A304" t="s">
        <v>4947</v>
      </c>
      <c r="B304" s="1">
        <v>42278</v>
      </c>
      <c r="C304" t="s">
        <v>4948</v>
      </c>
      <c r="D304">
        <v>1</v>
      </c>
      <c r="E304" t="s">
        <v>3723</v>
      </c>
      <c r="F304" t="s">
        <v>799</v>
      </c>
      <c r="G304" t="s">
        <v>0</v>
      </c>
      <c r="H304" s="7">
        <f t="shared" si="4"/>
        <v>14964.4375</v>
      </c>
      <c r="I304" s="7">
        <v>2394.31</v>
      </c>
    </row>
    <row r="305" spans="1:12">
      <c r="A305" t="s">
        <v>2093</v>
      </c>
      <c r="B305" s="1">
        <v>42291</v>
      </c>
      <c r="C305" t="s">
        <v>5571</v>
      </c>
      <c r="D305">
        <v>1</v>
      </c>
      <c r="E305" t="s">
        <v>3621</v>
      </c>
      <c r="F305" s="19" t="s">
        <v>845</v>
      </c>
      <c r="G305" s="19" t="s">
        <v>532</v>
      </c>
      <c r="H305" s="7">
        <f t="shared" si="4"/>
        <v>133928.5625</v>
      </c>
      <c r="I305" s="7">
        <v>21428.57</v>
      </c>
    </row>
    <row r="306" spans="1:12">
      <c r="A306" t="s">
        <v>5022</v>
      </c>
      <c r="B306" s="1">
        <v>42290</v>
      </c>
      <c r="C306" t="s">
        <v>5023</v>
      </c>
      <c r="D306">
        <v>1</v>
      </c>
      <c r="E306" t="s">
        <v>5024</v>
      </c>
      <c r="F306" s="85" t="s">
        <v>965</v>
      </c>
      <c r="G306" t="s">
        <v>5724</v>
      </c>
      <c r="H306" s="7">
        <f t="shared" si="4"/>
        <v>186526.875</v>
      </c>
      <c r="I306" s="7">
        <v>29844.3</v>
      </c>
      <c r="J306" s="60">
        <f>+H306-[1]OCT.2015!$I$363</f>
        <v>1311.1875</v>
      </c>
      <c r="K306" s="60">
        <f>+I306-[1]OCT.2015!$J$363</f>
        <v>209.79000000000087</v>
      </c>
      <c r="L306" t="s">
        <v>960</v>
      </c>
    </row>
    <row r="307" spans="1:12">
      <c r="A307" t="s">
        <v>5419</v>
      </c>
      <c r="B307" s="1">
        <v>42308</v>
      </c>
      <c r="C307" t="s">
        <v>5420</v>
      </c>
      <c r="D307">
        <v>1</v>
      </c>
      <c r="E307" t="s">
        <v>5425</v>
      </c>
      <c r="F307" s="92" t="s">
        <v>1612</v>
      </c>
      <c r="G307" s="92" t="s">
        <v>1613</v>
      </c>
      <c r="H307" s="7">
        <f t="shared" si="4"/>
        <v>293.5625</v>
      </c>
      <c r="I307" s="7">
        <v>46.97</v>
      </c>
    </row>
    <row r="308" spans="1:12">
      <c r="A308" t="s">
        <v>555</v>
      </c>
      <c r="B308" s="1">
        <v>42305</v>
      </c>
      <c r="C308" t="s">
        <v>5607</v>
      </c>
      <c r="D308">
        <v>1</v>
      </c>
      <c r="E308" t="s">
        <v>5608</v>
      </c>
      <c r="F308" s="85" t="s">
        <v>7329</v>
      </c>
      <c r="G308" t="s">
        <v>7330</v>
      </c>
      <c r="H308" s="7">
        <f t="shared" si="4"/>
        <v>133620.6875</v>
      </c>
      <c r="I308" s="7">
        <v>21379.31</v>
      </c>
    </row>
    <row r="309" spans="1:12">
      <c r="A309" t="s">
        <v>5419</v>
      </c>
      <c r="B309" s="1">
        <v>42308</v>
      </c>
      <c r="C309" t="s">
        <v>5420</v>
      </c>
      <c r="D309">
        <v>1</v>
      </c>
      <c r="E309" t="s">
        <v>5426</v>
      </c>
      <c r="F309" s="19" t="s">
        <v>5330</v>
      </c>
      <c r="G309" s="19" t="s">
        <v>5693</v>
      </c>
      <c r="H309" s="7">
        <f t="shared" si="4"/>
        <v>228.87499999999997</v>
      </c>
      <c r="I309" s="7">
        <v>36.619999999999997</v>
      </c>
    </row>
    <row r="310" spans="1:12">
      <c r="A310" t="s">
        <v>5419</v>
      </c>
      <c r="B310" s="1">
        <v>42308</v>
      </c>
      <c r="C310" t="s">
        <v>5420</v>
      </c>
      <c r="D310">
        <v>1</v>
      </c>
      <c r="E310" t="s">
        <v>5426</v>
      </c>
      <c r="F310" s="19" t="s">
        <v>5330</v>
      </c>
      <c r="G310" s="19" t="s">
        <v>5693</v>
      </c>
      <c r="H310" s="7">
        <f t="shared" si="4"/>
        <v>811.18749999999989</v>
      </c>
      <c r="I310" s="7">
        <v>129.79</v>
      </c>
    </row>
    <row r="311" spans="1:12">
      <c r="A311" t="s">
        <v>477</v>
      </c>
      <c r="B311" s="1">
        <v>42289</v>
      </c>
      <c r="C311" t="s">
        <v>5566</v>
      </c>
      <c r="D311">
        <v>1</v>
      </c>
      <c r="E311" t="s">
        <v>1461</v>
      </c>
      <c r="F311" s="89" t="s">
        <v>1648</v>
      </c>
      <c r="G311" t="s">
        <v>5725</v>
      </c>
      <c r="H311" s="7">
        <f t="shared" si="4"/>
        <v>587.125</v>
      </c>
      <c r="I311" s="7">
        <v>93.94</v>
      </c>
    </row>
    <row r="312" spans="1:12">
      <c r="A312" t="s">
        <v>1449</v>
      </c>
      <c r="B312" s="1">
        <v>42298</v>
      </c>
      <c r="C312" t="s">
        <v>5603</v>
      </c>
      <c r="D312">
        <v>1</v>
      </c>
      <c r="E312" t="s">
        <v>1461</v>
      </c>
      <c r="F312" s="58" t="s">
        <v>1648</v>
      </c>
      <c r="G312" t="s">
        <v>1649</v>
      </c>
      <c r="H312" s="7">
        <f t="shared" si="4"/>
        <v>2180.75</v>
      </c>
      <c r="I312" s="7">
        <v>348.92</v>
      </c>
    </row>
    <row r="313" spans="1:12">
      <c r="A313" t="s">
        <v>1496</v>
      </c>
      <c r="B313" s="1">
        <v>42305</v>
      </c>
      <c r="C313" t="s">
        <v>5626</v>
      </c>
      <c r="D313">
        <v>1</v>
      </c>
      <c r="E313" t="s">
        <v>1461</v>
      </c>
      <c r="F313" s="58" t="s">
        <v>1648</v>
      </c>
      <c r="G313" s="17" t="s">
        <v>5725</v>
      </c>
      <c r="H313" s="7">
        <f t="shared" si="4"/>
        <v>209.68749999999997</v>
      </c>
      <c r="I313" s="7">
        <v>33.549999999999997</v>
      </c>
    </row>
    <row r="314" spans="1:12">
      <c r="A314" t="s">
        <v>4121</v>
      </c>
      <c r="B314" s="1">
        <v>42283</v>
      </c>
      <c r="C314" t="s">
        <v>5557</v>
      </c>
      <c r="D314">
        <v>1</v>
      </c>
      <c r="E314" t="s">
        <v>452</v>
      </c>
      <c r="F314" s="58" t="s">
        <v>863</v>
      </c>
      <c r="G314" t="s">
        <v>967</v>
      </c>
      <c r="H314" s="7">
        <f t="shared" si="4"/>
        <v>28585</v>
      </c>
      <c r="I314" s="7">
        <v>4573.6000000000004</v>
      </c>
    </row>
    <row r="315" spans="1:12">
      <c r="A315" t="s">
        <v>548</v>
      </c>
      <c r="B315" s="1">
        <v>42298</v>
      </c>
      <c r="C315" t="s">
        <v>5606</v>
      </c>
      <c r="D315">
        <v>1</v>
      </c>
      <c r="E315" t="s">
        <v>452</v>
      </c>
      <c r="F315" s="58" t="s">
        <v>863</v>
      </c>
      <c r="G315" t="s">
        <v>967</v>
      </c>
      <c r="H315" s="7">
        <f t="shared" si="4"/>
        <v>35523.1875</v>
      </c>
      <c r="I315" s="7">
        <v>5683.71</v>
      </c>
    </row>
    <row r="316" spans="1:12">
      <c r="A316" t="s">
        <v>5466</v>
      </c>
      <c r="B316" s="1">
        <v>42308</v>
      </c>
      <c r="C316" t="s">
        <v>5467</v>
      </c>
      <c r="D316">
        <v>1</v>
      </c>
      <c r="E316" t="s">
        <v>5468</v>
      </c>
      <c r="F316" t="s">
        <v>5726</v>
      </c>
      <c r="G316" t="s">
        <v>5727</v>
      </c>
      <c r="H316" s="7">
        <f t="shared" si="4"/>
        <v>212.0625</v>
      </c>
      <c r="I316" s="7">
        <v>33.93</v>
      </c>
    </row>
    <row r="317" spans="1:12">
      <c r="A317" t="s">
        <v>5028</v>
      </c>
      <c r="B317" s="1">
        <v>42291</v>
      </c>
      <c r="C317" t="s">
        <v>5029</v>
      </c>
      <c r="D317">
        <v>1</v>
      </c>
      <c r="E317" t="s">
        <v>5030</v>
      </c>
      <c r="F317" t="s">
        <v>3237</v>
      </c>
      <c r="G317" t="s">
        <v>1015</v>
      </c>
      <c r="H317" s="7">
        <f t="shared" si="4"/>
        <v>186576.6875</v>
      </c>
      <c r="I317" s="7">
        <v>29852.27</v>
      </c>
      <c r="J317" s="60">
        <f>+H317-[1]OCT.2015!$I$444</f>
        <v>1361</v>
      </c>
      <c r="K317" s="60">
        <f>+I317-[1]OCT.2015!$J$444</f>
        <v>217.76000000000204</v>
      </c>
      <c r="L317" t="s">
        <v>960</v>
      </c>
    </row>
    <row r="318" spans="1:12">
      <c r="A318" t="s">
        <v>3966</v>
      </c>
      <c r="B318" s="1">
        <v>42308</v>
      </c>
      <c r="C318" t="s">
        <v>5198</v>
      </c>
      <c r="D318">
        <v>1</v>
      </c>
      <c r="E318" t="s">
        <v>107</v>
      </c>
      <c r="F318" s="94" t="s">
        <v>2751</v>
      </c>
      <c r="G318" s="94" t="s">
        <v>5728</v>
      </c>
      <c r="H318" s="7">
        <f t="shared" si="4"/>
        <v>304774.125</v>
      </c>
      <c r="I318" s="7">
        <v>48763.86</v>
      </c>
      <c r="J318" s="60">
        <f>+H318-[1]OCT.2015!$I$605</f>
        <v>-501.75</v>
      </c>
      <c r="K318" s="60">
        <f>+I318-[1]OCT.2015!$J$605</f>
        <v>-80.279999999998836</v>
      </c>
      <c r="L318" t="s">
        <v>960</v>
      </c>
    </row>
    <row r="319" spans="1:12">
      <c r="A319" t="s">
        <v>1339</v>
      </c>
      <c r="B319" s="1">
        <v>42284</v>
      </c>
      <c r="C319" t="s">
        <v>5548</v>
      </c>
      <c r="D319">
        <v>1</v>
      </c>
      <c r="E319" t="s">
        <v>5549</v>
      </c>
      <c r="F319" t="s">
        <v>7331</v>
      </c>
      <c r="G319" t="s">
        <v>7332</v>
      </c>
      <c r="H319" s="7">
        <f t="shared" si="4"/>
        <v>241379.25</v>
      </c>
      <c r="I319" s="7">
        <v>38620.68</v>
      </c>
    </row>
    <row r="320" spans="1:12">
      <c r="A320" t="s">
        <v>5419</v>
      </c>
      <c r="B320" s="1">
        <v>42308</v>
      </c>
      <c r="C320" t="s">
        <v>5420</v>
      </c>
      <c r="D320">
        <v>1</v>
      </c>
      <c r="E320" t="s">
        <v>5427</v>
      </c>
      <c r="F320" t="s">
        <v>935</v>
      </c>
      <c r="G320" t="s">
        <v>5729</v>
      </c>
      <c r="H320" s="7">
        <f t="shared" si="4"/>
        <v>86.187499999999986</v>
      </c>
      <c r="I320" s="7">
        <v>13.79</v>
      </c>
    </row>
    <row r="321" spans="1:11">
      <c r="A321" t="s">
        <v>5469</v>
      </c>
      <c r="B321" s="1">
        <v>42308</v>
      </c>
      <c r="C321" t="s">
        <v>5470</v>
      </c>
      <c r="D321">
        <v>1</v>
      </c>
      <c r="E321" t="s">
        <v>5471</v>
      </c>
      <c r="F321" t="s">
        <v>2207</v>
      </c>
      <c r="G321" t="s">
        <v>5730</v>
      </c>
      <c r="H321" s="7">
        <f t="shared" si="4"/>
        <v>306</v>
      </c>
      <c r="I321" s="7">
        <v>48.96</v>
      </c>
    </row>
    <row r="322" spans="1:11">
      <c r="A322" t="s">
        <v>558</v>
      </c>
      <c r="B322" s="1">
        <v>42305</v>
      </c>
      <c r="C322" t="s">
        <v>5609</v>
      </c>
      <c r="D322">
        <v>1</v>
      </c>
      <c r="E322" t="s">
        <v>5610</v>
      </c>
      <c r="F322" s="91" t="s">
        <v>6274</v>
      </c>
      <c r="G322" t="s">
        <v>7218</v>
      </c>
      <c r="H322" s="100">
        <v>281.0625</v>
      </c>
      <c r="I322" s="19">
        <v>44.97</v>
      </c>
      <c r="J322" s="7"/>
      <c r="K322" s="7"/>
    </row>
    <row r="323" spans="1:11">
      <c r="A323" t="s">
        <v>558</v>
      </c>
      <c r="B323" s="1">
        <v>42305</v>
      </c>
      <c r="C323" t="s">
        <v>5609</v>
      </c>
      <c r="D323">
        <v>1</v>
      </c>
      <c r="E323" t="s">
        <v>5610</v>
      </c>
      <c r="F323" s="91" t="s">
        <v>5381</v>
      </c>
      <c r="G323" t="s">
        <v>5665</v>
      </c>
      <c r="H323" s="100">
        <v>118.12499999999999</v>
      </c>
      <c r="I323" s="19">
        <v>18.899999999999999</v>
      </c>
    </row>
    <row r="324" spans="1:11">
      <c r="A324" t="s">
        <v>558</v>
      </c>
      <c r="B324" s="1">
        <v>42305</v>
      </c>
      <c r="C324" t="s">
        <v>5609</v>
      </c>
      <c r="D324">
        <v>1</v>
      </c>
      <c r="E324" t="s">
        <v>5610</v>
      </c>
      <c r="F324" s="91" t="s">
        <v>5330</v>
      </c>
      <c r="G324" t="s">
        <v>5693</v>
      </c>
      <c r="H324" s="100">
        <v>188</v>
      </c>
      <c r="I324" s="82">
        <v>30.080000000000002</v>
      </c>
    </row>
    <row r="325" spans="1:11">
      <c r="A325" t="s">
        <v>558</v>
      </c>
      <c r="B325" s="1">
        <v>42305</v>
      </c>
      <c r="C325" t="s">
        <v>5609</v>
      </c>
      <c r="D325">
        <v>1</v>
      </c>
      <c r="E325" t="s">
        <v>5610</v>
      </c>
      <c r="F325" s="130" t="s">
        <v>5646</v>
      </c>
      <c r="G325" s="92" t="s">
        <v>5649</v>
      </c>
      <c r="H325" s="100">
        <v>1729.1249999999998</v>
      </c>
      <c r="I325" s="19">
        <v>276.65999999999997</v>
      </c>
      <c r="J325" s="60">
        <f>2316.31-H322-H323-H324-H325</f>
        <v>-2.499999999827196E-3</v>
      </c>
      <c r="K325">
        <f>370.61-I322-I323-I324-I325</f>
        <v>0</v>
      </c>
    </row>
    <row r="326" spans="1:11">
      <c r="A326" t="s">
        <v>560</v>
      </c>
      <c r="B326" s="1">
        <v>42307</v>
      </c>
      <c r="C326" t="s">
        <v>5615</v>
      </c>
      <c r="D326">
        <v>1</v>
      </c>
      <c r="E326" t="s">
        <v>5610</v>
      </c>
      <c r="F326" s="131" t="s">
        <v>5330</v>
      </c>
      <c r="G326" t="s">
        <v>5693</v>
      </c>
      <c r="H326" s="100">
        <v>127.62500000000001</v>
      </c>
      <c r="I326" s="7">
        <v>20.420000000000002</v>
      </c>
      <c r="J326" s="7"/>
      <c r="K326" s="7"/>
    </row>
    <row r="327" spans="1:11">
      <c r="A327" t="s">
        <v>560</v>
      </c>
      <c r="B327" s="1">
        <v>42307</v>
      </c>
      <c r="C327" t="s">
        <v>5615</v>
      </c>
      <c r="D327">
        <v>1</v>
      </c>
      <c r="E327" t="s">
        <v>5610</v>
      </c>
      <c r="F327" s="130" t="s">
        <v>5646</v>
      </c>
      <c r="G327" s="92" t="s">
        <v>5649</v>
      </c>
      <c r="H327" s="100">
        <v>668.3125</v>
      </c>
      <c r="I327" s="7">
        <v>106.93</v>
      </c>
      <c r="J327" s="60">
        <f>795.94-H326-H327</f>
        <v>2.5000000000545697E-3</v>
      </c>
      <c r="K327" s="60">
        <f>127.35-I326-I327</f>
        <v>0</v>
      </c>
    </row>
    <row r="328" spans="1:11">
      <c r="A328" t="s">
        <v>5352</v>
      </c>
      <c r="B328" s="1">
        <v>42307</v>
      </c>
      <c r="C328" t="s">
        <v>5353</v>
      </c>
      <c r="D328">
        <v>1</v>
      </c>
      <c r="E328" t="s">
        <v>939</v>
      </c>
      <c r="F328" t="s">
        <v>939</v>
      </c>
      <c r="G328" t="s">
        <v>940</v>
      </c>
      <c r="H328" s="7">
        <f t="shared" si="4"/>
        <v>86.187499999999986</v>
      </c>
      <c r="I328" s="7">
        <v>13.79</v>
      </c>
    </row>
    <row r="329" spans="1:11">
      <c r="A329" t="s">
        <v>5458</v>
      </c>
      <c r="B329" s="1">
        <v>42307</v>
      </c>
      <c r="C329" t="s">
        <v>5459</v>
      </c>
      <c r="D329">
        <v>1</v>
      </c>
      <c r="E329" t="s">
        <v>939</v>
      </c>
      <c r="F329" t="s">
        <v>939</v>
      </c>
      <c r="G329" t="s">
        <v>940</v>
      </c>
      <c r="H329" s="7">
        <f t="shared" si="4"/>
        <v>86.187499999999986</v>
      </c>
      <c r="I329" s="7">
        <v>13.79</v>
      </c>
    </row>
    <row r="330" spans="1:11">
      <c r="A330" t="s">
        <v>413</v>
      </c>
      <c r="B330" s="1">
        <v>42307</v>
      </c>
      <c r="C330" t="s">
        <v>5250</v>
      </c>
      <c r="D330">
        <v>1</v>
      </c>
      <c r="E330" t="s">
        <v>700</v>
      </c>
      <c r="F330" t="s">
        <v>700</v>
      </c>
      <c r="G330" t="s">
        <v>5731</v>
      </c>
      <c r="H330" s="7">
        <f t="shared" si="4"/>
        <v>304.375</v>
      </c>
      <c r="I330" s="7">
        <v>48.7</v>
      </c>
    </row>
    <row r="331" spans="1:11">
      <c r="A331" t="s">
        <v>5285</v>
      </c>
      <c r="B331" s="1">
        <v>42307</v>
      </c>
      <c r="C331" t="s">
        <v>5286</v>
      </c>
      <c r="D331">
        <v>1</v>
      </c>
      <c r="E331" t="s">
        <v>700</v>
      </c>
      <c r="F331" t="s">
        <v>700</v>
      </c>
      <c r="G331" t="s">
        <v>5731</v>
      </c>
      <c r="H331" s="7">
        <f t="shared" si="4"/>
        <v>119.5</v>
      </c>
      <c r="I331" s="7">
        <v>19.12</v>
      </c>
    </row>
    <row r="332" spans="1:11">
      <c r="A332" t="s">
        <v>1335</v>
      </c>
      <c r="B332" s="1">
        <v>42282</v>
      </c>
      <c r="C332" t="s">
        <v>5546</v>
      </c>
      <c r="D332">
        <v>1</v>
      </c>
      <c r="E332" t="s">
        <v>520</v>
      </c>
      <c r="F332" s="19" t="s">
        <v>834</v>
      </c>
      <c r="G332" s="19" t="s">
        <v>520</v>
      </c>
      <c r="H332" s="7">
        <f t="shared" si="4"/>
        <v>25862.0625</v>
      </c>
      <c r="I332" s="7">
        <v>4137.93</v>
      </c>
    </row>
    <row r="333" spans="1:11">
      <c r="A333" t="s">
        <v>415</v>
      </c>
      <c r="B333" s="1">
        <v>42307</v>
      </c>
      <c r="C333" t="s">
        <v>5281</v>
      </c>
      <c r="D333">
        <v>1</v>
      </c>
      <c r="E333" t="s">
        <v>5282</v>
      </c>
      <c r="F333" s="17" t="s">
        <v>5282</v>
      </c>
      <c r="G333" t="s">
        <v>5732</v>
      </c>
      <c r="H333" s="7">
        <f t="shared" si="4"/>
        <v>681.0625</v>
      </c>
      <c r="I333" s="7">
        <v>108.97</v>
      </c>
    </row>
    <row r="334" spans="1:11">
      <c r="A334" t="s">
        <v>1437</v>
      </c>
      <c r="B334" s="1">
        <v>42298</v>
      </c>
      <c r="C334" t="s">
        <v>3632</v>
      </c>
      <c r="D334">
        <v>2</v>
      </c>
      <c r="E334" t="s">
        <v>472</v>
      </c>
      <c r="F334" s="58" t="s">
        <v>836</v>
      </c>
      <c r="G334" t="s">
        <v>472</v>
      </c>
      <c r="H334" s="7">
        <f t="shared" si="4"/>
        <v>6430</v>
      </c>
      <c r="I334" s="7">
        <v>1028.8</v>
      </c>
    </row>
    <row r="335" spans="1:11">
      <c r="A335" t="s">
        <v>568</v>
      </c>
      <c r="B335" s="1">
        <v>42305</v>
      </c>
      <c r="C335" t="s">
        <v>5629</v>
      </c>
      <c r="D335">
        <v>1</v>
      </c>
      <c r="E335" t="s">
        <v>467</v>
      </c>
      <c r="F335" s="58" t="s">
        <v>838</v>
      </c>
      <c r="G335" t="s">
        <v>467</v>
      </c>
      <c r="H335" s="7">
        <f t="shared" si="4"/>
        <v>4714.625</v>
      </c>
      <c r="I335" s="7">
        <v>754.34</v>
      </c>
    </row>
    <row r="336" spans="1:11">
      <c r="A336" t="s">
        <v>5316</v>
      </c>
      <c r="B336" s="1">
        <v>42307</v>
      </c>
      <c r="C336" t="s">
        <v>5317</v>
      </c>
      <c r="D336">
        <v>1</v>
      </c>
      <c r="E336" t="s">
        <v>5318</v>
      </c>
      <c r="F336" t="s">
        <v>5318</v>
      </c>
      <c r="G336" t="s">
        <v>5733</v>
      </c>
      <c r="H336" s="7">
        <f t="shared" si="4"/>
        <v>130</v>
      </c>
      <c r="I336" s="7">
        <v>20.8</v>
      </c>
    </row>
    <row r="337" spans="1:9">
      <c r="A337" t="s">
        <v>5454</v>
      </c>
      <c r="B337" s="1">
        <v>42307</v>
      </c>
      <c r="C337" t="s">
        <v>5455</v>
      </c>
      <c r="D337">
        <v>1</v>
      </c>
      <c r="E337" t="s">
        <v>1636</v>
      </c>
      <c r="F337" t="s">
        <v>1636</v>
      </c>
      <c r="G337" t="s">
        <v>1637</v>
      </c>
      <c r="H337" s="7">
        <f t="shared" si="4"/>
        <v>103.4375</v>
      </c>
      <c r="I337" s="7">
        <v>16.55</v>
      </c>
    </row>
    <row r="338" spans="1:9">
      <c r="A338" t="s">
        <v>2928</v>
      </c>
      <c r="B338" s="1">
        <v>42304</v>
      </c>
      <c r="C338" t="s">
        <v>5139</v>
      </c>
      <c r="D338">
        <v>1</v>
      </c>
      <c r="E338" t="s">
        <v>5140</v>
      </c>
      <c r="F338" t="s">
        <v>963</v>
      </c>
      <c r="G338" t="s">
        <v>5140</v>
      </c>
      <c r="H338" s="7">
        <f t="shared" si="4"/>
        <v>206605.24999999997</v>
      </c>
      <c r="I338" s="7">
        <v>33056.839999999997</v>
      </c>
    </row>
    <row r="339" spans="1:9">
      <c r="A339" t="s">
        <v>527</v>
      </c>
      <c r="B339" s="1">
        <v>42304</v>
      </c>
      <c r="C339" t="s">
        <v>5598</v>
      </c>
      <c r="D339">
        <v>1</v>
      </c>
      <c r="E339" t="s">
        <v>544</v>
      </c>
      <c r="F339" t="s">
        <v>841</v>
      </c>
      <c r="G339" t="s">
        <v>544</v>
      </c>
      <c r="H339" s="7">
        <f t="shared" si="4"/>
        <v>4223.25</v>
      </c>
      <c r="I339" s="7">
        <v>675.72</v>
      </c>
    </row>
    <row r="340" spans="1:9">
      <c r="A340" t="s">
        <v>4833</v>
      </c>
      <c r="B340" s="1">
        <v>42307</v>
      </c>
      <c r="C340" t="s">
        <v>5253</v>
      </c>
      <c r="D340">
        <v>1</v>
      </c>
      <c r="E340" t="s">
        <v>837</v>
      </c>
      <c r="F340" t="s">
        <v>837</v>
      </c>
      <c r="G340" t="s">
        <v>5734</v>
      </c>
      <c r="H340" s="7">
        <f t="shared" si="4"/>
        <v>483</v>
      </c>
      <c r="I340" s="7">
        <v>77.28</v>
      </c>
    </row>
    <row r="341" spans="1:9">
      <c r="A341" t="s">
        <v>5274</v>
      </c>
      <c r="B341" s="1">
        <v>42307</v>
      </c>
      <c r="C341" t="s">
        <v>5275</v>
      </c>
      <c r="D341">
        <v>1</v>
      </c>
      <c r="E341" t="s">
        <v>837</v>
      </c>
      <c r="F341" t="s">
        <v>837</v>
      </c>
      <c r="G341" t="s">
        <v>5734</v>
      </c>
      <c r="H341" s="7">
        <f t="shared" si="4"/>
        <v>174.3125</v>
      </c>
      <c r="I341" s="7">
        <v>27.89</v>
      </c>
    </row>
    <row r="342" spans="1:9">
      <c r="A342" t="s">
        <v>5276</v>
      </c>
      <c r="B342" s="1">
        <v>42307</v>
      </c>
      <c r="C342" t="s">
        <v>5277</v>
      </c>
      <c r="D342">
        <v>1</v>
      </c>
      <c r="E342" t="s">
        <v>837</v>
      </c>
      <c r="F342" t="s">
        <v>837</v>
      </c>
      <c r="G342" t="s">
        <v>5734</v>
      </c>
      <c r="H342" s="7">
        <f t="shared" si="4"/>
        <v>238.93749999999997</v>
      </c>
      <c r="I342" s="7">
        <v>38.229999999999997</v>
      </c>
    </row>
    <row r="343" spans="1:9">
      <c r="A343" t="s">
        <v>545</v>
      </c>
      <c r="B343" s="1">
        <v>42298</v>
      </c>
      <c r="C343" t="s">
        <v>3637</v>
      </c>
      <c r="D343">
        <v>2</v>
      </c>
      <c r="E343" t="s">
        <v>1349</v>
      </c>
      <c r="F343" s="58" t="s">
        <v>1588</v>
      </c>
      <c r="G343" t="s">
        <v>1349</v>
      </c>
      <c r="H343" s="7">
        <f t="shared" si="4"/>
        <v>9500</v>
      </c>
      <c r="I343" s="7">
        <v>1520</v>
      </c>
    </row>
    <row r="344" spans="1:9">
      <c r="A344" t="s">
        <v>1493</v>
      </c>
      <c r="B344" s="1">
        <v>42305</v>
      </c>
      <c r="C344" t="s">
        <v>5624</v>
      </c>
      <c r="D344">
        <v>1</v>
      </c>
      <c r="E344" t="s">
        <v>1341</v>
      </c>
      <c r="F344" s="58" t="s">
        <v>1589</v>
      </c>
      <c r="G344" t="s">
        <v>1341</v>
      </c>
      <c r="H344" s="7">
        <f t="shared" si="4"/>
        <v>1720</v>
      </c>
      <c r="I344" s="7">
        <v>275.2</v>
      </c>
    </row>
    <row r="345" spans="1:9">
      <c r="A345" t="s">
        <v>5335</v>
      </c>
      <c r="B345" s="1">
        <v>42307</v>
      </c>
      <c r="C345" t="s">
        <v>5336</v>
      </c>
      <c r="D345">
        <v>1</v>
      </c>
      <c r="E345" t="s">
        <v>768</v>
      </c>
      <c r="F345" t="s">
        <v>768</v>
      </c>
      <c r="G345" t="s">
        <v>283</v>
      </c>
      <c r="H345" s="7">
        <f t="shared" si="4"/>
        <v>87.0625</v>
      </c>
      <c r="I345" s="7">
        <v>13.93</v>
      </c>
    </row>
    <row r="346" spans="1:9">
      <c r="A346" t="s">
        <v>5337</v>
      </c>
      <c r="B346" s="1">
        <v>42307</v>
      </c>
      <c r="C346" t="s">
        <v>5338</v>
      </c>
      <c r="D346">
        <v>1</v>
      </c>
      <c r="E346" t="s">
        <v>768</v>
      </c>
      <c r="F346" t="s">
        <v>768</v>
      </c>
      <c r="G346" t="s">
        <v>283</v>
      </c>
      <c r="H346" s="7">
        <f t="shared" si="4"/>
        <v>89.375</v>
      </c>
      <c r="I346" s="7">
        <v>14.3</v>
      </c>
    </row>
    <row r="347" spans="1:9">
      <c r="A347" t="s">
        <v>5313</v>
      </c>
      <c r="B347" s="1">
        <v>42307</v>
      </c>
      <c r="C347" t="s">
        <v>5314</v>
      </c>
      <c r="D347">
        <v>1</v>
      </c>
      <c r="E347" t="s">
        <v>5315</v>
      </c>
      <c r="F347" s="19" t="s">
        <v>5315</v>
      </c>
      <c r="G347" s="19" t="s">
        <v>5735</v>
      </c>
      <c r="H347" s="7">
        <f t="shared" si="4"/>
        <v>310.1875</v>
      </c>
      <c r="I347" s="7">
        <v>49.63</v>
      </c>
    </row>
    <row r="348" spans="1:9">
      <c r="A348" t="s">
        <v>1498</v>
      </c>
      <c r="B348" s="1">
        <v>42305</v>
      </c>
      <c r="C348" t="s">
        <v>5627</v>
      </c>
      <c r="D348">
        <v>1</v>
      </c>
      <c r="E348" t="s">
        <v>470</v>
      </c>
      <c r="F348" s="58" t="s">
        <v>843</v>
      </c>
      <c r="G348" t="s">
        <v>470</v>
      </c>
      <c r="H348" s="7">
        <f t="shared" si="4"/>
        <v>3769.1875000000005</v>
      </c>
      <c r="I348" s="7">
        <v>603.07000000000005</v>
      </c>
    </row>
    <row r="349" spans="1:9">
      <c r="A349" t="s">
        <v>2053</v>
      </c>
      <c r="B349" s="1">
        <v>42283</v>
      </c>
      <c r="C349" t="s">
        <v>3627</v>
      </c>
      <c r="D349">
        <v>2</v>
      </c>
      <c r="E349" t="s">
        <v>665</v>
      </c>
      <c r="F349" s="58" t="s">
        <v>844</v>
      </c>
      <c r="G349" t="s">
        <v>665</v>
      </c>
      <c r="H349" s="7">
        <f t="shared" si="4"/>
        <v>900</v>
      </c>
      <c r="I349" s="7">
        <v>144</v>
      </c>
    </row>
    <row r="350" spans="1:9">
      <c r="A350" t="s">
        <v>1440</v>
      </c>
      <c r="B350" s="1">
        <v>42298</v>
      </c>
      <c r="C350" t="s">
        <v>3635</v>
      </c>
      <c r="D350">
        <v>2</v>
      </c>
      <c r="E350" t="s">
        <v>665</v>
      </c>
      <c r="F350" s="58" t="s">
        <v>844</v>
      </c>
      <c r="G350" t="s">
        <v>665</v>
      </c>
      <c r="H350" s="7">
        <f t="shared" si="4"/>
        <v>2000</v>
      </c>
      <c r="I350" s="7">
        <v>320</v>
      </c>
    </row>
    <row r="351" spans="1:9">
      <c r="A351" t="s">
        <v>2180</v>
      </c>
      <c r="B351" s="1">
        <v>42305</v>
      </c>
      <c r="C351" t="s">
        <v>4105</v>
      </c>
      <c r="D351">
        <v>2</v>
      </c>
      <c r="E351" t="s">
        <v>665</v>
      </c>
      <c r="F351" s="58" t="s">
        <v>844</v>
      </c>
      <c r="G351" t="s">
        <v>665</v>
      </c>
      <c r="H351" s="7">
        <f t="shared" si="4"/>
        <v>2300</v>
      </c>
      <c r="I351" s="7">
        <v>368</v>
      </c>
    </row>
    <row r="352" spans="1:9">
      <c r="A352" t="s">
        <v>5428</v>
      </c>
      <c r="B352" s="1">
        <v>42307</v>
      </c>
      <c r="C352" t="s">
        <v>5429</v>
      </c>
      <c r="D352">
        <v>1</v>
      </c>
      <c r="E352" t="s">
        <v>3232</v>
      </c>
      <c r="F352" s="92" t="s">
        <v>3232</v>
      </c>
      <c r="G352" s="92" t="s">
        <v>5736</v>
      </c>
      <c r="H352" s="7">
        <f t="shared" si="4"/>
        <v>503.4375</v>
      </c>
      <c r="I352" s="7">
        <v>80.55</v>
      </c>
    </row>
    <row r="353" spans="1:9">
      <c r="A353" t="s">
        <v>5428</v>
      </c>
      <c r="B353" s="1">
        <v>42307</v>
      </c>
      <c r="C353" t="s">
        <v>5429</v>
      </c>
      <c r="D353">
        <v>1</v>
      </c>
      <c r="E353" t="s">
        <v>6093</v>
      </c>
      <c r="F353" t="s">
        <v>6093</v>
      </c>
      <c r="G353" t="s">
        <v>5737</v>
      </c>
      <c r="H353" s="7">
        <f t="shared" si="4"/>
        <v>49.125</v>
      </c>
      <c r="I353" s="7">
        <v>7.86</v>
      </c>
    </row>
    <row r="354" spans="1:9">
      <c r="A354" t="s">
        <v>412</v>
      </c>
      <c r="B354" s="1">
        <v>42307</v>
      </c>
      <c r="C354" t="s">
        <v>5249</v>
      </c>
      <c r="D354">
        <v>1</v>
      </c>
      <c r="E354" t="s">
        <v>847</v>
      </c>
      <c r="F354" t="s">
        <v>847</v>
      </c>
      <c r="G354" t="s">
        <v>5738</v>
      </c>
      <c r="H354" s="7">
        <f t="shared" si="4"/>
        <v>449.93749999999994</v>
      </c>
      <c r="I354" s="7">
        <v>71.989999999999995</v>
      </c>
    </row>
    <row r="355" spans="1:9">
      <c r="A355" t="s">
        <v>5287</v>
      </c>
      <c r="B355" s="1">
        <v>42307</v>
      </c>
      <c r="C355" t="s">
        <v>5288</v>
      </c>
      <c r="D355">
        <v>1</v>
      </c>
      <c r="E355" t="s">
        <v>847</v>
      </c>
      <c r="F355" t="s">
        <v>847</v>
      </c>
      <c r="G355" t="s">
        <v>5738</v>
      </c>
      <c r="H355" s="7">
        <f t="shared" si="4"/>
        <v>60.375</v>
      </c>
      <c r="I355" s="7">
        <v>9.66</v>
      </c>
    </row>
    <row r="356" spans="1:9">
      <c r="A356" t="s">
        <v>2061</v>
      </c>
      <c r="B356" s="1">
        <v>42283</v>
      </c>
      <c r="C356" t="s">
        <v>3628</v>
      </c>
      <c r="D356">
        <v>2</v>
      </c>
      <c r="E356" t="s">
        <v>449</v>
      </c>
      <c r="F356" s="58" t="s">
        <v>848</v>
      </c>
      <c r="G356" t="s">
        <v>449</v>
      </c>
      <c r="H356" s="7">
        <f t="shared" si="4"/>
        <v>4000</v>
      </c>
      <c r="I356" s="7">
        <v>640</v>
      </c>
    </row>
    <row r="357" spans="1:9">
      <c r="A357" t="s">
        <v>1453</v>
      </c>
      <c r="B357" s="1">
        <v>42298</v>
      </c>
      <c r="C357" t="s">
        <v>3638</v>
      </c>
      <c r="D357">
        <v>2</v>
      </c>
      <c r="E357" t="s">
        <v>449</v>
      </c>
      <c r="F357" s="58" t="s">
        <v>848</v>
      </c>
      <c r="G357" t="s">
        <v>449</v>
      </c>
      <c r="H357" s="7">
        <f t="shared" ref="H357:H420" si="5">+I357/0.16</f>
        <v>2000</v>
      </c>
      <c r="I357" s="7">
        <v>320</v>
      </c>
    </row>
    <row r="358" spans="1:9">
      <c r="A358" t="s">
        <v>2610</v>
      </c>
      <c r="B358" s="1">
        <v>42283</v>
      </c>
      <c r="C358" t="s">
        <v>5563</v>
      </c>
      <c r="D358">
        <v>1</v>
      </c>
      <c r="E358" t="s">
        <v>449</v>
      </c>
      <c r="F358" s="58" t="s">
        <v>848</v>
      </c>
      <c r="G358" t="s">
        <v>449</v>
      </c>
      <c r="H358" s="7">
        <f t="shared" si="5"/>
        <v>1200</v>
      </c>
      <c r="I358" s="7">
        <v>192</v>
      </c>
    </row>
    <row r="359" spans="1:9">
      <c r="A359" t="s">
        <v>1456</v>
      </c>
      <c r="B359" s="1">
        <v>42298</v>
      </c>
      <c r="C359" t="s">
        <v>5605</v>
      </c>
      <c r="D359">
        <v>1</v>
      </c>
      <c r="E359" t="s">
        <v>449</v>
      </c>
      <c r="F359" s="58" t="s">
        <v>848</v>
      </c>
      <c r="G359" t="s">
        <v>449</v>
      </c>
      <c r="H359" s="7">
        <f t="shared" si="5"/>
        <v>10000</v>
      </c>
      <c r="I359" s="7">
        <v>1600</v>
      </c>
    </row>
    <row r="360" spans="1:9">
      <c r="A360" t="s">
        <v>405</v>
      </c>
      <c r="B360" s="1">
        <v>42307</v>
      </c>
      <c r="C360" t="s">
        <v>5244</v>
      </c>
      <c r="D360">
        <v>1</v>
      </c>
      <c r="E360" t="s">
        <v>769</v>
      </c>
      <c r="F360" t="s">
        <v>769</v>
      </c>
      <c r="G360" t="s">
        <v>645</v>
      </c>
      <c r="H360" s="7">
        <f t="shared" si="5"/>
        <v>144.8125</v>
      </c>
      <c r="I360" s="7">
        <v>23.17</v>
      </c>
    </row>
    <row r="361" spans="1:9">
      <c r="A361" t="s">
        <v>5299</v>
      </c>
      <c r="B361" s="1">
        <v>42307</v>
      </c>
      <c r="C361" t="s">
        <v>5300</v>
      </c>
      <c r="D361">
        <v>1</v>
      </c>
      <c r="E361" t="s">
        <v>769</v>
      </c>
      <c r="F361" t="s">
        <v>769</v>
      </c>
      <c r="G361" t="s">
        <v>645</v>
      </c>
      <c r="H361" s="7">
        <f t="shared" si="5"/>
        <v>661.1875</v>
      </c>
      <c r="I361" s="7">
        <v>105.79</v>
      </c>
    </row>
    <row r="362" spans="1:9">
      <c r="A362" t="s">
        <v>5372</v>
      </c>
      <c r="B362" s="1">
        <v>42307</v>
      </c>
      <c r="C362" t="s">
        <v>5373</v>
      </c>
      <c r="D362">
        <v>1</v>
      </c>
      <c r="E362" t="s">
        <v>769</v>
      </c>
      <c r="F362" t="s">
        <v>769</v>
      </c>
      <c r="G362" t="s">
        <v>645</v>
      </c>
      <c r="H362" s="7">
        <f t="shared" si="5"/>
        <v>68.125</v>
      </c>
      <c r="I362" s="7">
        <v>10.9</v>
      </c>
    </row>
    <row r="363" spans="1:9">
      <c r="A363" t="s">
        <v>5327</v>
      </c>
      <c r="B363" s="1">
        <v>42307</v>
      </c>
      <c r="C363" t="s">
        <v>5328</v>
      </c>
      <c r="D363">
        <v>1</v>
      </c>
      <c r="E363" t="s">
        <v>4935</v>
      </c>
      <c r="F363" t="s">
        <v>4935</v>
      </c>
      <c r="G363" t="s">
        <v>5739</v>
      </c>
      <c r="H363" s="7">
        <f t="shared" si="5"/>
        <v>280.1875</v>
      </c>
      <c r="I363" s="7">
        <v>44.83</v>
      </c>
    </row>
    <row r="364" spans="1:9">
      <c r="A364" t="s">
        <v>2116</v>
      </c>
      <c r="B364" s="1">
        <v>42293</v>
      </c>
      <c r="C364" t="s">
        <v>5579</v>
      </c>
      <c r="D364">
        <v>1</v>
      </c>
      <c r="E364" t="s">
        <v>645</v>
      </c>
      <c r="F364" s="58" t="s">
        <v>769</v>
      </c>
      <c r="G364" t="s">
        <v>645</v>
      </c>
      <c r="H364" s="7">
        <f t="shared" si="5"/>
        <v>4137.0625</v>
      </c>
      <c r="I364" s="7">
        <v>661.93</v>
      </c>
    </row>
    <row r="365" spans="1:9">
      <c r="A365" t="s">
        <v>1359</v>
      </c>
      <c r="B365" s="1">
        <v>42283</v>
      </c>
      <c r="C365" t="s">
        <v>5562</v>
      </c>
      <c r="D365">
        <v>1</v>
      </c>
      <c r="E365" t="s">
        <v>645</v>
      </c>
      <c r="F365" s="19" t="s">
        <v>769</v>
      </c>
      <c r="G365" s="19" t="s">
        <v>645</v>
      </c>
      <c r="H365" s="7">
        <f t="shared" si="5"/>
        <v>3662.3125</v>
      </c>
      <c r="I365" s="7">
        <v>585.97</v>
      </c>
    </row>
    <row r="366" spans="1:9">
      <c r="A366" t="s">
        <v>5496</v>
      </c>
      <c r="B366" s="1">
        <v>42307</v>
      </c>
      <c r="C366" t="s">
        <v>5497</v>
      </c>
      <c r="D366">
        <v>1</v>
      </c>
      <c r="E366" t="s">
        <v>3690</v>
      </c>
      <c r="F366" s="92" t="s">
        <v>3690</v>
      </c>
      <c r="G366" s="92" t="s">
        <v>5740</v>
      </c>
      <c r="H366" s="7">
        <f t="shared" si="5"/>
        <v>887.8125</v>
      </c>
      <c r="I366" s="7">
        <v>142.05000000000001</v>
      </c>
    </row>
    <row r="367" spans="1:9">
      <c r="A367" t="s">
        <v>5392</v>
      </c>
      <c r="B367" s="1">
        <v>42307</v>
      </c>
      <c r="C367" t="s">
        <v>5393</v>
      </c>
      <c r="D367">
        <v>1</v>
      </c>
      <c r="E367" t="s">
        <v>5396</v>
      </c>
      <c r="F367" s="92" t="s">
        <v>5396</v>
      </c>
      <c r="G367" s="92" t="s">
        <v>5741</v>
      </c>
      <c r="H367" s="7">
        <f t="shared" si="5"/>
        <v>293.5625</v>
      </c>
      <c r="I367" s="7">
        <v>46.97</v>
      </c>
    </row>
    <row r="368" spans="1:9">
      <c r="A368" t="s">
        <v>5448</v>
      </c>
      <c r="B368" s="1">
        <v>42307</v>
      </c>
      <c r="C368" t="s">
        <v>5449</v>
      </c>
      <c r="D368">
        <v>1</v>
      </c>
      <c r="E368" t="s">
        <v>5451</v>
      </c>
      <c r="F368" s="139" t="s">
        <v>2231</v>
      </c>
      <c r="G368" t="s">
        <v>2232</v>
      </c>
      <c r="H368" s="7">
        <f t="shared" si="5"/>
        <v>377.5</v>
      </c>
      <c r="I368" s="7">
        <v>60.4</v>
      </c>
    </row>
    <row r="369" spans="1:9">
      <c r="A369" t="s">
        <v>5458</v>
      </c>
      <c r="B369" s="1">
        <v>42307</v>
      </c>
      <c r="C369" t="s">
        <v>5459</v>
      </c>
      <c r="D369">
        <v>1</v>
      </c>
      <c r="E369" t="s">
        <v>5451</v>
      </c>
      <c r="F369" s="139" t="s">
        <v>2231</v>
      </c>
      <c r="G369" s="92" t="s">
        <v>2232</v>
      </c>
      <c r="H369" s="7">
        <f t="shared" si="5"/>
        <v>377.56249999999994</v>
      </c>
      <c r="I369" s="7">
        <v>60.41</v>
      </c>
    </row>
    <row r="370" spans="1:9">
      <c r="A370" t="s">
        <v>5428</v>
      </c>
      <c r="B370" s="1">
        <v>42307</v>
      </c>
      <c r="C370" t="s">
        <v>5429</v>
      </c>
      <c r="D370">
        <v>1</v>
      </c>
      <c r="E370" t="s">
        <v>915</v>
      </c>
      <c r="F370" t="s">
        <v>915</v>
      </c>
      <c r="G370" t="s">
        <v>916</v>
      </c>
      <c r="H370" s="7">
        <f t="shared" si="5"/>
        <v>844.81249999999989</v>
      </c>
      <c r="I370" s="7">
        <v>135.16999999999999</v>
      </c>
    </row>
    <row r="371" spans="1:9">
      <c r="A371" t="s">
        <v>5434</v>
      </c>
      <c r="B371" s="1">
        <v>42308</v>
      </c>
      <c r="C371" t="s">
        <v>5435</v>
      </c>
      <c r="D371">
        <v>1</v>
      </c>
      <c r="E371" s="139" t="s">
        <v>7572</v>
      </c>
      <c r="F371" s="139" t="s">
        <v>7572</v>
      </c>
      <c r="G371" s="92" t="s">
        <v>5742</v>
      </c>
      <c r="H371" s="7">
        <f t="shared" si="5"/>
        <v>478</v>
      </c>
      <c r="I371" s="7">
        <v>76.48</v>
      </c>
    </row>
    <row r="372" spans="1:9">
      <c r="A372" t="s">
        <v>5240</v>
      </c>
      <c r="B372" s="1">
        <v>42278</v>
      </c>
      <c r="C372" t="s">
        <v>5241</v>
      </c>
      <c r="D372">
        <v>1</v>
      </c>
      <c r="E372" t="s">
        <v>5242</v>
      </c>
      <c r="F372" s="19" t="s">
        <v>5330</v>
      </c>
      <c r="G372" s="19" t="s">
        <v>5693</v>
      </c>
      <c r="H372" s="7">
        <f t="shared" si="5"/>
        <v>112.0625</v>
      </c>
      <c r="I372" s="7">
        <v>17.93</v>
      </c>
    </row>
    <row r="373" spans="1:9">
      <c r="A373" t="s">
        <v>5491</v>
      </c>
      <c r="B373" s="1">
        <v>42308</v>
      </c>
      <c r="C373" t="s">
        <v>5492</v>
      </c>
      <c r="D373">
        <v>1</v>
      </c>
      <c r="E373" t="s">
        <v>5493</v>
      </c>
      <c r="F373" t="s">
        <v>5493</v>
      </c>
      <c r="G373" t="s">
        <v>5743</v>
      </c>
      <c r="H373" s="7">
        <f t="shared" si="5"/>
        <v>440.9375</v>
      </c>
      <c r="I373" s="7">
        <v>70.55</v>
      </c>
    </row>
    <row r="374" spans="1:9">
      <c r="A374" t="s">
        <v>5502</v>
      </c>
      <c r="B374" s="1">
        <v>42308</v>
      </c>
      <c r="C374" t="s">
        <v>5503</v>
      </c>
      <c r="D374">
        <v>1</v>
      </c>
      <c r="E374" t="s">
        <v>5493</v>
      </c>
      <c r="F374" t="s">
        <v>5493</v>
      </c>
      <c r="G374" t="s">
        <v>5743</v>
      </c>
      <c r="H374" s="7">
        <f t="shared" si="5"/>
        <v>244.8125</v>
      </c>
      <c r="I374" s="7">
        <v>39.17</v>
      </c>
    </row>
    <row r="375" spans="1:9">
      <c r="A375" t="s">
        <v>5265</v>
      </c>
      <c r="B375" s="1">
        <v>42307</v>
      </c>
      <c r="C375" t="s">
        <v>5266</v>
      </c>
      <c r="D375">
        <v>1</v>
      </c>
      <c r="E375" t="s">
        <v>1595</v>
      </c>
      <c r="F375" t="s">
        <v>1595</v>
      </c>
      <c r="G375" t="s">
        <v>1200</v>
      </c>
      <c r="H375" s="7">
        <f t="shared" si="5"/>
        <v>210.3125</v>
      </c>
      <c r="I375" s="7">
        <v>33.65</v>
      </c>
    </row>
    <row r="376" spans="1:9">
      <c r="A376" t="s">
        <v>5355</v>
      </c>
      <c r="B376" s="1">
        <v>42307</v>
      </c>
      <c r="C376" t="s">
        <v>5356</v>
      </c>
      <c r="D376">
        <v>1</v>
      </c>
      <c r="E376" t="s">
        <v>852</v>
      </c>
      <c r="F376" t="s">
        <v>852</v>
      </c>
      <c r="G376" t="s">
        <v>5744</v>
      </c>
      <c r="H376" s="7">
        <f t="shared" si="5"/>
        <v>65.5</v>
      </c>
      <c r="I376" s="7">
        <v>10.48</v>
      </c>
    </row>
    <row r="377" spans="1:9">
      <c r="A377" t="s">
        <v>5415</v>
      </c>
      <c r="B377" s="1">
        <v>42307</v>
      </c>
      <c r="C377" t="s">
        <v>5416</v>
      </c>
      <c r="D377">
        <v>1</v>
      </c>
      <c r="E377" t="s">
        <v>5377</v>
      </c>
      <c r="F377" t="s">
        <v>5377</v>
      </c>
      <c r="G377" t="s">
        <v>5413</v>
      </c>
      <c r="H377" s="7">
        <f t="shared" si="5"/>
        <v>389.625</v>
      </c>
      <c r="I377" s="7">
        <v>62.34</v>
      </c>
    </row>
    <row r="378" spans="1:9">
      <c r="A378" t="s">
        <v>5392</v>
      </c>
      <c r="B378" s="1">
        <v>42307</v>
      </c>
      <c r="C378" t="s">
        <v>5393</v>
      </c>
      <c r="D378">
        <v>1</v>
      </c>
      <c r="E378" t="s">
        <v>5377</v>
      </c>
      <c r="F378" t="s">
        <v>5377</v>
      </c>
      <c r="G378" t="s">
        <v>5413</v>
      </c>
      <c r="H378" s="7">
        <f t="shared" si="5"/>
        <v>389.625</v>
      </c>
      <c r="I378" s="7">
        <v>62.34</v>
      </c>
    </row>
    <row r="379" spans="1:9">
      <c r="A379" t="s">
        <v>5375</v>
      </c>
      <c r="B379" s="1">
        <v>42307</v>
      </c>
      <c r="C379" t="s">
        <v>5376</v>
      </c>
      <c r="D379">
        <v>1</v>
      </c>
      <c r="E379" t="s">
        <v>5377</v>
      </c>
      <c r="F379" t="s">
        <v>5377</v>
      </c>
      <c r="G379" t="s">
        <v>5413</v>
      </c>
      <c r="H379" s="7">
        <f t="shared" si="5"/>
        <v>389.625</v>
      </c>
      <c r="I379" s="7">
        <v>62.34</v>
      </c>
    </row>
    <row r="380" spans="1:9">
      <c r="A380" t="s">
        <v>5409</v>
      </c>
      <c r="B380" s="1">
        <v>42308</v>
      </c>
      <c r="C380" t="s">
        <v>5410</v>
      </c>
      <c r="D380">
        <v>1</v>
      </c>
      <c r="E380" t="s">
        <v>5413</v>
      </c>
      <c r="F380" t="s">
        <v>5377</v>
      </c>
      <c r="G380" t="s">
        <v>5413</v>
      </c>
      <c r="H380" s="7">
        <f t="shared" si="5"/>
        <v>218.125</v>
      </c>
      <c r="I380" s="7">
        <v>34.9</v>
      </c>
    </row>
    <row r="381" spans="1:9">
      <c r="A381" t="s">
        <v>2601</v>
      </c>
      <c r="B381" s="1">
        <v>42283</v>
      </c>
      <c r="C381" t="s">
        <v>5553</v>
      </c>
      <c r="D381">
        <v>1</v>
      </c>
      <c r="E381" t="s">
        <v>1472</v>
      </c>
      <c r="F381" s="58" t="s">
        <v>857</v>
      </c>
      <c r="G381" t="s">
        <v>1472</v>
      </c>
      <c r="H381" s="7">
        <f t="shared" si="5"/>
        <v>4398.6875</v>
      </c>
      <c r="I381" s="7">
        <v>703.79</v>
      </c>
    </row>
    <row r="382" spans="1:9">
      <c r="A382" t="s">
        <v>5227</v>
      </c>
      <c r="B382" s="1">
        <v>42278</v>
      </c>
      <c r="C382" t="s">
        <v>5228</v>
      </c>
      <c r="D382">
        <v>1</v>
      </c>
      <c r="E382" t="s">
        <v>5229</v>
      </c>
      <c r="F382" t="s">
        <v>7230</v>
      </c>
      <c r="G382" t="s">
        <v>7231</v>
      </c>
      <c r="H382" s="7">
        <f t="shared" si="5"/>
        <v>350</v>
      </c>
      <c r="I382" s="7">
        <v>56</v>
      </c>
    </row>
    <row r="383" spans="1:9">
      <c r="A383" t="s">
        <v>1352</v>
      </c>
      <c r="B383" s="1">
        <v>42283</v>
      </c>
      <c r="C383" t="s">
        <v>5558</v>
      </c>
      <c r="D383">
        <v>2</v>
      </c>
      <c r="E383" t="s">
        <v>457</v>
      </c>
      <c r="F383" s="95" t="s">
        <v>858</v>
      </c>
      <c r="G383" t="s">
        <v>457</v>
      </c>
      <c r="H383" s="7">
        <f t="shared" si="5"/>
        <v>11700</v>
      </c>
      <c r="I383" s="7">
        <v>1872</v>
      </c>
    </row>
    <row r="384" spans="1:9">
      <c r="A384" t="s">
        <v>566</v>
      </c>
      <c r="B384" s="1">
        <v>42305</v>
      </c>
      <c r="C384" t="s">
        <v>4103</v>
      </c>
      <c r="D384">
        <v>2</v>
      </c>
      <c r="E384" t="s">
        <v>457</v>
      </c>
      <c r="F384" s="58" t="s">
        <v>858</v>
      </c>
      <c r="G384" t="s">
        <v>457</v>
      </c>
      <c r="H384" s="7">
        <f t="shared" si="5"/>
        <v>25400</v>
      </c>
      <c r="I384" s="7">
        <v>4064</v>
      </c>
    </row>
    <row r="385" spans="1:9">
      <c r="A385" t="s">
        <v>5269</v>
      </c>
      <c r="B385" s="1">
        <v>42307</v>
      </c>
      <c r="C385" t="s">
        <v>5270</v>
      </c>
      <c r="D385">
        <v>1</v>
      </c>
      <c r="E385" t="s">
        <v>5271</v>
      </c>
      <c r="F385" t="s">
        <v>5271</v>
      </c>
      <c r="G385" t="s">
        <v>5745</v>
      </c>
      <c r="H385" s="7">
        <f t="shared" si="5"/>
        <v>120</v>
      </c>
      <c r="I385" s="7">
        <v>19.2</v>
      </c>
    </row>
    <row r="386" spans="1:9">
      <c r="A386" t="s">
        <v>5272</v>
      </c>
      <c r="B386" s="1">
        <v>42307</v>
      </c>
      <c r="C386" t="s">
        <v>5273</v>
      </c>
      <c r="D386">
        <v>1</v>
      </c>
      <c r="E386" t="s">
        <v>5271</v>
      </c>
      <c r="F386" t="s">
        <v>5271</v>
      </c>
      <c r="G386" t="s">
        <v>5745</v>
      </c>
      <c r="H386" s="7">
        <f t="shared" si="5"/>
        <v>90</v>
      </c>
      <c r="I386" s="7">
        <v>14.4</v>
      </c>
    </row>
    <row r="387" spans="1:9">
      <c r="A387" t="s">
        <v>5289</v>
      </c>
      <c r="B387" s="1">
        <v>42307</v>
      </c>
      <c r="C387" t="s">
        <v>5290</v>
      </c>
      <c r="D387">
        <v>1</v>
      </c>
      <c r="E387" t="s">
        <v>2189</v>
      </c>
      <c r="F387" t="s">
        <v>2189</v>
      </c>
      <c r="G387" t="s">
        <v>5746</v>
      </c>
      <c r="H387" s="7">
        <f t="shared" si="5"/>
        <v>593.125</v>
      </c>
      <c r="I387" s="7">
        <v>94.9</v>
      </c>
    </row>
    <row r="388" spans="1:9">
      <c r="A388" t="s">
        <v>5463</v>
      </c>
      <c r="B388" s="1">
        <v>42307</v>
      </c>
      <c r="C388" t="s">
        <v>5464</v>
      </c>
      <c r="D388">
        <v>1</v>
      </c>
      <c r="E388" t="s">
        <v>5465</v>
      </c>
      <c r="F388" t="s">
        <v>5465</v>
      </c>
      <c r="G388" t="s">
        <v>5747</v>
      </c>
      <c r="H388" s="7">
        <f t="shared" si="5"/>
        <v>69</v>
      </c>
      <c r="I388" s="7">
        <v>11.04</v>
      </c>
    </row>
    <row r="389" spans="1:9">
      <c r="A389" t="s">
        <v>5463</v>
      </c>
      <c r="B389" s="1">
        <v>42307</v>
      </c>
      <c r="C389" t="s">
        <v>5464</v>
      </c>
      <c r="D389">
        <v>1</v>
      </c>
      <c r="E389" s="92" t="s">
        <v>779</v>
      </c>
      <c r="F389" s="92" t="s">
        <v>778</v>
      </c>
      <c r="G389" s="92" t="s">
        <v>779</v>
      </c>
      <c r="H389" s="7">
        <f t="shared" si="5"/>
        <v>335.625</v>
      </c>
      <c r="I389" s="7">
        <v>53.7</v>
      </c>
    </row>
    <row r="390" spans="1:9">
      <c r="A390" t="s">
        <v>1495</v>
      </c>
      <c r="B390" s="1">
        <v>42305</v>
      </c>
      <c r="C390" t="s">
        <v>5625</v>
      </c>
      <c r="D390">
        <v>1</v>
      </c>
      <c r="E390" t="s">
        <v>4894</v>
      </c>
      <c r="F390" s="58" t="s">
        <v>5653</v>
      </c>
      <c r="G390" t="s">
        <v>4894</v>
      </c>
      <c r="H390" s="7">
        <f t="shared" si="5"/>
        <v>8700</v>
      </c>
      <c r="I390" s="7">
        <v>1392</v>
      </c>
    </row>
    <row r="391" spans="1:9">
      <c r="A391" t="s">
        <v>1345</v>
      </c>
      <c r="B391" s="1">
        <v>42283</v>
      </c>
      <c r="C391" t="s">
        <v>3609</v>
      </c>
      <c r="D391">
        <v>2</v>
      </c>
      <c r="E391" t="s">
        <v>474</v>
      </c>
      <c r="F391" s="96" t="s">
        <v>860</v>
      </c>
      <c r="G391" t="s">
        <v>474</v>
      </c>
      <c r="H391" s="7">
        <f t="shared" si="5"/>
        <v>600</v>
      </c>
      <c r="I391" s="7">
        <v>96</v>
      </c>
    </row>
    <row r="392" spans="1:9">
      <c r="A392" t="s">
        <v>1438</v>
      </c>
      <c r="B392" s="1">
        <v>42298</v>
      </c>
      <c r="C392" t="s">
        <v>3634</v>
      </c>
      <c r="D392">
        <v>2</v>
      </c>
      <c r="E392" t="s">
        <v>474</v>
      </c>
      <c r="F392" s="58" t="s">
        <v>860</v>
      </c>
      <c r="G392" t="s">
        <v>474</v>
      </c>
      <c r="H392" s="7">
        <f t="shared" si="5"/>
        <v>600</v>
      </c>
      <c r="I392" s="7">
        <v>96</v>
      </c>
    </row>
    <row r="393" spans="1:9">
      <c r="A393" t="s">
        <v>1488</v>
      </c>
      <c r="B393" s="1">
        <v>42305</v>
      </c>
      <c r="C393" t="s">
        <v>4100</v>
      </c>
      <c r="D393">
        <v>2</v>
      </c>
      <c r="E393" t="s">
        <v>474</v>
      </c>
      <c r="F393" s="58" t="s">
        <v>860</v>
      </c>
      <c r="G393" t="s">
        <v>474</v>
      </c>
      <c r="H393" s="7">
        <f t="shared" si="5"/>
        <v>3550</v>
      </c>
      <c r="I393" s="7">
        <v>568</v>
      </c>
    </row>
    <row r="394" spans="1:9">
      <c r="A394" t="s">
        <v>5126</v>
      </c>
      <c r="B394" s="1">
        <v>42304</v>
      </c>
      <c r="C394" t="s">
        <v>5127</v>
      </c>
      <c r="D394">
        <v>1</v>
      </c>
      <c r="E394" t="s">
        <v>5128</v>
      </c>
      <c r="F394" t="s">
        <v>4939</v>
      </c>
      <c r="G394" t="s">
        <v>5128</v>
      </c>
      <c r="H394" s="7">
        <f t="shared" si="5"/>
        <v>393488.5</v>
      </c>
      <c r="I394" s="7">
        <v>62958.16</v>
      </c>
    </row>
    <row r="395" spans="1:9">
      <c r="A395" t="s">
        <v>5388</v>
      </c>
      <c r="B395" s="1">
        <v>42308</v>
      </c>
      <c r="C395" t="s">
        <v>5389</v>
      </c>
      <c r="D395">
        <v>1</v>
      </c>
      <c r="E395" t="s">
        <v>5391</v>
      </c>
      <c r="F395" t="s">
        <v>5391</v>
      </c>
      <c r="G395" t="s">
        <v>5748</v>
      </c>
      <c r="H395" s="7">
        <f t="shared" si="5"/>
        <v>184.75</v>
      </c>
      <c r="I395" s="7">
        <v>29.56</v>
      </c>
    </row>
    <row r="396" spans="1:9">
      <c r="A396" t="s">
        <v>5403</v>
      </c>
      <c r="B396" s="1">
        <v>42308</v>
      </c>
      <c r="C396" t="s">
        <v>5404</v>
      </c>
      <c r="D396">
        <v>1</v>
      </c>
      <c r="E396" t="s">
        <v>5405</v>
      </c>
      <c r="F396" s="19" t="s">
        <v>5330</v>
      </c>
      <c r="G396" s="19" t="s">
        <v>5693</v>
      </c>
      <c r="H396" s="7">
        <f t="shared" si="5"/>
        <v>176.75</v>
      </c>
      <c r="I396" s="7">
        <v>28.28</v>
      </c>
    </row>
    <row r="397" spans="1:9">
      <c r="A397" t="s">
        <v>5409</v>
      </c>
      <c r="B397" s="1">
        <v>42308</v>
      </c>
      <c r="C397" t="s">
        <v>5410</v>
      </c>
      <c r="D397">
        <v>1</v>
      </c>
      <c r="E397" t="s">
        <v>5405</v>
      </c>
      <c r="F397" s="19" t="s">
        <v>5330</v>
      </c>
      <c r="G397" s="19" t="s">
        <v>5693</v>
      </c>
      <c r="H397" s="7">
        <f t="shared" si="5"/>
        <v>30.1875</v>
      </c>
      <c r="I397" s="7">
        <v>4.83</v>
      </c>
    </row>
    <row r="398" spans="1:9">
      <c r="A398" t="s">
        <v>5409</v>
      </c>
      <c r="B398" s="1">
        <v>42308</v>
      </c>
      <c r="C398" t="s">
        <v>5410</v>
      </c>
      <c r="D398">
        <v>1</v>
      </c>
      <c r="E398" t="s">
        <v>5405</v>
      </c>
      <c r="F398" s="19" t="s">
        <v>5330</v>
      </c>
      <c r="G398" s="19" t="s">
        <v>5693</v>
      </c>
      <c r="H398" s="7">
        <f t="shared" si="5"/>
        <v>56.0625</v>
      </c>
      <c r="I398" s="7">
        <v>8.9700000000000006</v>
      </c>
    </row>
    <row r="399" spans="1:9">
      <c r="A399" t="s">
        <v>5434</v>
      </c>
      <c r="B399" s="1">
        <v>42308</v>
      </c>
      <c r="C399" t="s">
        <v>5435</v>
      </c>
      <c r="D399">
        <v>1</v>
      </c>
      <c r="E399" t="s">
        <v>5405</v>
      </c>
      <c r="F399" s="19" t="s">
        <v>5330</v>
      </c>
      <c r="G399" s="19" t="s">
        <v>5693</v>
      </c>
      <c r="H399" s="7">
        <f t="shared" si="5"/>
        <v>180.18749999999997</v>
      </c>
      <c r="I399" s="7">
        <v>28.83</v>
      </c>
    </row>
    <row r="400" spans="1:9">
      <c r="A400" t="s">
        <v>5448</v>
      </c>
      <c r="B400" s="1">
        <v>42307</v>
      </c>
      <c r="C400" t="s">
        <v>5449</v>
      </c>
      <c r="D400">
        <v>1</v>
      </c>
      <c r="E400" t="s">
        <v>5405</v>
      </c>
      <c r="F400" s="19" t="s">
        <v>5330</v>
      </c>
      <c r="G400" s="19" t="s">
        <v>5693</v>
      </c>
      <c r="H400" s="7">
        <f t="shared" si="5"/>
        <v>56.0625</v>
      </c>
      <c r="I400" s="7">
        <v>8.9700000000000006</v>
      </c>
    </row>
    <row r="401" spans="1:9">
      <c r="A401" t="s">
        <v>5458</v>
      </c>
      <c r="B401" s="1">
        <v>42307</v>
      </c>
      <c r="C401" t="s">
        <v>5459</v>
      </c>
      <c r="D401">
        <v>1</v>
      </c>
      <c r="E401" t="s">
        <v>5405</v>
      </c>
      <c r="F401" s="19" t="s">
        <v>5330</v>
      </c>
      <c r="G401" s="19" t="s">
        <v>5693</v>
      </c>
      <c r="H401" s="7">
        <f t="shared" si="5"/>
        <v>56.0625</v>
      </c>
      <c r="I401" s="7">
        <v>8.9700000000000006</v>
      </c>
    </row>
    <row r="402" spans="1:9">
      <c r="A402" t="s">
        <v>5463</v>
      </c>
      <c r="B402" s="1">
        <v>42307</v>
      </c>
      <c r="C402" t="s">
        <v>5464</v>
      </c>
      <c r="D402">
        <v>1</v>
      </c>
      <c r="E402" t="s">
        <v>5405</v>
      </c>
      <c r="F402" s="19" t="s">
        <v>5330</v>
      </c>
      <c r="G402" s="19" t="s">
        <v>5693</v>
      </c>
      <c r="H402" s="7">
        <f t="shared" si="5"/>
        <v>56.0625</v>
      </c>
      <c r="I402" s="7">
        <v>8.9700000000000006</v>
      </c>
    </row>
    <row r="403" spans="1:9">
      <c r="A403" t="s">
        <v>5512</v>
      </c>
      <c r="B403" s="1">
        <v>42308</v>
      </c>
      <c r="C403" t="s">
        <v>5513</v>
      </c>
      <c r="D403">
        <v>1</v>
      </c>
      <c r="E403" t="s">
        <v>5405</v>
      </c>
      <c r="F403" s="58" t="s">
        <v>5330</v>
      </c>
      <c r="G403" s="19" t="s">
        <v>5693</v>
      </c>
      <c r="H403" s="7">
        <f t="shared" si="5"/>
        <v>448.25</v>
      </c>
      <c r="I403" s="7">
        <v>71.72</v>
      </c>
    </row>
    <row r="404" spans="1:9">
      <c r="A404" t="s">
        <v>2683</v>
      </c>
      <c r="B404" s="1">
        <v>42298</v>
      </c>
      <c r="C404" t="s">
        <v>5601</v>
      </c>
      <c r="D404">
        <v>1</v>
      </c>
      <c r="E404" t="s">
        <v>2660</v>
      </c>
      <c r="F404" s="58" t="s">
        <v>2701</v>
      </c>
      <c r="G404" t="s">
        <v>2660</v>
      </c>
      <c r="H404" s="7">
        <f t="shared" si="5"/>
        <v>1188</v>
      </c>
      <c r="I404" s="7">
        <v>190.08</v>
      </c>
    </row>
    <row r="405" spans="1:9">
      <c r="A405" t="s">
        <v>5216</v>
      </c>
      <c r="B405" s="1">
        <v>42278</v>
      </c>
      <c r="C405" t="s">
        <v>5217</v>
      </c>
      <c r="D405">
        <v>1</v>
      </c>
      <c r="E405" t="s">
        <v>5218</v>
      </c>
      <c r="F405" t="s">
        <v>805</v>
      </c>
      <c r="G405" t="s">
        <v>2385</v>
      </c>
      <c r="H405" s="7">
        <f t="shared" si="5"/>
        <v>310.6875</v>
      </c>
      <c r="I405" s="7">
        <v>49.71</v>
      </c>
    </row>
    <row r="406" spans="1:9">
      <c r="A406" t="s">
        <v>5236</v>
      </c>
      <c r="B406" s="1">
        <v>42307</v>
      </c>
      <c r="C406" t="s">
        <v>5237</v>
      </c>
      <c r="D406">
        <v>1</v>
      </c>
      <c r="E406" t="s">
        <v>5218</v>
      </c>
      <c r="F406" t="s">
        <v>805</v>
      </c>
      <c r="G406" t="s">
        <v>2385</v>
      </c>
      <c r="H406" s="7">
        <f t="shared" si="5"/>
        <v>310.6875</v>
      </c>
      <c r="I406" s="7">
        <v>49.71</v>
      </c>
    </row>
    <row r="407" spans="1:9">
      <c r="A407" t="s">
        <v>5220</v>
      </c>
      <c r="B407" s="1">
        <v>42278</v>
      </c>
      <c r="C407" t="s">
        <v>5221</v>
      </c>
      <c r="D407">
        <v>1</v>
      </c>
      <c r="E407" t="s">
        <v>5222</v>
      </c>
      <c r="F407" t="s">
        <v>805</v>
      </c>
      <c r="G407" t="s">
        <v>2385</v>
      </c>
      <c r="H407" s="7">
        <f t="shared" si="5"/>
        <v>310.6875</v>
      </c>
      <c r="I407" s="7">
        <v>49.71</v>
      </c>
    </row>
    <row r="408" spans="1:9">
      <c r="A408" t="s">
        <v>5259</v>
      </c>
      <c r="B408" s="1">
        <v>42307</v>
      </c>
      <c r="C408" t="s">
        <v>5260</v>
      </c>
      <c r="D408">
        <v>1</v>
      </c>
      <c r="E408" t="s">
        <v>864</v>
      </c>
      <c r="F408" t="s">
        <v>864</v>
      </c>
      <c r="G408" t="s">
        <v>5749</v>
      </c>
      <c r="H408" s="7">
        <f t="shared" si="5"/>
        <v>381.0625</v>
      </c>
      <c r="I408" s="7">
        <v>60.97</v>
      </c>
    </row>
    <row r="409" spans="1:9">
      <c r="A409" t="s">
        <v>5500</v>
      </c>
      <c r="B409" s="1">
        <v>42308</v>
      </c>
      <c r="C409" t="s">
        <v>5501</v>
      </c>
      <c r="D409">
        <v>1</v>
      </c>
      <c r="E409" t="s">
        <v>864</v>
      </c>
      <c r="F409" t="s">
        <v>864</v>
      </c>
      <c r="G409" t="s">
        <v>5749</v>
      </c>
      <c r="H409" s="7">
        <f t="shared" si="5"/>
        <v>465.5</v>
      </c>
      <c r="I409" s="7">
        <v>74.48</v>
      </c>
    </row>
    <row r="410" spans="1:9">
      <c r="A410" t="s">
        <v>5460</v>
      </c>
      <c r="B410" s="1">
        <v>42307</v>
      </c>
      <c r="C410" t="s">
        <v>5461</v>
      </c>
      <c r="D410">
        <v>1</v>
      </c>
      <c r="E410" t="s">
        <v>5462</v>
      </c>
      <c r="F410" s="92" t="s">
        <v>5462</v>
      </c>
      <c r="G410" s="92" t="s">
        <v>7257</v>
      </c>
      <c r="H410" s="7">
        <f t="shared" si="5"/>
        <v>682.9375</v>
      </c>
      <c r="I410" s="7">
        <v>109.27</v>
      </c>
    </row>
    <row r="411" spans="1:9">
      <c r="A411" t="s">
        <v>5400</v>
      </c>
      <c r="B411" s="1">
        <v>42307</v>
      </c>
      <c r="C411" t="s">
        <v>5401</v>
      </c>
      <c r="D411">
        <v>1</v>
      </c>
      <c r="E411" t="s">
        <v>1617</v>
      </c>
      <c r="F411" t="s">
        <v>5377</v>
      </c>
      <c r="G411" t="s">
        <v>5413</v>
      </c>
      <c r="H411" s="7">
        <f t="shared" si="5"/>
        <v>218.125</v>
      </c>
      <c r="I411" s="7">
        <v>34.9</v>
      </c>
    </row>
    <row r="412" spans="1:9">
      <c r="A412" t="s">
        <v>5400</v>
      </c>
      <c r="B412" s="1">
        <v>42307</v>
      </c>
      <c r="C412" t="s">
        <v>5401</v>
      </c>
      <c r="D412">
        <v>1</v>
      </c>
      <c r="E412" t="s">
        <v>1617</v>
      </c>
      <c r="F412" t="s">
        <v>1617</v>
      </c>
      <c r="G412" t="s">
        <v>1618</v>
      </c>
      <c r="H412" s="7">
        <f t="shared" si="5"/>
        <v>503.24999999999994</v>
      </c>
      <c r="I412" s="7">
        <v>80.52</v>
      </c>
    </row>
    <row r="413" spans="1:9">
      <c r="A413" t="s">
        <v>5212</v>
      </c>
      <c r="B413" s="1">
        <v>42278</v>
      </c>
      <c r="C413" t="s">
        <v>5213</v>
      </c>
      <c r="D413">
        <v>1</v>
      </c>
      <c r="E413" t="s">
        <v>5214</v>
      </c>
      <c r="F413" t="s">
        <v>4474</v>
      </c>
      <c r="G413" t="s">
        <v>7258</v>
      </c>
      <c r="H413" s="7">
        <f t="shared" si="5"/>
        <v>200</v>
      </c>
      <c r="I413" s="7">
        <v>32</v>
      </c>
    </row>
    <row r="414" spans="1:9">
      <c r="A414" t="s">
        <v>5409</v>
      </c>
      <c r="B414" s="1">
        <v>42308</v>
      </c>
      <c r="C414" t="s">
        <v>5410</v>
      </c>
      <c r="D414">
        <v>1</v>
      </c>
      <c r="E414" t="s">
        <v>945</v>
      </c>
      <c r="F414" s="92" t="s">
        <v>945</v>
      </c>
      <c r="G414" s="92" t="s">
        <v>946</v>
      </c>
      <c r="H414" s="7">
        <f t="shared" si="5"/>
        <v>520.0625</v>
      </c>
      <c r="I414" s="7">
        <v>83.21</v>
      </c>
    </row>
    <row r="415" spans="1:9">
      <c r="A415" t="s">
        <v>5367</v>
      </c>
      <c r="B415" s="1">
        <v>42307</v>
      </c>
      <c r="C415" t="s">
        <v>5368</v>
      </c>
      <c r="D415">
        <v>1</v>
      </c>
      <c r="E415" t="s">
        <v>2233</v>
      </c>
      <c r="F415" s="92" t="s">
        <v>2233</v>
      </c>
      <c r="G415" s="92" t="s">
        <v>2234</v>
      </c>
      <c r="H415" s="7">
        <f t="shared" si="5"/>
        <v>629.0625</v>
      </c>
      <c r="I415" s="7">
        <v>100.65</v>
      </c>
    </row>
    <row r="416" spans="1:9">
      <c r="A416" t="s">
        <v>5363</v>
      </c>
      <c r="B416" s="1">
        <v>42307</v>
      </c>
      <c r="C416" t="s">
        <v>5364</v>
      </c>
      <c r="D416">
        <v>1</v>
      </c>
      <c r="E416" t="s">
        <v>5366</v>
      </c>
      <c r="F416" s="92" t="s">
        <v>2233</v>
      </c>
      <c r="G416" s="92" t="s">
        <v>2234</v>
      </c>
      <c r="H416" s="7">
        <f t="shared" si="5"/>
        <v>335.5</v>
      </c>
      <c r="I416" s="7">
        <v>53.68</v>
      </c>
    </row>
    <row r="417" spans="1:9">
      <c r="A417" t="s">
        <v>5409</v>
      </c>
      <c r="B417" s="1">
        <v>42308</v>
      </c>
      <c r="C417" t="s">
        <v>5410</v>
      </c>
      <c r="D417">
        <v>1</v>
      </c>
      <c r="E417" t="s">
        <v>5414</v>
      </c>
      <c r="F417" s="92" t="s">
        <v>5414</v>
      </c>
      <c r="G417" s="92" t="s">
        <v>5750</v>
      </c>
      <c r="H417" s="7">
        <f t="shared" si="5"/>
        <v>457.56249999999994</v>
      </c>
      <c r="I417" s="7">
        <v>73.209999999999994</v>
      </c>
    </row>
    <row r="418" spans="1:9">
      <c r="A418" t="s">
        <v>1377</v>
      </c>
      <c r="B418" s="1">
        <v>42291</v>
      </c>
      <c r="C418" t="s">
        <v>5569</v>
      </c>
      <c r="D418">
        <v>1</v>
      </c>
      <c r="E418" t="s">
        <v>3613</v>
      </c>
      <c r="F418" s="89" t="s">
        <v>3709</v>
      </c>
      <c r="G418" t="s">
        <v>3613</v>
      </c>
      <c r="H418" s="7">
        <f t="shared" si="5"/>
        <v>106567.0625</v>
      </c>
      <c r="I418" s="7">
        <v>17050.73</v>
      </c>
    </row>
    <row r="419" spans="1:9">
      <c r="A419" t="s">
        <v>5293</v>
      </c>
      <c r="B419" s="1">
        <v>42307</v>
      </c>
      <c r="C419" t="s">
        <v>5294</v>
      </c>
      <c r="D419">
        <v>1</v>
      </c>
      <c r="E419" t="s">
        <v>853</v>
      </c>
      <c r="F419" t="s">
        <v>853</v>
      </c>
      <c r="G419" t="s">
        <v>5751</v>
      </c>
      <c r="H419" s="7">
        <f t="shared" si="5"/>
        <v>162</v>
      </c>
      <c r="I419" s="7">
        <v>25.92</v>
      </c>
    </row>
    <row r="420" spans="1:9">
      <c r="A420" t="s">
        <v>1354</v>
      </c>
      <c r="B420" s="1">
        <v>42283</v>
      </c>
      <c r="C420" t="s">
        <v>3610</v>
      </c>
      <c r="D420">
        <v>2</v>
      </c>
      <c r="E420" t="s">
        <v>1501</v>
      </c>
      <c r="F420" s="58" t="s">
        <v>1604</v>
      </c>
      <c r="G420" t="s">
        <v>1501</v>
      </c>
      <c r="H420" s="7">
        <f t="shared" si="5"/>
        <v>2100</v>
      </c>
      <c r="I420" s="7">
        <v>336</v>
      </c>
    </row>
    <row r="421" spans="1:9">
      <c r="A421" t="s">
        <v>542</v>
      </c>
      <c r="B421" s="1">
        <v>42298</v>
      </c>
      <c r="C421" t="s">
        <v>3636</v>
      </c>
      <c r="D421">
        <v>2</v>
      </c>
      <c r="E421" t="s">
        <v>1501</v>
      </c>
      <c r="F421" s="58" t="s">
        <v>1604</v>
      </c>
      <c r="G421" t="s">
        <v>1501</v>
      </c>
      <c r="H421" s="7">
        <f t="shared" ref="H421:H484" si="6">+I421/0.16</f>
        <v>2100</v>
      </c>
      <c r="I421" s="7">
        <v>336</v>
      </c>
    </row>
    <row r="422" spans="1:9">
      <c r="A422" t="s">
        <v>5375</v>
      </c>
      <c r="B422" s="1">
        <v>42307</v>
      </c>
      <c r="C422" t="s">
        <v>5376</v>
      </c>
      <c r="D422">
        <v>1</v>
      </c>
      <c r="E422" t="s">
        <v>5378</v>
      </c>
      <c r="F422" s="92" t="s">
        <v>5378</v>
      </c>
      <c r="G422" s="92" t="s">
        <v>5752</v>
      </c>
      <c r="H422" s="7">
        <f t="shared" si="6"/>
        <v>503.24999999999994</v>
      </c>
      <c r="I422" s="7">
        <v>80.52</v>
      </c>
    </row>
    <row r="423" spans="1:9">
      <c r="A423" t="s">
        <v>5372</v>
      </c>
      <c r="B423" s="1">
        <v>42307</v>
      </c>
      <c r="C423" t="s">
        <v>5373</v>
      </c>
      <c r="D423">
        <v>1</v>
      </c>
      <c r="E423" t="s">
        <v>5374</v>
      </c>
      <c r="F423" t="s">
        <v>5374</v>
      </c>
      <c r="G423" t="s">
        <v>5753</v>
      </c>
      <c r="H423" s="7">
        <f t="shared" si="6"/>
        <v>419.625</v>
      </c>
      <c r="I423" s="7">
        <v>67.14</v>
      </c>
    </row>
    <row r="424" spans="1:9">
      <c r="A424" t="s">
        <v>5369</v>
      </c>
      <c r="B424" s="1">
        <v>42307</v>
      </c>
      <c r="C424" t="s">
        <v>5370</v>
      </c>
      <c r="D424">
        <v>1</v>
      </c>
      <c r="E424" t="s">
        <v>5371</v>
      </c>
      <c r="F424" t="s">
        <v>5374</v>
      </c>
      <c r="G424" t="s">
        <v>5753</v>
      </c>
      <c r="H424" s="7">
        <f t="shared" si="6"/>
        <v>335.6875</v>
      </c>
      <c r="I424" s="7">
        <v>53.71</v>
      </c>
    </row>
    <row r="425" spans="1:9">
      <c r="A425" t="s">
        <v>5481</v>
      </c>
      <c r="B425" s="1">
        <v>42307</v>
      </c>
      <c r="C425" t="s">
        <v>5482</v>
      </c>
      <c r="D425">
        <v>1</v>
      </c>
      <c r="E425" t="s">
        <v>780</v>
      </c>
      <c r="F425" s="92" t="s">
        <v>780</v>
      </c>
      <c r="G425" s="92" t="s">
        <v>781</v>
      </c>
      <c r="H425" s="7">
        <f t="shared" si="6"/>
        <v>335.5625</v>
      </c>
      <c r="I425" s="7">
        <v>53.69</v>
      </c>
    </row>
    <row r="426" spans="1:9">
      <c r="A426" t="s">
        <v>5403</v>
      </c>
      <c r="B426" s="1">
        <v>42308</v>
      </c>
      <c r="C426" t="s">
        <v>5404</v>
      </c>
      <c r="D426">
        <v>1</v>
      </c>
      <c r="E426" t="s">
        <v>780</v>
      </c>
      <c r="F426" s="92" t="s">
        <v>780</v>
      </c>
      <c r="G426" s="92" t="s">
        <v>781</v>
      </c>
      <c r="H426" s="7">
        <f t="shared" si="6"/>
        <v>419.4375</v>
      </c>
      <c r="I426" s="7">
        <v>67.11</v>
      </c>
    </row>
    <row r="427" spans="1:9">
      <c r="A427" t="s">
        <v>5440</v>
      </c>
      <c r="B427" s="1">
        <v>42307</v>
      </c>
      <c r="C427" t="s">
        <v>5441</v>
      </c>
      <c r="D427">
        <v>1</v>
      </c>
      <c r="E427" t="s">
        <v>780</v>
      </c>
      <c r="F427" s="92" t="s">
        <v>780</v>
      </c>
      <c r="G427" s="92" t="s">
        <v>781</v>
      </c>
      <c r="H427" s="7">
        <f t="shared" si="6"/>
        <v>500.81249999999994</v>
      </c>
      <c r="I427" s="7">
        <v>80.13</v>
      </c>
    </row>
    <row r="428" spans="1:9">
      <c r="A428" t="s">
        <v>5445</v>
      </c>
      <c r="B428" s="1">
        <v>42307</v>
      </c>
      <c r="C428" t="s">
        <v>5446</v>
      </c>
      <c r="D428">
        <v>1</v>
      </c>
      <c r="E428" t="s">
        <v>780</v>
      </c>
      <c r="F428" s="92" t="s">
        <v>780</v>
      </c>
      <c r="G428" s="92" t="s">
        <v>781</v>
      </c>
      <c r="H428" s="7">
        <f t="shared" si="6"/>
        <v>335.5625</v>
      </c>
      <c r="I428" s="7">
        <v>53.69</v>
      </c>
    </row>
    <row r="429" spans="1:9">
      <c r="A429" t="s">
        <v>5456</v>
      </c>
      <c r="B429" s="1">
        <v>42307</v>
      </c>
      <c r="C429" t="s">
        <v>5457</v>
      </c>
      <c r="D429">
        <v>1</v>
      </c>
      <c r="E429" t="s">
        <v>780</v>
      </c>
      <c r="F429" s="92" t="s">
        <v>780</v>
      </c>
      <c r="G429" s="92" t="s">
        <v>781</v>
      </c>
      <c r="H429" s="7">
        <f t="shared" si="6"/>
        <v>341.4375</v>
      </c>
      <c r="I429" s="7">
        <v>54.63</v>
      </c>
    </row>
    <row r="430" spans="1:9">
      <c r="A430" t="s">
        <v>5475</v>
      </c>
      <c r="B430" s="1">
        <v>42307</v>
      </c>
      <c r="C430" t="s">
        <v>5476</v>
      </c>
      <c r="D430">
        <v>1</v>
      </c>
      <c r="E430" t="s">
        <v>780</v>
      </c>
      <c r="F430" s="92" t="s">
        <v>780</v>
      </c>
      <c r="G430" s="92" t="s">
        <v>781</v>
      </c>
      <c r="H430" s="7">
        <f t="shared" si="6"/>
        <v>419.4375</v>
      </c>
      <c r="I430" s="7">
        <v>67.11</v>
      </c>
    </row>
    <row r="431" spans="1:9">
      <c r="A431" t="s">
        <v>5341</v>
      </c>
      <c r="B431" s="1">
        <v>42307</v>
      </c>
      <c r="C431" t="s">
        <v>5342</v>
      </c>
      <c r="D431">
        <v>1</v>
      </c>
      <c r="E431" t="s">
        <v>5343</v>
      </c>
      <c r="F431" s="92" t="s">
        <v>5343</v>
      </c>
      <c r="G431" s="92" t="s">
        <v>5754</v>
      </c>
      <c r="H431" s="7">
        <f t="shared" si="6"/>
        <v>209.68749999999997</v>
      </c>
      <c r="I431" s="7">
        <v>33.549999999999997</v>
      </c>
    </row>
    <row r="432" spans="1:9">
      <c r="A432" t="s">
        <v>5514</v>
      </c>
      <c r="B432" s="1">
        <v>42307</v>
      </c>
      <c r="C432" t="s">
        <v>5515</v>
      </c>
      <c r="D432">
        <v>1</v>
      </c>
      <c r="E432" t="s">
        <v>5343</v>
      </c>
      <c r="F432" s="97" t="s">
        <v>5343</v>
      </c>
      <c r="G432" s="92" t="s">
        <v>5754</v>
      </c>
      <c r="H432" s="7">
        <f t="shared" si="6"/>
        <v>167.75</v>
      </c>
      <c r="I432" s="7">
        <v>26.84</v>
      </c>
    </row>
    <row r="433" spans="1:10">
      <c r="A433" t="s">
        <v>2095</v>
      </c>
      <c r="B433" s="1">
        <v>42291</v>
      </c>
      <c r="C433" t="s">
        <v>5572</v>
      </c>
      <c r="D433">
        <v>1</v>
      </c>
      <c r="E433" t="s">
        <v>436</v>
      </c>
      <c r="F433" t="s">
        <v>868</v>
      </c>
      <c r="G433" t="s">
        <v>436</v>
      </c>
      <c r="H433" s="7">
        <f t="shared" si="6"/>
        <v>6445</v>
      </c>
      <c r="I433" s="7">
        <v>1031.2</v>
      </c>
    </row>
    <row r="434" spans="1:10">
      <c r="A434" t="s">
        <v>2098</v>
      </c>
      <c r="B434" s="1">
        <v>42291</v>
      </c>
      <c r="C434" t="s">
        <v>5573</v>
      </c>
      <c r="D434">
        <v>1</v>
      </c>
      <c r="E434" t="s">
        <v>436</v>
      </c>
      <c r="F434" t="s">
        <v>868</v>
      </c>
      <c r="G434" t="s">
        <v>436</v>
      </c>
      <c r="H434" s="7">
        <f t="shared" si="6"/>
        <v>10907.25</v>
      </c>
      <c r="I434" s="7">
        <v>1745.16</v>
      </c>
    </row>
    <row r="435" spans="1:10">
      <c r="A435" t="s">
        <v>5278</v>
      </c>
      <c r="B435" s="1">
        <v>42307</v>
      </c>
      <c r="C435" t="s">
        <v>5279</v>
      </c>
      <c r="D435">
        <v>1</v>
      </c>
      <c r="E435" t="s">
        <v>5280</v>
      </c>
      <c r="F435" t="s">
        <v>5280</v>
      </c>
      <c r="G435" t="s">
        <v>5755</v>
      </c>
      <c r="H435" s="7">
        <f t="shared" si="6"/>
        <v>98.687499999999986</v>
      </c>
      <c r="I435" s="7">
        <v>15.79</v>
      </c>
    </row>
    <row r="436" spans="1:10">
      <c r="A436" t="s">
        <v>2392</v>
      </c>
      <c r="B436" s="1">
        <v>42303</v>
      </c>
      <c r="C436" t="s">
        <v>5029</v>
      </c>
      <c r="D436">
        <v>1</v>
      </c>
      <c r="E436" t="s">
        <v>5110</v>
      </c>
      <c r="F436" t="s">
        <v>5756</v>
      </c>
      <c r="G436" t="s">
        <v>5757</v>
      </c>
      <c r="H436" s="7">
        <f t="shared" si="6"/>
        <v>184905.375</v>
      </c>
      <c r="I436" s="7">
        <v>29584.86</v>
      </c>
    </row>
    <row r="437" spans="1:10">
      <c r="A437" t="s">
        <v>2390</v>
      </c>
      <c r="B437" s="1">
        <v>42303</v>
      </c>
      <c r="C437" t="s">
        <v>5029</v>
      </c>
      <c r="D437">
        <v>1</v>
      </c>
      <c r="E437" t="s">
        <v>1015</v>
      </c>
      <c r="F437" t="s">
        <v>3237</v>
      </c>
      <c r="G437" t="s">
        <v>1015</v>
      </c>
      <c r="H437" s="7">
        <f t="shared" si="6"/>
        <v>-185215.6875</v>
      </c>
      <c r="I437" s="7">
        <v>-29634.51</v>
      </c>
      <c r="J437" s="2"/>
    </row>
    <row r="438" spans="1:10">
      <c r="A438" t="s">
        <v>5031</v>
      </c>
      <c r="B438" s="1">
        <v>42293</v>
      </c>
      <c r="C438" t="s">
        <v>5032</v>
      </c>
      <c r="D438">
        <v>1</v>
      </c>
      <c r="E438" t="s">
        <v>5033</v>
      </c>
      <c r="F438" s="85" t="s">
        <v>1606</v>
      </c>
      <c r="G438" s="98" t="s">
        <v>5758</v>
      </c>
      <c r="H438" s="7">
        <f t="shared" si="6"/>
        <v>243817.4375</v>
      </c>
      <c r="I438" s="7">
        <v>39010.79</v>
      </c>
    </row>
    <row r="439" spans="1:10">
      <c r="A439" t="s">
        <v>5183</v>
      </c>
      <c r="B439" s="1">
        <v>42307</v>
      </c>
      <c r="C439" t="s">
        <v>5184</v>
      </c>
      <c r="D439">
        <v>1</v>
      </c>
      <c r="E439" t="s">
        <v>1055</v>
      </c>
      <c r="F439" s="85" t="s">
        <v>1606</v>
      </c>
      <c r="G439" s="98" t="s">
        <v>5758</v>
      </c>
      <c r="H439" s="7">
        <f t="shared" si="6"/>
        <v>278610.375</v>
      </c>
      <c r="I439" s="7">
        <v>44577.66</v>
      </c>
    </row>
    <row r="440" spans="1:10">
      <c r="A440" t="s">
        <v>5130</v>
      </c>
      <c r="B440" s="1">
        <v>42304</v>
      </c>
      <c r="C440" t="s">
        <v>5131</v>
      </c>
      <c r="D440">
        <v>1</v>
      </c>
      <c r="E440" t="s">
        <v>5132</v>
      </c>
      <c r="F440" s="85" t="s">
        <v>1606</v>
      </c>
      <c r="G440" s="98" t="s">
        <v>5758</v>
      </c>
      <c r="H440" s="7">
        <f t="shared" si="6"/>
        <v>206605.24999999997</v>
      </c>
      <c r="I440" s="7">
        <v>33056.839999999997</v>
      </c>
    </row>
    <row r="441" spans="1:10">
      <c r="A441" t="s">
        <v>4958</v>
      </c>
      <c r="B441" s="1">
        <v>42279</v>
      </c>
      <c r="C441" t="s">
        <v>4959</v>
      </c>
      <c r="D441">
        <v>1</v>
      </c>
      <c r="E441" t="s">
        <v>0</v>
      </c>
      <c r="F441" s="99" t="s">
        <v>2751</v>
      </c>
      <c r="G441" s="94" t="s">
        <v>5728</v>
      </c>
      <c r="H441" s="7">
        <f t="shared" si="6"/>
        <v>329127</v>
      </c>
      <c r="I441" s="7">
        <v>52660.32</v>
      </c>
    </row>
    <row r="442" spans="1:10">
      <c r="A442" t="s">
        <v>4955</v>
      </c>
      <c r="B442" s="1">
        <v>42279</v>
      </c>
      <c r="C442" t="s">
        <v>4956</v>
      </c>
      <c r="D442">
        <v>1</v>
      </c>
      <c r="E442" t="s">
        <v>0</v>
      </c>
      <c r="F442" s="94" t="s">
        <v>2751</v>
      </c>
      <c r="G442" s="94" t="s">
        <v>5728</v>
      </c>
      <c r="H442" s="7">
        <f t="shared" si="6"/>
        <v>329127</v>
      </c>
      <c r="I442" s="7">
        <v>52660.32</v>
      </c>
    </row>
    <row r="443" spans="1:10">
      <c r="A443" t="s">
        <v>4957</v>
      </c>
      <c r="B443" s="1">
        <v>42279</v>
      </c>
      <c r="C443" t="s">
        <v>4954</v>
      </c>
      <c r="D443">
        <v>1</v>
      </c>
      <c r="E443" t="s">
        <v>0</v>
      </c>
      <c r="F443" s="94" t="s">
        <v>2751</v>
      </c>
      <c r="G443" s="94" t="s">
        <v>5728</v>
      </c>
      <c r="H443" s="7">
        <f t="shared" si="6"/>
        <v>357882.3125</v>
      </c>
      <c r="I443" s="7">
        <v>57261.17</v>
      </c>
    </row>
    <row r="444" spans="1:10">
      <c r="A444" t="s">
        <v>4960</v>
      </c>
      <c r="B444" s="1">
        <v>42279</v>
      </c>
      <c r="C444" t="s">
        <v>4961</v>
      </c>
      <c r="D444">
        <v>1</v>
      </c>
      <c r="E444" t="s">
        <v>0</v>
      </c>
      <c r="F444" s="94" t="s">
        <v>2751</v>
      </c>
      <c r="G444" s="94" t="s">
        <v>5728</v>
      </c>
      <c r="H444" s="7">
        <f t="shared" si="6"/>
        <v>226976.625</v>
      </c>
      <c r="I444" s="7">
        <v>36316.26</v>
      </c>
    </row>
    <row r="445" spans="1:10">
      <c r="A445" t="s">
        <v>5000</v>
      </c>
      <c r="B445" s="1">
        <v>42284</v>
      </c>
      <c r="C445" t="s">
        <v>5001</v>
      </c>
      <c r="D445">
        <v>1</v>
      </c>
      <c r="E445" t="s">
        <v>0</v>
      </c>
      <c r="F445" s="94" t="s">
        <v>2751</v>
      </c>
      <c r="G445" s="94" t="s">
        <v>5728</v>
      </c>
      <c r="H445" s="7">
        <f t="shared" si="6"/>
        <v>184905.375</v>
      </c>
      <c r="I445" s="7">
        <v>29584.86</v>
      </c>
    </row>
    <row r="446" spans="1:10">
      <c r="A446" t="s">
        <v>4963</v>
      </c>
      <c r="B446" s="1">
        <v>42282</v>
      </c>
      <c r="C446" t="s">
        <v>4964</v>
      </c>
      <c r="D446">
        <v>1</v>
      </c>
      <c r="E446" t="s">
        <v>0</v>
      </c>
      <c r="F446" s="94" t="s">
        <v>2751</v>
      </c>
      <c r="G446" s="94" t="s">
        <v>5728</v>
      </c>
      <c r="H446" s="7">
        <f t="shared" si="6"/>
        <v>392056.375</v>
      </c>
      <c r="I446" s="7">
        <v>62729.02</v>
      </c>
    </row>
    <row r="447" spans="1:10">
      <c r="A447" t="s">
        <v>4965</v>
      </c>
      <c r="B447" s="1">
        <v>42282</v>
      </c>
      <c r="C447" t="s">
        <v>4966</v>
      </c>
      <c r="D447">
        <v>1</v>
      </c>
      <c r="E447" t="s">
        <v>0</v>
      </c>
      <c r="F447" s="94" t="s">
        <v>2751</v>
      </c>
      <c r="G447" s="94" t="s">
        <v>5728</v>
      </c>
      <c r="H447" s="7">
        <f t="shared" si="6"/>
        <v>392056.375</v>
      </c>
      <c r="I447" s="7">
        <v>62729.02</v>
      </c>
    </row>
    <row r="448" spans="1:10">
      <c r="A448" t="s">
        <v>4967</v>
      </c>
      <c r="B448" s="1">
        <v>42282</v>
      </c>
      <c r="C448" t="s">
        <v>4968</v>
      </c>
      <c r="D448">
        <v>1</v>
      </c>
      <c r="E448" t="s">
        <v>0</v>
      </c>
      <c r="F448" s="94" t="s">
        <v>2751</v>
      </c>
      <c r="G448" s="94" t="s">
        <v>5728</v>
      </c>
      <c r="H448" s="7">
        <f t="shared" si="6"/>
        <v>329127</v>
      </c>
      <c r="I448" s="7">
        <v>52660.32</v>
      </c>
    </row>
    <row r="449" spans="1:9">
      <c r="A449" t="s">
        <v>4969</v>
      </c>
      <c r="B449" s="1">
        <v>42282</v>
      </c>
      <c r="C449" t="s">
        <v>4970</v>
      </c>
      <c r="D449">
        <v>1</v>
      </c>
      <c r="E449" t="s">
        <v>0</v>
      </c>
      <c r="F449" s="94" t="s">
        <v>2751</v>
      </c>
      <c r="G449" s="94" t="s">
        <v>5728</v>
      </c>
      <c r="H449" s="7">
        <f t="shared" si="6"/>
        <v>357882.3125</v>
      </c>
      <c r="I449" s="7">
        <v>57261.17</v>
      </c>
    </row>
    <row r="450" spans="1:9">
      <c r="A450" t="s">
        <v>4983</v>
      </c>
      <c r="B450" s="1">
        <v>42283</v>
      </c>
      <c r="C450" t="s">
        <v>4984</v>
      </c>
      <c r="D450">
        <v>1</v>
      </c>
      <c r="E450" t="s">
        <v>0</v>
      </c>
      <c r="F450" s="94" t="s">
        <v>2751</v>
      </c>
      <c r="G450" s="94" t="s">
        <v>5728</v>
      </c>
      <c r="H450" s="7">
        <f t="shared" si="6"/>
        <v>266828.3125</v>
      </c>
      <c r="I450" s="7">
        <v>42692.53</v>
      </c>
    </row>
    <row r="451" spans="1:9">
      <c r="A451" t="s">
        <v>4993</v>
      </c>
      <c r="B451" s="1">
        <v>42283</v>
      </c>
      <c r="C451" t="s">
        <v>4992</v>
      </c>
      <c r="D451">
        <v>1</v>
      </c>
      <c r="E451" t="s">
        <v>0</v>
      </c>
      <c r="F451" s="94" t="s">
        <v>2751</v>
      </c>
      <c r="G451" s="94" t="s">
        <v>5728</v>
      </c>
      <c r="H451" s="7">
        <f t="shared" si="6"/>
        <v>217188.99999999997</v>
      </c>
      <c r="I451" s="7">
        <v>34750.239999999998</v>
      </c>
    </row>
    <row r="452" spans="1:9">
      <c r="A452" t="s">
        <v>4994</v>
      </c>
      <c r="B452" s="1">
        <v>42283</v>
      </c>
      <c r="C452" t="s">
        <v>4995</v>
      </c>
      <c r="D452">
        <v>1</v>
      </c>
      <c r="E452" t="s">
        <v>0</v>
      </c>
      <c r="F452" s="94" t="s">
        <v>2751</v>
      </c>
      <c r="G452" s="94" t="s">
        <v>5728</v>
      </c>
      <c r="H452" s="7">
        <f t="shared" si="6"/>
        <v>212994.25</v>
      </c>
      <c r="I452" s="7">
        <v>34079.08</v>
      </c>
    </row>
    <row r="453" spans="1:9">
      <c r="A453" t="s">
        <v>4996</v>
      </c>
      <c r="B453" s="1">
        <v>42283</v>
      </c>
      <c r="C453" t="s">
        <v>4997</v>
      </c>
      <c r="D453">
        <v>1</v>
      </c>
      <c r="E453" t="s">
        <v>0</v>
      </c>
      <c r="F453" s="94" t="s">
        <v>2751</v>
      </c>
      <c r="G453" s="94" t="s">
        <v>5728</v>
      </c>
      <c r="H453" s="7">
        <f t="shared" si="6"/>
        <v>285737.6875</v>
      </c>
      <c r="I453" s="7">
        <v>45718.03</v>
      </c>
    </row>
    <row r="454" spans="1:9">
      <c r="A454" t="s">
        <v>5056</v>
      </c>
      <c r="B454" s="1">
        <v>42299</v>
      </c>
      <c r="C454" t="s">
        <v>5002</v>
      </c>
      <c r="D454">
        <v>1</v>
      </c>
      <c r="E454" t="s">
        <v>0</v>
      </c>
      <c r="F454" s="94" t="s">
        <v>2751</v>
      </c>
      <c r="G454" s="94" t="s">
        <v>5728</v>
      </c>
      <c r="H454" s="7">
        <f t="shared" si="6"/>
        <v>186215.6875</v>
      </c>
      <c r="I454" s="7">
        <v>29794.51</v>
      </c>
    </row>
    <row r="455" spans="1:9">
      <c r="A455" t="s">
        <v>5003</v>
      </c>
      <c r="B455" s="1">
        <v>42284</v>
      </c>
      <c r="C455" t="s">
        <v>5004</v>
      </c>
      <c r="D455">
        <v>1</v>
      </c>
      <c r="E455" t="s">
        <v>0</v>
      </c>
      <c r="F455" s="94" t="s">
        <v>2751</v>
      </c>
      <c r="G455" s="94" t="s">
        <v>5728</v>
      </c>
      <c r="H455" s="7">
        <f t="shared" si="6"/>
        <v>184905.375</v>
      </c>
      <c r="I455" s="7">
        <v>29584.86</v>
      </c>
    </row>
    <row r="456" spans="1:9">
      <c r="A456" t="s">
        <v>2893</v>
      </c>
      <c r="B456" s="1">
        <v>42300</v>
      </c>
      <c r="C456" t="s">
        <v>5084</v>
      </c>
      <c r="D456">
        <v>1</v>
      </c>
      <c r="E456" t="s">
        <v>0</v>
      </c>
      <c r="F456" s="94" t="s">
        <v>2751</v>
      </c>
      <c r="G456" s="94" t="s">
        <v>5728</v>
      </c>
      <c r="H456" s="7">
        <f t="shared" si="6"/>
        <v>168845</v>
      </c>
      <c r="I456" s="7">
        <v>27015.200000000001</v>
      </c>
    </row>
    <row r="457" spans="1:9">
      <c r="A457" t="s">
        <v>5006</v>
      </c>
      <c r="B457" s="1">
        <v>42284</v>
      </c>
      <c r="C457" t="s">
        <v>5005</v>
      </c>
      <c r="D457">
        <v>1</v>
      </c>
      <c r="E457" t="s">
        <v>0</v>
      </c>
      <c r="F457" s="94" t="s">
        <v>2751</v>
      </c>
      <c r="G457" s="94" t="s">
        <v>5728</v>
      </c>
      <c r="H457" s="7">
        <f t="shared" si="6"/>
        <v>184905.375</v>
      </c>
      <c r="I457" s="7">
        <v>29584.86</v>
      </c>
    </row>
    <row r="458" spans="1:9">
      <c r="A458" t="s">
        <v>5007</v>
      </c>
      <c r="B458" s="1">
        <v>42284</v>
      </c>
      <c r="C458" t="s">
        <v>5008</v>
      </c>
      <c r="D458">
        <v>1</v>
      </c>
      <c r="E458" t="s">
        <v>0</v>
      </c>
      <c r="F458" s="94" t="s">
        <v>2751</v>
      </c>
      <c r="G458" s="94" t="s">
        <v>5728</v>
      </c>
      <c r="H458" s="7">
        <f t="shared" si="6"/>
        <v>195364.5625</v>
      </c>
      <c r="I458" s="7">
        <v>31258.33</v>
      </c>
    </row>
    <row r="459" spans="1:9">
      <c r="A459" t="s">
        <v>5009</v>
      </c>
      <c r="B459" s="1">
        <v>42287</v>
      </c>
      <c r="C459" t="s">
        <v>5010</v>
      </c>
      <c r="D459">
        <v>1</v>
      </c>
      <c r="E459" t="s">
        <v>0</v>
      </c>
      <c r="F459" s="94" t="s">
        <v>2751</v>
      </c>
      <c r="G459" s="94" t="s">
        <v>5728</v>
      </c>
      <c r="H459" s="7">
        <f t="shared" si="6"/>
        <v>212994.25</v>
      </c>
      <c r="I459" s="7">
        <v>34079.08</v>
      </c>
    </row>
    <row r="460" spans="1:9">
      <c r="A460" t="s">
        <v>5011</v>
      </c>
      <c r="B460" s="1">
        <v>42289</v>
      </c>
      <c r="C460" t="s">
        <v>5012</v>
      </c>
      <c r="D460">
        <v>1</v>
      </c>
      <c r="E460" t="s">
        <v>0</v>
      </c>
      <c r="F460" s="94" t="s">
        <v>2751</v>
      </c>
      <c r="G460" s="94" t="s">
        <v>5728</v>
      </c>
      <c r="H460" s="7">
        <f t="shared" si="6"/>
        <v>329127</v>
      </c>
      <c r="I460" s="7">
        <v>52660.32</v>
      </c>
    </row>
    <row r="461" spans="1:9">
      <c r="A461" t="s">
        <v>5017</v>
      </c>
      <c r="B461" s="1">
        <v>42290</v>
      </c>
      <c r="C461" t="s">
        <v>5015</v>
      </c>
      <c r="D461">
        <v>1</v>
      </c>
      <c r="E461" t="s">
        <v>0</v>
      </c>
      <c r="F461" s="94" t="s">
        <v>2751</v>
      </c>
      <c r="G461" s="94" t="s">
        <v>5728</v>
      </c>
      <c r="H461" s="7">
        <f t="shared" si="6"/>
        <v>212994.25</v>
      </c>
      <c r="I461" s="7">
        <v>34079.08</v>
      </c>
    </row>
    <row r="462" spans="1:9">
      <c r="A462" t="s">
        <v>81</v>
      </c>
      <c r="B462" s="1">
        <v>42290</v>
      </c>
      <c r="C462" t="s">
        <v>5016</v>
      </c>
      <c r="D462">
        <v>1</v>
      </c>
      <c r="E462" t="s">
        <v>0</v>
      </c>
      <c r="F462" s="94" t="s">
        <v>2751</v>
      </c>
      <c r="G462" s="94" t="s">
        <v>5728</v>
      </c>
      <c r="H462" s="7">
        <f t="shared" si="6"/>
        <v>212994.25</v>
      </c>
      <c r="I462" s="7">
        <v>34079.08</v>
      </c>
    </row>
    <row r="463" spans="1:9">
      <c r="A463" t="s">
        <v>2320</v>
      </c>
      <c r="B463" s="1">
        <v>42290</v>
      </c>
      <c r="C463" t="s">
        <v>5021</v>
      </c>
      <c r="D463">
        <v>1</v>
      </c>
      <c r="E463" t="s">
        <v>0</v>
      </c>
      <c r="F463" s="94" t="s">
        <v>2751</v>
      </c>
      <c r="G463" s="94" t="s">
        <v>5728</v>
      </c>
      <c r="H463" s="7">
        <f t="shared" si="6"/>
        <v>243507.4375</v>
      </c>
      <c r="I463" s="7">
        <v>38961.19</v>
      </c>
    </row>
    <row r="464" spans="1:9">
      <c r="A464" t="s">
        <v>1023</v>
      </c>
      <c r="B464" s="1">
        <v>42291</v>
      </c>
      <c r="C464" t="s">
        <v>5025</v>
      </c>
      <c r="D464">
        <v>1</v>
      </c>
      <c r="E464" t="s">
        <v>0</v>
      </c>
      <c r="F464" s="94" t="s">
        <v>2751</v>
      </c>
      <c r="G464" s="94" t="s">
        <v>5728</v>
      </c>
      <c r="H464" s="7">
        <f t="shared" si="6"/>
        <v>357882.3125</v>
      </c>
      <c r="I464" s="7">
        <v>57261.17</v>
      </c>
    </row>
    <row r="465" spans="1:9">
      <c r="A465" t="s">
        <v>5034</v>
      </c>
      <c r="B465" s="1">
        <v>42293</v>
      </c>
      <c r="C465" t="s">
        <v>5035</v>
      </c>
      <c r="D465">
        <v>1</v>
      </c>
      <c r="E465" t="s">
        <v>0</v>
      </c>
      <c r="F465" s="94" t="s">
        <v>2751</v>
      </c>
      <c r="G465" s="94" t="s">
        <v>5728</v>
      </c>
      <c r="H465" s="7">
        <f t="shared" si="6"/>
        <v>329127</v>
      </c>
      <c r="I465" s="7">
        <v>52660.32</v>
      </c>
    </row>
    <row r="466" spans="1:9">
      <c r="A466" t="s">
        <v>3777</v>
      </c>
      <c r="B466" s="1">
        <v>42296</v>
      </c>
      <c r="C466" t="s">
        <v>5038</v>
      </c>
      <c r="D466">
        <v>1</v>
      </c>
      <c r="E466" t="s">
        <v>0</v>
      </c>
      <c r="F466" s="94" t="s">
        <v>2751</v>
      </c>
      <c r="G466" s="94" t="s">
        <v>5728</v>
      </c>
      <c r="H466" s="7">
        <f t="shared" si="6"/>
        <v>329127</v>
      </c>
      <c r="I466" s="7">
        <v>52660.32</v>
      </c>
    </row>
    <row r="467" spans="1:9">
      <c r="A467" t="s">
        <v>1085</v>
      </c>
      <c r="B467" s="1">
        <v>42297</v>
      </c>
      <c r="C467" t="s">
        <v>5040</v>
      </c>
      <c r="D467">
        <v>1</v>
      </c>
      <c r="E467" t="s">
        <v>0</v>
      </c>
      <c r="F467" s="94" t="s">
        <v>2751</v>
      </c>
      <c r="G467" s="94" t="s">
        <v>5728</v>
      </c>
      <c r="H467" s="7">
        <f t="shared" si="6"/>
        <v>162063.6875</v>
      </c>
      <c r="I467" s="7">
        <v>25930.19</v>
      </c>
    </row>
    <row r="468" spans="1:9">
      <c r="A468" t="s">
        <v>5043</v>
      </c>
      <c r="B468" s="1">
        <v>42298</v>
      </c>
      <c r="C468" t="s">
        <v>5044</v>
      </c>
      <c r="D468">
        <v>1</v>
      </c>
      <c r="E468" t="s">
        <v>0</v>
      </c>
      <c r="F468" s="94" t="s">
        <v>2751</v>
      </c>
      <c r="G468" s="94" t="s">
        <v>5728</v>
      </c>
      <c r="H468" s="7">
        <f t="shared" si="6"/>
        <v>243507.4375</v>
      </c>
      <c r="I468" s="7">
        <v>38961.19</v>
      </c>
    </row>
    <row r="469" spans="1:9">
      <c r="A469" t="s">
        <v>5045</v>
      </c>
      <c r="B469" s="1">
        <v>42298</v>
      </c>
      <c r="C469" t="s">
        <v>5046</v>
      </c>
      <c r="D469">
        <v>1</v>
      </c>
      <c r="E469" t="s">
        <v>0</v>
      </c>
      <c r="F469" s="94" t="s">
        <v>2751</v>
      </c>
      <c r="G469" s="94" t="s">
        <v>5728</v>
      </c>
      <c r="H469" s="7">
        <f t="shared" si="6"/>
        <v>243507.4375</v>
      </c>
      <c r="I469" s="7">
        <v>38961.19</v>
      </c>
    </row>
    <row r="470" spans="1:9">
      <c r="A470" t="s">
        <v>5047</v>
      </c>
      <c r="B470" s="1">
        <v>42298</v>
      </c>
      <c r="C470" t="s">
        <v>5048</v>
      </c>
      <c r="D470">
        <v>1</v>
      </c>
      <c r="E470" t="s">
        <v>0</v>
      </c>
      <c r="F470" s="94" t="s">
        <v>2751</v>
      </c>
      <c r="G470" s="94" t="s">
        <v>5728</v>
      </c>
      <c r="H470" s="7">
        <f t="shared" si="6"/>
        <v>243507.4375</v>
      </c>
      <c r="I470" s="7">
        <v>38961.19</v>
      </c>
    </row>
    <row r="471" spans="1:9">
      <c r="A471" t="s">
        <v>5052</v>
      </c>
      <c r="B471" s="1">
        <v>42298</v>
      </c>
      <c r="C471" t="s">
        <v>5053</v>
      </c>
      <c r="D471">
        <v>1</v>
      </c>
      <c r="E471" t="s">
        <v>0</v>
      </c>
      <c r="F471" s="94" t="s">
        <v>2751</v>
      </c>
      <c r="G471" s="94" t="s">
        <v>5728</v>
      </c>
      <c r="H471" s="7">
        <f t="shared" si="6"/>
        <v>242154.12500000003</v>
      </c>
      <c r="I471" s="7">
        <v>38744.660000000003</v>
      </c>
    </row>
    <row r="472" spans="1:9">
      <c r="A472" t="s">
        <v>5054</v>
      </c>
      <c r="B472" s="1">
        <v>42299</v>
      </c>
      <c r="C472" t="s">
        <v>5055</v>
      </c>
      <c r="D472">
        <v>1</v>
      </c>
      <c r="E472" t="s">
        <v>0</v>
      </c>
      <c r="F472" s="94" t="s">
        <v>2751</v>
      </c>
      <c r="G472" s="94" t="s">
        <v>5728</v>
      </c>
      <c r="H472" s="7">
        <f t="shared" si="6"/>
        <v>195364.5625</v>
      </c>
      <c r="I472" s="7">
        <v>31258.33</v>
      </c>
    </row>
    <row r="473" spans="1:9">
      <c r="A473" t="s">
        <v>5103</v>
      </c>
      <c r="B473" s="1">
        <v>42303</v>
      </c>
      <c r="C473" t="s">
        <v>5104</v>
      </c>
      <c r="D473">
        <v>1</v>
      </c>
      <c r="E473" t="s">
        <v>0</v>
      </c>
      <c r="F473" s="94" t="s">
        <v>2751</v>
      </c>
      <c r="G473" s="94" t="s">
        <v>5728</v>
      </c>
      <c r="H473" s="7">
        <f t="shared" si="6"/>
        <v>156751.625</v>
      </c>
      <c r="I473" s="7">
        <v>25080.26</v>
      </c>
    </row>
    <row r="474" spans="1:9">
      <c r="A474" t="s">
        <v>5105</v>
      </c>
      <c r="B474" s="1">
        <v>42303</v>
      </c>
      <c r="C474" t="s">
        <v>5106</v>
      </c>
      <c r="D474">
        <v>1</v>
      </c>
      <c r="E474" t="s">
        <v>0</v>
      </c>
      <c r="F474" s="94" t="s">
        <v>2751</v>
      </c>
      <c r="G474" s="94" t="s">
        <v>5728</v>
      </c>
      <c r="H474" s="7">
        <f t="shared" si="6"/>
        <v>156751.625</v>
      </c>
      <c r="I474" s="7">
        <v>25080.26</v>
      </c>
    </row>
    <row r="475" spans="1:9">
      <c r="A475" t="s">
        <v>5067</v>
      </c>
      <c r="B475" s="1">
        <v>42300</v>
      </c>
      <c r="C475" t="s">
        <v>5068</v>
      </c>
      <c r="D475">
        <v>1</v>
      </c>
      <c r="E475" t="s">
        <v>0</v>
      </c>
      <c r="F475" s="94" t="s">
        <v>2751</v>
      </c>
      <c r="G475" s="94" t="s">
        <v>5728</v>
      </c>
      <c r="H475" s="7">
        <f t="shared" si="6"/>
        <v>156751.625</v>
      </c>
      <c r="I475" s="7">
        <v>25080.26</v>
      </c>
    </row>
    <row r="476" spans="1:9">
      <c r="A476" t="s">
        <v>5069</v>
      </c>
      <c r="B476" s="1">
        <v>42300</v>
      </c>
      <c r="C476" t="s">
        <v>5070</v>
      </c>
      <c r="D476">
        <v>1</v>
      </c>
      <c r="E476" t="s">
        <v>0</v>
      </c>
      <c r="F476" s="94" t="s">
        <v>2751</v>
      </c>
      <c r="G476" s="94" t="s">
        <v>5728</v>
      </c>
      <c r="H476" s="7">
        <f t="shared" si="6"/>
        <v>156751.625</v>
      </c>
      <c r="I476" s="7">
        <v>25080.26</v>
      </c>
    </row>
    <row r="477" spans="1:9">
      <c r="A477" t="s">
        <v>5079</v>
      </c>
      <c r="B477" s="1">
        <v>42300</v>
      </c>
      <c r="C477" t="s">
        <v>5080</v>
      </c>
      <c r="D477">
        <v>1</v>
      </c>
      <c r="E477" t="s">
        <v>0</v>
      </c>
      <c r="F477" s="94" t="s">
        <v>2751</v>
      </c>
      <c r="G477" s="94" t="s">
        <v>5728</v>
      </c>
      <c r="H477" s="7">
        <f t="shared" si="6"/>
        <v>148993</v>
      </c>
      <c r="I477" s="7">
        <v>23838.880000000001</v>
      </c>
    </row>
    <row r="478" spans="1:9">
      <c r="A478" t="s">
        <v>5081</v>
      </c>
      <c r="B478" s="1">
        <v>42300</v>
      </c>
      <c r="C478" t="s">
        <v>5082</v>
      </c>
      <c r="D478">
        <v>1</v>
      </c>
      <c r="E478" t="s">
        <v>0</v>
      </c>
      <c r="F478" s="94" t="s">
        <v>2751</v>
      </c>
      <c r="G478" s="94" t="s">
        <v>5728</v>
      </c>
      <c r="H478" s="7">
        <f t="shared" si="6"/>
        <v>148993</v>
      </c>
      <c r="I478" s="7">
        <v>23838.880000000001</v>
      </c>
    </row>
    <row r="479" spans="1:9">
      <c r="A479" t="s">
        <v>2885</v>
      </c>
      <c r="B479" s="1">
        <v>42300</v>
      </c>
      <c r="C479" t="s">
        <v>5083</v>
      </c>
      <c r="D479">
        <v>1</v>
      </c>
      <c r="E479" t="s">
        <v>0</v>
      </c>
      <c r="F479" s="94" t="s">
        <v>2751</v>
      </c>
      <c r="G479" s="94" t="s">
        <v>5728</v>
      </c>
      <c r="H479" s="7">
        <f t="shared" si="6"/>
        <v>148993</v>
      </c>
      <c r="I479" s="7">
        <v>23838.880000000001</v>
      </c>
    </row>
    <row r="480" spans="1:9">
      <c r="A480" t="s">
        <v>5087</v>
      </c>
      <c r="B480" s="1">
        <v>42300</v>
      </c>
      <c r="C480" t="s">
        <v>5088</v>
      </c>
      <c r="D480">
        <v>1</v>
      </c>
      <c r="E480" t="s">
        <v>0</v>
      </c>
      <c r="F480" s="94" t="s">
        <v>2751</v>
      </c>
      <c r="G480" s="94" t="s">
        <v>5728</v>
      </c>
      <c r="H480" s="7">
        <f t="shared" si="6"/>
        <v>156751.625</v>
      </c>
      <c r="I480" s="7">
        <v>25080.26</v>
      </c>
    </row>
    <row r="481" spans="1:10">
      <c r="A481" t="s">
        <v>138</v>
      </c>
      <c r="B481" s="1">
        <v>42300</v>
      </c>
      <c r="C481" t="s">
        <v>5093</v>
      </c>
      <c r="D481">
        <v>1</v>
      </c>
      <c r="E481" t="s">
        <v>0</v>
      </c>
      <c r="F481" s="94" t="s">
        <v>2751</v>
      </c>
      <c r="G481" s="94" t="s">
        <v>5728</v>
      </c>
      <c r="H481" s="7">
        <f t="shared" si="6"/>
        <v>285737.6875</v>
      </c>
      <c r="I481" s="7">
        <v>45718.03</v>
      </c>
    </row>
    <row r="482" spans="1:10">
      <c r="A482" t="s">
        <v>4234</v>
      </c>
      <c r="B482" s="1">
        <v>42303</v>
      </c>
      <c r="C482" t="s">
        <v>5107</v>
      </c>
      <c r="D482">
        <v>1</v>
      </c>
      <c r="E482" t="s">
        <v>0</v>
      </c>
      <c r="F482" s="94" t="s">
        <v>2751</v>
      </c>
      <c r="G482" s="94" t="s">
        <v>5728</v>
      </c>
      <c r="H482" s="7">
        <f t="shared" si="6"/>
        <v>166217.125</v>
      </c>
      <c r="I482" s="7">
        <v>26594.74</v>
      </c>
    </row>
    <row r="483" spans="1:10">
      <c r="A483" t="s">
        <v>1195</v>
      </c>
      <c r="B483" s="1">
        <v>42304</v>
      </c>
      <c r="C483" t="s">
        <v>5144</v>
      </c>
      <c r="D483">
        <v>1</v>
      </c>
      <c r="E483" t="s">
        <v>0</v>
      </c>
      <c r="F483" s="94" t="s">
        <v>2751</v>
      </c>
      <c r="G483" s="94" t="s">
        <v>5728</v>
      </c>
      <c r="H483" s="7">
        <f t="shared" si="6"/>
        <v>149070.5625</v>
      </c>
      <c r="I483" s="7">
        <v>23851.29</v>
      </c>
    </row>
    <row r="484" spans="1:10">
      <c r="A484" t="s">
        <v>5085</v>
      </c>
      <c r="B484" s="1">
        <v>42300</v>
      </c>
      <c r="C484" t="s">
        <v>5086</v>
      </c>
      <c r="D484">
        <v>1</v>
      </c>
      <c r="E484" t="s">
        <v>0</v>
      </c>
      <c r="F484" s="94" t="s">
        <v>2751</v>
      </c>
      <c r="G484" s="94" t="s">
        <v>5728</v>
      </c>
      <c r="H484" s="7">
        <f t="shared" si="6"/>
        <v>168845</v>
      </c>
      <c r="I484" s="7">
        <v>27015.200000000001</v>
      </c>
    </row>
    <row r="485" spans="1:10">
      <c r="A485" t="s">
        <v>5091</v>
      </c>
      <c r="B485" s="1">
        <v>42300</v>
      </c>
      <c r="C485" t="s">
        <v>5092</v>
      </c>
      <c r="D485">
        <v>1</v>
      </c>
      <c r="E485" t="s">
        <v>0</v>
      </c>
      <c r="F485" s="94" t="s">
        <v>2751</v>
      </c>
      <c r="G485" s="94" t="s">
        <v>5728</v>
      </c>
      <c r="H485" s="7">
        <f t="shared" ref="H485:H548" si="7">+I485/0.16</f>
        <v>511483.25000000006</v>
      </c>
      <c r="I485" s="7">
        <v>81837.320000000007</v>
      </c>
    </row>
    <row r="486" spans="1:10">
      <c r="A486" t="s">
        <v>5013</v>
      </c>
      <c r="B486" s="1">
        <v>42290</v>
      </c>
      <c r="C486" t="s">
        <v>5014</v>
      </c>
      <c r="D486">
        <v>1</v>
      </c>
      <c r="E486" t="s">
        <v>0</v>
      </c>
      <c r="F486" s="94" t="s">
        <v>2751</v>
      </c>
      <c r="G486" s="94" t="s">
        <v>5728</v>
      </c>
      <c r="H486" s="7">
        <f t="shared" si="7"/>
        <v>-280849.8125</v>
      </c>
      <c r="I486" s="7">
        <v>-44935.97</v>
      </c>
      <c r="J486" s="2"/>
    </row>
    <row r="487" spans="1:10">
      <c r="A487" t="s">
        <v>5096</v>
      </c>
      <c r="B487" s="1">
        <v>42301</v>
      </c>
      <c r="C487" t="s">
        <v>5097</v>
      </c>
      <c r="D487">
        <v>1</v>
      </c>
      <c r="E487" t="s">
        <v>0</v>
      </c>
      <c r="F487" s="94" t="s">
        <v>2751</v>
      </c>
      <c r="G487" s="94" t="s">
        <v>5728</v>
      </c>
      <c r="H487" s="7">
        <f t="shared" si="7"/>
        <v>329127</v>
      </c>
      <c r="I487" s="7">
        <v>52660.32</v>
      </c>
    </row>
    <row r="488" spans="1:10">
      <c r="A488" t="s">
        <v>5116</v>
      </c>
      <c r="B488" s="1">
        <v>42303</v>
      </c>
      <c r="C488" t="s">
        <v>5117</v>
      </c>
      <c r="D488">
        <v>1</v>
      </c>
      <c r="E488" t="s">
        <v>0</v>
      </c>
      <c r="F488" s="94" t="s">
        <v>2751</v>
      </c>
      <c r="G488" s="94" t="s">
        <v>5728</v>
      </c>
      <c r="H488" s="7">
        <f t="shared" si="7"/>
        <v>266517.9375</v>
      </c>
      <c r="I488" s="7">
        <v>42642.87</v>
      </c>
    </row>
    <row r="489" spans="1:10">
      <c r="A489" t="s">
        <v>2502</v>
      </c>
      <c r="B489" s="1">
        <v>42303</v>
      </c>
      <c r="C489" t="s">
        <v>5115</v>
      </c>
      <c r="D489">
        <v>1</v>
      </c>
      <c r="E489" t="s">
        <v>0</v>
      </c>
      <c r="F489" s="94" t="s">
        <v>2751</v>
      </c>
      <c r="G489" s="94" t="s">
        <v>5728</v>
      </c>
      <c r="H489" s="7">
        <f t="shared" si="7"/>
        <v>171570.5625</v>
      </c>
      <c r="I489" s="7">
        <v>27451.29</v>
      </c>
    </row>
    <row r="490" spans="1:10">
      <c r="A490" t="s">
        <v>2556</v>
      </c>
      <c r="B490" s="1">
        <v>42304</v>
      </c>
      <c r="C490" t="s">
        <v>5121</v>
      </c>
      <c r="D490">
        <v>1</v>
      </c>
      <c r="E490" t="s">
        <v>0</v>
      </c>
      <c r="F490" s="94" t="s">
        <v>2751</v>
      </c>
      <c r="G490" s="94" t="s">
        <v>5728</v>
      </c>
      <c r="H490" s="7">
        <f t="shared" si="7"/>
        <v>266517.9375</v>
      </c>
      <c r="I490" s="7">
        <v>42642.87</v>
      </c>
    </row>
    <row r="491" spans="1:10">
      <c r="A491" t="s">
        <v>2554</v>
      </c>
      <c r="B491" s="1">
        <v>42304</v>
      </c>
      <c r="C491" t="s">
        <v>5120</v>
      </c>
      <c r="D491">
        <v>1</v>
      </c>
      <c r="E491" t="s">
        <v>0</v>
      </c>
      <c r="F491" s="94" t="s">
        <v>2751</v>
      </c>
      <c r="G491" s="94" t="s">
        <v>5728</v>
      </c>
      <c r="H491" s="7">
        <f t="shared" si="7"/>
        <v>245993.125</v>
      </c>
      <c r="I491" s="7">
        <v>39358.9</v>
      </c>
    </row>
    <row r="492" spans="1:10">
      <c r="A492" t="s">
        <v>180</v>
      </c>
      <c r="B492" s="1">
        <v>42304</v>
      </c>
      <c r="C492" t="s">
        <v>5129</v>
      </c>
      <c r="D492">
        <v>1</v>
      </c>
      <c r="E492" t="s">
        <v>0</v>
      </c>
      <c r="F492" s="94" t="s">
        <v>2751</v>
      </c>
      <c r="G492" s="94" t="s">
        <v>5728</v>
      </c>
      <c r="H492" s="7">
        <f t="shared" si="7"/>
        <v>329127</v>
      </c>
      <c r="I492" s="7">
        <v>52660.32</v>
      </c>
    </row>
    <row r="493" spans="1:10">
      <c r="A493" t="s">
        <v>1156</v>
      </c>
      <c r="B493" s="1">
        <v>42304</v>
      </c>
      <c r="C493" t="s">
        <v>5141</v>
      </c>
      <c r="D493">
        <v>1</v>
      </c>
      <c r="E493" t="s">
        <v>0</v>
      </c>
      <c r="F493" s="94" t="s">
        <v>2751</v>
      </c>
      <c r="G493" s="94" t="s">
        <v>5728</v>
      </c>
      <c r="H493" s="7">
        <f t="shared" si="7"/>
        <v>166217.125</v>
      </c>
      <c r="I493" s="7">
        <v>26594.74</v>
      </c>
    </row>
    <row r="494" spans="1:10">
      <c r="A494" t="s">
        <v>3089</v>
      </c>
      <c r="B494" s="1">
        <v>42305</v>
      </c>
      <c r="C494" t="s">
        <v>5145</v>
      </c>
      <c r="D494">
        <v>1</v>
      </c>
      <c r="E494" t="s">
        <v>0</v>
      </c>
      <c r="F494" s="94" t="s">
        <v>2751</v>
      </c>
      <c r="G494" s="94" t="s">
        <v>5728</v>
      </c>
      <c r="H494" s="7">
        <f t="shared" si="7"/>
        <v>242154.12500000003</v>
      </c>
      <c r="I494" s="7">
        <v>38744.660000000003</v>
      </c>
    </row>
    <row r="495" spans="1:10">
      <c r="A495" t="s">
        <v>3842</v>
      </c>
      <c r="B495" s="1">
        <v>42305</v>
      </c>
      <c r="C495" t="s">
        <v>5146</v>
      </c>
      <c r="D495">
        <v>1</v>
      </c>
      <c r="E495" t="s">
        <v>0</v>
      </c>
      <c r="F495" s="94" t="s">
        <v>2751</v>
      </c>
      <c r="G495" s="94" t="s">
        <v>5728</v>
      </c>
      <c r="H495" s="7">
        <f t="shared" si="7"/>
        <v>309590.75</v>
      </c>
      <c r="I495" s="7">
        <v>49534.52</v>
      </c>
    </row>
    <row r="496" spans="1:10">
      <c r="A496" t="s">
        <v>4356</v>
      </c>
      <c r="B496" s="1">
        <v>42305</v>
      </c>
      <c r="C496" t="s">
        <v>5151</v>
      </c>
      <c r="D496">
        <v>1</v>
      </c>
      <c r="E496" t="s">
        <v>0</v>
      </c>
      <c r="F496" s="94" t="s">
        <v>2751</v>
      </c>
      <c r="G496" s="94" t="s">
        <v>5728</v>
      </c>
      <c r="H496" s="7">
        <f t="shared" si="7"/>
        <v>212994.25</v>
      </c>
      <c r="I496" s="7">
        <v>34079.08</v>
      </c>
    </row>
    <row r="497" spans="1:9">
      <c r="A497" t="s">
        <v>5154</v>
      </c>
      <c r="B497" s="1">
        <v>42305</v>
      </c>
      <c r="C497" t="s">
        <v>5155</v>
      </c>
      <c r="D497">
        <v>1</v>
      </c>
      <c r="E497" t="s">
        <v>0</v>
      </c>
      <c r="F497" s="94" t="s">
        <v>2751</v>
      </c>
      <c r="G497" s="94" t="s">
        <v>5728</v>
      </c>
      <c r="H497" s="7">
        <f t="shared" si="7"/>
        <v>245993.125</v>
      </c>
      <c r="I497" s="7">
        <v>39358.9</v>
      </c>
    </row>
    <row r="498" spans="1:9">
      <c r="A498" t="s">
        <v>5156</v>
      </c>
      <c r="B498" s="1">
        <v>42305</v>
      </c>
      <c r="C498" t="s">
        <v>5157</v>
      </c>
      <c r="D498">
        <v>1</v>
      </c>
      <c r="E498" t="s">
        <v>0</v>
      </c>
      <c r="F498" s="94" t="s">
        <v>2751</v>
      </c>
      <c r="G498" s="94" t="s">
        <v>5728</v>
      </c>
      <c r="H498" s="7">
        <f t="shared" si="7"/>
        <v>226976.625</v>
      </c>
      <c r="I498" s="7">
        <v>36316.26</v>
      </c>
    </row>
    <row r="499" spans="1:9">
      <c r="A499" t="s">
        <v>1311</v>
      </c>
      <c r="B499" s="1">
        <v>42305</v>
      </c>
      <c r="C499" t="s">
        <v>5152</v>
      </c>
      <c r="D499">
        <v>1</v>
      </c>
      <c r="E499" t="s">
        <v>0</v>
      </c>
      <c r="F499" s="94" t="s">
        <v>2751</v>
      </c>
      <c r="G499" s="94" t="s">
        <v>5728</v>
      </c>
      <c r="H499" s="7">
        <f t="shared" si="7"/>
        <v>212994.25</v>
      </c>
      <c r="I499" s="7">
        <v>34079.08</v>
      </c>
    </row>
    <row r="500" spans="1:9">
      <c r="A500" t="s">
        <v>5158</v>
      </c>
      <c r="B500" s="1">
        <v>42305</v>
      </c>
      <c r="C500" t="s">
        <v>5159</v>
      </c>
      <c r="D500">
        <v>1</v>
      </c>
      <c r="E500" t="s">
        <v>0</v>
      </c>
      <c r="F500" s="94" t="s">
        <v>2751</v>
      </c>
      <c r="G500" s="94" t="s">
        <v>5728</v>
      </c>
      <c r="H500" s="7">
        <f t="shared" si="7"/>
        <v>226976.625</v>
      </c>
      <c r="I500" s="7">
        <v>36316.26</v>
      </c>
    </row>
    <row r="501" spans="1:9">
      <c r="A501" t="s">
        <v>4353</v>
      </c>
      <c r="B501" s="1">
        <v>42305</v>
      </c>
      <c r="C501" t="s">
        <v>5150</v>
      </c>
      <c r="D501">
        <v>1</v>
      </c>
      <c r="E501" t="s">
        <v>0</v>
      </c>
      <c r="F501" s="94" t="s">
        <v>2751</v>
      </c>
      <c r="G501" s="94" t="s">
        <v>5728</v>
      </c>
      <c r="H501" s="7">
        <f t="shared" si="7"/>
        <v>212994.25</v>
      </c>
      <c r="I501" s="7">
        <v>34079.08</v>
      </c>
    </row>
    <row r="502" spans="1:9">
      <c r="A502" t="s">
        <v>1918</v>
      </c>
      <c r="B502" s="1">
        <v>42306</v>
      </c>
      <c r="C502" t="s">
        <v>5167</v>
      </c>
      <c r="D502">
        <v>1</v>
      </c>
      <c r="E502" t="s">
        <v>0</v>
      </c>
      <c r="F502" s="94" t="s">
        <v>2751</v>
      </c>
      <c r="G502" s="94" t="s">
        <v>5728</v>
      </c>
      <c r="H502" s="7">
        <f t="shared" si="7"/>
        <v>156906.8125</v>
      </c>
      <c r="I502" s="7">
        <v>25105.09</v>
      </c>
    </row>
    <row r="503" spans="1:9">
      <c r="A503" t="s">
        <v>1921</v>
      </c>
      <c r="B503" s="1">
        <v>42306</v>
      </c>
      <c r="C503" t="s">
        <v>5168</v>
      </c>
      <c r="D503">
        <v>1</v>
      </c>
      <c r="E503" t="s">
        <v>0</v>
      </c>
      <c r="F503" s="94" t="s">
        <v>2751</v>
      </c>
      <c r="G503" s="94" t="s">
        <v>5728</v>
      </c>
      <c r="H503" s="7">
        <f t="shared" si="7"/>
        <v>156906.8125</v>
      </c>
      <c r="I503" s="7">
        <v>25105.09</v>
      </c>
    </row>
    <row r="504" spans="1:9">
      <c r="A504" t="s">
        <v>1922</v>
      </c>
      <c r="B504" s="1">
        <v>42306</v>
      </c>
      <c r="C504" t="s">
        <v>5169</v>
      </c>
      <c r="D504">
        <v>1</v>
      </c>
      <c r="E504" t="s">
        <v>0</v>
      </c>
      <c r="F504" s="94" t="s">
        <v>2751</v>
      </c>
      <c r="G504" s="94" t="s">
        <v>5728</v>
      </c>
      <c r="H504" s="7">
        <f t="shared" si="7"/>
        <v>156906.8125</v>
      </c>
      <c r="I504" s="7">
        <v>25105.09</v>
      </c>
    </row>
    <row r="505" spans="1:9">
      <c r="A505" t="s">
        <v>1925</v>
      </c>
      <c r="B505" s="1">
        <v>42306</v>
      </c>
      <c r="C505" t="s">
        <v>5170</v>
      </c>
      <c r="D505">
        <v>1</v>
      </c>
      <c r="E505" t="s">
        <v>0</v>
      </c>
      <c r="F505" s="94" t="s">
        <v>2751</v>
      </c>
      <c r="G505" s="94" t="s">
        <v>5728</v>
      </c>
      <c r="H505" s="7">
        <f t="shared" si="7"/>
        <v>156906.8125</v>
      </c>
      <c r="I505" s="7">
        <v>25105.09</v>
      </c>
    </row>
    <row r="506" spans="1:9">
      <c r="A506" t="s">
        <v>1929</v>
      </c>
      <c r="B506" s="1">
        <v>42306</v>
      </c>
      <c r="C506" t="s">
        <v>5171</v>
      </c>
      <c r="D506">
        <v>1</v>
      </c>
      <c r="E506" t="s">
        <v>0</v>
      </c>
      <c r="F506" s="94" t="s">
        <v>2751</v>
      </c>
      <c r="G506" s="94" t="s">
        <v>5728</v>
      </c>
      <c r="H506" s="7">
        <f t="shared" si="7"/>
        <v>168242.1875</v>
      </c>
      <c r="I506" s="7">
        <v>26918.75</v>
      </c>
    </row>
    <row r="507" spans="1:9">
      <c r="A507" t="s">
        <v>1932</v>
      </c>
      <c r="B507" s="1">
        <v>42306</v>
      </c>
      <c r="C507" t="s">
        <v>5172</v>
      </c>
      <c r="D507">
        <v>1</v>
      </c>
      <c r="E507" t="s">
        <v>0</v>
      </c>
      <c r="F507" s="94" t="s">
        <v>2751</v>
      </c>
      <c r="G507" s="94" t="s">
        <v>5728</v>
      </c>
      <c r="H507" s="7">
        <f t="shared" si="7"/>
        <v>168242.1875</v>
      </c>
      <c r="I507" s="7">
        <v>26918.75</v>
      </c>
    </row>
    <row r="508" spans="1:9">
      <c r="A508" t="s">
        <v>1934</v>
      </c>
      <c r="B508" s="1">
        <v>42306</v>
      </c>
      <c r="C508" t="s">
        <v>5173</v>
      </c>
      <c r="D508">
        <v>1</v>
      </c>
      <c r="E508" t="s">
        <v>0</v>
      </c>
      <c r="F508" s="94" t="s">
        <v>2751</v>
      </c>
      <c r="G508" s="94" t="s">
        <v>5728</v>
      </c>
      <c r="H508" s="7">
        <f t="shared" si="7"/>
        <v>168242.1875</v>
      </c>
      <c r="I508" s="7">
        <v>26918.75</v>
      </c>
    </row>
    <row r="509" spans="1:9">
      <c r="A509" t="s">
        <v>1936</v>
      </c>
      <c r="B509" s="1">
        <v>42306</v>
      </c>
      <c r="C509" t="s">
        <v>5174</v>
      </c>
      <c r="D509">
        <v>1</v>
      </c>
      <c r="E509" t="s">
        <v>0</v>
      </c>
      <c r="F509" s="94" t="s">
        <v>2751</v>
      </c>
      <c r="G509" s="94" t="s">
        <v>5728</v>
      </c>
      <c r="H509" s="7">
        <f t="shared" si="7"/>
        <v>149303.375</v>
      </c>
      <c r="I509" s="7">
        <v>23888.54</v>
      </c>
    </row>
    <row r="510" spans="1:9">
      <c r="A510" t="s">
        <v>3955</v>
      </c>
      <c r="B510" s="1">
        <v>42308</v>
      </c>
      <c r="C510" t="s">
        <v>5193</v>
      </c>
      <c r="D510">
        <v>1</v>
      </c>
      <c r="E510" t="s">
        <v>0</v>
      </c>
      <c r="F510" s="94" t="s">
        <v>2751</v>
      </c>
      <c r="G510" s="94" t="s">
        <v>5728</v>
      </c>
      <c r="H510" s="7">
        <f t="shared" si="7"/>
        <v>156906.8125</v>
      </c>
      <c r="I510" s="7">
        <v>25105.09</v>
      </c>
    </row>
    <row r="511" spans="1:9">
      <c r="A511" t="s">
        <v>5194</v>
      </c>
      <c r="B511" s="1">
        <v>42308</v>
      </c>
      <c r="C511" t="s">
        <v>5195</v>
      </c>
      <c r="D511">
        <v>1</v>
      </c>
      <c r="E511" t="s">
        <v>0</v>
      </c>
      <c r="F511" s="94" t="s">
        <v>2751</v>
      </c>
      <c r="G511" s="94" t="s">
        <v>5728</v>
      </c>
      <c r="H511" s="7">
        <f t="shared" si="7"/>
        <v>156906.8125</v>
      </c>
      <c r="I511" s="7">
        <v>25105.09</v>
      </c>
    </row>
    <row r="512" spans="1:9">
      <c r="A512" t="s">
        <v>4728</v>
      </c>
      <c r="B512" s="1">
        <v>42308</v>
      </c>
      <c r="C512" t="s">
        <v>5190</v>
      </c>
      <c r="D512">
        <v>1</v>
      </c>
      <c r="E512" t="s">
        <v>0</v>
      </c>
      <c r="F512" s="94" t="s">
        <v>2751</v>
      </c>
      <c r="G512" s="94" t="s">
        <v>5728</v>
      </c>
      <c r="H512" s="7">
        <f t="shared" si="7"/>
        <v>171570.5625</v>
      </c>
      <c r="I512" s="7">
        <v>27451.29</v>
      </c>
    </row>
    <row r="513" spans="1:10">
      <c r="A513" t="s">
        <v>5160</v>
      </c>
      <c r="B513" s="1">
        <v>42306</v>
      </c>
      <c r="C513" t="s">
        <v>5161</v>
      </c>
      <c r="D513">
        <v>1</v>
      </c>
      <c r="E513" t="s">
        <v>0</v>
      </c>
      <c r="F513" s="94" t="s">
        <v>2751</v>
      </c>
      <c r="G513" s="94" t="s">
        <v>5728</v>
      </c>
      <c r="H513" s="7">
        <f t="shared" si="7"/>
        <v>168845</v>
      </c>
      <c r="I513" s="7">
        <v>27015.200000000001</v>
      </c>
    </row>
    <row r="514" spans="1:10">
      <c r="A514" t="s">
        <v>5162</v>
      </c>
      <c r="B514" s="1">
        <v>42306</v>
      </c>
      <c r="C514" t="s">
        <v>5163</v>
      </c>
      <c r="D514">
        <v>1</v>
      </c>
      <c r="E514" t="s">
        <v>0</v>
      </c>
      <c r="F514" s="94" t="s">
        <v>2751</v>
      </c>
      <c r="G514" s="94" t="s">
        <v>5728</v>
      </c>
      <c r="H514" s="7">
        <f t="shared" si="7"/>
        <v>184905.375</v>
      </c>
      <c r="I514" s="7">
        <v>29584.86</v>
      </c>
    </row>
    <row r="515" spans="1:10">
      <c r="A515" t="s">
        <v>1905</v>
      </c>
      <c r="B515" s="1">
        <v>42306</v>
      </c>
      <c r="C515" t="s">
        <v>5164</v>
      </c>
      <c r="D515">
        <v>1</v>
      </c>
      <c r="E515" t="s">
        <v>0</v>
      </c>
      <c r="F515" s="94" t="s">
        <v>2751</v>
      </c>
      <c r="G515" s="94" t="s">
        <v>5728</v>
      </c>
      <c r="H515" s="7">
        <f t="shared" si="7"/>
        <v>177845</v>
      </c>
      <c r="I515" s="7">
        <v>28455.200000000001</v>
      </c>
    </row>
    <row r="516" spans="1:10">
      <c r="A516" t="s">
        <v>3524</v>
      </c>
      <c r="B516" s="1">
        <v>42307</v>
      </c>
      <c r="C516" t="s">
        <v>5177</v>
      </c>
      <c r="D516">
        <v>1</v>
      </c>
      <c r="E516" t="s">
        <v>0</v>
      </c>
      <c r="F516" s="94" t="s">
        <v>2751</v>
      </c>
      <c r="G516" s="94" t="s">
        <v>5728</v>
      </c>
      <c r="H516" s="7">
        <f t="shared" si="7"/>
        <v>168845</v>
      </c>
      <c r="I516" s="7">
        <v>27015.200000000001</v>
      </c>
    </row>
    <row r="517" spans="1:10">
      <c r="A517" t="s">
        <v>5188</v>
      </c>
      <c r="B517" s="1">
        <v>42308</v>
      </c>
      <c r="C517" t="s">
        <v>5189</v>
      </c>
      <c r="D517">
        <v>1</v>
      </c>
      <c r="E517" t="s">
        <v>0</v>
      </c>
      <c r="F517" s="94" t="s">
        <v>2751</v>
      </c>
      <c r="G517" s="94" t="s">
        <v>5728</v>
      </c>
      <c r="H517" s="7">
        <f t="shared" si="7"/>
        <v>329127</v>
      </c>
      <c r="I517" s="7">
        <v>52660.32</v>
      </c>
    </row>
    <row r="518" spans="1:10">
      <c r="A518" t="s">
        <v>5049</v>
      </c>
      <c r="B518" s="1">
        <v>42298</v>
      </c>
      <c r="C518" t="s">
        <v>1666</v>
      </c>
      <c r="D518">
        <v>1</v>
      </c>
      <c r="E518" t="s">
        <v>0</v>
      </c>
      <c r="F518" s="94" t="s">
        <v>2751</v>
      </c>
      <c r="G518" s="94" t="s">
        <v>5728</v>
      </c>
      <c r="H518" s="7">
        <f t="shared" si="7"/>
        <v>-207461.06249999997</v>
      </c>
      <c r="I518" s="7">
        <v>-33193.769999999997</v>
      </c>
      <c r="J518" s="2"/>
    </row>
    <row r="519" spans="1:10">
      <c r="A519" t="s">
        <v>5050</v>
      </c>
      <c r="B519" s="1">
        <v>42298</v>
      </c>
      <c r="C519" t="s">
        <v>1666</v>
      </c>
      <c r="D519">
        <v>1</v>
      </c>
      <c r="E519" t="s">
        <v>0</v>
      </c>
      <c r="F519" s="94" t="s">
        <v>2751</v>
      </c>
      <c r="G519" s="94" t="s">
        <v>5728</v>
      </c>
      <c r="H519" s="7">
        <f t="shared" si="7"/>
        <v>207150.75</v>
      </c>
      <c r="I519" s="7">
        <v>33144.120000000003</v>
      </c>
    </row>
    <row r="520" spans="1:10">
      <c r="A520" t="s">
        <v>1720</v>
      </c>
      <c r="B520" s="1">
        <v>42294</v>
      </c>
      <c r="C520" t="s">
        <v>4680</v>
      </c>
      <c r="D520">
        <v>1</v>
      </c>
      <c r="E520" t="s">
        <v>0</v>
      </c>
      <c r="F520" s="94" t="s">
        <v>2751</v>
      </c>
      <c r="G520" s="94" t="s">
        <v>5728</v>
      </c>
      <c r="H520" s="7">
        <f t="shared" si="7"/>
        <v>-195674.875</v>
      </c>
      <c r="I520" s="7">
        <v>-31307.98</v>
      </c>
      <c r="J520" s="2"/>
    </row>
    <row r="521" spans="1:10">
      <c r="A521" t="s">
        <v>4973</v>
      </c>
      <c r="B521" s="1">
        <v>42283</v>
      </c>
      <c r="C521" t="s">
        <v>4974</v>
      </c>
      <c r="D521">
        <v>1</v>
      </c>
      <c r="E521" t="s">
        <v>0</v>
      </c>
      <c r="F521" s="94" t="s">
        <v>2751</v>
      </c>
      <c r="G521" s="94" t="s">
        <v>5728</v>
      </c>
      <c r="H521" s="7">
        <f t="shared" si="7"/>
        <v>264544.75</v>
      </c>
      <c r="I521" s="7">
        <v>42327.16</v>
      </c>
    </row>
    <row r="522" spans="1:10">
      <c r="A522" t="s">
        <v>4975</v>
      </c>
      <c r="B522" s="1">
        <v>42283</v>
      </c>
      <c r="C522" t="s">
        <v>4976</v>
      </c>
      <c r="D522">
        <v>1</v>
      </c>
      <c r="E522" t="s">
        <v>0</v>
      </c>
      <c r="F522" s="94" t="s">
        <v>2751</v>
      </c>
      <c r="G522" s="94" t="s">
        <v>5728</v>
      </c>
      <c r="H522" s="7">
        <f t="shared" si="7"/>
        <v>318391.25</v>
      </c>
      <c r="I522" s="7">
        <v>50942.6</v>
      </c>
    </row>
    <row r="523" spans="1:10">
      <c r="A523" t="s">
        <v>4977</v>
      </c>
      <c r="B523" s="1">
        <v>42283</v>
      </c>
      <c r="C523" t="s">
        <v>4978</v>
      </c>
      <c r="D523">
        <v>1</v>
      </c>
      <c r="E523" t="s">
        <v>0</v>
      </c>
      <c r="F523" s="94" t="s">
        <v>2751</v>
      </c>
      <c r="G523" s="94" t="s">
        <v>5728</v>
      </c>
      <c r="H523" s="7">
        <f t="shared" si="7"/>
        <v>318009</v>
      </c>
      <c r="I523" s="7">
        <v>50881.440000000002</v>
      </c>
    </row>
    <row r="524" spans="1:10">
      <c r="A524" t="s">
        <v>4979</v>
      </c>
      <c r="B524" s="1">
        <v>42283</v>
      </c>
      <c r="C524" t="s">
        <v>4980</v>
      </c>
      <c r="D524">
        <v>1</v>
      </c>
      <c r="E524" t="s">
        <v>0</v>
      </c>
      <c r="F524" s="94" t="s">
        <v>2751</v>
      </c>
      <c r="G524" s="94" t="s">
        <v>5728</v>
      </c>
      <c r="H524" s="7">
        <f t="shared" si="7"/>
        <v>318009</v>
      </c>
      <c r="I524" s="7">
        <v>50881.440000000002</v>
      </c>
    </row>
    <row r="525" spans="1:10">
      <c r="A525" t="s">
        <v>4985</v>
      </c>
      <c r="B525" s="1">
        <v>42283</v>
      </c>
      <c r="C525" t="s">
        <v>4986</v>
      </c>
      <c r="D525">
        <v>1</v>
      </c>
      <c r="E525" t="s">
        <v>0</v>
      </c>
      <c r="F525" s="94" t="s">
        <v>2751</v>
      </c>
      <c r="G525" s="94" t="s">
        <v>5728</v>
      </c>
      <c r="H525" s="7">
        <f t="shared" si="7"/>
        <v>247798.31250000003</v>
      </c>
      <c r="I525" s="7">
        <v>39647.730000000003</v>
      </c>
    </row>
    <row r="526" spans="1:10">
      <c r="A526" t="s">
        <v>4987</v>
      </c>
      <c r="B526" s="1">
        <v>42283</v>
      </c>
      <c r="C526" t="s">
        <v>4988</v>
      </c>
      <c r="D526">
        <v>1</v>
      </c>
      <c r="E526" t="s">
        <v>0</v>
      </c>
      <c r="F526" s="94" t="s">
        <v>2751</v>
      </c>
      <c r="G526" s="94" t="s">
        <v>5728</v>
      </c>
      <c r="H526" s="7">
        <f t="shared" si="7"/>
        <v>247798.31250000003</v>
      </c>
      <c r="I526" s="7">
        <v>39647.730000000003</v>
      </c>
    </row>
    <row r="527" spans="1:10">
      <c r="A527" t="s">
        <v>4989</v>
      </c>
      <c r="B527" s="1">
        <v>42283</v>
      </c>
      <c r="C527" t="s">
        <v>4990</v>
      </c>
      <c r="D527">
        <v>1</v>
      </c>
      <c r="E527" t="s">
        <v>0</v>
      </c>
      <c r="F527" s="94" t="s">
        <v>2751</v>
      </c>
      <c r="G527" s="94" t="s">
        <v>5728</v>
      </c>
      <c r="H527" s="7">
        <f t="shared" si="7"/>
        <v>327378.0625</v>
      </c>
      <c r="I527" s="7">
        <v>52380.49</v>
      </c>
    </row>
    <row r="528" spans="1:10">
      <c r="A528" t="s">
        <v>4981</v>
      </c>
      <c r="B528" s="1">
        <v>42283</v>
      </c>
      <c r="C528" t="s">
        <v>4982</v>
      </c>
      <c r="D528">
        <v>1</v>
      </c>
      <c r="E528" t="s">
        <v>0</v>
      </c>
      <c r="F528" s="94" t="s">
        <v>2751</v>
      </c>
      <c r="G528" s="94" t="s">
        <v>5728</v>
      </c>
      <c r="H528" s="7">
        <f t="shared" si="7"/>
        <v>318009</v>
      </c>
      <c r="I528" s="7">
        <v>50881.440000000002</v>
      </c>
    </row>
    <row r="529" spans="1:9">
      <c r="A529" t="s">
        <v>3730</v>
      </c>
      <c r="B529" s="1">
        <v>42283</v>
      </c>
      <c r="C529" t="s">
        <v>4991</v>
      </c>
      <c r="D529">
        <v>1</v>
      </c>
      <c r="E529" t="s">
        <v>0</v>
      </c>
      <c r="F529" s="94" t="s">
        <v>2751</v>
      </c>
      <c r="G529" s="94" t="s">
        <v>5728</v>
      </c>
      <c r="H529" s="7">
        <f t="shared" si="7"/>
        <v>374762.0625</v>
      </c>
      <c r="I529" s="7">
        <v>59961.93</v>
      </c>
    </row>
    <row r="530" spans="1:9">
      <c r="A530" t="s">
        <v>5026</v>
      </c>
      <c r="B530" s="1">
        <v>42291</v>
      </c>
      <c r="C530" t="s">
        <v>5027</v>
      </c>
      <c r="D530">
        <v>1</v>
      </c>
      <c r="E530" t="s">
        <v>0</v>
      </c>
      <c r="F530" s="94" t="s">
        <v>2751</v>
      </c>
      <c r="G530" s="94" t="s">
        <v>5728</v>
      </c>
      <c r="H530" s="7">
        <f t="shared" si="7"/>
        <v>304774.125</v>
      </c>
      <c r="I530" s="7">
        <v>48763.86</v>
      </c>
    </row>
    <row r="531" spans="1:9">
      <c r="A531" t="s">
        <v>5051</v>
      </c>
      <c r="B531" s="1">
        <v>42298</v>
      </c>
      <c r="C531" t="s">
        <v>5039</v>
      </c>
      <c r="D531">
        <v>1</v>
      </c>
      <c r="E531" t="s">
        <v>0</v>
      </c>
      <c r="F531" s="94" t="s">
        <v>2751</v>
      </c>
      <c r="G531" s="94" t="s">
        <v>5728</v>
      </c>
      <c r="H531" s="7">
        <f t="shared" si="7"/>
        <v>234019</v>
      </c>
      <c r="I531" s="7">
        <v>37443.040000000001</v>
      </c>
    </row>
    <row r="532" spans="1:9">
      <c r="A532" t="s">
        <v>5065</v>
      </c>
      <c r="B532" s="1">
        <v>42300</v>
      </c>
      <c r="C532" t="s">
        <v>5066</v>
      </c>
      <c r="D532">
        <v>1</v>
      </c>
      <c r="E532" t="s">
        <v>0</v>
      </c>
      <c r="F532" s="94" t="s">
        <v>2751</v>
      </c>
      <c r="G532" s="94" t="s">
        <v>5728</v>
      </c>
      <c r="H532" s="7">
        <f t="shared" si="7"/>
        <v>277798.3125</v>
      </c>
      <c r="I532" s="7">
        <v>44447.73</v>
      </c>
    </row>
    <row r="533" spans="1:9">
      <c r="A533" t="s">
        <v>5071</v>
      </c>
      <c r="B533" s="1">
        <v>42300</v>
      </c>
      <c r="C533" t="s">
        <v>5072</v>
      </c>
      <c r="D533">
        <v>1</v>
      </c>
      <c r="E533" t="s">
        <v>0</v>
      </c>
      <c r="F533" s="94" t="s">
        <v>2751</v>
      </c>
      <c r="G533" s="94" t="s">
        <v>5728</v>
      </c>
      <c r="H533" s="7">
        <f t="shared" si="7"/>
        <v>264855.0625</v>
      </c>
      <c r="I533" s="7">
        <v>42376.81</v>
      </c>
    </row>
    <row r="534" spans="1:9">
      <c r="A534" t="s">
        <v>5073</v>
      </c>
      <c r="B534" s="1">
        <v>42300</v>
      </c>
      <c r="C534" t="s">
        <v>5074</v>
      </c>
      <c r="D534">
        <v>1</v>
      </c>
      <c r="E534" t="s">
        <v>0</v>
      </c>
      <c r="F534" s="94" t="s">
        <v>2751</v>
      </c>
      <c r="G534" s="94" t="s">
        <v>5728</v>
      </c>
      <c r="H534" s="7">
        <f t="shared" si="7"/>
        <v>264544.75</v>
      </c>
      <c r="I534" s="7">
        <v>42327.16</v>
      </c>
    </row>
    <row r="535" spans="1:9">
      <c r="A535" t="s">
        <v>5075</v>
      </c>
      <c r="B535" s="1">
        <v>42300</v>
      </c>
      <c r="C535" t="s">
        <v>5076</v>
      </c>
      <c r="D535">
        <v>1</v>
      </c>
      <c r="E535" t="s">
        <v>0</v>
      </c>
      <c r="F535" s="94" t="s">
        <v>2751</v>
      </c>
      <c r="G535" s="94" t="s">
        <v>5728</v>
      </c>
      <c r="H535" s="7">
        <f t="shared" si="7"/>
        <v>318391.25</v>
      </c>
      <c r="I535" s="7">
        <v>50942.6</v>
      </c>
    </row>
    <row r="536" spans="1:9">
      <c r="A536" t="s">
        <v>5077</v>
      </c>
      <c r="B536" s="1">
        <v>42300</v>
      </c>
      <c r="C536" t="s">
        <v>5078</v>
      </c>
      <c r="D536">
        <v>1</v>
      </c>
      <c r="E536" t="s">
        <v>0</v>
      </c>
      <c r="F536" s="94" t="s">
        <v>2751</v>
      </c>
      <c r="G536" s="94" t="s">
        <v>5728</v>
      </c>
      <c r="H536" s="7">
        <f t="shared" si="7"/>
        <v>318009</v>
      </c>
      <c r="I536" s="7">
        <v>50881.440000000002</v>
      </c>
    </row>
    <row r="537" spans="1:9">
      <c r="A537" t="s">
        <v>5089</v>
      </c>
      <c r="B537" s="1">
        <v>42300</v>
      </c>
      <c r="C537" t="s">
        <v>5090</v>
      </c>
      <c r="D537">
        <v>1</v>
      </c>
      <c r="E537" t="s">
        <v>0</v>
      </c>
      <c r="F537" s="94" t="s">
        <v>2751</v>
      </c>
      <c r="G537" s="94" t="s">
        <v>5728</v>
      </c>
      <c r="H537" s="7">
        <f t="shared" si="7"/>
        <v>325317.625</v>
      </c>
      <c r="I537" s="7">
        <v>52050.82</v>
      </c>
    </row>
    <row r="538" spans="1:9">
      <c r="A538" t="s">
        <v>5057</v>
      </c>
      <c r="B538" s="1">
        <v>42299</v>
      </c>
      <c r="C538" t="s">
        <v>5058</v>
      </c>
      <c r="D538">
        <v>1</v>
      </c>
      <c r="E538" t="s">
        <v>0</v>
      </c>
      <c r="F538" s="94" t="s">
        <v>2751</v>
      </c>
      <c r="G538" s="94" t="s">
        <v>5728</v>
      </c>
      <c r="H538" s="7">
        <f t="shared" si="7"/>
        <v>410294.0625</v>
      </c>
      <c r="I538" s="7">
        <v>65647.05</v>
      </c>
    </row>
    <row r="539" spans="1:9">
      <c r="A539" t="s">
        <v>5094</v>
      </c>
      <c r="B539" s="1">
        <v>42300</v>
      </c>
      <c r="C539" t="s">
        <v>5095</v>
      </c>
      <c r="D539">
        <v>1</v>
      </c>
      <c r="E539" t="s">
        <v>0</v>
      </c>
      <c r="F539" s="94" t="s">
        <v>2751</v>
      </c>
      <c r="G539" s="94" t="s">
        <v>5728</v>
      </c>
      <c r="H539" s="7">
        <f t="shared" si="7"/>
        <v>374762.0625</v>
      </c>
      <c r="I539" s="7">
        <v>59961.93</v>
      </c>
    </row>
    <row r="540" spans="1:9">
      <c r="A540" t="s">
        <v>5108</v>
      </c>
      <c r="B540" s="1">
        <v>42303</v>
      </c>
      <c r="C540" t="s">
        <v>5109</v>
      </c>
      <c r="D540">
        <v>1</v>
      </c>
      <c r="E540" t="s">
        <v>0</v>
      </c>
      <c r="F540" s="94" t="s">
        <v>2751</v>
      </c>
      <c r="G540" s="94" t="s">
        <v>5728</v>
      </c>
      <c r="H540" s="7">
        <f t="shared" si="7"/>
        <v>247798.31250000003</v>
      </c>
      <c r="I540" s="7">
        <v>39647.730000000003</v>
      </c>
    </row>
    <row r="541" spans="1:9">
      <c r="A541" t="s">
        <v>5059</v>
      </c>
      <c r="B541" s="1">
        <v>42300</v>
      </c>
      <c r="C541" t="s">
        <v>5060</v>
      </c>
      <c r="D541">
        <v>1</v>
      </c>
      <c r="E541" t="s">
        <v>0</v>
      </c>
      <c r="F541" s="94" t="s">
        <v>2751</v>
      </c>
      <c r="G541" s="94" t="s">
        <v>5728</v>
      </c>
      <c r="H541" s="7">
        <f t="shared" si="7"/>
        <v>410294.0625</v>
      </c>
      <c r="I541" s="7">
        <v>65647.05</v>
      </c>
    </row>
    <row r="542" spans="1:9">
      <c r="A542" t="s">
        <v>5098</v>
      </c>
      <c r="B542" s="1">
        <v>42303</v>
      </c>
      <c r="C542" t="s">
        <v>5099</v>
      </c>
      <c r="D542">
        <v>1</v>
      </c>
      <c r="E542" t="s">
        <v>0</v>
      </c>
      <c r="F542" s="94" t="s">
        <v>2751</v>
      </c>
      <c r="G542" s="94" t="s">
        <v>5728</v>
      </c>
      <c r="H542" s="7">
        <f t="shared" si="7"/>
        <v>291063.9375</v>
      </c>
      <c r="I542" s="7">
        <v>46570.23</v>
      </c>
    </row>
    <row r="543" spans="1:9">
      <c r="A543" t="s">
        <v>5118</v>
      </c>
      <c r="B543" s="1">
        <v>42303</v>
      </c>
      <c r="C543" t="s">
        <v>5119</v>
      </c>
      <c r="D543">
        <v>1</v>
      </c>
      <c r="E543" t="s">
        <v>0</v>
      </c>
      <c r="F543" s="94" t="s">
        <v>2751</v>
      </c>
      <c r="G543" s="94" t="s">
        <v>5728</v>
      </c>
      <c r="H543" s="7">
        <f t="shared" si="7"/>
        <v>318009</v>
      </c>
      <c r="I543" s="7">
        <v>50881.440000000002</v>
      </c>
    </row>
    <row r="544" spans="1:9">
      <c r="A544" t="s">
        <v>5147</v>
      </c>
      <c r="B544" s="1">
        <v>42305</v>
      </c>
      <c r="C544" t="s">
        <v>5148</v>
      </c>
      <c r="D544">
        <v>1</v>
      </c>
      <c r="E544" t="s">
        <v>0</v>
      </c>
      <c r="F544" s="94" t="s">
        <v>2751</v>
      </c>
      <c r="G544" s="94" t="s">
        <v>5728</v>
      </c>
      <c r="H544" s="7">
        <f t="shared" si="7"/>
        <v>318391.25</v>
      </c>
      <c r="I544" s="7">
        <v>50942.6</v>
      </c>
    </row>
    <row r="545" spans="1:9">
      <c r="A545" t="s">
        <v>1308</v>
      </c>
      <c r="B545" s="1">
        <v>42305</v>
      </c>
      <c r="C545" t="s">
        <v>5149</v>
      </c>
      <c r="D545">
        <v>1</v>
      </c>
      <c r="E545" t="s">
        <v>0</v>
      </c>
      <c r="F545" s="94" t="s">
        <v>2751</v>
      </c>
      <c r="G545" s="94" t="s">
        <v>5728</v>
      </c>
      <c r="H545" s="7">
        <f t="shared" si="7"/>
        <v>318391.25</v>
      </c>
      <c r="I545" s="7">
        <v>50942.6</v>
      </c>
    </row>
    <row r="546" spans="1:9">
      <c r="A546" t="s">
        <v>5196</v>
      </c>
      <c r="B546" s="1">
        <v>42308</v>
      </c>
      <c r="C546" t="s">
        <v>5197</v>
      </c>
      <c r="D546">
        <v>1</v>
      </c>
      <c r="E546" t="s">
        <v>0</v>
      </c>
      <c r="F546" s="94" t="s">
        <v>2751</v>
      </c>
      <c r="G546" s="94" t="s">
        <v>5728</v>
      </c>
      <c r="H546" s="7">
        <f t="shared" si="7"/>
        <v>374763.8125</v>
      </c>
      <c r="I546" s="7">
        <v>59962.21</v>
      </c>
    </row>
    <row r="547" spans="1:9">
      <c r="A547" t="s">
        <v>5191</v>
      </c>
      <c r="B547" s="1">
        <v>42308</v>
      </c>
      <c r="C547" t="s">
        <v>5192</v>
      </c>
      <c r="D547">
        <v>1</v>
      </c>
      <c r="E547" t="s">
        <v>0</v>
      </c>
      <c r="F547" s="94" t="s">
        <v>2751</v>
      </c>
      <c r="G547" s="94" t="s">
        <v>5728</v>
      </c>
      <c r="H547" s="7">
        <f t="shared" si="7"/>
        <v>278300.0625</v>
      </c>
      <c r="I547" s="7">
        <v>44528.01</v>
      </c>
    </row>
    <row r="548" spans="1:9">
      <c r="A548" t="s">
        <v>1320</v>
      </c>
      <c r="B548" s="1">
        <v>42278</v>
      </c>
      <c r="C548" t="s">
        <v>5530</v>
      </c>
      <c r="D548">
        <v>1</v>
      </c>
      <c r="E548" t="s">
        <v>1361</v>
      </c>
      <c r="F548" s="17" t="s">
        <v>799</v>
      </c>
      <c r="G548" t="s">
        <v>1361</v>
      </c>
      <c r="H548" s="7">
        <f t="shared" si="7"/>
        <v>4321.3125</v>
      </c>
      <c r="I548" s="7">
        <v>691.41</v>
      </c>
    </row>
    <row r="549" spans="1:9">
      <c r="A549" t="s">
        <v>3552</v>
      </c>
      <c r="B549" s="1">
        <v>42278</v>
      </c>
      <c r="C549" t="s">
        <v>5531</v>
      </c>
      <c r="D549">
        <v>1</v>
      </c>
      <c r="E549" t="s">
        <v>1361</v>
      </c>
      <c r="F549" s="17" t="s">
        <v>799</v>
      </c>
      <c r="G549" t="s">
        <v>1361</v>
      </c>
      <c r="H549" s="7">
        <f t="shared" ref="H549:H585" si="8">+I549/0.16</f>
        <v>6500</v>
      </c>
      <c r="I549" s="7">
        <v>1040</v>
      </c>
    </row>
    <row r="550" spans="1:9">
      <c r="A550" t="s">
        <v>2569</v>
      </c>
      <c r="B550" s="1">
        <v>42278</v>
      </c>
      <c r="C550" t="s">
        <v>5532</v>
      </c>
      <c r="D550">
        <v>1</v>
      </c>
      <c r="E550" t="s">
        <v>1361</v>
      </c>
      <c r="F550" s="17" t="s">
        <v>799</v>
      </c>
      <c r="G550" t="s">
        <v>1361</v>
      </c>
      <c r="H550" s="7">
        <f t="shared" si="8"/>
        <v>14964.125000000002</v>
      </c>
      <c r="I550" s="7">
        <v>2394.2600000000002</v>
      </c>
    </row>
    <row r="551" spans="1:9">
      <c r="A551" t="s">
        <v>4840</v>
      </c>
      <c r="B551" s="1">
        <v>42278</v>
      </c>
      <c r="C551" t="s">
        <v>5533</v>
      </c>
      <c r="D551">
        <v>1</v>
      </c>
      <c r="E551" t="s">
        <v>1361</v>
      </c>
      <c r="F551" s="17" t="s">
        <v>799</v>
      </c>
      <c r="G551" t="s">
        <v>1361</v>
      </c>
      <c r="H551" s="7">
        <f t="shared" si="8"/>
        <v>5566.9375</v>
      </c>
      <c r="I551" s="7">
        <v>890.71</v>
      </c>
    </row>
    <row r="552" spans="1:9">
      <c r="A552" t="s">
        <v>508</v>
      </c>
      <c r="B552" s="1">
        <v>42300</v>
      </c>
      <c r="C552" t="s">
        <v>5594</v>
      </c>
      <c r="D552">
        <v>1</v>
      </c>
      <c r="E552" t="s">
        <v>1361</v>
      </c>
      <c r="F552" s="17" t="s">
        <v>799</v>
      </c>
      <c r="G552" t="s">
        <v>1361</v>
      </c>
      <c r="H552" s="7">
        <f t="shared" si="8"/>
        <v>242696.12499999997</v>
      </c>
      <c r="I552" s="7">
        <v>38831.379999999997</v>
      </c>
    </row>
    <row r="553" spans="1:9">
      <c r="A553" t="s">
        <v>510</v>
      </c>
      <c r="B553" s="1">
        <v>42300</v>
      </c>
      <c r="C553" t="s">
        <v>5595</v>
      </c>
      <c r="D553">
        <v>1</v>
      </c>
      <c r="E553" t="s">
        <v>1361</v>
      </c>
      <c r="F553" s="17" t="s">
        <v>799</v>
      </c>
      <c r="G553" t="s">
        <v>1361</v>
      </c>
      <c r="H553" s="7">
        <f t="shared" si="8"/>
        <v>366672.9375</v>
      </c>
      <c r="I553" s="7">
        <v>58667.67</v>
      </c>
    </row>
    <row r="554" spans="1:9">
      <c r="A554" t="s">
        <v>1474</v>
      </c>
      <c r="B554" s="1">
        <v>42307</v>
      </c>
      <c r="C554" t="s">
        <v>5616</v>
      </c>
      <c r="D554">
        <v>1</v>
      </c>
      <c r="E554" t="s">
        <v>1361</v>
      </c>
      <c r="F554" s="17" t="s">
        <v>799</v>
      </c>
      <c r="G554" s="19" t="s">
        <v>1361</v>
      </c>
      <c r="H554" s="7">
        <f t="shared" si="8"/>
        <v>4321.3125</v>
      </c>
      <c r="I554" s="7">
        <v>691.41</v>
      </c>
    </row>
    <row r="555" spans="1:9">
      <c r="A555" t="s">
        <v>1477</v>
      </c>
      <c r="B555" s="1">
        <v>42307</v>
      </c>
      <c r="C555" t="s">
        <v>5617</v>
      </c>
      <c r="D555">
        <v>1</v>
      </c>
      <c r="E555" t="s">
        <v>1361</v>
      </c>
      <c r="F555" s="17" t="s">
        <v>799</v>
      </c>
      <c r="G555" s="19" t="s">
        <v>1361</v>
      </c>
      <c r="H555" s="7">
        <f t="shared" si="8"/>
        <v>6500</v>
      </c>
      <c r="I555" s="7">
        <v>1040</v>
      </c>
    </row>
    <row r="556" spans="1:9">
      <c r="A556" t="s">
        <v>5295</v>
      </c>
      <c r="B556" s="1">
        <v>42307</v>
      </c>
      <c r="C556" t="s">
        <v>5296</v>
      </c>
      <c r="D556">
        <v>1</v>
      </c>
      <c r="E556" t="s">
        <v>878</v>
      </c>
      <c r="F556" t="s">
        <v>878</v>
      </c>
      <c r="G556" t="s">
        <v>414</v>
      </c>
      <c r="H556" s="7">
        <f t="shared" si="8"/>
        <v>380</v>
      </c>
      <c r="I556" s="7">
        <v>60.8</v>
      </c>
    </row>
    <row r="557" spans="1:9">
      <c r="A557" t="s">
        <v>5319</v>
      </c>
      <c r="B557" s="1">
        <v>42307</v>
      </c>
      <c r="C557" t="s">
        <v>5320</v>
      </c>
      <c r="D557">
        <v>1</v>
      </c>
      <c r="E557" t="s">
        <v>878</v>
      </c>
      <c r="F557" t="s">
        <v>878</v>
      </c>
      <c r="G557" t="s">
        <v>414</v>
      </c>
      <c r="H557" s="7">
        <f t="shared" si="8"/>
        <v>380</v>
      </c>
      <c r="I557" s="7">
        <v>60.8</v>
      </c>
    </row>
    <row r="558" spans="1:9">
      <c r="A558" t="s">
        <v>5254</v>
      </c>
      <c r="B558" s="1">
        <v>42307</v>
      </c>
      <c r="C558" t="s">
        <v>5255</v>
      </c>
      <c r="D558">
        <v>1</v>
      </c>
      <c r="E558" t="s">
        <v>5256</v>
      </c>
      <c r="F558" t="s">
        <v>878</v>
      </c>
      <c r="G558" t="s">
        <v>414</v>
      </c>
      <c r="H558" s="7">
        <f t="shared" si="8"/>
        <v>380</v>
      </c>
      <c r="I558" s="7">
        <v>60.8</v>
      </c>
    </row>
    <row r="559" spans="1:9">
      <c r="A559" t="s">
        <v>5363</v>
      </c>
      <c r="B559" s="1">
        <v>42307</v>
      </c>
      <c r="C559" t="s">
        <v>5364</v>
      </c>
      <c r="D559">
        <v>1</v>
      </c>
      <c r="E559" t="s">
        <v>935</v>
      </c>
      <c r="F559" t="s">
        <v>935</v>
      </c>
      <c r="G559" t="s">
        <v>5729</v>
      </c>
      <c r="H559" s="7">
        <f t="shared" si="8"/>
        <v>86.187499999999986</v>
      </c>
      <c r="I559" s="7">
        <v>13.79</v>
      </c>
    </row>
    <row r="560" spans="1:9">
      <c r="A560" t="s">
        <v>5369</v>
      </c>
      <c r="B560" s="1">
        <v>42307</v>
      </c>
      <c r="C560" t="s">
        <v>5370</v>
      </c>
      <c r="D560">
        <v>1</v>
      </c>
      <c r="E560" t="s">
        <v>935</v>
      </c>
      <c r="F560" t="s">
        <v>935</v>
      </c>
      <c r="G560" t="s">
        <v>5729</v>
      </c>
      <c r="H560" s="7">
        <f t="shared" si="8"/>
        <v>86.187499999999986</v>
      </c>
      <c r="I560" s="7">
        <v>13.79</v>
      </c>
    </row>
    <row r="561" spans="1:11">
      <c r="A561" t="s">
        <v>5372</v>
      </c>
      <c r="B561" s="1">
        <v>42307</v>
      </c>
      <c r="C561" t="s">
        <v>5373</v>
      </c>
      <c r="D561">
        <v>1</v>
      </c>
      <c r="E561" t="s">
        <v>935</v>
      </c>
      <c r="F561" t="s">
        <v>935</v>
      </c>
      <c r="G561" t="s">
        <v>5729</v>
      </c>
      <c r="H561" s="7">
        <f t="shared" si="8"/>
        <v>86.187499999999986</v>
      </c>
      <c r="I561" s="7">
        <v>13.79</v>
      </c>
    </row>
    <row r="562" spans="1:11">
      <c r="A562" t="s">
        <v>5403</v>
      </c>
      <c r="B562" s="1">
        <v>42308</v>
      </c>
      <c r="C562" t="s">
        <v>5404</v>
      </c>
      <c r="D562">
        <v>1</v>
      </c>
      <c r="E562" t="s">
        <v>935</v>
      </c>
      <c r="F562" t="s">
        <v>935</v>
      </c>
      <c r="G562" t="s">
        <v>5729</v>
      </c>
      <c r="H562" s="7">
        <f t="shared" si="8"/>
        <v>86.187499999999986</v>
      </c>
      <c r="I562" s="7">
        <v>13.79</v>
      </c>
    </row>
    <row r="563" spans="1:11">
      <c r="A563" t="s">
        <v>5406</v>
      </c>
      <c r="B563" s="1">
        <v>42307</v>
      </c>
      <c r="C563" t="s">
        <v>5407</v>
      </c>
      <c r="D563">
        <v>1</v>
      </c>
      <c r="E563" t="s">
        <v>935</v>
      </c>
      <c r="F563" t="s">
        <v>935</v>
      </c>
      <c r="G563" t="s">
        <v>5729</v>
      </c>
      <c r="H563" s="7">
        <f t="shared" si="8"/>
        <v>86.187499999999986</v>
      </c>
      <c r="I563" s="7">
        <v>13.79</v>
      </c>
    </row>
    <row r="564" spans="1:11">
      <c r="A564" t="s">
        <v>5456</v>
      </c>
      <c r="B564" s="1">
        <v>42307</v>
      </c>
      <c r="C564" t="s">
        <v>5457</v>
      </c>
      <c r="D564">
        <v>1</v>
      </c>
      <c r="E564" t="s">
        <v>935</v>
      </c>
      <c r="F564" t="s">
        <v>935</v>
      </c>
      <c r="G564" t="s">
        <v>5729</v>
      </c>
      <c r="H564" s="7">
        <f t="shared" si="8"/>
        <v>86.187499999999986</v>
      </c>
      <c r="I564" s="7">
        <v>13.79</v>
      </c>
    </row>
    <row r="565" spans="1:11">
      <c r="A565" t="s">
        <v>5291</v>
      </c>
      <c r="B565" s="1">
        <v>42307</v>
      </c>
      <c r="C565" t="s">
        <v>5292</v>
      </c>
      <c r="D565">
        <v>1</v>
      </c>
      <c r="E565" t="s">
        <v>784</v>
      </c>
      <c r="F565" t="s">
        <v>784</v>
      </c>
      <c r="G565" t="s">
        <v>785</v>
      </c>
      <c r="H565" s="7">
        <f t="shared" si="8"/>
        <v>87.25</v>
      </c>
      <c r="I565" s="7">
        <v>13.96</v>
      </c>
    </row>
    <row r="566" spans="1:11">
      <c r="A566" t="s">
        <v>5359</v>
      </c>
      <c r="B566" s="1">
        <v>42307</v>
      </c>
      <c r="C566" t="s">
        <v>5360</v>
      </c>
      <c r="D566">
        <v>1</v>
      </c>
      <c r="E566" t="s">
        <v>1632</v>
      </c>
      <c r="F566" s="92" t="s">
        <v>1632</v>
      </c>
      <c r="G566" s="92" t="s">
        <v>1633</v>
      </c>
      <c r="H566" s="7">
        <f t="shared" si="8"/>
        <v>419.37499999999994</v>
      </c>
      <c r="I566" s="7">
        <v>67.099999999999994</v>
      </c>
    </row>
    <row r="567" spans="1:11">
      <c r="A567" t="s">
        <v>5454</v>
      </c>
      <c r="B567" s="1">
        <v>42307</v>
      </c>
      <c r="C567" t="s">
        <v>5455</v>
      </c>
      <c r="D567">
        <v>1</v>
      </c>
      <c r="E567" t="s">
        <v>1632</v>
      </c>
      <c r="F567" s="92" t="s">
        <v>1632</v>
      </c>
      <c r="G567" s="92" t="s">
        <v>1633</v>
      </c>
      <c r="H567" s="7">
        <f t="shared" si="8"/>
        <v>419.37499999999994</v>
      </c>
      <c r="I567" s="7">
        <v>67.099999999999994</v>
      </c>
    </row>
    <row r="568" spans="1:11">
      <c r="A568" t="s">
        <v>5434</v>
      </c>
      <c r="B568" s="1">
        <v>42308</v>
      </c>
      <c r="C568" t="s">
        <v>5435</v>
      </c>
      <c r="D568">
        <v>1</v>
      </c>
      <c r="E568" t="s">
        <v>5439</v>
      </c>
      <c r="F568" t="s">
        <v>7573</v>
      </c>
      <c r="G568" t="s">
        <v>5759</v>
      </c>
      <c r="H568" s="7">
        <f t="shared" si="8"/>
        <v>99.125</v>
      </c>
      <c r="I568" s="7">
        <v>15.86</v>
      </c>
    </row>
    <row r="569" spans="1:11">
      <c r="A569" t="s">
        <v>3534</v>
      </c>
      <c r="B569" s="1">
        <v>42307</v>
      </c>
      <c r="C569" t="s">
        <v>5180</v>
      </c>
      <c r="D569">
        <v>1</v>
      </c>
      <c r="E569" t="s">
        <v>5181</v>
      </c>
      <c r="F569" s="19" t="s">
        <v>5760</v>
      </c>
      <c r="G569" s="19" t="s">
        <v>5181</v>
      </c>
      <c r="H569" s="7">
        <f t="shared" si="8"/>
        <v>243817.8125</v>
      </c>
      <c r="I569" s="7">
        <v>39010.85</v>
      </c>
    </row>
    <row r="570" spans="1:11">
      <c r="A570" t="s">
        <v>1356</v>
      </c>
      <c r="B570" s="1">
        <v>42283</v>
      </c>
      <c r="C570" t="s">
        <v>5559</v>
      </c>
      <c r="D570">
        <v>1</v>
      </c>
      <c r="E570" t="s">
        <v>642</v>
      </c>
      <c r="F570" s="58" t="s">
        <v>952</v>
      </c>
      <c r="G570" t="s">
        <v>642</v>
      </c>
      <c r="H570" s="7">
        <f t="shared" si="8"/>
        <v>2250</v>
      </c>
      <c r="I570" s="7">
        <v>360</v>
      </c>
    </row>
    <row r="571" spans="1:11">
      <c r="A571" t="s">
        <v>5297</v>
      </c>
      <c r="B571" s="1">
        <v>42307</v>
      </c>
      <c r="C571" t="s">
        <v>5298</v>
      </c>
      <c r="D571">
        <v>1</v>
      </c>
      <c r="E571" t="s">
        <v>802</v>
      </c>
      <c r="F571" t="s">
        <v>802</v>
      </c>
      <c r="G571" t="s">
        <v>2483</v>
      </c>
      <c r="H571" s="7">
        <f t="shared" si="8"/>
        <v>310.375</v>
      </c>
      <c r="I571" s="7">
        <v>49.66</v>
      </c>
    </row>
    <row r="572" spans="1:11">
      <c r="A572" t="s">
        <v>5311</v>
      </c>
      <c r="B572" s="1">
        <v>42307</v>
      </c>
      <c r="C572" t="s">
        <v>5312</v>
      </c>
      <c r="D572">
        <v>1</v>
      </c>
      <c r="E572" t="s">
        <v>802</v>
      </c>
      <c r="F572" t="s">
        <v>802</v>
      </c>
      <c r="G572" t="s">
        <v>2483</v>
      </c>
      <c r="H572" s="7">
        <f t="shared" si="8"/>
        <v>310.375</v>
      </c>
      <c r="I572" s="7">
        <v>49.66</v>
      </c>
    </row>
    <row r="573" spans="1:11">
      <c r="A573" t="s">
        <v>5516</v>
      </c>
      <c r="B573" s="1">
        <v>42307</v>
      </c>
      <c r="C573" t="s">
        <v>5517</v>
      </c>
      <c r="D573">
        <v>1</v>
      </c>
      <c r="E573" t="s">
        <v>1315</v>
      </c>
      <c r="F573" s="97" t="s">
        <v>7259</v>
      </c>
      <c r="G573" s="92" t="s">
        <v>7260</v>
      </c>
      <c r="H573" s="100">
        <v>486.87500000000006</v>
      </c>
      <c r="I573" s="7">
        <v>77.900000000000006</v>
      </c>
      <c r="J573" s="7"/>
      <c r="K573" s="7"/>
    </row>
    <row r="574" spans="1:11">
      <c r="A574" t="s">
        <v>5516</v>
      </c>
      <c r="B574" s="1">
        <v>42307</v>
      </c>
      <c r="C574" t="s">
        <v>5517</v>
      </c>
      <c r="D574">
        <v>1</v>
      </c>
      <c r="E574" t="s">
        <v>1315</v>
      </c>
      <c r="F574" s="58" t="s">
        <v>714</v>
      </c>
      <c r="G574" s="19" t="s">
        <v>715</v>
      </c>
      <c r="H574" s="100">
        <v>388.8125</v>
      </c>
      <c r="I574" s="7">
        <v>62.21</v>
      </c>
      <c r="J574" s="7"/>
      <c r="K574" s="7"/>
    </row>
    <row r="575" spans="1:11">
      <c r="A575" t="s">
        <v>5516</v>
      </c>
      <c r="B575" s="1">
        <v>42307</v>
      </c>
      <c r="C575" t="s">
        <v>5517</v>
      </c>
      <c r="D575">
        <v>1</v>
      </c>
      <c r="E575" t="s">
        <v>1315</v>
      </c>
      <c r="F575" s="58" t="s">
        <v>714</v>
      </c>
      <c r="G575" s="19" t="s">
        <v>715</v>
      </c>
      <c r="H575" s="100">
        <v>231.0625</v>
      </c>
      <c r="I575" s="7">
        <v>36.97</v>
      </c>
      <c r="J575" s="7"/>
      <c r="K575" s="7"/>
    </row>
    <row r="576" spans="1:11">
      <c r="A576" t="s">
        <v>5516</v>
      </c>
      <c r="B576" s="1">
        <v>42307</v>
      </c>
      <c r="C576" t="s">
        <v>5517</v>
      </c>
      <c r="D576">
        <v>1</v>
      </c>
      <c r="E576" t="s">
        <v>1315</v>
      </c>
      <c r="F576" s="97" t="s">
        <v>879</v>
      </c>
      <c r="G576" s="92" t="s">
        <v>880</v>
      </c>
      <c r="H576" s="100">
        <v>251.625</v>
      </c>
      <c r="I576" s="7">
        <v>40.26</v>
      </c>
      <c r="J576" s="7"/>
      <c r="K576" s="7"/>
    </row>
    <row r="577" spans="1:11">
      <c r="A577" t="s">
        <v>5516</v>
      </c>
      <c r="B577" s="1">
        <v>42307</v>
      </c>
      <c r="C577" t="s">
        <v>5517</v>
      </c>
      <c r="D577">
        <v>1</v>
      </c>
      <c r="E577" t="s">
        <v>1315</v>
      </c>
      <c r="F577" s="58" t="s">
        <v>5330</v>
      </c>
      <c r="G577" s="19" t="s">
        <v>5693</v>
      </c>
      <c r="H577" s="100">
        <v>56.062500000000007</v>
      </c>
      <c r="I577" s="7">
        <v>8.9700000000000006</v>
      </c>
      <c r="J577" s="7"/>
      <c r="K577" s="7"/>
    </row>
    <row r="578" spans="1:11">
      <c r="A578" t="s">
        <v>5516</v>
      </c>
      <c r="B578" s="1">
        <v>42307</v>
      </c>
      <c r="C578" t="s">
        <v>5517</v>
      </c>
      <c r="D578">
        <v>1</v>
      </c>
      <c r="E578" t="s">
        <v>1315</v>
      </c>
      <c r="F578" s="58" t="s">
        <v>3898</v>
      </c>
      <c r="G578" s="19" t="s">
        <v>7261</v>
      </c>
      <c r="H578" s="100">
        <v>76.75</v>
      </c>
      <c r="I578" s="7">
        <v>12.28</v>
      </c>
      <c r="J578" s="7"/>
      <c r="K578" s="7"/>
    </row>
    <row r="579" spans="1:11">
      <c r="A579" t="s">
        <v>5516</v>
      </c>
      <c r="B579" s="1">
        <v>42307</v>
      </c>
      <c r="C579" t="s">
        <v>5517</v>
      </c>
      <c r="D579">
        <v>1</v>
      </c>
      <c r="E579" t="s">
        <v>1315</v>
      </c>
      <c r="F579" t="s">
        <v>5377</v>
      </c>
      <c r="G579" s="19" t="s">
        <v>5413</v>
      </c>
      <c r="H579" s="100">
        <v>389.62499999999994</v>
      </c>
      <c r="I579" s="7">
        <v>62.339999999999989</v>
      </c>
      <c r="J579" s="7"/>
      <c r="K579" s="7"/>
    </row>
    <row r="580" spans="1:11">
      <c r="A580" t="s">
        <v>5516</v>
      </c>
      <c r="B580" s="1">
        <v>42307</v>
      </c>
      <c r="C580" t="s">
        <v>5517</v>
      </c>
      <c r="D580">
        <v>1</v>
      </c>
      <c r="E580" t="s">
        <v>1315</v>
      </c>
      <c r="F580" s="58" t="s">
        <v>6560</v>
      </c>
      <c r="G580" s="19" t="s">
        <v>7262</v>
      </c>
      <c r="H580" s="100">
        <v>222.31249999999994</v>
      </c>
      <c r="I580" s="7">
        <v>35.569999999999993</v>
      </c>
      <c r="J580" s="7">
        <f>2103.13-H573-H574-H575-H576-H577-H578-H579-H580</f>
        <v>5.0000000002228262E-3</v>
      </c>
      <c r="K580" s="7">
        <f>336.5-I573-I574-I575-I576-I577-I578-I579-I580</f>
        <v>0</v>
      </c>
    </row>
    <row r="581" spans="1:11">
      <c r="A581" t="s">
        <v>5456</v>
      </c>
      <c r="B581" s="1">
        <v>42307</v>
      </c>
      <c r="C581" t="s">
        <v>5457</v>
      </c>
      <c r="D581">
        <v>1</v>
      </c>
      <c r="E581" t="s">
        <v>1315</v>
      </c>
      <c r="F581" t="s">
        <v>714</v>
      </c>
      <c r="G581" t="s">
        <v>715</v>
      </c>
      <c r="H581" s="7">
        <f>+I581/0.16</f>
        <v>322.4375</v>
      </c>
      <c r="I581" s="7">
        <v>51.59</v>
      </c>
    </row>
    <row r="582" spans="1:11">
      <c r="A582" t="s">
        <v>403</v>
      </c>
      <c r="B582" s="1">
        <v>42291</v>
      </c>
      <c r="C582" t="s">
        <v>1315</v>
      </c>
      <c r="D582">
        <v>1</v>
      </c>
      <c r="E582" s="101" t="s">
        <v>5243</v>
      </c>
      <c r="F582" s="19" t="s">
        <v>716</v>
      </c>
      <c r="G582" s="19" t="s">
        <v>717</v>
      </c>
      <c r="H582" s="100">
        <f t="shared" ref="H582:H583" si="9">I582*100/16</f>
        <v>1771.875</v>
      </c>
      <c r="I582" s="100">
        <v>283.5</v>
      </c>
      <c r="J582" s="7"/>
      <c r="K582" s="7"/>
    </row>
    <row r="583" spans="1:11">
      <c r="A583" t="s">
        <v>403</v>
      </c>
      <c r="B583" s="1">
        <v>42291</v>
      </c>
      <c r="C583" t="s">
        <v>1315</v>
      </c>
      <c r="D583">
        <v>1</v>
      </c>
      <c r="E583" s="101" t="s">
        <v>5243</v>
      </c>
      <c r="F583" s="19" t="s">
        <v>714</v>
      </c>
      <c r="G583" s="19" t="s">
        <v>715</v>
      </c>
      <c r="H583" s="100">
        <f t="shared" si="9"/>
        <v>619</v>
      </c>
      <c r="I583" s="100">
        <v>99.04</v>
      </c>
      <c r="J583" s="7">
        <f>2390.88-H582-H583</f>
        <v>5.0000000001091394E-3</v>
      </c>
      <c r="K583" s="7">
        <f>382.54-I582-I583</f>
        <v>0</v>
      </c>
    </row>
    <row r="584" spans="1:11">
      <c r="A584" t="s">
        <v>2578</v>
      </c>
      <c r="B584" s="1">
        <v>42283</v>
      </c>
      <c r="C584" t="s">
        <v>5547</v>
      </c>
      <c r="D584">
        <v>2</v>
      </c>
      <c r="E584" t="s">
        <v>3103</v>
      </c>
      <c r="F584" s="89" t="s">
        <v>3241</v>
      </c>
      <c r="G584" t="s">
        <v>3103</v>
      </c>
      <c r="H584" s="7">
        <f t="shared" si="8"/>
        <v>2400</v>
      </c>
      <c r="I584" s="7">
        <v>384</v>
      </c>
    </row>
    <row r="585" spans="1:11">
      <c r="A585" t="s">
        <v>5494</v>
      </c>
      <c r="B585" s="1">
        <v>42308</v>
      </c>
      <c r="C585" t="s">
        <v>5495</v>
      </c>
      <c r="D585">
        <v>1</v>
      </c>
      <c r="E585" t="s">
        <v>1645</v>
      </c>
      <c r="F585" t="s">
        <v>1645</v>
      </c>
      <c r="G585" t="s">
        <v>5761</v>
      </c>
      <c r="H585" s="7">
        <f t="shared" si="8"/>
        <v>417.25</v>
      </c>
      <c r="I585" s="7">
        <v>66.760000000000005</v>
      </c>
    </row>
    <row r="587" spans="1:11">
      <c r="H587" s="8"/>
      <c r="I587" s="8"/>
    </row>
    <row r="588" spans="1:11">
      <c r="H588" s="9">
        <f>SUM(H7:H587)</f>
        <v>36797926.4375</v>
      </c>
      <c r="I588" s="9">
        <f>SUM(I7:I587)</f>
        <v>5887668.2299999986</v>
      </c>
    </row>
    <row r="589" spans="1:11">
      <c r="H589" s="10">
        <f>6817453.9-869010.29</f>
        <v>5948443.6100000003</v>
      </c>
      <c r="I589" s="10">
        <f>+H589-I588</f>
        <v>60775.380000001751</v>
      </c>
      <c r="J589" t="s">
        <v>960</v>
      </c>
    </row>
    <row r="590" spans="1:11" s="152" customFormat="1">
      <c r="A590" s="152" t="s">
        <v>5524</v>
      </c>
      <c r="B590" s="153">
        <v>42308</v>
      </c>
      <c r="C590" s="152" t="s">
        <v>5525</v>
      </c>
      <c r="D590" s="152">
        <v>1</v>
      </c>
      <c r="E590" s="152" t="s">
        <v>5526</v>
      </c>
      <c r="H590" s="154">
        <f>+I590/0.16</f>
        <v>379635.8125</v>
      </c>
      <c r="I590" s="154">
        <v>60741.73</v>
      </c>
    </row>
    <row r="591" spans="1:11" s="84" customFormat="1">
      <c r="A591" s="84" t="s">
        <v>5267</v>
      </c>
      <c r="B591" s="147">
        <v>42307</v>
      </c>
      <c r="C591" s="84" t="s">
        <v>5268</v>
      </c>
      <c r="D591" s="84">
        <v>1</v>
      </c>
      <c r="E591" s="84" t="s">
        <v>1595</v>
      </c>
      <c r="F591" s="84" t="s">
        <v>1595</v>
      </c>
      <c r="G591" s="84" t="s">
        <v>1200</v>
      </c>
      <c r="H591" s="148">
        <f>+I591/0.16</f>
        <v>210.3125</v>
      </c>
      <c r="I591" s="148">
        <v>33.65</v>
      </c>
      <c r="J591" s="84" t="s">
        <v>7559</v>
      </c>
    </row>
    <row r="592" spans="1:11">
      <c r="I592" s="9">
        <f>+I591+I590+I588</f>
        <v>5948443.6099999985</v>
      </c>
      <c r="J592" s="60">
        <f>+I591+I590</f>
        <v>60775.380000000005</v>
      </c>
    </row>
    <row r="593" spans="1:10">
      <c r="I593" s="9"/>
      <c r="J593" s="60"/>
    </row>
    <row r="594" spans="1:10">
      <c r="F594" s="11"/>
    </row>
    <row r="595" spans="1:10">
      <c r="F595" s="12" t="s">
        <v>696</v>
      </c>
    </row>
    <row r="596" spans="1:10">
      <c r="F596" s="13" t="s">
        <v>7294</v>
      </c>
    </row>
    <row r="597" spans="1:10">
      <c r="F597" s="11"/>
    </row>
    <row r="598" spans="1:10">
      <c r="A598" s="14"/>
      <c r="B598" s="14"/>
      <c r="C598" s="14"/>
      <c r="D598" s="14"/>
      <c r="E598" s="14"/>
      <c r="F598" s="14" t="s">
        <v>692</v>
      </c>
      <c r="G598" s="14" t="s">
        <v>693</v>
      </c>
      <c r="H598" s="15" t="s">
        <v>694</v>
      </c>
      <c r="I598" s="14" t="s">
        <v>695</v>
      </c>
      <c r="J598" s="14" t="s">
        <v>697</v>
      </c>
    </row>
    <row r="599" spans="1:10">
      <c r="A599" s="150" t="s">
        <v>7544</v>
      </c>
      <c r="B599">
        <v>85</v>
      </c>
      <c r="F599" t="s">
        <v>2215</v>
      </c>
      <c r="G599" t="s">
        <v>2748</v>
      </c>
      <c r="H599" s="7">
        <f>+I599/0.16</f>
        <v>19</v>
      </c>
      <c r="I599" s="7">
        <f t="shared" ref="I599:I662" si="10">+SUMIF($F$7:$F$585,F599,$I$7:$I$585)</f>
        <v>3.04</v>
      </c>
    </row>
    <row r="600" spans="1:10">
      <c r="A600" s="150" t="s">
        <v>7544</v>
      </c>
      <c r="B600">
        <v>85</v>
      </c>
      <c r="F600" t="s">
        <v>5666</v>
      </c>
      <c r="G600" t="s">
        <v>5623</v>
      </c>
      <c r="H600" s="7">
        <f t="shared" ref="H600:H663" si="11">+I600/0.16</f>
        <v>5320</v>
      </c>
      <c r="I600" s="7">
        <f t="shared" si="10"/>
        <v>851.2</v>
      </c>
    </row>
    <row r="601" spans="1:10">
      <c r="A601" s="150" t="s">
        <v>7544</v>
      </c>
      <c r="B601">
        <v>85</v>
      </c>
      <c r="F601" s="58" t="s">
        <v>1604</v>
      </c>
      <c r="G601" t="s">
        <v>1501</v>
      </c>
      <c r="H601" s="7">
        <f t="shared" si="11"/>
        <v>4200</v>
      </c>
      <c r="I601" s="7">
        <f t="shared" si="10"/>
        <v>672</v>
      </c>
    </row>
    <row r="602" spans="1:10">
      <c r="A602" s="150" t="s">
        <v>7544</v>
      </c>
      <c r="B602">
        <v>85</v>
      </c>
      <c r="F602" t="s">
        <v>5381</v>
      </c>
      <c r="G602" t="s">
        <v>5665</v>
      </c>
      <c r="H602" s="7">
        <f t="shared" si="11"/>
        <v>1241.3124999999998</v>
      </c>
      <c r="I602" s="7">
        <f t="shared" si="10"/>
        <v>198.60999999999999</v>
      </c>
    </row>
    <row r="603" spans="1:10">
      <c r="A603" s="150" t="s">
        <v>7544</v>
      </c>
      <c r="B603">
        <v>85</v>
      </c>
      <c r="F603" t="s">
        <v>709</v>
      </c>
      <c r="G603" t="s">
        <v>710</v>
      </c>
      <c r="H603" s="7">
        <f t="shared" si="11"/>
        <v>171880.9375</v>
      </c>
      <c r="I603" s="7">
        <f t="shared" si="10"/>
        <v>27500.95</v>
      </c>
    </row>
    <row r="604" spans="1:10">
      <c r="A604" s="150" t="s">
        <v>7544</v>
      </c>
      <c r="B604">
        <v>85</v>
      </c>
      <c r="F604" t="s">
        <v>923</v>
      </c>
      <c r="G604" t="s">
        <v>924</v>
      </c>
      <c r="H604" s="7">
        <f t="shared" si="11"/>
        <v>2433.75</v>
      </c>
      <c r="I604" s="7">
        <f t="shared" si="10"/>
        <v>389.4</v>
      </c>
    </row>
    <row r="605" spans="1:10">
      <c r="A605" s="150" t="s">
        <v>7544</v>
      </c>
      <c r="B605">
        <v>85</v>
      </c>
      <c r="F605" s="85" t="s">
        <v>733</v>
      </c>
      <c r="G605" s="107" t="s">
        <v>734</v>
      </c>
      <c r="H605" s="7">
        <f t="shared" si="11"/>
        <v>2239.4375</v>
      </c>
      <c r="I605" s="7">
        <f t="shared" si="10"/>
        <v>358.31</v>
      </c>
    </row>
    <row r="606" spans="1:10">
      <c r="A606" s="150" t="s">
        <v>7544</v>
      </c>
      <c r="B606">
        <v>85</v>
      </c>
      <c r="F606" s="91" t="s">
        <v>6274</v>
      </c>
      <c r="G606" t="s">
        <v>7218</v>
      </c>
      <c r="H606" s="7">
        <f t="shared" si="11"/>
        <v>281.0625</v>
      </c>
      <c r="I606" s="7">
        <f t="shared" si="10"/>
        <v>44.97</v>
      </c>
    </row>
    <row r="607" spans="1:10">
      <c r="A607" s="150" t="s">
        <v>7544</v>
      </c>
      <c r="B607">
        <v>85</v>
      </c>
      <c r="F607" s="97" t="s">
        <v>879</v>
      </c>
      <c r="G607" s="92" t="s">
        <v>880</v>
      </c>
      <c r="H607" s="7">
        <f t="shared" si="11"/>
        <v>251.62499999999997</v>
      </c>
      <c r="I607" s="7">
        <f t="shared" si="10"/>
        <v>40.26</v>
      </c>
    </row>
    <row r="608" spans="1:10">
      <c r="A608" s="150" t="s">
        <v>7544</v>
      </c>
      <c r="B608">
        <v>85</v>
      </c>
      <c r="F608" s="72" t="s">
        <v>5633</v>
      </c>
      <c r="G608" t="s">
        <v>5669</v>
      </c>
      <c r="H608" s="7">
        <f t="shared" si="11"/>
        <v>185215.6875</v>
      </c>
      <c r="I608" s="7">
        <f t="shared" si="10"/>
        <v>29634.51</v>
      </c>
    </row>
    <row r="609" spans="1:9">
      <c r="A609" s="150" t="s">
        <v>7544</v>
      </c>
      <c r="B609">
        <v>85</v>
      </c>
      <c r="F609" t="s">
        <v>711</v>
      </c>
      <c r="G609" t="s">
        <v>4211</v>
      </c>
      <c r="H609" s="7">
        <f t="shared" si="11"/>
        <v>912.8125</v>
      </c>
      <c r="I609" s="7">
        <f t="shared" si="10"/>
        <v>146.05000000000001</v>
      </c>
    </row>
    <row r="610" spans="1:9">
      <c r="A610" s="150" t="s">
        <v>7544</v>
      </c>
      <c r="B610">
        <v>85</v>
      </c>
      <c r="F610" t="s">
        <v>745</v>
      </c>
      <c r="G610" t="s">
        <v>746</v>
      </c>
      <c r="H610" s="7">
        <f t="shared" si="11"/>
        <v>159.5</v>
      </c>
      <c r="I610" s="7">
        <f t="shared" si="10"/>
        <v>25.52</v>
      </c>
    </row>
    <row r="611" spans="1:9">
      <c r="A611" s="150" t="s">
        <v>7544</v>
      </c>
      <c r="B611">
        <v>85</v>
      </c>
      <c r="F611" t="s">
        <v>1530</v>
      </c>
      <c r="G611" t="s">
        <v>5143</v>
      </c>
      <c r="H611" s="7">
        <f t="shared" si="11"/>
        <v>421931.12499999994</v>
      </c>
      <c r="I611" s="7">
        <f t="shared" si="10"/>
        <v>67508.98</v>
      </c>
    </row>
    <row r="612" spans="1:9">
      <c r="A612" s="150" t="s">
        <v>7544</v>
      </c>
      <c r="B612">
        <v>85</v>
      </c>
      <c r="F612" s="45" t="s">
        <v>707</v>
      </c>
      <c r="G612" s="85" t="s">
        <v>708</v>
      </c>
      <c r="H612" s="7">
        <f t="shared" si="11"/>
        <v>731453.43749999988</v>
      </c>
      <c r="I612" s="7">
        <f t="shared" si="10"/>
        <v>117032.54999999999</v>
      </c>
    </row>
    <row r="613" spans="1:9">
      <c r="A613" s="150" t="s">
        <v>7544</v>
      </c>
      <c r="B613">
        <v>85</v>
      </c>
      <c r="F613" t="s">
        <v>714</v>
      </c>
      <c r="G613" t="s">
        <v>715</v>
      </c>
      <c r="H613" s="7">
        <f t="shared" si="11"/>
        <v>11796.25</v>
      </c>
      <c r="I613" s="7">
        <f t="shared" si="10"/>
        <v>1887.4</v>
      </c>
    </row>
    <row r="614" spans="1:9">
      <c r="A614" s="150" t="s">
        <v>7544</v>
      </c>
      <c r="B614">
        <v>85</v>
      </c>
      <c r="F614" t="s">
        <v>751</v>
      </c>
      <c r="G614" t="s">
        <v>752</v>
      </c>
      <c r="H614" s="7">
        <f t="shared" si="11"/>
        <v>2005.3125</v>
      </c>
      <c r="I614" s="7">
        <f t="shared" si="10"/>
        <v>320.85000000000002</v>
      </c>
    </row>
    <row r="615" spans="1:9">
      <c r="A615" s="150" t="s">
        <v>7544</v>
      </c>
      <c r="B615">
        <v>85</v>
      </c>
      <c r="F615" t="s">
        <v>2187</v>
      </c>
      <c r="G615" t="s">
        <v>5712</v>
      </c>
      <c r="H615" s="7">
        <f t="shared" si="11"/>
        <v>325680.625</v>
      </c>
      <c r="I615" s="7">
        <f t="shared" si="10"/>
        <v>52108.9</v>
      </c>
    </row>
    <row r="616" spans="1:9">
      <c r="A616" s="150" t="s">
        <v>7544</v>
      </c>
      <c r="B616">
        <v>85</v>
      </c>
      <c r="F616" t="s">
        <v>3903</v>
      </c>
      <c r="G616" t="s">
        <v>5667</v>
      </c>
      <c r="H616" s="7">
        <f t="shared" si="11"/>
        <v>96.5625</v>
      </c>
      <c r="I616" s="7">
        <f t="shared" si="10"/>
        <v>15.45</v>
      </c>
    </row>
    <row r="617" spans="1:9">
      <c r="A617" s="150" t="s">
        <v>7544</v>
      </c>
      <c r="B617">
        <v>85</v>
      </c>
      <c r="F617" t="s">
        <v>901</v>
      </c>
      <c r="G617" t="s">
        <v>5715</v>
      </c>
      <c r="H617" s="7">
        <f t="shared" si="11"/>
        <v>296.625</v>
      </c>
      <c r="I617" s="7">
        <f t="shared" si="10"/>
        <v>47.46</v>
      </c>
    </row>
    <row r="618" spans="1:9">
      <c r="A618" s="150" t="s">
        <v>7544</v>
      </c>
      <c r="B618">
        <v>85</v>
      </c>
      <c r="F618" s="97" t="s">
        <v>7259</v>
      </c>
      <c r="G618" s="92" t="s">
        <v>7260</v>
      </c>
      <c r="H618" s="7">
        <f t="shared" si="11"/>
        <v>486.875</v>
      </c>
      <c r="I618" s="7">
        <f t="shared" si="10"/>
        <v>77.900000000000006</v>
      </c>
    </row>
    <row r="619" spans="1:9">
      <c r="A619" s="150" t="s">
        <v>7544</v>
      </c>
      <c r="B619">
        <v>85</v>
      </c>
      <c r="F619" s="92" t="s">
        <v>5713</v>
      </c>
      <c r="G619" s="92" t="s">
        <v>5714</v>
      </c>
      <c r="H619" s="7">
        <f t="shared" si="11"/>
        <v>534.9375</v>
      </c>
      <c r="I619" s="7">
        <f t="shared" si="10"/>
        <v>85.59</v>
      </c>
    </row>
    <row r="620" spans="1:9">
      <c r="A620" s="150" t="s">
        <v>7544</v>
      </c>
      <c r="B620">
        <v>85</v>
      </c>
      <c r="F620" s="86" t="s">
        <v>2192</v>
      </c>
      <c r="G620" s="87" t="s">
        <v>5670</v>
      </c>
      <c r="H620" s="7">
        <f t="shared" si="11"/>
        <v>195674.875</v>
      </c>
      <c r="I620" s="7">
        <f t="shared" si="10"/>
        <v>31307.98</v>
      </c>
    </row>
    <row r="621" spans="1:9">
      <c r="A621" s="150" t="s">
        <v>7544</v>
      </c>
      <c r="B621">
        <v>85</v>
      </c>
      <c r="F621" s="93" t="s">
        <v>958</v>
      </c>
      <c r="G621" t="s">
        <v>5716</v>
      </c>
      <c r="H621" s="7">
        <f t="shared" si="11"/>
        <v>305085.5</v>
      </c>
      <c r="I621" s="7">
        <f t="shared" si="10"/>
        <v>48813.68</v>
      </c>
    </row>
    <row r="622" spans="1:9">
      <c r="A622" s="150" t="s">
        <v>7544</v>
      </c>
      <c r="B622">
        <v>85</v>
      </c>
      <c r="F622" s="19" t="s">
        <v>5760</v>
      </c>
      <c r="G622" s="19" t="s">
        <v>5181</v>
      </c>
      <c r="H622" s="7">
        <f t="shared" si="11"/>
        <v>243817.8125</v>
      </c>
      <c r="I622" s="7">
        <f t="shared" si="10"/>
        <v>39010.85</v>
      </c>
    </row>
    <row r="623" spans="1:9">
      <c r="A623" s="150" t="s">
        <v>7544</v>
      </c>
      <c r="B623">
        <v>85</v>
      </c>
      <c r="F623" t="s">
        <v>2690</v>
      </c>
      <c r="G623" t="s">
        <v>5671</v>
      </c>
      <c r="H623" s="7">
        <f t="shared" si="11"/>
        <v>469397.18749999994</v>
      </c>
      <c r="I623" s="7">
        <f t="shared" si="10"/>
        <v>75103.549999999988</v>
      </c>
    </row>
    <row r="624" spans="1:9">
      <c r="A624" s="150" t="s">
        <v>7544</v>
      </c>
      <c r="B624">
        <v>85</v>
      </c>
      <c r="F624" s="88" t="s">
        <v>5718</v>
      </c>
      <c r="G624" t="s">
        <v>738</v>
      </c>
      <c r="H624" s="7">
        <f t="shared" si="11"/>
        <v>12358.1875</v>
      </c>
      <c r="I624" s="7">
        <f t="shared" si="10"/>
        <v>1977.31</v>
      </c>
    </row>
    <row r="625" spans="1:10">
      <c r="A625" s="150" t="s">
        <v>7544</v>
      </c>
      <c r="B625">
        <v>85</v>
      </c>
      <c r="F625" s="58" t="s">
        <v>2212</v>
      </c>
      <c r="G625" t="s">
        <v>2097</v>
      </c>
      <c r="H625" s="7">
        <f t="shared" si="11"/>
        <v>3785.625</v>
      </c>
      <c r="I625" s="7">
        <f t="shared" si="10"/>
        <v>605.70000000000005</v>
      </c>
    </row>
    <row r="626" spans="1:10">
      <c r="A626" s="150" t="s">
        <v>7544</v>
      </c>
      <c r="B626">
        <v>85</v>
      </c>
      <c r="F626" s="88" t="s">
        <v>741</v>
      </c>
      <c r="G626" s="45" t="s">
        <v>742</v>
      </c>
      <c r="H626" s="7">
        <f t="shared" si="11"/>
        <v>140</v>
      </c>
      <c r="I626" s="7">
        <f t="shared" si="10"/>
        <v>22.4</v>
      </c>
    </row>
    <row r="627" spans="1:10">
      <c r="A627" s="150" t="s">
        <v>7544</v>
      </c>
      <c r="B627">
        <v>85</v>
      </c>
      <c r="F627" s="88" t="s">
        <v>739</v>
      </c>
      <c r="G627" s="45" t="s">
        <v>740</v>
      </c>
      <c r="H627" s="7">
        <f t="shared" si="11"/>
        <v>7977.8125</v>
      </c>
      <c r="I627" s="7">
        <f t="shared" si="10"/>
        <v>1276.45</v>
      </c>
    </row>
    <row r="628" spans="1:10">
      <c r="A628" s="150" t="s">
        <v>7544</v>
      </c>
      <c r="B628">
        <v>85</v>
      </c>
      <c r="F628" s="139" t="s">
        <v>6585</v>
      </c>
      <c r="G628" t="s">
        <v>5672</v>
      </c>
      <c r="H628" s="7">
        <f t="shared" si="11"/>
        <v>334.5</v>
      </c>
      <c r="I628" s="7">
        <f t="shared" si="10"/>
        <v>53.52</v>
      </c>
    </row>
    <row r="629" spans="1:10">
      <c r="A629" s="150" t="s">
        <v>7544</v>
      </c>
      <c r="B629">
        <v>85</v>
      </c>
      <c r="F629" s="88" t="s">
        <v>743</v>
      </c>
      <c r="G629" s="45" t="s">
        <v>744</v>
      </c>
      <c r="H629" s="7">
        <f t="shared" si="11"/>
        <v>52</v>
      </c>
      <c r="I629" s="7">
        <f t="shared" si="10"/>
        <v>8.32</v>
      </c>
    </row>
    <row r="630" spans="1:10">
      <c r="A630" s="150" t="s">
        <v>7544</v>
      </c>
      <c r="B630">
        <v>85</v>
      </c>
      <c r="F630" s="89" t="s">
        <v>790</v>
      </c>
      <c r="G630" t="s">
        <v>428</v>
      </c>
      <c r="H630" s="7">
        <f t="shared" si="11"/>
        <v>1852521.9374999998</v>
      </c>
      <c r="I630" s="7">
        <f t="shared" si="10"/>
        <v>296403.50999999995</v>
      </c>
    </row>
    <row r="631" spans="1:10">
      <c r="A631" s="150" t="s">
        <v>7544</v>
      </c>
      <c r="B631" s="150" t="s">
        <v>7566</v>
      </c>
      <c r="F631" s="58" t="s">
        <v>956</v>
      </c>
      <c r="G631" t="s">
        <v>957</v>
      </c>
      <c r="H631" s="7">
        <f t="shared" si="11"/>
        <v>36890.4375</v>
      </c>
      <c r="I631" s="7">
        <f t="shared" si="10"/>
        <v>5902.47</v>
      </c>
      <c r="J631">
        <v>3934.98</v>
      </c>
    </row>
    <row r="632" spans="1:10">
      <c r="A632" s="150" t="s">
        <v>7544</v>
      </c>
      <c r="B632">
        <v>85</v>
      </c>
      <c r="F632" t="s">
        <v>5637</v>
      </c>
      <c r="G632" t="s">
        <v>4786</v>
      </c>
      <c r="H632" s="7">
        <f t="shared" si="11"/>
        <v>112.0625</v>
      </c>
      <c r="I632" s="7">
        <f t="shared" si="10"/>
        <v>17.93</v>
      </c>
    </row>
    <row r="633" spans="1:10">
      <c r="A633" s="150" t="s">
        <v>7544</v>
      </c>
      <c r="B633">
        <v>85</v>
      </c>
      <c r="F633" t="s">
        <v>5430</v>
      </c>
      <c r="G633" t="s">
        <v>5675</v>
      </c>
      <c r="H633" s="7">
        <f t="shared" si="11"/>
        <v>25.874999999999996</v>
      </c>
      <c r="I633" s="7">
        <f t="shared" si="10"/>
        <v>4.1399999999999997</v>
      </c>
    </row>
    <row r="634" spans="1:10">
      <c r="A634" s="150" t="s">
        <v>7544</v>
      </c>
      <c r="B634">
        <v>85</v>
      </c>
      <c r="F634" t="s">
        <v>2221</v>
      </c>
      <c r="G634" t="s">
        <v>5676</v>
      </c>
      <c r="H634" s="7">
        <f t="shared" si="11"/>
        <v>500</v>
      </c>
      <c r="I634" s="7">
        <f t="shared" si="10"/>
        <v>80</v>
      </c>
      <c r="J634">
        <v>20</v>
      </c>
    </row>
    <row r="635" spans="1:10">
      <c r="A635" s="150" t="s">
        <v>7544</v>
      </c>
      <c r="B635">
        <v>85</v>
      </c>
      <c r="F635" t="s">
        <v>7242</v>
      </c>
      <c r="G635" t="s">
        <v>7243</v>
      </c>
      <c r="H635" s="7">
        <f t="shared" si="11"/>
        <v>93.9375</v>
      </c>
      <c r="I635" s="7">
        <f t="shared" si="10"/>
        <v>15.03</v>
      </c>
    </row>
    <row r="636" spans="1:10">
      <c r="A636" s="150" t="s">
        <v>7544</v>
      </c>
      <c r="B636">
        <v>85</v>
      </c>
      <c r="F636" t="s">
        <v>895</v>
      </c>
      <c r="G636" t="s">
        <v>5677</v>
      </c>
      <c r="H636" s="7">
        <f t="shared" si="11"/>
        <v>176.6875</v>
      </c>
      <c r="I636" s="7">
        <f t="shared" si="10"/>
        <v>28.27</v>
      </c>
    </row>
    <row r="637" spans="1:10">
      <c r="A637" s="150" t="s">
        <v>7544</v>
      </c>
      <c r="B637">
        <v>85</v>
      </c>
      <c r="F637" s="89" t="s">
        <v>7249</v>
      </c>
      <c r="G637" t="s">
        <v>7250</v>
      </c>
      <c r="H637" s="7">
        <f t="shared" si="11"/>
        <v>10.375</v>
      </c>
      <c r="I637" s="7">
        <f t="shared" si="10"/>
        <v>1.66</v>
      </c>
    </row>
    <row r="638" spans="1:10">
      <c r="A638" s="150" t="s">
        <v>7544</v>
      </c>
      <c r="B638">
        <v>85</v>
      </c>
      <c r="F638" s="85" t="s">
        <v>5673</v>
      </c>
      <c r="G638" t="s">
        <v>5674</v>
      </c>
      <c r="H638" s="7">
        <f t="shared" si="11"/>
        <v>386071.8125</v>
      </c>
      <c r="I638" s="7">
        <f t="shared" si="10"/>
        <v>61771.49</v>
      </c>
    </row>
    <row r="639" spans="1:10">
      <c r="A639" s="150" t="s">
        <v>7544</v>
      </c>
      <c r="B639">
        <v>85</v>
      </c>
      <c r="F639" s="58" t="s">
        <v>730</v>
      </c>
      <c r="G639" t="s">
        <v>476</v>
      </c>
      <c r="H639" s="7">
        <f t="shared" si="11"/>
        <v>9913.8125</v>
      </c>
      <c r="I639" s="7">
        <f t="shared" si="10"/>
        <v>1586.21</v>
      </c>
    </row>
    <row r="640" spans="1:10">
      <c r="A640" s="150" t="s">
        <v>7544</v>
      </c>
      <c r="B640">
        <v>85</v>
      </c>
      <c r="F640" s="19" t="s">
        <v>808</v>
      </c>
      <c r="G640" s="19" t="s">
        <v>5717</v>
      </c>
      <c r="H640" s="7">
        <f t="shared" si="11"/>
        <v>19673.1875</v>
      </c>
      <c r="I640" s="7">
        <f t="shared" si="10"/>
        <v>3147.71</v>
      </c>
    </row>
    <row r="641" spans="1:9">
      <c r="A641" s="150" t="s">
        <v>7544</v>
      </c>
      <c r="B641">
        <v>85</v>
      </c>
      <c r="F641" t="s">
        <v>5365</v>
      </c>
      <c r="G641" t="s">
        <v>5678</v>
      </c>
      <c r="H641" s="7">
        <f t="shared" si="11"/>
        <v>272.4375</v>
      </c>
      <c r="I641" s="7">
        <f t="shared" si="10"/>
        <v>43.59</v>
      </c>
    </row>
    <row r="642" spans="1:9">
      <c r="A642" s="150" t="s">
        <v>7544</v>
      </c>
      <c r="B642">
        <v>85</v>
      </c>
      <c r="F642" t="s">
        <v>759</v>
      </c>
      <c r="G642" t="s">
        <v>5679</v>
      </c>
      <c r="H642" s="7">
        <f t="shared" si="11"/>
        <v>155.0625</v>
      </c>
      <c r="I642" s="7">
        <f t="shared" si="10"/>
        <v>24.81</v>
      </c>
    </row>
    <row r="643" spans="1:9">
      <c r="A643" s="150" t="s">
        <v>7544</v>
      </c>
      <c r="B643">
        <v>85</v>
      </c>
      <c r="F643" s="92" t="s">
        <v>925</v>
      </c>
      <c r="G643" s="92" t="s">
        <v>926</v>
      </c>
      <c r="H643" s="7">
        <f t="shared" si="11"/>
        <v>593.0625</v>
      </c>
      <c r="I643" s="7">
        <f t="shared" si="10"/>
        <v>94.89</v>
      </c>
    </row>
    <row r="644" spans="1:9">
      <c r="A644" s="150" t="s">
        <v>7544</v>
      </c>
      <c r="B644">
        <v>85</v>
      </c>
      <c r="F644" s="58" t="s">
        <v>1551</v>
      </c>
      <c r="G644" t="s">
        <v>1436</v>
      </c>
      <c r="H644" s="7">
        <f t="shared" si="11"/>
        <v>2415.9375</v>
      </c>
      <c r="I644" s="7">
        <f t="shared" si="10"/>
        <v>386.55</v>
      </c>
    </row>
    <row r="645" spans="1:9">
      <c r="A645" s="150" t="s">
        <v>7544</v>
      </c>
      <c r="B645">
        <v>85</v>
      </c>
      <c r="F645" t="s">
        <v>5417</v>
      </c>
      <c r="G645" t="s">
        <v>5680</v>
      </c>
      <c r="H645" s="7">
        <f t="shared" si="11"/>
        <v>115.5</v>
      </c>
      <c r="I645" s="7">
        <f t="shared" si="10"/>
        <v>18.48</v>
      </c>
    </row>
    <row r="646" spans="1:9">
      <c r="A646" s="150" t="s">
        <v>7544</v>
      </c>
      <c r="B646">
        <v>85</v>
      </c>
      <c r="F646" t="s">
        <v>3218</v>
      </c>
      <c r="G646" t="s">
        <v>5681</v>
      </c>
      <c r="H646" s="7">
        <f t="shared" si="11"/>
        <v>179.25</v>
      </c>
      <c r="I646" s="7">
        <f t="shared" si="10"/>
        <v>28.68</v>
      </c>
    </row>
    <row r="647" spans="1:9">
      <c r="A647" s="150" t="s">
        <v>7544</v>
      </c>
      <c r="B647">
        <v>85</v>
      </c>
      <c r="F647" s="85" t="s">
        <v>727</v>
      </c>
      <c r="G647" t="s">
        <v>728</v>
      </c>
      <c r="H647" s="7">
        <f t="shared" si="11"/>
        <v>279762.125</v>
      </c>
      <c r="I647" s="7">
        <f t="shared" si="10"/>
        <v>44761.94</v>
      </c>
    </row>
    <row r="648" spans="1:9">
      <c r="A648" s="150" t="s">
        <v>7544</v>
      </c>
      <c r="B648">
        <v>85</v>
      </c>
      <c r="F648" s="89" t="s">
        <v>7255</v>
      </c>
      <c r="G648" t="s">
        <v>7256</v>
      </c>
      <c r="H648" s="7">
        <f t="shared" si="11"/>
        <v>3456.25</v>
      </c>
      <c r="I648" s="7">
        <f t="shared" si="10"/>
        <v>553</v>
      </c>
    </row>
    <row r="649" spans="1:9">
      <c r="A649" s="150" t="s">
        <v>7544</v>
      </c>
      <c r="B649">
        <v>85</v>
      </c>
      <c r="F649" t="s">
        <v>5329</v>
      </c>
      <c r="G649" t="s">
        <v>5682</v>
      </c>
      <c r="H649" s="7">
        <f t="shared" si="11"/>
        <v>91.375</v>
      </c>
      <c r="I649" s="7">
        <f t="shared" si="10"/>
        <v>14.62</v>
      </c>
    </row>
    <row r="650" spans="1:9">
      <c r="A650" s="150" t="s">
        <v>7544</v>
      </c>
      <c r="B650">
        <v>85</v>
      </c>
      <c r="F650" s="85" t="s">
        <v>791</v>
      </c>
      <c r="G650" t="s">
        <v>5683</v>
      </c>
      <c r="H650" s="7">
        <f t="shared" si="11"/>
        <v>430394.49999999994</v>
      </c>
      <c r="I650" s="7">
        <f t="shared" si="10"/>
        <v>68863.12</v>
      </c>
    </row>
    <row r="651" spans="1:9">
      <c r="A651" s="150" t="s">
        <v>7544</v>
      </c>
      <c r="B651">
        <v>85</v>
      </c>
      <c r="F651" s="72" t="s">
        <v>797</v>
      </c>
      <c r="G651" t="s">
        <v>2326</v>
      </c>
      <c r="H651" s="7">
        <f t="shared" si="11"/>
        <v>373028.25</v>
      </c>
      <c r="I651" s="7">
        <f t="shared" si="10"/>
        <v>59684.520000000004</v>
      </c>
    </row>
    <row r="652" spans="1:9">
      <c r="A652" s="150" t="s">
        <v>7544</v>
      </c>
      <c r="B652">
        <v>85</v>
      </c>
      <c r="F652" t="s">
        <v>7232</v>
      </c>
      <c r="G652" t="s">
        <v>7233</v>
      </c>
      <c r="H652" s="7">
        <f t="shared" si="11"/>
        <v>18.9375</v>
      </c>
      <c r="I652" s="7">
        <f t="shared" si="10"/>
        <v>3.03</v>
      </c>
    </row>
    <row r="653" spans="1:9">
      <c r="A653" s="150" t="s">
        <v>7544</v>
      </c>
      <c r="B653">
        <v>85</v>
      </c>
      <c r="F653" s="58" t="s">
        <v>5684</v>
      </c>
      <c r="G653" s="19" t="s">
        <v>5685</v>
      </c>
      <c r="H653" s="7">
        <f t="shared" si="11"/>
        <v>1110.0625</v>
      </c>
      <c r="I653" s="7">
        <f t="shared" si="10"/>
        <v>177.61</v>
      </c>
    </row>
    <row r="654" spans="1:9">
      <c r="A654" s="150" t="s">
        <v>7544</v>
      </c>
      <c r="B654">
        <v>85</v>
      </c>
      <c r="F654" s="58" t="s">
        <v>795</v>
      </c>
      <c r="G654" t="s">
        <v>638</v>
      </c>
      <c r="H654" s="7">
        <f t="shared" si="11"/>
        <v>111862.12499999999</v>
      </c>
      <c r="I654" s="7">
        <f t="shared" si="10"/>
        <v>17897.939999999999</v>
      </c>
    </row>
    <row r="655" spans="1:9">
      <c r="A655" s="150" t="s">
        <v>7544</v>
      </c>
      <c r="B655">
        <v>85</v>
      </c>
      <c r="F655" s="58" t="s">
        <v>796</v>
      </c>
      <c r="G655" t="s">
        <v>5686</v>
      </c>
      <c r="H655" s="7">
        <f t="shared" si="11"/>
        <v>51.749999999999993</v>
      </c>
      <c r="I655" s="7">
        <f t="shared" si="10"/>
        <v>8.2799999999999994</v>
      </c>
    </row>
    <row r="656" spans="1:9">
      <c r="A656" s="150" t="s">
        <v>7544</v>
      </c>
      <c r="B656">
        <v>85</v>
      </c>
      <c r="F656" s="139" t="s">
        <v>704</v>
      </c>
      <c r="G656" t="s">
        <v>576</v>
      </c>
      <c r="H656" s="7">
        <f t="shared" si="11"/>
        <v>2629.3125</v>
      </c>
      <c r="I656" s="7">
        <f t="shared" si="10"/>
        <v>420.69</v>
      </c>
    </row>
    <row r="657" spans="1:9">
      <c r="A657" s="150" t="s">
        <v>7544</v>
      </c>
      <c r="B657">
        <v>85</v>
      </c>
      <c r="F657" s="129" t="s">
        <v>7251</v>
      </c>
      <c r="G657" s="92" t="s">
        <v>7252</v>
      </c>
      <c r="H657" s="7">
        <f t="shared" si="11"/>
        <v>251.62499999999997</v>
      </c>
      <c r="I657" s="7">
        <f t="shared" si="10"/>
        <v>40.26</v>
      </c>
    </row>
    <row r="658" spans="1:9">
      <c r="A658" s="150" t="s">
        <v>7544</v>
      </c>
      <c r="B658">
        <v>85</v>
      </c>
      <c r="F658" t="s">
        <v>1561</v>
      </c>
      <c r="G658" t="s">
        <v>1188</v>
      </c>
      <c r="H658" s="7">
        <f t="shared" si="11"/>
        <v>378.875</v>
      </c>
      <c r="I658" s="7">
        <f t="shared" si="10"/>
        <v>60.620000000000005</v>
      </c>
    </row>
    <row r="659" spans="1:9">
      <c r="A659" s="150" t="s">
        <v>7544</v>
      </c>
      <c r="B659">
        <v>85</v>
      </c>
      <c r="F659" t="s">
        <v>3084</v>
      </c>
      <c r="G659" t="s">
        <v>5687</v>
      </c>
      <c r="H659" s="7">
        <f t="shared" si="11"/>
        <v>431.0625</v>
      </c>
      <c r="I659" s="7">
        <f t="shared" si="10"/>
        <v>68.97</v>
      </c>
    </row>
    <row r="660" spans="1:9">
      <c r="A660" s="150" t="s">
        <v>7544</v>
      </c>
      <c r="B660">
        <v>85</v>
      </c>
      <c r="F660" s="92" t="s">
        <v>5719</v>
      </c>
      <c r="G660" s="92" t="s">
        <v>5720</v>
      </c>
      <c r="H660" s="7">
        <f t="shared" si="11"/>
        <v>569.125</v>
      </c>
      <c r="I660" s="7">
        <f t="shared" si="10"/>
        <v>91.06</v>
      </c>
    </row>
    <row r="661" spans="1:9">
      <c r="A661" s="150" t="s">
        <v>7544</v>
      </c>
      <c r="B661">
        <v>85</v>
      </c>
      <c r="F661" s="19" t="s">
        <v>961</v>
      </c>
      <c r="G661" s="19" t="s">
        <v>962</v>
      </c>
      <c r="H661" s="7">
        <f t="shared" si="11"/>
        <v>83.875</v>
      </c>
      <c r="I661" s="7">
        <f t="shared" si="10"/>
        <v>13.42</v>
      </c>
    </row>
    <row r="662" spans="1:9">
      <c r="A662" s="150" t="s">
        <v>7544</v>
      </c>
      <c r="B662">
        <v>85</v>
      </c>
      <c r="F662" s="92" t="s">
        <v>905</v>
      </c>
      <c r="G662" s="92" t="s">
        <v>906</v>
      </c>
      <c r="H662" s="7">
        <f t="shared" si="11"/>
        <v>619.875</v>
      </c>
      <c r="I662" s="7">
        <f t="shared" si="10"/>
        <v>99.18</v>
      </c>
    </row>
    <row r="663" spans="1:9">
      <c r="A663" s="150" t="s">
        <v>7544</v>
      </c>
      <c r="B663">
        <v>85</v>
      </c>
      <c r="F663" s="92" t="s">
        <v>5394</v>
      </c>
      <c r="G663" s="92" t="s">
        <v>5688</v>
      </c>
      <c r="H663" s="7">
        <f t="shared" si="11"/>
        <v>419.37499999999994</v>
      </c>
      <c r="I663" s="7">
        <f t="shared" ref="I663:I726" si="12">+SUMIF($F$7:$F$585,F663,$I$7:$I$585)</f>
        <v>67.099999999999994</v>
      </c>
    </row>
    <row r="664" spans="1:9">
      <c r="A664" s="150" t="s">
        <v>7544</v>
      </c>
      <c r="B664">
        <v>85</v>
      </c>
      <c r="F664" t="s">
        <v>5246</v>
      </c>
      <c r="G664" t="s">
        <v>5689</v>
      </c>
      <c r="H664" s="7">
        <f t="shared" ref="H664:H727" si="13">+I664/0.16</f>
        <v>575.875</v>
      </c>
      <c r="I664" s="7">
        <f t="shared" si="12"/>
        <v>92.14</v>
      </c>
    </row>
    <row r="665" spans="1:9">
      <c r="A665" s="150" t="s">
        <v>7544</v>
      </c>
      <c r="B665">
        <v>85</v>
      </c>
      <c r="F665" t="s">
        <v>805</v>
      </c>
      <c r="G665" t="s">
        <v>2385</v>
      </c>
      <c r="H665" s="7">
        <f t="shared" si="13"/>
        <v>932.0625</v>
      </c>
      <c r="I665" s="7">
        <f t="shared" si="12"/>
        <v>149.13</v>
      </c>
    </row>
    <row r="666" spans="1:9">
      <c r="A666" s="150" t="s">
        <v>7544</v>
      </c>
      <c r="B666">
        <v>85</v>
      </c>
      <c r="F666" t="s">
        <v>804</v>
      </c>
      <c r="G666" t="s">
        <v>5691</v>
      </c>
      <c r="H666" s="7">
        <f t="shared" si="13"/>
        <v>1181.2499999999998</v>
      </c>
      <c r="I666" s="7">
        <f t="shared" si="12"/>
        <v>188.99999999999997</v>
      </c>
    </row>
    <row r="667" spans="1:9">
      <c r="A667" s="150" t="s">
        <v>7544</v>
      </c>
      <c r="B667">
        <v>85</v>
      </c>
      <c r="F667" t="s">
        <v>5354</v>
      </c>
      <c r="G667" t="s">
        <v>5692</v>
      </c>
      <c r="H667" s="7">
        <f t="shared" si="13"/>
        <v>186.24999999999997</v>
      </c>
      <c r="I667" s="7">
        <f t="shared" si="12"/>
        <v>29.799999999999997</v>
      </c>
    </row>
    <row r="668" spans="1:9">
      <c r="A668" s="150" t="s">
        <v>7544</v>
      </c>
      <c r="B668">
        <v>85</v>
      </c>
      <c r="F668" s="19" t="s">
        <v>5330</v>
      </c>
      <c r="G668" t="s">
        <v>5693</v>
      </c>
      <c r="H668" s="7">
        <f t="shared" si="13"/>
        <v>6712.1250000000018</v>
      </c>
      <c r="I668" s="7">
        <f t="shared" si="12"/>
        <v>1073.9400000000003</v>
      </c>
    </row>
    <row r="669" spans="1:9">
      <c r="A669" s="150" t="s">
        <v>7544</v>
      </c>
      <c r="B669">
        <v>85</v>
      </c>
      <c r="F669" s="58" t="s">
        <v>5642</v>
      </c>
      <c r="G669" t="s">
        <v>4864</v>
      </c>
      <c r="H669" s="7">
        <f t="shared" si="13"/>
        <v>15274</v>
      </c>
      <c r="I669" s="7">
        <f t="shared" si="12"/>
        <v>2443.84</v>
      </c>
    </row>
    <row r="670" spans="1:9">
      <c r="A670" s="150" t="s">
        <v>7544</v>
      </c>
      <c r="B670">
        <v>85</v>
      </c>
      <c r="F670" t="s">
        <v>7327</v>
      </c>
      <c r="G670" t="s">
        <v>7328</v>
      </c>
      <c r="H670" s="7">
        <f t="shared" si="13"/>
        <v>202586.1875</v>
      </c>
      <c r="I670" s="7">
        <f t="shared" si="12"/>
        <v>32413.79</v>
      </c>
    </row>
    <row r="671" spans="1:9">
      <c r="A671" s="150" t="s">
        <v>7544</v>
      </c>
      <c r="B671">
        <v>85</v>
      </c>
      <c r="F671" s="19" t="s">
        <v>5690</v>
      </c>
      <c r="G671" s="19" t="s">
        <v>5588</v>
      </c>
      <c r="H671" s="7">
        <f t="shared" si="13"/>
        <v>1000</v>
      </c>
      <c r="I671" s="7">
        <f t="shared" si="12"/>
        <v>160</v>
      </c>
    </row>
    <row r="672" spans="1:9">
      <c r="A672" s="150" t="s">
        <v>7544</v>
      </c>
      <c r="B672">
        <v>85</v>
      </c>
      <c r="F672" t="s">
        <v>807</v>
      </c>
      <c r="G672" t="s">
        <v>2493</v>
      </c>
      <c r="H672" s="7">
        <f t="shared" si="13"/>
        <v>2829.9999999999995</v>
      </c>
      <c r="I672" s="7">
        <f t="shared" si="12"/>
        <v>452.79999999999995</v>
      </c>
    </row>
    <row r="673" spans="1:9">
      <c r="A673" s="150" t="s">
        <v>7544</v>
      </c>
      <c r="B673">
        <v>85</v>
      </c>
      <c r="F673" s="61" t="s">
        <v>1570</v>
      </c>
      <c r="G673" t="s">
        <v>1476</v>
      </c>
      <c r="H673" s="7">
        <f t="shared" si="13"/>
        <v>6596.5</v>
      </c>
      <c r="I673" s="7">
        <f t="shared" si="12"/>
        <v>1055.44</v>
      </c>
    </row>
    <row r="674" spans="1:9">
      <c r="A674" s="150" t="s">
        <v>7544</v>
      </c>
      <c r="B674">
        <v>85</v>
      </c>
      <c r="F674" t="s">
        <v>5382</v>
      </c>
      <c r="G674" t="s">
        <v>5694</v>
      </c>
      <c r="H674" s="7">
        <f t="shared" si="13"/>
        <v>169.8125</v>
      </c>
      <c r="I674" s="7">
        <f t="shared" si="12"/>
        <v>27.17</v>
      </c>
    </row>
    <row r="675" spans="1:9">
      <c r="A675" s="150" t="s">
        <v>7544</v>
      </c>
      <c r="B675">
        <v>85</v>
      </c>
      <c r="F675" s="92" t="s">
        <v>5432</v>
      </c>
      <c r="G675" s="92" t="s">
        <v>5695</v>
      </c>
      <c r="H675" s="7">
        <f t="shared" si="13"/>
        <v>227.74999999999997</v>
      </c>
      <c r="I675" s="7">
        <f t="shared" si="12"/>
        <v>36.44</v>
      </c>
    </row>
    <row r="676" spans="1:9">
      <c r="A676" s="150" t="s">
        <v>7544</v>
      </c>
      <c r="B676">
        <v>85</v>
      </c>
      <c r="F676" t="s">
        <v>2729</v>
      </c>
      <c r="G676" t="s">
        <v>5696</v>
      </c>
      <c r="H676" s="7">
        <f t="shared" si="13"/>
        <v>97.4375</v>
      </c>
      <c r="I676" s="7">
        <f t="shared" si="12"/>
        <v>15.59</v>
      </c>
    </row>
    <row r="677" spans="1:9">
      <c r="A677" s="150" t="s">
        <v>7544</v>
      </c>
      <c r="B677">
        <v>85</v>
      </c>
      <c r="F677" s="58" t="s">
        <v>815</v>
      </c>
      <c r="G677" t="s">
        <v>446</v>
      </c>
      <c r="H677" s="7">
        <f t="shared" si="13"/>
        <v>6372.1875</v>
      </c>
      <c r="I677" s="7">
        <f t="shared" si="12"/>
        <v>1019.5500000000001</v>
      </c>
    </row>
    <row r="678" spans="1:9">
      <c r="A678" s="150" t="s">
        <v>7544</v>
      </c>
      <c r="B678">
        <v>85</v>
      </c>
      <c r="F678" s="58" t="s">
        <v>3898</v>
      </c>
      <c r="G678" s="19" t="s">
        <v>7261</v>
      </c>
      <c r="H678" s="7">
        <f t="shared" si="13"/>
        <v>76.75</v>
      </c>
      <c r="I678" s="7">
        <f t="shared" si="12"/>
        <v>12.28</v>
      </c>
    </row>
    <row r="679" spans="1:9">
      <c r="A679" s="150" t="s">
        <v>7544</v>
      </c>
      <c r="B679">
        <v>85</v>
      </c>
      <c r="F679" s="92" t="s">
        <v>5383</v>
      </c>
      <c r="G679" s="92" t="s">
        <v>2764</v>
      </c>
      <c r="H679" s="7">
        <f t="shared" si="13"/>
        <v>729.75</v>
      </c>
      <c r="I679" s="7">
        <f t="shared" si="12"/>
        <v>116.76</v>
      </c>
    </row>
    <row r="680" spans="1:9">
      <c r="A680" s="150" t="s">
        <v>7544</v>
      </c>
      <c r="B680">
        <v>85</v>
      </c>
      <c r="F680" t="s">
        <v>5331</v>
      </c>
      <c r="G680" t="s">
        <v>5697</v>
      </c>
      <c r="H680" s="7">
        <f t="shared" si="13"/>
        <v>263.8125</v>
      </c>
      <c r="I680" s="7">
        <f t="shared" si="12"/>
        <v>42.21</v>
      </c>
    </row>
    <row r="681" spans="1:9">
      <c r="A681" s="150" t="s">
        <v>7544</v>
      </c>
      <c r="B681">
        <v>85</v>
      </c>
      <c r="F681" s="92" t="s">
        <v>4425</v>
      </c>
      <c r="G681" s="92" t="s">
        <v>5698</v>
      </c>
      <c r="H681" s="7">
        <f t="shared" si="13"/>
        <v>593.0625</v>
      </c>
      <c r="I681" s="7">
        <f t="shared" si="12"/>
        <v>94.89</v>
      </c>
    </row>
    <row r="682" spans="1:9">
      <c r="A682" s="150" t="s">
        <v>7544</v>
      </c>
      <c r="B682">
        <v>85</v>
      </c>
      <c r="F682" t="s">
        <v>764</v>
      </c>
      <c r="G682" t="s">
        <v>765</v>
      </c>
      <c r="H682" s="7">
        <f t="shared" si="13"/>
        <v>557.0625</v>
      </c>
      <c r="I682" s="7">
        <f t="shared" si="12"/>
        <v>89.13</v>
      </c>
    </row>
    <row r="683" spans="1:9">
      <c r="A683" s="150" t="s">
        <v>7544</v>
      </c>
      <c r="B683">
        <v>85</v>
      </c>
      <c r="F683" s="89" t="s">
        <v>811</v>
      </c>
      <c r="G683" t="s">
        <v>812</v>
      </c>
      <c r="H683" s="7">
        <f t="shared" si="13"/>
        <v>7070.6874999999991</v>
      </c>
      <c r="I683" s="7">
        <f t="shared" si="12"/>
        <v>1131.31</v>
      </c>
    </row>
    <row r="684" spans="1:9">
      <c r="A684" s="150" t="s">
        <v>7544</v>
      </c>
      <c r="B684">
        <v>85</v>
      </c>
      <c r="F684" s="19" t="s">
        <v>722</v>
      </c>
      <c r="G684" s="19" t="s">
        <v>5437</v>
      </c>
      <c r="H684" s="7">
        <f t="shared" si="13"/>
        <v>379.3125</v>
      </c>
      <c r="I684" s="7">
        <f t="shared" si="12"/>
        <v>60.69</v>
      </c>
    </row>
    <row r="685" spans="1:9">
      <c r="A685" s="150" t="s">
        <v>7544</v>
      </c>
      <c r="B685">
        <v>85</v>
      </c>
      <c r="F685" s="92" t="s">
        <v>5357</v>
      </c>
      <c r="G685" s="92" t="s">
        <v>5700</v>
      </c>
      <c r="H685" s="7">
        <f t="shared" si="13"/>
        <v>251.68750000000003</v>
      </c>
      <c r="I685" s="7">
        <f t="shared" si="12"/>
        <v>40.270000000000003</v>
      </c>
    </row>
    <row r="686" spans="1:9">
      <c r="A686" s="150" t="s">
        <v>7544</v>
      </c>
      <c r="B686">
        <v>85</v>
      </c>
      <c r="F686" t="s">
        <v>5402</v>
      </c>
      <c r="G686" t="s">
        <v>5701</v>
      </c>
      <c r="H686" s="7">
        <f t="shared" si="13"/>
        <v>100</v>
      </c>
      <c r="I686" s="7">
        <f t="shared" si="12"/>
        <v>16</v>
      </c>
    </row>
    <row r="687" spans="1:9">
      <c r="A687" s="150" t="s">
        <v>7544</v>
      </c>
      <c r="B687">
        <v>85</v>
      </c>
      <c r="F687" t="s">
        <v>5411</v>
      </c>
      <c r="G687" t="s">
        <v>5702</v>
      </c>
      <c r="H687" s="7">
        <f t="shared" si="13"/>
        <v>78.4375</v>
      </c>
      <c r="I687" s="7">
        <f t="shared" si="12"/>
        <v>12.55</v>
      </c>
    </row>
    <row r="688" spans="1:9">
      <c r="A688" s="150" t="s">
        <v>7544</v>
      </c>
      <c r="B688">
        <v>85</v>
      </c>
      <c r="F688" t="s">
        <v>1626</v>
      </c>
      <c r="G688" t="s">
        <v>1627</v>
      </c>
      <c r="H688" s="7">
        <f t="shared" si="13"/>
        <v>167.75</v>
      </c>
      <c r="I688" s="7">
        <f t="shared" si="12"/>
        <v>26.84</v>
      </c>
    </row>
    <row r="689" spans="1:11">
      <c r="A689" s="150" t="s">
        <v>7544</v>
      </c>
      <c r="B689">
        <v>85</v>
      </c>
      <c r="F689" s="92" t="s">
        <v>5433</v>
      </c>
      <c r="G689" s="92" t="s">
        <v>5703</v>
      </c>
      <c r="H689" s="7">
        <f t="shared" si="13"/>
        <v>500.81249999999994</v>
      </c>
      <c r="I689" s="7">
        <f t="shared" si="12"/>
        <v>80.13</v>
      </c>
    </row>
    <row r="690" spans="1:11">
      <c r="A690" s="150" t="s">
        <v>7544</v>
      </c>
      <c r="B690">
        <v>85</v>
      </c>
      <c r="F690" s="19" t="s">
        <v>2755</v>
      </c>
      <c r="G690" s="19" t="s">
        <v>7234</v>
      </c>
      <c r="H690" s="7">
        <f t="shared" si="13"/>
        <v>245.6875</v>
      </c>
      <c r="I690" s="7">
        <f t="shared" si="12"/>
        <v>39.31</v>
      </c>
    </row>
    <row r="691" spans="1:11">
      <c r="A691" s="150" t="s">
        <v>7544</v>
      </c>
      <c r="B691">
        <v>85</v>
      </c>
      <c r="F691" t="s">
        <v>806</v>
      </c>
      <c r="G691" t="s">
        <v>503</v>
      </c>
      <c r="H691" s="7">
        <f t="shared" si="13"/>
        <v>57216.875</v>
      </c>
      <c r="I691" s="7">
        <f t="shared" si="12"/>
        <v>9154.7000000000007</v>
      </c>
    </row>
    <row r="692" spans="1:11">
      <c r="A692" s="150" t="s">
        <v>7544</v>
      </c>
      <c r="B692">
        <v>85</v>
      </c>
      <c r="F692" s="58" t="s">
        <v>820</v>
      </c>
      <c r="G692" t="s">
        <v>5704</v>
      </c>
      <c r="H692" s="7">
        <f t="shared" si="13"/>
        <v>254.6875</v>
      </c>
      <c r="I692" s="7">
        <f t="shared" si="12"/>
        <v>40.75</v>
      </c>
    </row>
    <row r="693" spans="1:11">
      <c r="A693" s="150" t="s">
        <v>7544</v>
      </c>
      <c r="B693">
        <v>85</v>
      </c>
      <c r="F693" t="s">
        <v>911</v>
      </c>
      <c r="G693" t="s">
        <v>5705</v>
      </c>
      <c r="H693" s="7">
        <f t="shared" si="13"/>
        <v>172.43749999999997</v>
      </c>
      <c r="I693" s="7">
        <f t="shared" si="12"/>
        <v>27.589999999999996</v>
      </c>
    </row>
    <row r="694" spans="1:11">
      <c r="A694" s="150" t="s">
        <v>7544</v>
      </c>
      <c r="B694">
        <v>85</v>
      </c>
      <c r="F694" t="s">
        <v>5395</v>
      </c>
      <c r="G694" t="s">
        <v>5706</v>
      </c>
      <c r="H694" s="7">
        <f t="shared" si="13"/>
        <v>106</v>
      </c>
      <c r="I694" s="7">
        <f t="shared" si="12"/>
        <v>16.96</v>
      </c>
    </row>
    <row r="695" spans="1:11">
      <c r="A695" s="150" t="s">
        <v>7544</v>
      </c>
      <c r="B695">
        <v>85</v>
      </c>
      <c r="F695" s="58" t="s">
        <v>823</v>
      </c>
      <c r="G695" t="s">
        <v>455</v>
      </c>
      <c r="H695" s="7">
        <f t="shared" si="13"/>
        <v>17309.3125</v>
      </c>
      <c r="I695" s="7">
        <f t="shared" si="12"/>
        <v>2769.49</v>
      </c>
    </row>
    <row r="696" spans="1:11">
      <c r="A696" s="150" t="s">
        <v>7544</v>
      </c>
      <c r="B696">
        <v>85</v>
      </c>
      <c r="F696" t="s">
        <v>821</v>
      </c>
      <c r="G696" t="s">
        <v>5707</v>
      </c>
      <c r="H696" s="7">
        <f t="shared" si="13"/>
        <v>1034.4999999999998</v>
      </c>
      <c r="I696" s="7">
        <f t="shared" si="12"/>
        <v>165.51999999999998</v>
      </c>
    </row>
    <row r="697" spans="1:11">
      <c r="A697" s="150" t="s">
        <v>7544</v>
      </c>
      <c r="B697">
        <v>85</v>
      </c>
      <c r="F697" s="19" t="s">
        <v>716</v>
      </c>
      <c r="G697" s="19" t="s">
        <v>717</v>
      </c>
      <c r="H697" s="7">
        <f t="shared" si="13"/>
        <v>9450</v>
      </c>
      <c r="I697" s="7">
        <f t="shared" si="12"/>
        <v>1512</v>
      </c>
    </row>
    <row r="698" spans="1:11">
      <c r="A698" s="150" t="s">
        <v>7544</v>
      </c>
      <c r="B698">
        <v>85</v>
      </c>
      <c r="F698" s="19" t="s">
        <v>1536</v>
      </c>
      <c r="G698" s="19" t="s">
        <v>1537</v>
      </c>
      <c r="H698" s="7">
        <f t="shared" si="13"/>
        <v>120.68749999999999</v>
      </c>
      <c r="I698" s="7">
        <f t="shared" si="12"/>
        <v>19.309999999999999</v>
      </c>
    </row>
    <row r="699" spans="1:11">
      <c r="A699" s="150" t="s">
        <v>7544</v>
      </c>
      <c r="B699">
        <v>85</v>
      </c>
      <c r="F699" s="90" t="s">
        <v>822</v>
      </c>
      <c r="G699" s="19" t="s">
        <v>5721</v>
      </c>
      <c r="H699" s="7">
        <f t="shared" si="13"/>
        <v>227</v>
      </c>
      <c r="I699" s="7">
        <f t="shared" si="12"/>
        <v>36.32</v>
      </c>
      <c r="J699">
        <f>3.92*2+1.24</f>
        <v>9.08</v>
      </c>
      <c r="K699">
        <f>+H699*0.04</f>
        <v>9.08</v>
      </c>
    </row>
    <row r="700" spans="1:11">
      <c r="A700" s="150" t="s">
        <v>7544</v>
      </c>
      <c r="B700">
        <v>85</v>
      </c>
      <c r="F700" t="s">
        <v>5418</v>
      </c>
      <c r="G700" t="s">
        <v>5708</v>
      </c>
      <c r="H700" s="7">
        <f t="shared" si="13"/>
        <v>210.0625</v>
      </c>
      <c r="I700" s="7">
        <f t="shared" si="12"/>
        <v>33.61</v>
      </c>
    </row>
    <row r="701" spans="1:11">
      <c r="A701" s="150" t="s">
        <v>7544</v>
      </c>
      <c r="B701">
        <v>85</v>
      </c>
      <c r="F701" s="58" t="s">
        <v>827</v>
      </c>
      <c r="G701" t="s">
        <v>650</v>
      </c>
      <c r="H701" s="7">
        <f t="shared" si="13"/>
        <v>1309</v>
      </c>
      <c r="I701" s="7">
        <f t="shared" si="12"/>
        <v>209.44</v>
      </c>
    </row>
    <row r="702" spans="1:11">
      <c r="A702" s="150" t="s">
        <v>7544</v>
      </c>
      <c r="B702">
        <v>85</v>
      </c>
      <c r="F702" t="s">
        <v>5412</v>
      </c>
      <c r="G702" t="s">
        <v>5709</v>
      </c>
      <c r="H702" s="7">
        <f t="shared" si="13"/>
        <v>101.75</v>
      </c>
      <c r="I702" s="7">
        <f t="shared" si="12"/>
        <v>16.28</v>
      </c>
    </row>
    <row r="703" spans="1:11">
      <c r="A703" s="150" t="s">
        <v>7544</v>
      </c>
      <c r="B703">
        <v>85</v>
      </c>
      <c r="F703" s="17" t="s">
        <v>828</v>
      </c>
      <c r="G703" t="s">
        <v>518</v>
      </c>
      <c r="H703" s="7">
        <f t="shared" si="13"/>
        <v>2715.1875</v>
      </c>
      <c r="I703" s="7">
        <f t="shared" si="12"/>
        <v>434.43</v>
      </c>
    </row>
    <row r="704" spans="1:11">
      <c r="A704" s="150" t="s">
        <v>7544</v>
      </c>
      <c r="B704">
        <v>85</v>
      </c>
      <c r="F704" t="s">
        <v>4472</v>
      </c>
      <c r="G704" t="s">
        <v>7237</v>
      </c>
      <c r="H704" s="7">
        <f t="shared" si="13"/>
        <v>525.875</v>
      </c>
      <c r="I704" s="7">
        <f t="shared" si="12"/>
        <v>84.14</v>
      </c>
    </row>
    <row r="705" spans="1:10">
      <c r="A705" s="150" t="s">
        <v>7544</v>
      </c>
      <c r="B705">
        <v>85</v>
      </c>
      <c r="F705" t="s">
        <v>5332</v>
      </c>
      <c r="G705" t="s">
        <v>5710</v>
      </c>
      <c r="H705" s="7">
        <f t="shared" si="13"/>
        <v>181.0625</v>
      </c>
      <c r="I705" s="7">
        <f t="shared" si="12"/>
        <v>28.97</v>
      </c>
    </row>
    <row r="706" spans="1:10">
      <c r="A706" s="150" t="s">
        <v>7544</v>
      </c>
      <c r="B706">
        <v>85</v>
      </c>
      <c r="F706" t="s">
        <v>5358</v>
      </c>
      <c r="G706" t="s">
        <v>5711</v>
      </c>
      <c r="H706" s="7">
        <f t="shared" si="13"/>
        <v>140</v>
      </c>
      <c r="I706" s="7">
        <f t="shared" si="12"/>
        <v>22.4</v>
      </c>
    </row>
    <row r="707" spans="1:10">
      <c r="A707" s="150" t="s">
        <v>7544</v>
      </c>
      <c r="B707">
        <v>85</v>
      </c>
      <c r="F707" s="58" t="s">
        <v>836</v>
      </c>
      <c r="G707" t="s">
        <v>472</v>
      </c>
      <c r="H707" s="7">
        <f t="shared" si="13"/>
        <v>6430</v>
      </c>
      <c r="I707" s="7">
        <f t="shared" si="12"/>
        <v>1028.8</v>
      </c>
    </row>
    <row r="708" spans="1:10">
      <c r="A708" s="150" t="s">
        <v>7544</v>
      </c>
      <c r="B708" s="150" t="s">
        <v>7566</v>
      </c>
      <c r="F708" s="19" t="s">
        <v>829</v>
      </c>
      <c r="G708" s="19" t="s">
        <v>529</v>
      </c>
      <c r="H708" s="7">
        <f t="shared" si="13"/>
        <v>133928.5625</v>
      </c>
      <c r="I708" s="7">
        <f t="shared" si="12"/>
        <v>21428.57</v>
      </c>
      <c r="J708">
        <v>14285.71</v>
      </c>
    </row>
    <row r="709" spans="1:10">
      <c r="A709" s="150" t="s">
        <v>7544</v>
      </c>
      <c r="B709">
        <v>85</v>
      </c>
      <c r="F709" s="89" t="s">
        <v>7238</v>
      </c>
      <c r="G709" t="s">
        <v>7239</v>
      </c>
      <c r="H709" s="7">
        <f t="shared" si="13"/>
        <v>13034.5</v>
      </c>
      <c r="I709" s="7">
        <f t="shared" si="12"/>
        <v>2085.52</v>
      </c>
    </row>
    <row r="710" spans="1:10">
      <c r="A710" s="150" t="s">
        <v>7544</v>
      </c>
      <c r="B710">
        <v>85</v>
      </c>
      <c r="F710" s="58" t="s">
        <v>2214</v>
      </c>
      <c r="G710" t="s">
        <v>2069</v>
      </c>
      <c r="H710" s="7">
        <f t="shared" si="13"/>
        <v>13471.5</v>
      </c>
      <c r="I710" s="7">
        <f t="shared" si="12"/>
        <v>2155.44</v>
      </c>
    </row>
    <row r="711" spans="1:10">
      <c r="A711" s="150" t="s">
        <v>7544</v>
      </c>
      <c r="B711">
        <v>85</v>
      </c>
      <c r="F711" s="19" t="s">
        <v>834</v>
      </c>
      <c r="G711" s="19" t="s">
        <v>520</v>
      </c>
      <c r="H711" s="7">
        <f t="shared" si="13"/>
        <v>25862.0625</v>
      </c>
      <c r="I711" s="7">
        <f t="shared" si="12"/>
        <v>4137.93</v>
      </c>
    </row>
    <row r="712" spans="1:10">
      <c r="A712" s="150" t="s">
        <v>7544</v>
      </c>
      <c r="B712">
        <v>85</v>
      </c>
      <c r="F712" t="s">
        <v>939</v>
      </c>
      <c r="G712" t="s">
        <v>940</v>
      </c>
      <c r="H712" s="7">
        <f t="shared" si="13"/>
        <v>172.37499999999997</v>
      </c>
      <c r="I712" s="7">
        <f t="shared" si="12"/>
        <v>27.58</v>
      </c>
    </row>
    <row r="713" spans="1:10">
      <c r="A713" s="150" t="s">
        <v>7544</v>
      </c>
      <c r="B713">
        <v>85</v>
      </c>
      <c r="F713" t="s">
        <v>700</v>
      </c>
      <c r="G713" t="s">
        <v>5731</v>
      </c>
      <c r="H713" s="7">
        <f t="shared" si="13"/>
        <v>423.87500000000006</v>
      </c>
      <c r="I713" s="7">
        <f t="shared" si="12"/>
        <v>67.820000000000007</v>
      </c>
    </row>
    <row r="714" spans="1:10">
      <c r="A714" s="150" t="s">
        <v>7544</v>
      </c>
      <c r="B714">
        <v>85</v>
      </c>
      <c r="F714" s="17" t="s">
        <v>5282</v>
      </c>
      <c r="G714" t="s">
        <v>5732</v>
      </c>
      <c r="H714" s="7">
        <f t="shared" si="13"/>
        <v>681.0625</v>
      </c>
      <c r="I714" s="7">
        <f t="shared" si="12"/>
        <v>108.97</v>
      </c>
    </row>
    <row r="715" spans="1:10">
      <c r="A715" s="150" t="s">
        <v>7544</v>
      </c>
      <c r="B715">
        <v>85</v>
      </c>
      <c r="F715" t="s">
        <v>766</v>
      </c>
      <c r="G715" t="s">
        <v>767</v>
      </c>
      <c r="H715" s="7">
        <f t="shared" si="13"/>
        <v>336.25</v>
      </c>
      <c r="I715" s="7">
        <f t="shared" si="12"/>
        <v>53.8</v>
      </c>
    </row>
    <row r="716" spans="1:10">
      <c r="A716" s="150" t="s">
        <v>7544</v>
      </c>
      <c r="B716">
        <v>85</v>
      </c>
      <c r="F716" s="58" t="s">
        <v>1589</v>
      </c>
      <c r="G716" t="s">
        <v>1341</v>
      </c>
      <c r="H716" s="7">
        <f t="shared" si="13"/>
        <v>1720</v>
      </c>
      <c r="I716" s="7">
        <f t="shared" si="12"/>
        <v>275.2</v>
      </c>
    </row>
    <row r="717" spans="1:10">
      <c r="A717" s="150" t="s">
        <v>7544</v>
      </c>
      <c r="B717">
        <v>85</v>
      </c>
      <c r="F717" t="s">
        <v>5722</v>
      </c>
      <c r="G717" t="s">
        <v>5723</v>
      </c>
      <c r="H717" s="7">
        <f t="shared" si="13"/>
        <v>125</v>
      </c>
      <c r="I717" s="7">
        <f t="shared" si="12"/>
        <v>20</v>
      </c>
    </row>
    <row r="718" spans="1:10">
      <c r="A718" s="150" t="s">
        <v>7544</v>
      </c>
      <c r="B718">
        <v>85</v>
      </c>
      <c r="F718" s="19" t="s">
        <v>2736</v>
      </c>
      <c r="G718" s="25" t="s">
        <v>2737</v>
      </c>
      <c r="H718" s="7">
        <f t="shared" si="13"/>
        <v>500.875</v>
      </c>
      <c r="I718" s="7">
        <f t="shared" si="12"/>
        <v>80.14</v>
      </c>
    </row>
    <row r="719" spans="1:10">
      <c r="A719" s="150" t="s">
        <v>7544</v>
      </c>
      <c r="B719">
        <v>85</v>
      </c>
      <c r="F719" s="58" t="s">
        <v>838</v>
      </c>
      <c r="G719" t="s">
        <v>467</v>
      </c>
      <c r="H719" s="7">
        <f t="shared" si="13"/>
        <v>4714.625</v>
      </c>
      <c r="I719" s="7">
        <f t="shared" si="12"/>
        <v>754.34</v>
      </c>
    </row>
    <row r="720" spans="1:10">
      <c r="A720" s="150" t="s">
        <v>7544</v>
      </c>
      <c r="B720">
        <v>85</v>
      </c>
      <c r="F720" t="s">
        <v>5318</v>
      </c>
      <c r="G720" t="s">
        <v>5733</v>
      </c>
      <c r="H720" s="7">
        <f t="shared" si="13"/>
        <v>130</v>
      </c>
      <c r="I720" s="7">
        <f t="shared" si="12"/>
        <v>20.8</v>
      </c>
    </row>
    <row r="721" spans="1:10">
      <c r="A721" s="150" t="s">
        <v>7544</v>
      </c>
      <c r="B721">
        <v>85</v>
      </c>
      <c r="F721" t="s">
        <v>1636</v>
      </c>
      <c r="G721" t="s">
        <v>1637</v>
      </c>
      <c r="H721" s="7">
        <f t="shared" si="13"/>
        <v>103.4375</v>
      </c>
      <c r="I721" s="7">
        <f t="shared" si="12"/>
        <v>16.55</v>
      </c>
    </row>
    <row r="722" spans="1:10">
      <c r="A722" s="150" t="s">
        <v>7544</v>
      </c>
      <c r="B722">
        <v>85</v>
      </c>
      <c r="F722" t="s">
        <v>841</v>
      </c>
      <c r="G722" t="s">
        <v>544</v>
      </c>
      <c r="H722" s="7">
        <f t="shared" si="13"/>
        <v>4223.25</v>
      </c>
      <c r="I722" s="7">
        <f t="shared" si="12"/>
        <v>675.72</v>
      </c>
    </row>
    <row r="723" spans="1:10">
      <c r="A723" s="150" t="s">
        <v>7544</v>
      </c>
      <c r="B723">
        <v>85</v>
      </c>
      <c r="F723" t="s">
        <v>837</v>
      </c>
      <c r="G723" t="s">
        <v>5734</v>
      </c>
      <c r="H723" s="7">
        <f t="shared" si="13"/>
        <v>896.25</v>
      </c>
      <c r="I723" s="7">
        <f t="shared" si="12"/>
        <v>143.4</v>
      </c>
    </row>
    <row r="724" spans="1:10">
      <c r="A724" s="150" t="s">
        <v>7544</v>
      </c>
      <c r="B724">
        <v>85</v>
      </c>
      <c r="F724" s="92" t="s">
        <v>7240</v>
      </c>
      <c r="G724" s="92" t="s">
        <v>7241</v>
      </c>
      <c r="H724" s="7">
        <f t="shared" si="13"/>
        <v>209.93750000000003</v>
      </c>
      <c r="I724" s="7">
        <f t="shared" si="12"/>
        <v>33.590000000000003</v>
      </c>
    </row>
    <row r="725" spans="1:10">
      <c r="A725" s="150" t="s">
        <v>7544</v>
      </c>
      <c r="B725">
        <v>85</v>
      </c>
      <c r="F725" s="58" t="s">
        <v>1588</v>
      </c>
      <c r="G725" t="s">
        <v>1349</v>
      </c>
      <c r="H725" s="7">
        <f t="shared" si="13"/>
        <v>9500</v>
      </c>
      <c r="I725" s="7">
        <f t="shared" si="12"/>
        <v>1520</v>
      </c>
    </row>
    <row r="726" spans="1:10">
      <c r="A726" s="150" t="s">
        <v>7544</v>
      </c>
      <c r="B726">
        <v>85</v>
      </c>
      <c r="F726" t="s">
        <v>768</v>
      </c>
      <c r="G726" t="s">
        <v>283</v>
      </c>
      <c r="H726" s="7">
        <f t="shared" si="13"/>
        <v>176.4375</v>
      </c>
      <c r="I726" s="7">
        <f t="shared" si="12"/>
        <v>28.23</v>
      </c>
    </row>
    <row r="727" spans="1:10">
      <c r="A727" s="150" t="s">
        <v>7544</v>
      </c>
      <c r="B727">
        <v>85</v>
      </c>
      <c r="F727" t="s">
        <v>963</v>
      </c>
      <c r="G727" t="s">
        <v>5140</v>
      </c>
      <c r="H727" s="7">
        <f t="shared" si="13"/>
        <v>206605.24999999997</v>
      </c>
      <c r="I727" s="7">
        <f t="shared" ref="I727:I790" si="14">+SUMIF($F$7:$F$585,F727,$I$7:$I$585)</f>
        <v>33056.839999999997</v>
      </c>
    </row>
    <row r="728" spans="1:10">
      <c r="A728" s="150" t="s">
        <v>7544</v>
      </c>
      <c r="B728">
        <v>85</v>
      </c>
      <c r="F728" s="19" t="s">
        <v>5315</v>
      </c>
      <c r="G728" s="19" t="s">
        <v>5735</v>
      </c>
      <c r="H728" s="7">
        <f t="shared" ref="H728:H791" si="15">+I728/0.16</f>
        <v>310.1875</v>
      </c>
      <c r="I728" s="7">
        <f t="shared" si="14"/>
        <v>49.63</v>
      </c>
    </row>
    <row r="729" spans="1:10">
      <c r="A729" s="150" t="s">
        <v>7544</v>
      </c>
      <c r="B729">
        <v>85</v>
      </c>
      <c r="F729" s="58" t="s">
        <v>843</v>
      </c>
      <c r="G729" t="s">
        <v>470</v>
      </c>
      <c r="H729" s="7">
        <f t="shared" si="15"/>
        <v>3769.1875000000005</v>
      </c>
      <c r="I729" s="7">
        <f t="shared" si="14"/>
        <v>603.07000000000005</v>
      </c>
    </row>
    <row r="730" spans="1:10">
      <c r="A730" s="150" t="s">
        <v>7544</v>
      </c>
      <c r="B730">
        <v>85</v>
      </c>
      <c r="F730" s="58" t="s">
        <v>844</v>
      </c>
      <c r="G730" t="s">
        <v>665</v>
      </c>
      <c r="H730" s="7">
        <f t="shared" si="15"/>
        <v>5200</v>
      </c>
      <c r="I730" s="7">
        <f t="shared" si="14"/>
        <v>832</v>
      </c>
    </row>
    <row r="731" spans="1:10">
      <c r="A731" s="150" t="s">
        <v>7544</v>
      </c>
      <c r="B731">
        <v>85</v>
      </c>
      <c r="F731" s="92" t="s">
        <v>3232</v>
      </c>
      <c r="G731" s="92" t="s">
        <v>5736</v>
      </c>
      <c r="H731" s="7">
        <f t="shared" si="15"/>
        <v>503.4375</v>
      </c>
      <c r="I731" s="7">
        <f t="shared" si="14"/>
        <v>80.55</v>
      </c>
    </row>
    <row r="732" spans="1:10">
      <c r="A732" s="150" t="s">
        <v>7544</v>
      </c>
      <c r="B732">
        <v>85</v>
      </c>
      <c r="F732" t="s">
        <v>6093</v>
      </c>
      <c r="G732" t="s">
        <v>5737</v>
      </c>
      <c r="H732" s="7">
        <f t="shared" si="15"/>
        <v>49.125</v>
      </c>
      <c r="I732" s="7">
        <f t="shared" si="14"/>
        <v>7.86</v>
      </c>
    </row>
    <row r="733" spans="1:10">
      <c r="A733" s="150" t="s">
        <v>7544</v>
      </c>
      <c r="B733" s="150" t="s">
        <v>7566</v>
      </c>
      <c r="F733" s="19" t="s">
        <v>845</v>
      </c>
      <c r="G733" s="19" t="s">
        <v>532</v>
      </c>
      <c r="H733" s="7">
        <f t="shared" si="15"/>
        <v>133928.5625</v>
      </c>
      <c r="I733" s="7">
        <f t="shared" si="14"/>
        <v>21428.57</v>
      </c>
      <c r="J733">
        <v>14285.71</v>
      </c>
    </row>
    <row r="734" spans="1:10">
      <c r="A734" s="150" t="s">
        <v>7544</v>
      </c>
      <c r="B734">
        <v>85</v>
      </c>
      <c r="F734" s="19" t="s">
        <v>1534</v>
      </c>
      <c r="G734" s="19" t="s">
        <v>1535</v>
      </c>
      <c r="H734" s="7">
        <f t="shared" si="15"/>
        <v>373.25</v>
      </c>
      <c r="I734" s="7">
        <f t="shared" si="14"/>
        <v>59.72</v>
      </c>
    </row>
    <row r="735" spans="1:10">
      <c r="A735" s="150" t="s">
        <v>7544</v>
      </c>
      <c r="B735">
        <v>85</v>
      </c>
      <c r="F735" t="s">
        <v>847</v>
      </c>
      <c r="G735" t="s">
        <v>5738</v>
      </c>
      <c r="H735" s="7">
        <f t="shared" si="15"/>
        <v>510.31249999999994</v>
      </c>
      <c r="I735" s="7">
        <f t="shared" si="14"/>
        <v>81.649999999999991</v>
      </c>
    </row>
    <row r="736" spans="1:10">
      <c r="A736" s="150" t="s">
        <v>7544</v>
      </c>
      <c r="B736">
        <v>85</v>
      </c>
      <c r="F736" s="85" t="s">
        <v>965</v>
      </c>
      <c r="G736" t="s">
        <v>5724</v>
      </c>
      <c r="H736" s="7">
        <f t="shared" si="15"/>
        <v>186526.875</v>
      </c>
      <c r="I736" s="7">
        <f t="shared" si="14"/>
        <v>29844.3</v>
      </c>
    </row>
    <row r="737" spans="1:9">
      <c r="A737" s="150" t="s">
        <v>7544</v>
      </c>
      <c r="B737">
        <v>85</v>
      </c>
      <c r="F737" s="19" t="s">
        <v>3689</v>
      </c>
      <c r="G737" s="19" t="s">
        <v>6294</v>
      </c>
      <c r="H737" s="7">
        <f t="shared" si="15"/>
        <v>129.3125</v>
      </c>
      <c r="I737" s="7">
        <f t="shared" si="14"/>
        <v>20.69</v>
      </c>
    </row>
    <row r="738" spans="1:9">
      <c r="A738" s="150" t="s">
        <v>7544</v>
      </c>
      <c r="B738">
        <v>85</v>
      </c>
      <c r="F738" t="s">
        <v>769</v>
      </c>
      <c r="G738" t="s">
        <v>645</v>
      </c>
      <c r="H738" s="7">
        <f t="shared" si="15"/>
        <v>8673.5</v>
      </c>
      <c r="I738" s="7">
        <f t="shared" si="14"/>
        <v>1387.76</v>
      </c>
    </row>
    <row r="739" spans="1:9">
      <c r="A739" s="150" t="s">
        <v>7544</v>
      </c>
      <c r="B739">
        <v>85</v>
      </c>
      <c r="F739" t="s">
        <v>4935</v>
      </c>
      <c r="G739" t="s">
        <v>5739</v>
      </c>
      <c r="H739" s="7">
        <f t="shared" si="15"/>
        <v>280.1875</v>
      </c>
      <c r="I739" s="7">
        <f t="shared" si="14"/>
        <v>44.83</v>
      </c>
    </row>
    <row r="740" spans="1:9">
      <c r="A740" s="150" t="s">
        <v>7544</v>
      </c>
      <c r="B740">
        <v>85</v>
      </c>
      <c r="F740" t="s">
        <v>7230</v>
      </c>
      <c r="G740" t="s">
        <v>7231</v>
      </c>
      <c r="H740" s="7">
        <f t="shared" si="15"/>
        <v>650</v>
      </c>
      <c r="I740" s="7">
        <f t="shared" si="14"/>
        <v>104</v>
      </c>
    </row>
    <row r="741" spans="1:9">
      <c r="A741" s="150" t="s">
        <v>7544</v>
      </c>
      <c r="B741">
        <v>85</v>
      </c>
      <c r="F741" t="s">
        <v>2765</v>
      </c>
      <c r="G741" t="s">
        <v>2766</v>
      </c>
      <c r="H741" s="7">
        <f t="shared" si="15"/>
        <v>1268</v>
      </c>
      <c r="I741" s="7">
        <f t="shared" si="14"/>
        <v>202.88</v>
      </c>
    </row>
    <row r="742" spans="1:9">
      <c r="A742" s="150" t="s">
        <v>7544</v>
      </c>
      <c r="B742">
        <v>85</v>
      </c>
      <c r="F742" s="89" t="s">
        <v>7253</v>
      </c>
      <c r="G742" t="s">
        <v>7254</v>
      </c>
      <c r="H742" s="7">
        <f t="shared" si="15"/>
        <v>4646.5625</v>
      </c>
      <c r="I742" s="7">
        <f t="shared" si="14"/>
        <v>743.45</v>
      </c>
    </row>
    <row r="743" spans="1:9">
      <c r="A743" s="150" t="s">
        <v>7544</v>
      </c>
      <c r="B743">
        <v>85</v>
      </c>
      <c r="F743" s="92" t="s">
        <v>3690</v>
      </c>
      <c r="G743" s="92" t="s">
        <v>5740</v>
      </c>
      <c r="H743" s="7">
        <f t="shared" si="15"/>
        <v>887.8125</v>
      </c>
      <c r="I743" s="7">
        <f t="shared" si="14"/>
        <v>142.05000000000001</v>
      </c>
    </row>
    <row r="744" spans="1:9">
      <c r="A744" s="150" t="s">
        <v>7544</v>
      </c>
      <c r="B744">
        <v>85</v>
      </c>
      <c r="F744" s="92" t="s">
        <v>5396</v>
      </c>
      <c r="G744" s="92" t="s">
        <v>5741</v>
      </c>
      <c r="H744" s="7">
        <f t="shared" si="15"/>
        <v>293.5625</v>
      </c>
      <c r="I744" s="7">
        <f t="shared" si="14"/>
        <v>46.97</v>
      </c>
    </row>
    <row r="745" spans="1:9">
      <c r="A745" s="150" t="s">
        <v>7544</v>
      </c>
      <c r="B745">
        <v>85</v>
      </c>
      <c r="F745" s="139" t="s">
        <v>2231</v>
      </c>
      <c r="G745" t="s">
        <v>2232</v>
      </c>
      <c r="H745" s="7">
        <f t="shared" si="15"/>
        <v>755.0625</v>
      </c>
      <c r="I745" s="7">
        <f t="shared" si="14"/>
        <v>120.81</v>
      </c>
    </row>
    <row r="746" spans="1:9">
      <c r="A746" s="150" t="s">
        <v>7544</v>
      </c>
      <c r="B746">
        <v>85</v>
      </c>
      <c r="F746" t="s">
        <v>915</v>
      </c>
      <c r="G746" t="s">
        <v>916</v>
      </c>
      <c r="H746" s="7">
        <f t="shared" si="15"/>
        <v>844.81249999999989</v>
      </c>
      <c r="I746" s="7">
        <f t="shared" si="14"/>
        <v>135.16999999999999</v>
      </c>
    </row>
    <row r="747" spans="1:9">
      <c r="A747" s="150" t="s">
        <v>7544</v>
      </c>
      <c r="B747">
        <v>85</v>
      </c>
      <c r="F747" s="58" t="s">
        <v>848</v>
      </c>
      <c r="G747" t="s">
        <v>449</v>
      </c>
      <c r="H747" s="7">
        <f t="shared" si="15"/>
        <v>17200</v>
      </c>
      <c r="I747" s="7">
        <f t="shared" si="14"/>
        <v>2752</v>
      </c>
    </row>
    <row r="748" spans="1:9">
      <c r="A748" s="150" t="s">
        <v>7544</v>
      </c>
      <c r="B748">
        <v>85</v>
      </c>
      <c r="F748" s="139" t="s">
        <v>7572</v>
      </c>
      <c r="G748" s="92" t="s">
        <v>5742</v>
      </c>
      <c r="H748" s="7">
        <f t="shared" si="15"/>
        <v>478</v>
      </c>
      <c r="I748" s="7">
        <f t="shared" si="14"/>
        <v>76.48</v>
      </c>
    </row>
    <row r="749" spans="1:9">
      <c r="A749" s="150" t="s">
        <v>7544</v>
      </c>
      <c r="B749">
        <v>85</v>
      </c>
      <c r="F749" t="s">
        <v>5493</v>
      </c>
      <c r="G749" t="s">
        <v>5743</v>
      </c>
      <c r="H749" s="7">
        <f t="shared" si="15"/>
        <v>685.75</v>
      </c>
      <c r="I749" s="7">
        <f t="shared" si="14"/>
        <v>109.72</v>
      </c>
    </row>
    <row r="750" spans="1:9">
      <c r="A750" s="150" t="s">
        <v>7544</v>
      </c>
      <c r="B750">
        <v>85</v>
      </c>
      <c r="F750" s="92" t="s">
        <v>1612</v>
      </c>
      <c r="G750" s="92" t="s">
        <v>1613</v>
      </c>
      <c r="H750" s="7">
        <f t="shared" si="15"/>
        <v>293.5625</v>
      </c>
      <c r="I750" s="7">
        <f t="shared" si="14"/>
        <v>46.97</v>
      </c>
    </row>
    <row r="751" spans="1:9">
      <c r="A751" s="150" t="s">
        <v>7544</v>
      </c>
      <c r="B751">
        <v>85</v>
      </c>
      <c r="F751" t="s">
        <v>1595</v>
      </c>
      <c r="G751" t="s">
        <v>1200</v>
      </c>
      <c r="H751" s="7">
        <f t="shared" si="15"/>
        <v>210.3125</v>
      </c>
      <c r="I751" s="7">
        <f t="shared" si="14"/>
        <v>33.65</v>
      </c>
    </row>
    <row r="752" spans="1:9">
      <c r="A752" s="150" t="s">
        <v>7544</v>
      </c>
      <c r="B752">
        <v>85</v>
      </c>
      <c r="F752" t="s">
        <v>7244</v>
      </c>
      <c r="G752" t="s">
        <v>7245</v>
      </c>
      <c r="H752" s="7">
        <f t="shared" si="15"/>
        <v>2197.4375</v>
      </c>
      <c r="I752" s="7">
        <f t="shared" si="14"/>
        <v>351.59</v>
      </c>
    </row>
    <row r="753" spans="1:9">
      <c r="A753" s="150" t="s">
        <v>7544</v>
      </c>
      <c r="B753">
        <v>85</v>
      </c>
      <c r="F753" t="s">
        <v>5643</v>
      </c>
      <c r="G753" t="s">
        <v>5644</v>
      </c>
      <c r="H753" s="7">
        <f t="shared" si="15"/>
        <v>4441.3749999999991</v>
      </c>
      <c r="I753" s="7">
        <f t="shared" si="14"/>
        <v>710.61999999999989</v>
      </c>
    </row>
    <row r="754" spans="1:9">
      <c r="A754" s="150" t="s">
        <v>7544</v>
      </c>
      <c r="B754">
        <v>85</v>
      </c>
      <c r="F754" t="s">
        <v>852</v>
      </c>
      <c r="G754" t="s">
        <v>5744</v>
      </c>
      <c r="H754" s="7">
        <f t="shared" si="15"/>
        <v>65.5</v>
      </c>
      <c r="I754" s="7">
        <f t="shared" si="14"/>
        <v>10.48</v>
      </c>
    </row>
    <row r="755" spans="1:9">
      <c r="A755" s="150" t="s">
        <v>7544</v>
      </c>
      <c r="B755">
        <v>85</v>
      </c>
      <c r="F755" s="85" t="s">
        <v>7329</v>
      </c>
      <c r="G755" t="s">
        <v>7330</v>
      </c>
      <c r="H755" s="7">
        <f t="shared" si="15"/>
        <v>133620.6875</v>
      </c>
      <c r="I755" s="7">
        <f t="shared" si="14"/>
        <v>21379.31</v>
      </c>
    </row>
    <row r="756" spans="1:9">
      <c r="A756" s="150" t="s">
        <v>7544</v>
      </c>
      <c r="B756">
        <v>85</v>
      </c>
      <c r="F756" t="s">
        <v>5377</v>
      </c>
      <c r="G756" t="s">
        <v>5413</v>
      </c>
      <c r="H756" s="7">
        <f t="shared" si="15"/>
        <v>1994.7499999999998</v>
      </c>
      <c r="I756" s="7">
        <f t="shared" si="14"/>
        <v>319.15999999999997</v>
      </c>
    </row>
    <row r="757" spans="1:9">
      <c r="A757" s="150" t="s">
        <v>7544</v>
      </c>
      <c r="B757">
        <v>85</v>
      </c>
      <c r="F757" s="96" t="s">
        <v>860</v>
      </c>
      <c r="G757" t="s">
        <v>474</v>
      </c>
      <c r="H757" s="7">
        <f t="shared" si="15"/>
        <v>4750</v>
      </c>
      <c r="I757" s="7">
        <f t="shared" si="14"/>
        <v>760</v>
      </c>
    </row>
    <row r="758" spans="1:9">
      <c r="A758" s="150" t="s">
        <v>7544</v>
      </c>
      <c r="B758">
        <v>85</v>
      </c>
      <c r="F758" s="58" t="s">
        <v>857</v>
      </c>
      <c r="G758" t="s">
        <v>1472</v>
      </c>
      <c r="H758" s="7">
        <f t="shared" si="15"/>
        <v>4398.6875</v>
      </c>
      <c r="I758" s="7">
        <f t="shared" si="14"/>
        <v>703.79</v>
      </c>
    </row>
    <row r="759" spans="1:9">
      <c r="A759" s="150" t="s">
        <v>7544</v>
      </c>
      <c r="B759">
        <v>85</v>
      </c>
      <c r="F759" s="95" t="s">
        <v>858</v>
      </c>
      <c r="G759" t="s">
        <v>457</v>
      </c>
      <c r="H759" s="7">
        <f t="shared" si="15"/>
        <v>37100</v>
      </c>
      <c r="I759" s="7">
        <f t="shared" si="14"/>
        <v>5936</v>
      </c>
    </row>
    <row r="760" spans="1:9">
      <c r="A760" s="150" t="s">
        <v>7544</v>
      </c>
      <c r="B760">
        <v>85</v>
      </c>
      <c r="F760" t="s">
        <v>5271</v>
      </c>
      <c r="G760" t="s">
        <v>5745</v>
      </c>
      <c r="H760" s="7">
        <f t="shared" si="15"/>
        <v>210</v>
      </c>
      <c r="I760" s="7">
        <f t="shared" si="14"/>
        <v>33.6</v>
      </c>
    </row>
    <row r="761" spans="1:9">
      <c r="A761" s="150" t="s">
        <v>7544</v>
      </c>
      <c r="B761">
        <v>85</v>
      </c>
      <c r="F761" t="s">
        <v>2189</v>
      </c>
      <c r="G761" t="s">
        <v>5746</v>
      </c>
      <c r="H761" s="7">
        <f t="shared" si="15"/>
        <v>593.125</v>
      </c>
      <c r="I761" s="7">
        <f t="shared" si="14"/>
        <v>94.9</v>
      </c>
    </row>
    <row r="762" spans="1:9">
      <c r="A762" s="150" t="s">
        <v>7544</v>
      </c>
      <c r="B762">
        <v>85</v>
      </c>
      <c r="F762" t="s">
        <v>5465</v>
      </c>
      <c r="G762" t="s">
        <v>5747</v>
      </c>
      <c r="H762" s="7">
        <f t="shared" si="15"/>
        <v>69</v>
      </c>
      <c r="I762" s="7">
        <f t="shared" si="14"/>
        <v>11.04</v>
      </c>
    </row>
    <row r="763" spans="1:9">
      <c r="A763" s="150" t="s">
        <v>7544</v>
      </c>
      <c r="B763">
        <v>85</v>
      </c>
      <c r="F763" s="19" t="s">
        <v>7235</v>
      </c>
      <c r="G763" s="19" t="s">
        <v>7236</v>
      </c>
      <c r="H763" s="7">
        <f t="shared" si="15"/>
        <v>76.625</v>
      </c>
      <c r="I763" s="7">
        <f t="shared" si="14"/>
        <v>12.26</v>
      </c>
    </row>
    <row r="764" spans="1:9">
      <c r="A764" s="150" t="s">
        <v>7544</v>
      </c>
      <c r="B764">
        <v>85</v>
      </c>
      <c r="F764" s="58" t="s">
        <v>5653</v>
      </c>
      <c r="G764" t="s">
        <v>4894</v>
      </c>
      <c r="H764" s="7">
        <f t="shared" si="15"/>
        <v>8700</v>
      </c>
      <c r="I764" s="7">
        <f t="shared" si="14"/>
        <v>1392</v>
      </c>
    </row>
    <row r="765" spans="1:9">
      <c r="A765" s="150" t="s">
        <v>7544</v>
      </c>
      <c r="B765">
        <v>85</v>
      </c>
      <c r="F765" s="19" t="s">
        <v>788</v>
      </c>
      <c r="G765" s="19" t="s">
        <v>7246</v>
      </c>
      <c r="H765" s="7">
        <f t="shared" si="15"/>
        <v>125.875</v>
      </c>
      <c r="I765" s="7">
        <f t="shared" si="14"/>
        <v>20.14</v>
      </c>
    </row>
    <row r="766" spans="1:9">
      <c r="A766" s="150" t="s">
        <v>7544</v>
      </c>
      <c r="B766">
        <v>85</v>
      </c>
      <c r="F766" t="s">
        <v>4474</v>
      </c>
      <c r="G766" t="s">
        <v>7258</v>
      </c>
      <c r="H766" s="7">
        <f t="shared" si="15"/>
        <v>200</v>
      </c>
      <c r="I766" s="7">
        <f t="shared" si="14"/>
        <v>32</v>
      </c>
    </row>
    <row r="767" spans="1:9">
      <c r="A767" s="150" t="s">
        <v>7544</v>
      </c>
      <c r="B767">
        <v>85</v>
      </c>
      <c r="F767" s="89" t="s">
        <v>1648</v>
      </c>
      <c r="G767" t="s">
        <v>5725</v>
      </c>
      <c r="H767" s="7">
        <f t="shared" si="15"/>
        <v>2977.5625</v>
      </c>
      <c r="I767" s="7">
        <f t="shared" si="14"/>
        <v>476.41</v>
      </c>
    </row>
    <row r="768" spans="1:9">
      <c r="A768" s="150" t="s">
        <v>7544</v>
      </c>
      <c r="B768">
        <v>85</v>
      </c>
      <c r="F768" t="s">
        <v>5391</v>
      </c>
      <c r="G768" t="s">
        <v>5748</v>
      </c>
      <c r="H768" s="7">
        <f t="shared" si="15"/>
        <v>184.75</v>
      </c>
      <c r="I768" s="7">
        <f t="shared" si="14"/>
        <v>29.56</v>
      </c>
    </row>
    <row r="769" spans="1:9">
      <c r="A769" s="150" t="s">
        <v>7544</v>
      </c>
      <c r="B769">
        <v>85</v>
      </c>
      <c r="F769" s="58" t="s">
        <v>2701</v>
      </c>
      <c r="G769" t="s">
        <v>2660</v>
      </c>
      <c r="H769" s="7">
        <f t="shared" si="15"/>
        <v>1188</v>
      </c>
      <c r="I769" s="7">
        <f t="shared" si="14"/>
        <v>190.08</v>
      </c>
    </row>
    <row r="770" spans="1:9">
      <c r="A770" s="150" t="s">
        <v>7544</v>
      </c>
      <c r="B770">
        <v>85</v>
      </c>
      <c r="F770" s="58" t="s">
        <v>863</v>
      </c>
      <c r="G770" t="s">
        <v>967</v>
      </c>
      <c r="H770" s="7">
        <f t="shared" si="15"/>
        <v>64108.187500000007</v>
      </c>
      <c r="I770" s="7">
        <f t="shared" si="14"/>
        <v>10257.310000000001</v>
      </c>
    </row>
    <row r="771" spans="1:9">
      <c r="A771" s="150" t="s">
        <v>7544</v>
      </c>
      <c r="B771">
        <v>85</v>
      </c>
      <c r="F771" t="s">
        <v>864</v>
      </c>
      <c r="G771" t="s">
        <v>5749</v>
      </c>
      <c r="H771" s="7">
        <f t="shared" si="15"/>
        <v>846.56249999999989</v>
      </c>
      <c r="I771" s="7">
        <f t="shared" si="14"/>
        <v>135.44999999999999</v>
      </c>
    </row>
    <row r="772" spans="1:9">
      <c r="A772" s="150" t="s">
        <v>7544</v>
      </c>
      <c r="B772">
        <v>85</v>
      </c>
      <c r="F772" s="92" t="s">
        <v>5462</v>
      </c>
      <c r="G772" s="92" t="s">
        <v>7257</v>
      </c>
      <c r="H772" s="7">
        <f t="shared" si="15"/>
        <v>682.9375</v>
      </c>
      <c r="I772" s="7">
        <f t="shared" si="14"/>
        <v>109.27</v>
      </c>
    </row>
    <row r="773" spans="1:9">
      <c r="A773" s="150" t="s">
        <v>7544</v>
      </c>
      <c r="B773">
        <v>85</v>
      </c>
      <c r="F773" t="s">
        <v>1617</v>
      </c>
      <c r="G773" t="s">
        <v>1618</v>
      </c>
      <c r="H773" s="7">
        <f t="shared" si="15"/>
        <v>503.24999999999994</v>
      </c>
      <c r="I773" s="7">
        <f t="shared" si="14"/>
        <v>80.52</v>
      </c>
    </row>
    <row r="774" spans="1:9">
      <c r="A774" s="150" t="s">
        <v>7544</v>
      </c>
      <c r="B774">
        <v>85</v>
      </c>
      <c r="F774" s="92" t="s">
        <v>945</v>
      </c>
      <c r="G774" s="92" t="s">
        <v>946</v>
      </c>
      <c r="H774" s="7">
        <f t="shared" si="15"/>
        <v>520.0625</v>
      </c>
      <c r="I774" s="7">
        <f t="shared" si="14"/>
        <v>83.21</v>
      </c>
    </row>
    <row r="775" spans="1:9">
      <c r="A775" s="150" t="s">
        <v>7544</v>
      </c>
      <c r="B775">
        <v>85</v>
      </c>
      <c r="F775" s="92" t="s">
        <v>2233</v>
      </c>
      <c r="G775" s="92" t="s">
        <v>2234</v>
      </c>
      <c r="H775" s="7">
        <f t="shared" si="15"/>
        <v>964.56250000000011</v>
      </c>
      <c r="I775" s="7">
        <f t="shared" si="14"/>
        <v>154.33000000000001</v>
      </c>
    </row>
    <row r="776" spans="1:9">
      <c r="A776" s="150" t="s">
        <v>7544</v>
      </c>
      <c r="B776">
        <v>85</v>
      </c>
      <c r="F776" t="s">
        <v>4939</v>
      </c>
      <c r="G776" t="s">
        <v>5128</v>
      </c>
      <c r="H776" s="7">
        <f t="shared" si="15"/>
        <v>393488.5</v>
      </c>
      <c r="I776" s="7">
        <f t="shared" si="14"/>
        <v>62958.16</v>
      </c>
    </row>
    <row r="777" spans="1:9">
      <c r="A777" s="150" t="s">
        <v>7544</v>
      </c>
      <c r="B777">
        <v>85</v>
      </c>
      <c r="F777" s="92" t="s">
        <v>5414</v>
      </c>
      <c r="G777" s="92" t="s">
        <v>5750</v>
      </c>
      <c r="H777" s="7">
        <f t="shared" si="15"/>
        <v>457.56249999999994</v>
      </c>
      <c r="I777" s="7">
        <f t="shared" si="14"/>
        <v>73.209999999999994</v>
      </c>
    </row>
    <row r="778" spans="1:9">
      <c r="A778" s="150" t="s">
        <v>7544</v>
      </c>
      <c r="B778">
        <v>85</v>
      </c>
      <c r="F778" t="s">
        <v>853</v>
      </c>
      <c r="G778" t="s">
        <v>5751</v>
      </c>
      <c r="H778" s="7">
        <f t="shared" si="15"/>
        <v>162</v>
      </c>
      <c r="I778" s="7">
        <f t="shared" si="14"/>
        <v>25.92</v>
      </c>
    </row>
    <row r="779" spans="1:9">
      <c r="A779" s="150" t="s">
        <v>7544</v>
      </c>
      <c r="B779">
        <v>85</v>
      </c>
      <c r="F779" s="89" t="s">
        <v>3709</v>
      </c>
      <c r="G779" t="s">
        <v>3613</v>
      </c>
      <c r="H779" s="7">
        <f t="shared" si="15"/>
        <v>106567.0625</v>
      </c>
      <c r="I779" s="7">
        <f t="shared" si="14"/>
        <v>17050.73</v>
      </c>
    </row>
    <row r="780" spans="1:9">
      <c r="A780" s="150" t="s">
        <v>7544</v>
      </c>
      <c r="B780">
        <v>85</v>
      </c>
      <c r="F780" s="92" t="s">
        <v>5378</v>
      </c>
      <c r="G780" s="92" t="s">
        <v>5752</v>
      </c>
      <c r="H780" s="7">
        <f t="shared" si="15"/>
        <v>503.24999999999994</v>
      </c>
      <c r="I780" s="7">
        <f t="shared" si="14"/>
        <v>80.52</v>
      </c>
    </row>
    <row r="781" spans="1:9">
      <c r="A781" s="150" t="s">
        <v>7544</v>
      </c>
      <c r="B781">
        <v>85</v>
      </c>
      <c r="F781" t="s">
        <v>5374</v>
      </c>
      <c r="G781" t="s">
        <v>5753</v>
      </c>
      <c r="H781" s="7">
        <f t="shared" si="15"/>
        <v>755.3125</v>
      </c>
      <c r="I781" s="7">
        <f t="shared" si="14"/>
        <v>120.85</v>
      </c>
    </row>
    <row r="782" spans="1:9">
      <c r="A782" s="150" t="s">
        <v>7544</v>
      </c>
      <c r="B782">
        <v>85</v>
      </c>
      <c r="F782" s="92" t="s">
        <v>778</v>
      </c>
      <c r="G782" s="92" t="s">
        <v>779</v>
      </c>
      <c r="H782" s="7">
        <f t="shared" si="15"/>
        <v>335.625</v>
      </c>
      <c r="I782" s="7">
        <f t="shared" si="14"/>
        <v>53.7</v>
      </c>
    </row>
    <row r="783" spans="1:9">
      <c r="A783" s="150" t="s">
        <v>7544</v>
      </c>
      <c r="B783">
        <v>85</v>
      </c>
      <c r="F783" t="s">
        <v>5726</v>
      </c>
      <c r="G783" t="s">
        <v>5727</v>
      </c>
      <c r="H783" s="7">
        <f t="shared" si="15"/>
        <v>212.0625</v>
      </c>
      <c r="I783" s="7">
        <f t="shared" si="14"/>
        <v>33.93</v>
      </c>
    </row>
    <row r="784" spans="1:9">
      <c r="A784" s="150" t="s">
        <v>7544</v>
      </c>
      <c r="B784">
        <v>85</v>
      </c>
      <c r="F784" s="92" t="s">
        <v>780</v>
      </c>
      <c r="G784" s="92" t="s">
        <v>781</v>
      </c>
      <c r="H784" s="7">
        <f t="shared" si="15"/>
        <v>2733.875</v>
      </c>
      <c r="I784" s="7">
        <f t="shared" si="14"/>
        <v>437.42</v>
      </c>
    </row>
    <row r="785" spans="1:9">
      <c r="A785" s="150" t="s">
        <v>7544</v>
      </c>
      <c r="B785">
        <v>85</v>
      </c>
      <c r="F785" s="130" t="s">
        <v>5646</v>
      </c>
      <c r="G785" s="92" t="s">
        <v>5649</v>
      </c>
      <c r="H785" s="7">
        <f t="shared" si="15"/>
        <v>2397.4375</v>
      </c>
      <c r="I785" s="7">
        <f t="shared" si="14"/>
        <v>383.59</v>
      </c>
    </row>
    <row r="786" spans="1:9">
      <c r="A786" s="150" t="s">
        <v>7544</v>
      </c>
      <c r="B786">
        <v>85</v>
      </c>
      <c r="F786" s="97" t="s">
        <v>5343</v>
      </c>
      <c r="G786" s="92" t="s">
        <v>5754</v>
      </c>
      <c r="H786" s="7">
        <f t="shared" si="15"/>
        <v>377.4375</v>
      </c>
      <c r="I786" s="7">
        <f t="shared" si="14"/>
        <v>60.39</v>
      </c>
    </row>
    <row r="787" spans="1:9">
      <c r="A787" s="150" t="s">
        <v>7544</v>
      </c>
      <c r="B787">
        <v>85</v>
      </c>
      <c r="F787" s="58" t="s">
        <v>6560</v>
      </c>
      <c r="G787" s="19" t="s">
        <v>7262</v>
      </c>
      <c r="H787" s="7">
        <f t="shared" si="15"/>
        <v>222.31249999999994</v>
      </c>
      <c r="I787" s="7">
        <f t="shared" si="14"/>
        <v>35.569999999999993</v>
      </c>
    </row>
    <row r="788" spans="1:9">
      <c r="A788" s="150" t="s">
        <v>7544</v>
      </c>
      <c r="B788">
        <v>85</v>
      </c>
      <c r="F788" t="s">
        <v>7331</v>
      </c>
      <c r="G788" t="s">
        <v>7332</v>
      </c>
      <c r="H788" s="7">
        <f t="shared" si="15"/>
        <v>241379.25</v>
      </c>
      <c r="I788" s="7">
        <f t="shared" si="14"/>
        <v>38620.68</v>
      </c>
    </row>
    <row r="789" spans="1:9">
      <c r="A789" s="150" t="s">
        <v>7544</v>
      </c>
      <c r="B789">
        <v>85</v>
      </c>
      <c r="F789" t="s">
        <v>5280</v>
      </c>
      <c r="G789" t="s">
        <v>5755</v>
      </c>
      <c r="H789" s="7">
        <f t="shared" si="15"/>
        <v>98.687499999999986</v>
      </c>
      <c r="I789" s="7">
        <f t="shared" si="14"/>
        <v>15.79</v>
      </c>
    </row>
    <row r="790" spans="1:9">
      <c r="A790" s="150" t="s">
        <v>7544</v>
      </c>
      <c r="B790">
        <v>85</v>
      </c>
      <c r="F790" t="s">
        <v>799</v>
      </c>
      <c r="G790" t="s">
        <v>1361</v>
      </c>
      <c r="H790" s="7">
        <f t="shared" si="15"/>
        <v>688143.4375</v>
      </c>
      <c r="I790" s="7">
        <f t="shared" si="14"/>
        <v>110102.95</v>
      </c>
    </row>
    <row r="791" spans="1:9">
      <c r="A791" s="150" t="s">
        <v>7544</v>
      </c>
      <c r="B791">
        <v>85</v>
      </c>
      <c r="F791" t="s">
        <v>868</v>
      </c>
      <c r="G791" t="s">
        <v>436</v>
      </c>
      <c r="H791" s="7">
        <f t="shared" si="15"/>
        <v>17352.25</v>
      </c>
      <c r="I791" s="7">
        <f t="shared" ref="I791:I807" si="16">+SUMIF($F$7:$F$585,F791,$I$7:$I$585)</f>
        <v>2776.36</v>
      </c>
    </row>
    <row r="792" spans="1:9">
      <c r="A792" s="150" t="s">
        <v>7544</v>
      </c>
      <c r="B792">
        <v>85</v>
      </c>
      <c r="F792" t="s">
        <v>5756</v>
      </c>
      <c r="G792" t="s">
        <v>5757</v>
      </c>
      <c r="H792" s="7">
        <f t="shared" ref="H792:H807" si="17">+I792/0.16</f>
        <v>184905.375</v>
      </c>
      <c r="I792" s="7">
        <f t="shared" si="16"/>
        <v>29584.86</v>
      </c>
    </row>
    <row r="793" spans="1:9">
      <c r="A793" s="150" t="s">
        <v>7544</v>
      </c>
      <c r="B793">
        <v>85</v>
      </c>
      <c r="F793" t="s">
        <v>3237</v>
      </c>
      <c r="G793" t="s">
        <v>1015</v>
      </c>
      <c r="H793" s="7">
        <f t="shared" si="17"/>
        <v>1361.0000000000127</v>
      </c>
      <c r="I793" s="7">
        <f t="shared" si="16"/>
        <v>217.76000000000204</v>
      </c>
    </row>
    <row r="794" spans="1:9">
      <c r="A794" s="150" t="s">
        <v>7544</v>
      </c>
      <c r="B794">
        <v>85</v>
      </c>
      <c r="F794" t="s">
        <v>2751</v>
      </c>
      <c r="G794" s="17" t="s">
        <v>5728</v>
      </c>
      <c r="H794" s="7">
        <f t="shared" si="17"/>
        <v>26385488.937499996</v>
      </c>
      <c r="I794" s="7">
        <f t="shared" si="16"/>
        <v>4221678.2299999995</v>
      </c>
    </row>
    <row r="795" spans="1:9">
      <c r="A795" s="150" t="s">
        <v>7544</v>
      </c>
      <c r="B795">
        <v>85</v>
      </c>
      <c r="F795" s="85" t="s">
        <v>1606</v>
      </c>
      <c r="G795" s="98" t="s">
        <v>5758</v>
      </c>
      <c r="H795" s="7">
        <f t="shared" si="17"/>
        <v>729033.0625</v>
      </c>
      <c r="I795" s="7">
        <f t="shared" si="16"/>
        <v>116645.29000000001</v>
      </c>
    </row>
    <row r="796" spans="1:9">
      <c r="A796" s="150" t="s">
        <v>7544</v>
      </c>
      <c r="B796">
        <v>85</v>
      </c>
      <c r="F796" t="s">
        <v>878</v>
      </c>
      <c r="G796" t="s">
        <v>414</v>
      </c>
      <c r="H796" s="7">
        <f t="shared" si="17"/>
        <v>1139.9999999999998</v>
      </c>
      <c r="I796" s="7">
        <f t="shared" si="16"/>
        <v>182.39999999999998</v>
      </c>
    </row>
    <row r="797" spans="1:9">
      <c r="A797" s="150" t="s">
        <v>7544</v>
      </c>
      <c r="B797">
        <v>85</v>
      </c>
      <c r="F797" s="92" t="s">
        <v>935</v>
      </c>
      <c r="G797" s="92" t="s">
        <v>5729</v>
      </c>
      <c r="H797" s="7">
        <f t="shared" si="17"/>
        <v>689.49999999999977</v>
      </c>
      <c r="I797" s="7">
        <f t="shared" si="16"/>
        <v>110.31999999999996</v>
      </c>
    </row>
    <row r="798" spans="1:9">
      <c r="A798" s="150" t="s">
        <v>7544</v>
      </c>
      <c r="B798">
        <v>85</v>
      </c>
      <c r="F798" t="s">
        <v>784</v>
      </c>
      <c r="G798" t="s">
        <v>785</v>
      </c>
      <c r="H798" s="7">
        <f t="shared" si="17"/>
        <v>87.25</v>
      </c>
      <c r="I798" s="7">
        <f t="shared" si="16"/>
        <v>13.96</v>
      </c>
    </row>
    <row r="799" spans="1:9">
      <c r="A799" s="150" t="s">
        <v>7544</v>
      </c>
      <c r="B799">
        <v>85</v>
      </c>
      <c r="F799" s="92" t="s">
        <v>1632</v>
      </c>
      <c r="G799" s="92" t="s">
        <v>1633</v>
      </c>
      <c r="H799" s="7">
        <f t="shared" si="17"/>
        <v>838.74999999999989</v>
      </c>
      <c r="I799" s="7">
        <f t="shared" si="16"/>
        <v>134.19999999999999</v>
      </c>
    </row>
    <row r="800" spans="1:9">
      <c r="A800" s="150" t="s">
        <v>7544</v>
      </c>
      <c r="B800">
        <v>85</v>
      </c>
      <c r="F800" s="58" t="s">
        <v>952</v>
      </c>
      <c r="G800" t="s">
        <v>642</v>
      </c>
      <c r="H800" s="7">
        <f t="shared" si="17"/>
        <v>2250</v>
      </c>
      <c r="I800" s="7">
        <f t="shared" si="16"/>
        <v>360</v>
      </c>
    </row>
    <row r="801" spans="1:10">
      <c r="A801" s="150" t="s">
        <v>7544</v>
      </c>
      <c r="B801">
        <v>85</v>
      </c>
      <c r="F801" t="s">
        <v>2207</v>
      </c>
      <c r="G801" t="s">
        <v>5730</v>
      </c>
      <c r="H801" s="7">
        <f t="shared" si="17"/>
        <v>306</v>
      </c>
      <c r="I801" s="7">
        <f t="shared" si="16"/>
        <v>48.96</v>
      </c>
    </row>
    <row r="802" spans="1:10">
      <c r="A802" s="150" t="s">
        <v>7544</v>
      </c>
      <c r="B802">
        <v>85</v>
      </c>
      <c r="F802" t="s">
        <v>7573</v>
      </c>
      <c r="G802" t="s">
        <v>5759</v>
      </c>
      <c r="H802" s="7">
        <f t="shared" si="17"/>
        <v>99.125</v>
      </c>
      <c r="I802" s="7">
        <f t="shared" si="16"/>
        <v>15.86</v>
      </c>
    </row>
    <row r="803" spans="1:10">
      <c r="A803" s="150" t="s">
        <v>7544</v>
      </c>
      <c r="B803">
        <v>85</v>
      </c>
      <c r="F803" t="s">
        <v>7325</v>
      </c>
      <c r="G803" t="s">
        <v>7326</v>
      </c>
      <c r="H803" s="7">
        <f t="shared" si="17"/>
        <v>1118.125</v>
      </c>
      <c r="I803" s="7">
        <f t="shared" si="16"/>
        <v>178.9</v>
      </c>
    </row>
    <row r="804" spans="1:10">
      <c r="A804" s="150" t="s">
        <v>7544</v>
      </c>
      <c r="B804">
        <v>85</v>
      </c>
      <c r="F804" t="s">
        <v>802</v>
      </c>
      <c r="G804" t="s">
        <v>2483</v>
      </c>
      <c r="H804" s="7">
        <f t="shared" si="17"/>
        <v>620.75</v>
      </c>
      <c r="I804" s="7">
        <f t="shared" si="16"/>
        <v>99.32</v>
      </c>
    </row>
    <row r="805" spans="1:10">
      <c r="A805" s="150" t="s">
        <v>7544</v>
      </c>
      <c r="B805">
        <v>85</v>
      </c>
      <c r="F805" s="89" t="s">
        <v>3241</v>
      </c>
      <c r="G805" t="s">
        <v>3103</v>
      </c>
      <c r="H805" s="7">
        <f t="shared" si="17"/>
        <v>2400</v>
      </c>
      <c r="I805" s="7">
        <f t="shared" si="16"/>
        <v>384</v>
      </c>
    </row>
    <row r="806" spans="1:10">
      <c r="A806" s="150" t="s">
        <v>7544</v>
      </c>
      <c r="B806">
        <v>85</v>
      </c>
      <c r="F806" t="s">
        <v>1645</v>
      </c>
      <c r="G806" t="s">
        <v>5761</v>
      </c>
      <c r="H806" s="7">
        <f t="shared" si="17"/>
        <v>417.25</v>
      </c>
      <c r="I806" s="7">
        <f t="shared" si="16"/>
        <v>66.760000000000005</v>
      </c>
    </row>
    <row r="807" spans="1:10">
      <c r="A807" s="150" t="s">
        <v>7544</v>
      </c>
      <c r="B807">
        <v>85</v>
      </c>
      <c r="F807" t="s">
        <v>7247</v>
      </c>
      <c r="G807" t="s">
        <v>7248</v>
      </c>
      <c r="H807" s="7">
        <f t="shared" si="17"/>
        <v>982.75</v>
      </c>
      <c r="I807" s="7">
        <f t="shared" si="16"/>
        <v>157.24</v>
      </c>
    </row>
    <row r="808" spans="1:10">
      <c r="H808" s="8"/>
      <c r="I808" s="8"/>
    </row>
    <row r="809" spans="1:10">
      <c r="H809" s="9">
        <f>SUM(H599:H808)</f>
        <v>36797926.4375</v>
      </c>
      <c r="I809" s="9">
        <f>SUM(I599:I808)</f>
        <v>5887668.2300000014</v>
      </c>
      <c r="J809">
        <f>SUM(J599:J807)</f>
        <v>32535.48</v>
      </c>
    </row>
    <row r="810" spans="1:10">
      <c r="H810" s="151">
        <f>+H588</f>
        <v>36797926.4375</v>
      </c>
      <c r="I810" s="151">
        <f>+I588</f>
        <v>5887668.2299999986</v>
      </c>
    </row>
    <row r="811" spans="1:10">
      <c r="H811" s="10">
        <f>6817453.9-869010.29</f>
        <v>5948443.6100000003</v>
      </c>
      <c r="I811" s="10">
        <f>+H811-I810</f>
        <v>60775.380000001751</v>
      </c>
      <c r="J811" t="s">
        <v>960</v>
      </c>
    </row>
    <row r="812" spans="1:10" s="152" customFormat="1">
      <c r="A812" s="152" t="s">
        <v>5524</v>
      </c>
      <c r="B812" s="153">
        <v>42308</v>
      </c>
      <c r="C812" s="152" t="s">
        <v>5525</v>
      </c>
      <c r="D812" s="152">
        <v>1</v>
      </c>
      <c r="E812" s="152" t="s">
        <v>5526</v>
      </c>
      <c r="H812" s="154">
        <f>+I812/0.16</f>
        <v>379635.8125</v>
      </c>
      <c r="I812" s="154">
        <v>60741.73</v>
      </c>
    </row>
    <row r="813" spans="1:10" s="84" customFormat="1">
      <c r="A813" s="84" t="s">
        <v>5267</v>
      </c>
      <c r="B813" s="147">
        <v>42307</v>
      </c>
      <c r="C813" s="84" t="s">
        <v>5268</v>
      </c>
      <c r="D813" s="84">
        <v>1</v>
      </c>
      <c r="E813" s="84" t="s">
        <v>1595</v>
      </c>
      <c r="F813" s="84" t="s">
        <v>1595</v>
      </c>
      <c r="G813" s="84" t="s">
        <v>1200</v>
      </c>
      <c r="H813" s="148">
        <f>+I813/0.16</f>
        <v>210.3125</v>
      </c>
      <c r="I813" s="148">
        <v>33.65</v>
      </c>
      <c r="J813" s="84" t="s">
        <v>7559</v>
      </c>
    </row>
    <row r="814" spans="1:10">
      <c r="I814" s="9">
        <f>+I813+I812+I810</f>
        <v>5948443.6099999985</v>
      </c>
      <c r="J814" s="60">
        <f>+I813+I812</f>
        <v>60775.380000000005</v>
      </c>
    </row>
  </sheetData>
  <sortState ref="A1:K594">
    <sortCondition ref="E1:E594"/>
  </sortState>
  <conditionalFormatting sqref="F599:G807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8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643"/>
  <sheetViews>
    <sheetView topLeftCell="A620" workbookViewId="0">
      <selection activeCell="A459" sqref="A459:M644"/>
    </sheetView>
  </sheetViews>
  <sheetFormatPr baseColWidth="10" defaultRowHeight="15"/>
  <cols>
    <col min="1" max="1" width="11.42578125" customWidth="1"/>
    <col min="2" max="2" width="10.7109375" bestFit="1" customWidth="1"/>
    <col min="3" max="3" width="12.7109375" bestFit="1" customWidth="1"/>
    <col min="4" max="4" width="2" bestFit="1" customWidth="1"/>
    <col min="5" max="5" width="40.140625" bestFit="1" customWidth="1"/>
    <col min="6" max="6" width="17.140625" customWidth="1"/>
    <col min="7" max="7" width="17.42578125" customWidth="1"/>
    <col min="8" max="8" width="17.5703125" style="7" customWidth="1"/>
    <col min="9" max="9" width="13.140625" style="7" bestFit="1" customWidth="1"/>
    <col min="10" max="10" width="11.85546875" style="7" bestFit="1" customWidth="1"/>
    <col min="11" max="11" width="9.5703125" style="7" bestFit="1" customWidth="1"/>
  </cols>
  <sheetData>
    <row r="1" spans="1:9">
      <c r="A1" t="s">
        <v>684</v>
      </c>
    </row>
    <row r="2" spans="1:9">
      <c r="A2" t="s">
        <v>6244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1352</v>
      </c>
      <c r="B7" s="1">
        <v>42313</v>
      </c>
      <c r="C7" t="s">
        <v>6152</v>
      </c>
      <c r="D7">
        <v>1</v>
      </c>
      <c r="E7" t="s">
        <v>1514</v>
      </c>
      <c r="F7" s="103" t="s">
        <v>1528</v>
      </c>
      <c r="G7" s="103" t="s">
        <v>1514</v>
      </c>
      <c r="H7" s="7">
        <f t="shared" ref="H7:H38" si="0">+I7/0.16</f>
        <v>7350</v>
      </c>
      <c r="I7" s="7">
        <v>1176</v>
      </c>
    </row>
    <row r="8" spans="1:9">
      <c r="A8" t="s">
        <v>1423</v>
      </c>
      <c r="B8" s="1">
        <v>42333</v>
      </c>
      <c r="C8" t="s">
        <v>6212</v>
      </c>
      <c r="D8">
        <v>1</v>
      </c>
      <c r="E8" t="s">
        <v>1514</v>
      </c>
      <c r="F8" s="103" t="s">
        <v>1528</v>
      </c>
      <c r="G8" s="103" t="s">
        <v>1514</v>
      </c>
      <c r="H8" s="7">
        <f t="shared" si="0"/>
        <v>7350</v>
      </c>
      <c r="I8" s="7">
        <v>1176</v>
      </c>
    </row>
    <row r="9" spans="1:9">
      <c r="A9" t="s">
        <v>2601</v>
      </c>
      <c r="B9" s="1">
        <v>42313</v>
      </c>
      <c r="C9" t="s">
        <v>6145</v>
      </c>
      <c r="D9">
        <v>1</v>
      </c>
      <c r="E9" t="s">
        <v>2128</v>
      </c>
      <c r="F9" s="103" t="s">
        <v>2186</v>
      </c>
      <c r="G9" s="103" t="s">
        <v>2128</v>
      </c>
      <c r="H9" s="7">
        <f t="shared" si="0"/>
        <v>7600</v>
      </c>
      <c r="I9" s="7">
        <v>1216</v>
      </c>
    </row>
    <row r="10" spans="1:9">
      <c r="A10" t="s">
        <v>3917</v>
      </c>
      <c r="B10" s="1">
        <v>42338</v>
      </c>
      <c r="C10" t="s">
        <v>5995</v>
      </c>
      <c r="D10">
        <v>1</v>
      </c>
      <c r="E10" t="s">
        <v>5996</v>
      </c>
      <c r="F10" s="103" t="s">
        <v>5996</v>
      </c>
      <c r="G10" s="139" t="s">
        <v>7498</v>
      </c>
      <c r="H10" s="7">
        <f t="shared" si="0"/>
        <v>200</v>
      </c>
      <c r="I10" s="7">
        <v>32</v>
      </c>
    </row>
    <row r="11" spans="1:9">
      <c r="A11" t="s">
        <v>3923</v>
      </c>
      <c r="B11" s="1">
        <v>42338</v>
      </c>
      <c r="C11" t="s">
        <v>6005</v>
      </c>
      <c r="D11">
        <v>1</v>
      </c>
      <c r="E11" t="s">
        <v>6006</v>
      </c>
      <c r="F11" s="144" t="s">
        <v>722</v>
      </c>
      <c r="G11" s="144" t="s">
        <v>722</v>
      </c>
      <c r="H11" s="7">
        <f t="shared" si="0"/>
        <v>265.5</v>
      </c>
      <c r="I11" s="7">
        <v>42.48</v>
      </c>
    </row>
    <row r="12" spans="1:9">
      <c r="A12" s="66" t="s">
        <v>3906</v>
      </c>
      <c r="B12" s="102">
        <v>42338</v>
      </c>
      <c r="C12" s="66" t="s">
        <v>5988</v>
      </c>
      <c r="D12" s="66">
        <v>1</v>
      </c>
      <c r="E12" s="66" t="s">
        <v>5381</v>
      </c>
      <c r="F12" s="144" t="s">
        <v>722</v>
      </c>
      <c r="G12" s="144" t="s">
        <v>722</v>
      </c>
      <c r="H12" s="68">
        <f t="shared" si="0"/>
        <v>265.5</v>
      </c>
      <c r="I12" s="68">
        <v>42.48</v>
      </c>
    </row>
    <row r="13" spans="1:9">
      <c r="A13" t="s">
        <v>3917</v>
      </c>
      <c r="B13" s="1">
        <v>42338</v>
      </c>
      <c r="C13" t="s">
        <v>5995</v>
      </c>
      <c r="D13">
        <v>1</v>
      </c>
      <c r="E13" t="s">
        <v>5381</v>
      </c>
      <c r="F13" s="144" t="s">
        <v>722</v>
      </c>
      <c r="G13" s="144" t="s">
        <v>722</v>
      </c>
      <c r="H13" s="7">
        <f t="shared" si="0"/>
        <v>265.5</v>
      </c>
      <c r="I13" s="7">
        <v>42.48</v>
      </c>
    </row>
    <row r="14" spans="1:9">
      <c r="A14" t="s">
        <v>4031</v>
      </c>
      <c r="B14" s="1">
        <v>42338</v>
      </c>
      <c r="C14" t="s">
        <v>6095</v>
      </c>
      <c r="D14">
        <v>1</v>
      </c>
      <c r="E14" t="s">
        <v>5381</v>
      </c>
      <c r="F14" s="144" t="s">
        <v>722</v>
      </c>
      <c r="G14" s="144" t="s">
        <v>722</v>
      </c>
      <c r="H14" s="7">
        <f t="shared" si="0"/>
        <v>118.12499999999999</v>
      </c>
      <c r="I14" s="7">
        <v>18.899999999999999</v>
      </c>
    </row>
    <row r="15" spans="1:9">
      <c r="A15" t="s">
        <v>3917</v>
      </c>
      <c r="B15" s="1">
        <v>42338</v>
      </c>
      <c r="C15" t="s">
        <v>5995</v>
      </c>
      <c r="D15">
        <v>1</v>
      </c>
      <c r="E15" t="s">
        <v>7533</v>
      </c>
      <c r="F15" t="s">
        <v>7533</v>
      </c>
      <c r="G15" s="136" t="s">
        <v>7534</v>
      </c>
      <c r="H15" s="7">
        <f t="shared" si="0"/>
        <v>64.625</v>
      </c>
      <c r="I15" s="7">
        <v>10.34</v>
      </c>
    </row>
    <row r="16" spans="1:9">
      <c r="A16" t="s">
        <v>3960</v>
      </c>
      <c r="B16" s="1">
        <v>42338</v>
      </c>
      <c r="C16" t="s">
        <v>6058</v>
      </c>
      <c r="D16">
        <v>1</v>
      </c>
      <c r="E16" s="144" t="s">
        <v>7531</v>
      </c>
      <c r="F16" s="144" t="s">
        <v>7531</v>
      </c>
      <c r="G16" s="136" t="s">
        <v>7532</v>
      </c>
      <c r="H16" s="7">
        <f t="shared" si="0"/>
        <v>125.81249999999999</v>
      </c>
      <c r="I16" s="7">
        <v>20.13</v>
      </c>
    </row>
    <row r="17" spans="1:9">
      <c r="A17" t="s">
        <v>3913</v>
      </c>
      <c r="B17" s="1">
        <v>42338</v>
      </c>
      <c r="C17" t="s">
        <v>5994</v>
      </c>
      <c r="D17">
        <v>1</v>
      </c>
      <c r="E17" t="s">
        <v>759</v>
      </c>
      <c r="F17" s="144" t="s">
        <v>759</v>
      </c>
      <c r="G17" s="136" t="s">
        <v>3221</v>
      </c>
      <c r="H17" s="7">
        <f t="shared" si="0"/>
        <v>74.8125</v>
      </c>
      <c r="I17" s="7">
        <v>11.97</v>
      </c>
    </row>
    <row r="18" spans="1:9">
      <c r="A18" t="s">
        <v>4001</v>
      </c>
      <c r="B18" s="1">
        <v>42338</v>
      </c>
      <c r="C18" t="s">
        <v>6065</v>
      </c>
      <c r="D18">
        <v>1</v>
      </c>
      <c r="E18" t="s">
        <v>6066</v>
      </c>
      <c r="F18" s="103" t="s">
        <v>6066</v>
      </c>
      <c r="G18" s="139" t="s">
        <v>7499</v>
      </c>
      <c r="H18" s="7">
        <f t="shared" si="0"/>
        <v>1027.75</v>
      </c>
      <c r="I18" s="7">
        <v>164.44</v>
      </c>
    </row>
    <row r="19" spans="1:9">
      <c r="A19" t="s">
        <v>3906</v>
      </c>
      <c r="B19" s="1">
        <v>42338</v>
      </c>
      <c r="C19" t="s">
        <v>5988</v>
      </c>
      <c r="D19">
        <v>1</v>
      </c>
      <c r="E19" t="s">
        <v>923</v>
      </c>
      <c r="F19" s="103" t="s">
        <v>923</v>
      </c>
      <c r="G19" s="139" t="s">
        <v>7356</v>
      </c>
      <c r="H19" s="7">
        <f t="shared" si="0"/>
        <v>435.37499999999994</v>
      </c>
      <c r="I19" s="7">
        <v>69.66</v>
      </c>
    </row>
    <row r="20" spans="1:9">
      <c r="A20" t="s">
        <v>3923</v>
      </c>
      <c r="B20" s="1">
        <v>42338</v>
      </c>
      <c r="C20" t="s">
        <v>6005</v>
      </c>
      <c r="D20">
        <v>1</v>
      </c>
      <c r="E20" t="s">
        <v>923</v>
      </c>
      <c r="F20" s="103" t="s">
        <v>923</v>
      </c>
      <c r="G20" s="139" t="s">
        <v>7356</v>
      </c>
      <c r="H20" s="7">
        <f t="shared" si="0"/>
        <v>435.37499999999994</v>
      </c>
      <c r="I20" s="7">
        <v>69.66</v>
      </c>
    </row>
    <row r="21" spans="1:9">
      <c r="A21" t="s">
        <v>4031</v>
      </c>
      <c r="B21" s="1">
        <v>42338</v>
      </c>
      <c r="C21" t="s">
        <v>6095</v>
      </c>
      <c r="D21">
        <v>1</v>
      </c>
      <c r="E21" t="s">
        <v>923</v>
      </c>
      <c r="F21" s="103" t="s">
        <v>923</v>
      </c>
      <c r="G21" s="139" t="s">
        <v>7356</v>
      </c>
      <c r="H21" s="7">
        <f t="shared" si="0"/>
        <v>271.5625</v>
      </c>
      <c r="I21" s="7">
        <v>43.45</v>
      </c>
    </row>
    <row r="22" spans="1:9">
      <c r="A22" t="s">
        <v>5986</v>
      </c>
      <c r="B22" s="1">
        <v>42338</v>
      </c>
      <c r="C22" t="s">
        <v>5987</v>
      </c>
      <c r="D22">
        <v>1</v>
      </c>
      <c r="E22" t="s">
        <v>879</v>
      </c>
      <c r="F22" s="103" t="s">
        <v>879</v>
      </c>
      <c r="G22" s="139" t="s">
        <v>7357</v>
      </c>
      <c r="H22" s="7">
        <f t="shared" si="0"/>
        <v>377.4375</v>
      </c>
      <c r="I22" s="7">
        <v>60.39</v>
      </c>
    </row>
    <row r="23" spans="1:9">
      <c r="A23" t="s">
        <v>3955</v>
      </c>
      <c r="B23" s="1">
        <v>42338</v>
      </c>
      <c r="C23" t="s">
        <v>6045</v>
      </c>
      <c r="D23">
        <v>1</v>
      </c>
      <c r="E23" t="s">
        <v>933</v>
      </c>
      <c r="F23" s="103" t="s">
        <v>933</v>
      </c>
      <c r="G23" s="139" t="s">
        <v>7500</v>
      </c>
      <c r="H23" s="7">
        <f t="shared" si="0"/>
        <v>341.4375</v>
      </c>
      <c r="I23" s="7">
        <v>54.63</v>
      </c>
    </row>
    <row r="24" spans="1:9">
      <c r="A24" t="s">
        <v>4065</v>
      </c>
      <c r="B24" s="1">
        <v>42338</v>
      </c>
      <c r="C24" t="s">
        <v>5522</v>
      </c>
      <c r="D24">
        <v>1</v>
      </c>
      <c r="E24" t="s">
        <v>6109</v>
      </c>
      <c r="F24" s="136" t="s">
        <v>799</v>
      </c>
      <c r="G24" s="136" t="s">
        <v>1361</v>
      </c>
      <c r="H24" s="7">
        <f t="shared" si="0"/>
        <v>-170.625</v>
      </c>
      <c r="I24" s="7">
        <v>-27.3</v>
      </c>
    </row>
    <row r="25" spans="1:9">
      <c r="A25" t="s">
        <v>4065</v>
      </c>
      <c r="B25" s="1">
        <v>42338</v>
      </c>
      <c r="C25" t="s">
        <v>5522</v>
      </c>
      <c r="D25">
        <v>1</v>
      </c>
      <c r="E25" t="s">
        <v>6109</v>
      </c>
      <c r="F25" s="136" t="s">
        <v>799</v>
      </c>
      <c r="G25" s="136" t="s">
        <v>1361</v>
      </c>
      <c r="H25" s="7">
        <f t="shared" si="0"/>
        <v>246.25</v>
      </c>
      <c r="I25" s="7">
        <v>39.4</v>
      </c>
    </row>
    <row r="26" spans="1:9">
      <c r="A26" t="s">
        <v>5776</v>
      </c>
      <c r="B26" s="1">
        <v>42311</v>
      </c>
      <c r="C26" t="s">
        <v>5777</v>
      </c>
      <c r="D26">
        <v>1</v>
      </c>
      <c r="E26" t="s">
        <v>5778</v>
      </c>
      <c r="F26" t="s">
        <v>2187</v>
      </c>
      <c r="G26" t="s">
        <v>3658</v>
      </c>
      <c r="H26" s="7">
        <f t="shared" si="0"/>
        <v>169155.375</v>
      </c>
      <c r="I26" s="7">
        <v>27064.86</v>
      </c>
    </row>
    <row r="27" spans="1:9">
      <c r="A27" t="s">
        <v>5891</v>
      </c>
      <c r="B27" s="1">
        <v>42331</v>
      </c>
      <c r="C27" t="s">
        <v>5892</v>
      </c>
      <c r="D27">
        <v>1</v>
      </c>
      <c r="E27" t="s">
        <v>3751</v>
      </c>
      <c r="F27" t="s">
        <v>2187</v>
      </c>
      <c r="G27" t="s">
        <v>3658</v>
      </c>
      <c r="H27" s="7">
        <f t="shared" si="0"/>
        <v>171880.9375</v>
      </c>
      <c r="I27" s="7">
        <v>27500.95</v>
      </c>
    </row>
    <row r="28" spans="1:9">
      <c r="A28" t="s">
        <v>5851</v>
      </c>
      <c r="B28" s="1">
        <v>42322</v>
      </c>
      <c r="C28" t="s">
        <v>5852</v>
      </c>
      <c r="D28">
        <v>1</v>
      </c>
      <c r="E28" t="s">
        <v>5853</v>
      </c>
      <c r="F28" t="s">
        <v>698</v>
      </c>
      <c r="G28" t="s">
        <v>6245</v>
      </c>
      <c r="H28" s="7">
        <f t="shared" si="0"/>
        <v>206605.24999999997</v>
      </c>
      <c r="I28" s="7">
        <v>33056.839999999997</v>
      </c>
    </row>
    <row r="29" spans="1:9">
      <c r="A29" t="s">
        <v>4292</v>
      </c>
      <c r="B29" s="1">
        <v>42336</v>
      </c>
      <c r="C29" t="s">
        <v>5935</v>
      </c>
      <c r="D29">
        <v>1</v>
      </c>
      <c r="E29" t="s">
        <v>4663</v>
      </c>
      <c r="F29" t="s">
        <v>698</v>
      </c>
      <c r="G29" t="s">
        <v>6245</v>
      </c>
      <c r="H29" s="7">
        <f t="shared" si="0"/>
        <v>150305.0625</v>
      </c>
      <c r="I29" s="7">
        <v>24048.81</v>
      </c>
    </row>
    <row r="30" spans="1:9">
      <c r="A30" t="s">
        <v>115</v>
      </c>
      <c r="B30" s="1">
        <v>42327</v>
      </c>
      <c r="C30" t="s">
        <v>5878</v>
      </c>
      <c r="D30">
        <v>1</v>
      </c>
      <c r="E30" t="s">
        <v>5879</v>
      </c>
      <c r="F30" t="s">
        <v>3217</v>
      </c>
      <c r="G30" t="s">
        <v>4210</v>
      </c>
      <c r="H30" s="7">
        <f t="shared" si="0"/>
        <v>206605.24999999997</v>
      </c>
      <c r="I30" s="7">
        <v>33056.839999999997</v>
      </c>
    </row>
    <row r="31" spans="1:9">
      <c r="A31" t="s">
        <v>1823</v>
      </c>
      <c r="B31" s="1">
        <v>42336</v>
      </c>
      <c r="C31" t="s">
        <v>5936</v>
      </c>
      <c r="D31">
        <v>1</v>
      </c>
      <c r="E31" t="s">
        <v>5937</v>
      </c>
      <c r="F31" t="s">
        <v>3217</v>
      </c>
      <c r="G31" t="s">
        <v>4210</v>
      </c>
      <c r="H31" s="7">
        <f t="shared" si="0"/>
        <v>171880.9375</v>
      </c>
      <c r="I31" s="7">
        <v>27500.95</v>
      </c>
    </row>
    <row r="32" spans="1:9">
      <c r="A32" t="s">
        <v>5865</v>
      </c>
      <c r="B32" s="1">
        <v>42326</v>
      </c>
      <c r="C32" t="s">
        <v>5866</v>
      </c>
      <c r="D32">
        <v>1</v>
      </c>
      <c r="E32" t="s">
        <v>5867</v>
      </c>
      <c r="F32" t="s">
        <v>3217</v>
      </c>
      <c r="G32" t="s">
        <v>4210</v>
      </c>
      <c r="H32" s="7">
        <f t="shared" si="0"/>
        <v>171880.9375</v>
      </c>
      <c r="I32" s="7">
        <v>27500.95</v>
      </c>
    </row>
    <row r="33" spans="1:9">
      <c r="A33" t="s">
        <v>5188</v>
      </c>
      <c r="B33" s="1">
        <v>42338</v>
      </c>
      <c r="C33" t="s">
        <v>5975</v>
      </c>
      <c r="D33">
        <v>1</v>
      </c>
      <c r="E33" t="s">
        <v>745</v>
      </c>
      <c r="F33" s="103" t="s">
        <v>745</v>
      </c>
      <c r="G33" s="139" t="s">
        <v>746</v>
      </c>
      <c r="H33" s="7">
        <f t="shared" si="0"/>
        <v>99.125</v>
      </c>
      <c r="I33" s="7">
        <v>15.86</v>
      </c>
    </row>
    <row r="34" spans="1:9">
      <c r="A34" t="s">
        <v>3917</v>
      </c>
      <c r="B34" s="1">
        <v>42338</v>
      </c>
      <c r="C34" t="s">
        <v>5995</v>
      </c>
      <c r="D34">
        <v>1</v>
      </c>
      <c r="E34" t="s">
        <v>745</v>
      </c>
      <c r="F34" s="103" t="s">
        <v>745</v>
      </c>
      <c r="G34" s="139" t="s">
        <v>746</v>
      </c>
      <c r="H34" s="7">
        <f t="shared" si="0"/>
        <v>99.125</v>
      </c>
      <c r="I34" s="7">
        <v>15.86</v>
      </c>
    </row>
    <row r="35" spans="1:9">
      <c r="A35" t="s">
        <v>3925</v>
      </c>
      <c r="B35" s="1">
        <v>42338</v>
      </c>
      <c r="C35" t="s">
        <v>6008</v>
      </c>
      <c r="D35">
        <v>1</v>
      </c>
      <c r="E35" t="s">
        <v>745</v>
      </c>
      <c r="F35" s="103" t="s">
        <v>745</v>
      </c>
      <c r="G35" s="139" t="s">
        <v>746</v>
      </c>
      <c r="H35" s="7">
        <f t="shared" si="0"/>
        <v>86.187499999999986</v>
      </c>
      <c r="I35" s="7">
        <v>13.79</v>
      </c>
    </row>
    <row r="36" spans="1:9">
      <c r="A36" t="s">
        <v>3955</v>
      </c>
      <c r="B36" s="1">
        <v>42338</v>
      </c>
      <c r="C36" t="s">
        <v>6045</v>
      </c>
      <c r="D36">
        <v>1</v>
      </c>
      <c r="E36" t="s">
        <v>745</v>
      </c>
      <c r="F36" s="103" t="s">
        <v>745</v>
      </c>
      <c r="G36" s="139" t="s">
        <v>746</v>
      </c>
      <c r="H36" s="7">
        <f t="shared" si="0"/>
        <v>86.187499999999986</v>
      </c>
      <c r="I36" s="7">
        <v>13.79</v>
      </c>
    </row>
    <row r="37" spans="1:9">
      <c r="A37" t="s">
        <v>3957</v>
      </c>
      <c r="B37" s="1">
        <v>42338</v>
      </c>
      <c r="C37" t="s">
        <v>6056</v>
      </c>
      <c r="D37">
        <v>1</v>
      </c>
      <c r="E37" t="s">
        <v>745</v>
      </c>
      <c r="F37" s="103" t="s">
        <v>745</v>
      </c>
      <c r="G37" s="139" t="s">
        <v>746</v>
      </c>
      <c r="H37" s="7">
        <f t="shared" si="0"/>
        <v>87.9375</v>
      </c>
      <c r="I37" s="7">
        <v>14.07</v>
      </c>
    </row>
    <row r="38" spans="1:9">
      <c r="A38" t="s">
        <v>4031</v>
      </c>
      <c r="B38" s="1">
        <v>42338</v>
      </c>
      <c r="C38" t="s">
        <v>6095</v>
      </c>
      <c r="D38">
        <v>1</v>
      </c>
      <c r="E38" t="s">
        <v>745</v>
      </c>
      <c r="F38" s="103" t="s">
        <v>745</v>
      </c>
      <c r="G38" s="139" t="s">
        <v>746</v>
      </c>
      <c r="H38" s="7">
        <f t="shared" si="0"/>
        <v>99.125</v>
      </c>
      <c r="I38" s="7">
        <v>15.86</v>
      </c>
    </row>
    <row r="39" spans="1:9">
      <c r="A39" t="s">
        <v>536</v>
      </c>
      <c r="B39" s="1">
        <v>42333</v>
      </c>
      <c r="C39" t="s">
        <v>6217</v>
      </c>
      <c r="D39">
        <v>1</v>
      </c>
      <c r="E39" t="s">
        <v>635</v>
      </c>
      <c r="F39" s="105" t="s">
        <v>702</v>
      </c>
      <c r="G39" t="s">
        <v>635</v>
      </c>
      <c r="H39" s="7">
        <f t="shared" ref="H39:H70" si="1">+I39/0.16</f>
        <v>47993</v>
      </c>
      <c r="I39" s="7">
        <v>7678.88</v>
      </c>
    </row>
    <row r="40" spans="1:9">
      <c r="A40" t="s">
        <v>5185</v>
      </c>
      <c r="B40" s="1">
        <v>42338</v>
      </c>
      <c r="C40" t="s">
        <v>5970</v>
      </c>
      <c r="D40">
        <v>1</v>
      </c>
      <c r="E40" t="s">
        <v>714</v>
      </c>
      <c r="F40" s="103" t="s">
        <v>714</v>
      </c>
      <c r="G40" s="144" t="s">
        <v>6291</v>
      </c>
      <c r="H40" s="7">
        <f t="shared" si="1"/>
        <v>574.125</v>
      </c>
      <c r="I40" s="7">
        <v>91.86</v>
      </c>
    </row>
    <row r="41" spans="1:9">
      <c r="A41" t="s">
        <v>5188</v>
      </c>
      <c r="B41" s="1">
        <v>42338</v>
      </c>
      <c r="C41" t="s">
        <v>5975</v>
      </c>
      <c r="D41">
        <v>1</v>
      </c>
      <c r="E41" t="s">
        <v>714</v>
      </c>
      <c r="F41" s="103" t="s">
        <v>714</v>
      </c>
      <c r="G41" s="144" t="s">
        <v>6291</v>
      </c>
      <c r="H41" s="7">
        <f t="shared" si="1"/>
        <v>48.25</v>
      </c>
      <c r="I41" s="7">
        <v>7.72</v>
      </c>
    </row>
    <row r="42" spans="1:9">
      <c r="A42" t="s">
        <v>5188</v>
      </c>
      <c r="B42" s="1">
        <v>42338</v>
      </c>
      <c r="C42" t="s">
        <v>5975</v>
      </c>
      <c r="D42">
        <v>1</v>
      </c>
      <c r="E42" t="s">
        <v>714</v>
      </c>
      <c r="F42" s="103" t="s">
        <v>714</v>
      </c>
      <c r="G42" s="144" t="s">
        <v>6291</v>
      </c>
      <c r="H42" s="7">
        <f t="shared" si="1"/>
        <v>206.875</v>
      </c>
      <c r="I42" s="7">
        <v>33.1</v>
      </c>
    </row>
    <row r="43" spans="1:9">
      <c r="A43" t="s">
        <v>5979</v>
      </c>
      <c r="B43" s="1">
        <v>42338</v>
      </c>
      <c r="C43" t="s">
        <v>5980</v>
      </c>
      <c r="D43">
        <v>1</v>
      </c>
      <c r="E43" t="s">
        <v>714</v>
      </c>
      <c r="F43" s="103" t="s">
        <v>714</v>
      </c>
      <c r="G43" s="144" t="s">
        <v>6291</v>
      </c>
      <c r="H43" s="7">
        <f t="shared" si="1"/>
        <v>48.25</v>
      </c>
      <c r="I43" s="7">
        <v>7.72</v>
      </c>
    </row>
    <row r="44" spans="1:9">
      <c r="A44" t="s">
        <v>5986</v>
      </c>
      <c r="B44" s="1">
        <v>42338</v>
      </c>
      <c r="C44" t="s">
        <v>5987</v>
      </c>
      <c r="D44">
        <v>1</v>
      </c>
      <c r="E44" t="s">
        <v>714</v>
      </c>
      <c r="F44" s="103" t="s">
        <v>714</v>
      </c>
      <c r="G44" s="144" t="s">
        <v>6291</v>
      </c>
      <c r="H44" s="7">
        <f t="shared" si="1"/>
        <v>388.8125</v>
      </c>
      <c r="I44" s="7">
        <v>62.21</v>
      </c>
    </row>
    <row r="45" spans="1:9">
      <c r="A45" t="s">
        <v>3906</v>
      </c>
      <c r="B45" s="1">
        <v>42338</v>
      </c>
      <c r="C45" t="s">
        <v>5988</v>
      </c>
      <c r="D45">
        <v>1</v>
      </c>
      <c r="E45" t="s">
        <v>714</v>
      </c>
      <c r="F45" s="103" t="s">
        <v>714</v>
      </c>
      <c r="G45" s="144" t="s">
        <v>6291</v>
      </c>
      <c r="H45" s="7">
        <f t="shared" si="1"/>
        <v>48.25</v>
      </c>
      <c r="I45" s="7">
        <v>7.72</v>
      </c>
    </row>
    <row r="46" spans="1:9">
      <c r="A46" t="s">
        <v>3917</v>
      </c>
      <c r="B46" s="1">
        <v>42338</v>
      </c>
      <c r="C46" t="s">
        <v>5995</v>
      </c>
      <c r="D46">
        <v>1</v>
      </c>
      <c r="E46" t="s">
        <v>714</v>
      </c>
      <c r="F46" s="103" t="s">
        <v>714</v>
      </c>
      <c r="G46" s="144" t="s">
        <v>6291</v>
      </c>
      <c r="H46" s="7">
        <f t="shared" si="1"/>
        <v>322.4375</v>
      </c>
      <c r="I46" s="7">
        <v>51.59</v>
      </c>
    </row>
    <row r="47" spans="1:9">
      <c r="A47" t="s">
        <v>3921</v>
      </c>
      <c r="B47" s="1">
        <v>42338</v>
      </c>
      <c r="C47" t="s">
        <v>6004</v>
      </c>
      <c r="D47">
        <v>1</v>
      </c>
      <c r="E47" t="s">
        <v>714</v>
      </c>
      <c r="F47" s="103" t="s">
        <v>714</v>
      </c>
      <c r="G47" s="144" t="s">
        <v>6291</v>
      </c>
      <c r="H47" s="7">
        <f t="shared" si="1"/>
        <v>322.4375</v>
      </c>
      <c r="I47" s="7">
        <v>51.59</v>
      </c>
    </row>
    <row r="48" spans="1:9">
      <c r="A48" t="s">
        <v>3923</v>
      </c>
      <c r="B48" s="1">
        <v>42338</v>
      </c>
      <c r="C48" t="s">
        <v>6005</v>
      </c>
      <c r="D48">
        <v>1</v>
      </c>
      <c r="E48" t="s">
        <v>714</v>
      </c>
      <c r="F48" s="103" t="s">
        <v>714</v>
      </c>
      <c r="G48" s="144" t="s">
        <v>6291</v>
      </c>
      <c r="H48" s="7">
        <f t="shared" si="1"/>
        <v>48.25</v>
      </c>
      <c r="I48" s="7">
        <v>7.72</v>
      </c>
    </row>
    <row r="49" spans="1:9">
      <c r="A49" t="s">
        <v>3925</v>
      </c>
      <c r="B49" s="1">
        <v>42338</v>
      </c>
      <c r="C49" t="s">
        <v>6008</v>
      </c>
      <c r="D49">
        <v>1</v>
      </c>
      <c r="E49" t="s">
        <v>714</v>
      </c>
      <c r="F49" s="103" t="s">
        <v>714</v>
      </c>
      <c r="G49" s="144" t="s">
        <v>6291</v>
      </c>
      <c r="H49" s="7">
        <f t="shared" si="1"/>
        <v>326.75</v>
      </c>
      <c r="I49" s="7">
        <v>52.28</v>
      </c>
    </row>
    <row r="50" spans="1:9">
      <c r="A50" t="s">
        <v>3955</v>
      </c>
      <c r="B50" s="1">
        <v>42338</v>
      </c>
      <c r="C50" t="s">
        <v>6045</v>
      </c>
      <c r="D50">
        <v>1</v>
      </c>
      <c r="E50" t="s">
        <v>714</v>
      </c>
      <c r="F50" s="103" t="s">
        <v>714</v>
      </c>
      <c r="G50" s="144" t="s">
        <v>6291</v>
      </c>
      <c r="H50" s="7">
        <f t="shared" si="1"/>
        <v>206.875</v>
      </c>
      <c r="I50" s="7">
        <v>33.1</v>
      </c>
    </row>
    <row r="51" spans="1:9">
      <c r="A51" t="s">
        <v>3957</v>
      </c>
      <c r="B51" s="1">
        <v>42338</v>
      </c>
      <c r="C51" t="s">
        <v>6056</v>
      </c>
      <c r="D51">
        <v>1</v>
      </c>
      <c r="E51" t="s">
        <v>714</v>
      </c>
      <c r="F51" s="103" t="s">
        <v>714</v>
      </c>
      <c r="G51" s="144" t="s">
        <v>6291</v>
      </c>
      <c r="H51" s="7">
        <f t="shared" si="1"/>
        <v>130.1875</v>
      </c>
      <c r="I51" s="7">
        <v>20.83</v>
      </c>
    </row>
    <row r="52" spans="1:9">
      <c r="A52" t="s">
        <v>3957</v>
      </c>
      <c r="B52" s="1">
        <v>42338</v>
      </c>
      <c r="C52" t="s">
        <v>6056</v>
      </c>
      <c r="D52">
        <v>1</v>
      </c>
      <c r="E52" t="s">
        <v>714</v>
      </c>
      <c r="F52" s="103" t="s">
        <v>714</v>
      </c>
      <c r="G52" s="144" t="s">
        <v>6291</v>
      </c>
      <c r="H52" s="7">
        <f t="shared" si="1"/>
        <v>243.125</v>
      </c>
      <c r="I52" s="7">
        <v>38.9</v>
      </c>
    </row>
    <row r="53" spans="1:9">
      <c r="A53" t="s">
        <v>3960</v>
      </c>
      <c r="B53" s="1">
        <v>42338</v>
      </c>
      <c r="C53" t="s">
        <v>6058</v>
      </c>
      <c r="D53">
        <v>1</v>
      </c>
      <c r="E53" t="s">
        <v>714</v>
      </c>
      <c r="F53" s="103" t="s">
        <v>714</v>
      </c>
      <c r="G53" s="144" t="s">
        <v>6291</v>
      </c>
      <c r="H53" s="7">
        <f t="shared" si="1"/>
        <v>48.25</v>
      </c>
      <c r="I53" s="7">
        <v>7.72</v>
      </c>
    </row>
    <row r="54" spans="1:9">
      <c r="A54" t="s">
        <v>3960</v>
      </c>
      <c r="B54" s="1">
        <v>42338</v>
      </c>
      <c r="C54" t="s">
        <v>6058</v>
      </c>
      <c r="D54">
        <v>1</v>
      </c>
      <c r="E54" t="s">
        <v>714</v>
      </c>
      <c r="F54" s="103" t="s">
        <v>714</v>
      </c>
      <c r="G54" s="144" t="s">
        <v>6291</v>
      </c>
      <c r="H54" s="7">
        <f t="shared" si="1"/>
        <v>309.5</v>
      </c>
      <c r="I54" s="7">
        <v>49.52</v>
      </c>
    </row>
    <row r="55" spans="1:9">
      <c r="A55" t="s">
        <v>3962</v>
      </c>
      <c r="B55" s="1">
        <v>42338</v>
      </c>
      <c r="C55" t="s">
        <v>6059</v>
      </c>
      <c r="D55">
        <v>1</v>
      </c>
      <c r="E55" t="s">
        <v>714</v>
      </c>
      <c r="F55" s="103" t="s">
        <v>714</v>
      </c>
      <c r="G55" s="144" t="s">
        <v>6291</v>
      </c>
      <c r="H55" s="7">
        <f t="shared" si="1"/>
        <v>370.6875</v>
      </c>
      <c r="I55" s="7">
        <v>59.31</v>
      </c>
    </row>
    <row r="56" spans="1:9">
      <c r="A56" t="s">
        <v>4733</v>
      </c>
      <c r="B56" s="1">
        <v>42338</v>
      </c>
      <c r="C56" t="s">
        <v>6097</v>
      </c>
      <c r="D56">
        <v>1</v>
      </c>
      <c r="E56" t="s">
        <v>714</v>
      </c>
      <c r="F56" s="103" t="s">
        <v>714</v>
      </c>
      <c r="G56" s="144" t="s">
        <v>6291</v>
      </c>
      <c r="H56" s="7">
        <f t="shared" si="1"/>
        <v>322.4375</v>
      </c>
      <c r="I56" s="7">
        <v>51.59</v>
      </c>
    </row>
    <row r="57" spans="1:9">
      <c r="A57" t="s">
        <v>4041</v>
      </c>
      <c r="B57" s="1">
        <v>42338</v>
      </c>
      <c r="C57" t="s">
        <v>6105</v>
      </c>
      <c r="D57">
        <v>1</v>
      </c>
      <c r="E57" t="s">
        <v>714</v>
      </c>
      <c r="F57" s="103" t="s">
        <v>714</v>
      </c>
      <c r="G57" s="144" t="s">
        <v>6291</v>
      </c>
      <c r="H57" s="7">
        <f t="shared" si="1"/>
        <v>322.4375</v>
      </c>
      <c r="I57" s="7">
        <v>51.59</v>
      </c>
    </row>
    <row r="58" spans="1:9">
      <c r="A58" t="s">
        <v>6107</v>
      </c>
      <c r="B58" s="1">
        <v>42338</v>
      </c>
      <c r="C58" t="s">
        <v>6108</v>
      </c>
      <c r="D58">
        <v>1</v>
      </c>
      <c r="E58" t="s">
        <v>714</v>
      </c>
      <c r="F58" s="103" t="s">
        <v>751</v>
      </c>
      <c r="G58" s="139" t="s">
        <v>7358</v>
      </c>
      <c r="H58" s="7">
        <f t="shared" si="1"/>
        <v>322.4375</v>
      </c>
      <c r="I58" s="7">
        <v>51.59</v>
      </c>
    </row>
    <row r="59" spans="1:9">
      <c r="A59" t="s">
        <v>3906</v>
      </c>
      <c r="B59" s="1">
        <v>42338</v>
      </c>
      <c r="C59" t="s">
        <v>5988</v>
      </c>
      <c r="D59">
        <v>1</v>
      </c>
      <c r="E59" t="s">
        <v>751</v>
      </c>
      <c r="F59" s="103" t="s">
        <v>751</v>
      </c>
      <c r="G59" s="139" t="s">
        <v>7358</v>
      </c>
      <c r="H59" s="7">
        <f t="shared" si="1"/>
        <v>370.75</v>
      </c>
      <c r="I59" s="7">
        <v>59.32</v>
      </c>
    </row>
    <row r="60" spans="1:9">
      <c r="A60" t="s">
        <v>3917</v>
      </c>
      <c r="B60" s="1">
        <v>42338</v>
      </c>
      <c r="C60" t="s">
        <v>5995</v>
      </c>
      <c r="D60">
        <v>1</v>
      </c>
      <c r="E60" t="s">
        <v>751</v>
      </c>
      <c r="F60" s="103" t="s">
        <v>751</v>
      </c>
      <c r="G60" s="139" t="s">
        <v>7358</v>
      </c>
      <c r="H60" s="7">
        <f t="shared" si="1"/>
        <v>890.49999999999989</v>
      </c>
      <c r="I60" s="7">
        <v>142.47999999999999</v>
      </c>
    </row>
    <row r="61" spans="1:9">
      <c r="A61" t="s">
        <v>3960</v>
      </c>
      <c r="B61" s="1">
        <v>42338</v>
      </c>
      <c r="C61" t="s">
        <v>6058</v>
      </c>
      <c r="D61">
        <v>1</v>
      </c>
      <c r="E61" t="s">
        <v>3903</v>
      </c>
      <c r="F61" s="103" t="s">
        <v>3903</v>
      </c>
      <c r="G61" s="139" t="s">
        <v>7441</v>
      </c>
      <c r="H61" s="7">
        <f t="shared" si="1"/>
        <v>66.375</v>
      </c>
      <c r="I61" s="7">
        <v>10.62</v>
      </c>
    </row>
    <row r="62" spans="1:9">
      <c r="A62" t="s">
        <v>3923</v>
      </c>
      <c r="B62" s="1">
        <v>42338</v>
      </c>
      <c r="C62" t="s">
        <v>6005</v>
      </c>
      <c r="D62">
        <v>1</v>
      </c>
      <c r="E62" t="s">
        <v>1628</v>
      </c>
      <c r="F62" s="103" t="s">
        <v>1628</v>
      </c>
      <c r="G62" s="139" t="s">
        <v>7501</v>
      </c>
      <c r="H62" s="7">
        <f t="shared" si="1"/>
        <v>503.24999999999994</v>
      </c>
      <c r="I62" s="7">
        <v>80.52</v>
      </c>
    </row>
    <row r="63" spans="1:9">
      <c r="A63" t="s">
        <v>5986</v>
      </c>
      <c r="B63" s="1">
        <v>42338</v>
      </c>
      <c r="C63" t="s">
        <v>5987</v>
      </c>
      <c r="D63">
        <v>1</v>
      </c>
      <c r="E63" t="s">
        <v>749</v>
      </c>
      <c r="F63" s="103" t="s">
        <v>749</v>
      </c>
      <c r="G63" s="139" t="s">
        <v>7359</v>
      </c>
      <c r="H63" s="7">
        <f t="shared" si="1"/>
        <v>86.187499999999986</v>
      </c>
      <c r="I63" s="7">
        <v>13.79</v>
      </c>
    </row>
    <row r="65" spans="1:9">
      <c r="A65" t="s">
        <v>1469</v>
      </c>
      <c r="B65" s="1">
        <v>42320</v>
      </c>
      <c r="C65" t="s">
        <v>6228</v>
      </c>
      <c r="D65">
        <v>1</v>
      </c>
      <c r="E65" t="s">
        <v>6229</v>
      </c>
      <c r="F65" s="104" t="s">
        <v>6246</v>
      </c>
      <c r="G65" s="104" t="s">
        <v>6229</v>
      </c>
      <c r="H65" s="7">
        <f t="shared" si="1"/>
        <v>2132.3125</v>
      </c>
      <c r="I65" s="7">
        <v>341.17</v>
      </c>
    </row>
    <row r="66" spans="1:9">
      <c r="A66" t="s">
        <v>3392</v>
      </c>
      <c r="B66" s="1">
        <v>42338</v>
      </c>
      <c r="C66" t="s">
        <v>5952</v>
      </c>
      <c r="D66">
        <v>1</v>
      </c>
      <c r="E66" t="s">
        <v>5953</v>
      </c>
      <c r="F66" t="s">
        <v>5633</v>
      </c>
      <c r="G66" t="s">
        <v>6247</v>
      </c>
      <c r="H66" s="7">
        <f t="shared" si="1"/>
        <v>217499.3125</v>
      </c>
      <c r="I66" s="7">
        <v>34799.89</v>
      </c>
    </row>
    <row r="67" spans="1:9">
      <c r="A67" t="s">
        <v>1851</v>
      </c>
      <c r="B67" s="1">
        <v>42338</v>
      </c>
      <c r="C67" t="s">
        <v>5949</v>
      </c>
      <c r="D67">
        <v>1</v>
      </c>
      <c r="E67" t="s">
        <v>5950</v>
      </c>
      <c r="F67" t="s">
        <v>1530</v>
      </c>
      <c r="G67" t="s">
        <v>6248</v>
      </c>
      <c r="H67" s="7">
        <f t="shared" si="1"/>
        <v>186526.06249999997</v>
      </c>
      <c r="I67" s="7">
        <v>29844.17</v>
      </c>
    </row>
    <row r="68" spans="1:9">
      <c r="A68" t="s">
        <v>5939</v>
      </c>
      <c r="B68" s="1">
        <v>42338</v>
      </c>
      <c r="C68" t="s">
        <v>5940</v>
      </c>
      <c r="D68">
        <v>1</v>
      </c>
      <c r="E68" t="s">
        <v>5941</v>
      </c>
      <c r="F68" t="s">
        <v>2192</v>
      </c>
      <c r="G68" t="s">
        <v>6249</v>
      </c>
      <c r="H68" s="7">
        <f t="shared" si="1"/>
        <v>171880.9375</v>
      </c>
      <c r="I68" s="7">
        <v>27500.95</v>
      </c>
    </row>
    <row r="69" spans="1:9">
      <c r="A69" t="s">
        <v>2517</v>
      </c>
      <c r="B69" s="1">
        <v>42334</v>
      </c>
      <c r="C69" t="s">
        <v>5923</v>
      </c>
      <c r="D69">
        <v>1</v>
      </c>
      <c r="E69" t="s">
        <v>5924</v>
      </c>
      <c r="F69" t="s">
        <v>2192</v>
      </c>
      <c r="G69" t="s">
        <v>6249</v>
      </c>
      <c r="H69" s="7">
        <f t="shared" si="1"/>
        <v>393486.8125</v>
      </c>
      <c r="I69" s="7">
        <v>62957.89</v>
      </c>
    </row>
    <row r="70" spans="1:9">
      <c r="A70" t="s">
        <v>2853</v>
      </c>
      <c r="B70" s="1">
        <v>42327</v>
      </c>
      <c r="C70" t="s">
        <v>5875</v>
      </c>
      <c r="D70">
        <v>1</v>
      </c>
      <c r="E70" t="s">
        <v>2361</v>
      </c>
      <c r="F70" t="s">
        <v>2192</v>
      </c>
      <c r="G70" t="s">
        <v>6249</v>
      </c>
      <c r="H70" s="7">
        <f t="shared" si="1"/>
        <v>186526.06249999997</v>
      </c>
      <c r="I70" s="7">
        <v>29844.17</v>
      </c>
    </row>
    <row r="71" spans="1:9">
      <c r="A71" t="s">
        <v>1937</v>
      </c>
      <c r="B71" s="1">
        <v>42338</v>
      </c>
      <c r="C71" t="s">
        <v>5956</v>
      </c>
      <c r="D71">
        <v>1</v>
      </c>
      <c r="E71" t="s">
        <v>5957</v>
      </c>
      <c r="F71" t="s">
        <v>2192</v>
      </c>
      <c r="G71" t="s">
        <v>6249</v>
      </c>
      <c r="H71" s="7">
        <f t="shared" ref="H71:H102" si="2">+I71/0.16</f>
        <v>186526.06249999997</v>
      </c>
      <c r="I71" s="7">
        <v>29844.17</v>
      </c>
    </row>
    <row r="72" spans="1:9">
      <c r="A72" t="s">
        <v>1805</v>
      </c>
      <c r="B72" s="1">
        <v>42333</v>
      </c>
      <c r="C72" t="s">
        <v>5921</v>
      </c>
      <c r="D72">
        <v>1</v>
      </c>
      <c r="E72" t="s">
        <v>5922</v>
      </c>
      <c r="F72" t="s">
        <v>5634</v>
      </c>
      <c r="G72" t="s">
        <v>6250</v>
      </c>
      <c r="H72" s="7">
        <f t="shared" si="2"/>
        <v>170465.6875</v>
      </c>
      <c r="I72" s="7">
        <v>27274.51</v>
      </c>
    </row>
    <row r="73" spans="1:9">
      <c r="A73" t="s">
        <v>2589</v>
      </c>
      <c r="B73" s="1">
        <v>42313</v>
      </c>
      <c r="C73" t="s">
        <v>6141</v>
      </c>
      <c r="D73">
        <v>1</v>
      </c>
      <c r="E73" t="s">
        <v>2092</v>
      </c>
      <c r="F73" s="103" t="s">
        <v>2196</v>
      </c>
      <c r="G73" s="103" t="s">
        <v>2092</v>
      </c>
      <c r="H73" s="7">
        <f t="shared" si="2"/>
        <v>4500</v>
      </c>
      <c r="I73" s="7">
        <v>720</v>
      </c>
    </row>
    <row r="74" spans="1:9">
      <c r="A74" t="s">
        <v>1404</v>
      </c>
      <c r="B74" s="1">
        <v>42327</v>
      </c>
      <c r="C74" t="s">
        <v>6187</v>
      </c>
      <c r="D74">
        <v>1</v>
      </c>
      <c r="E74" t="s">
        <v>2092</v>
      </c>
      <c r="F74" s="103" t="s">
        <v>2196</v>
      </c>
      <c r="G74" s="103" t="s">
        <v>2092</v>
      </c>
      <c r="H74" s="7">
        <f t="shared" si="2"/>
        <v>2070</v>
      </c>
      <c r="I74" s="7">
        <v>331.2</v>
      </c>
    </row>
    <row r="75" spans="1:9">
      <c r="A75" t="s">
        <v>4733</v>
      </c>
      <c r="B75" s="1">
        <v>42338</v>
      </c>
      <c r="C75" t="s">
        <v>6097</v>
      </c>
      <c r="D75">
        <v>1</v>
      </c>
      <c r="E75" t="s">
        <v>2761</v>
      </c>
      <c r="F75" s="103" t="s">
        <v>2761</v>
      </c>
      <c r="G75" s="139" t="s">
        <v>7502</v>
      </c>
      <c r="H75" s="7">
        <f t="shared" si="2"/>
        <v>377.625</v>
      </c>
      <c r="I75" s="7">
        <v>60.42</v>
      </c>
    </row>
    <row r="76" spans="1:9">
      <c r="A76" t="s">
        <v>2100</v>
      </c>
      <c r="B76" s="1">
        <v>42327</v>
      </c>
      <c r="C76" t="s">
        <v>6176</v>
      </c>
      <c r="D76">
        <v>1</v>
      </c>
      <c r="E76" t="s">
        <v>6177</v>
      </c>
      <c r="F76" s="103" t="s">
        <v>6251</v>
      </c>
      <c r="G76" s="103" t="s">
        <v>6177</v>
      </c>
      <c r="H76" s="7">
        <f t="shared" si="2"/>
        <v>25862.0625</v>
      </c>
      <c r="I76" s="7">
        <v>4137.93</v>
      </c>
    </row>
    <row r="77" spans="1:9">
      <c r="A77" t="s">
        <v>3906</v>
      </c>
      <c r="B77" s="1">
        <v>42338</v>
      </c>
      <c r="C77" t="s">
        <v>5988</v>
      </c>
      <c r="D77">
        <v>1</v>
      </c>
      <c r="E77" t="s">
        <v>895</v>
      </c>
      <c r="F77" s="103" t="s">
        <v>895</v>
      </c>
      <c r="G77" s="139" t="s">
        <v>896</v>
      </c>
      <c r="H77" s="7">
        <f t="shared" si="2"/>
        <v>86.187499999999986</v>
      </c>
      <c r="I77" s="7">
        <v>13.79</v>
      </c>
    </row>
    <row r="78" spans="1:9">
      <c r="A78" t="s">
        <v>4039</v>
      </c>
      <c r="B78" s="1">
        <v>42338</v>
      </c>
      <c r="C78" t="s">
        <v>6103</v>
      </c>
      <c r="D78">
        <v>1</v>
      </c>
      <c r="E78" t="s">
        <v>6104</v>
      </c>
      <c r="F78" s="103" t="s">
        <v>6104</v>
      </c>
      <c r="G78" s="139" t="s">
        <v>7503</v>
      </c>
      <c r="H78" s="7">
        <f t="shared" si="2"/>
        <v>1400</v>
      </c>
      <c r="I78" s="7">
        <v>224</v>
      </c>
    </row>
    <row r="79" spans="1:9">
      <c r="A79" t="s">
        <v>431</v>
      </c>
      <c r="B79" s="1">
        <v>42312</v>
      </c>
      <c r="C79" t="s">
        <v>6122</v>
      </c>
      <c r="D79">
        <v>1</v>
      </c>
      <c r="E79" t="s">
        <v>6123</v>
      </c>
      <c r="F79" s="103" t="s">
        <v>6252</v>
      </c>
      <c r="G79" s="103" t="s">
        <v>6123</v>
      </c>
      <c r="H79" s="7">
        <f t="shared" si="2"/>
        <v>3103.4375</v>
      </c>
      <c r="I79" s="7">
        <v>496.55</v>
      </c>
    </row>
    <row r="80" spans="1:9">
      <c r="A80" t="s">
        <v>5868</v>
      </c>
      <c r="B80" s="1">
        <v>42326</v>
      </c>
      <c r="C80" t="s">
        <v>5869</v>
      </c>
      <c r="D80">
        <v>1</v>
      </c>
      <c r="E80" t="s">
        <v>5870</v>
      </c>
      <c r="F80" t="s">
        <v>724</v>
      </c>
      <c r="G80" t="s">
        <v>3664</v>
      </c>
      <c r="H80" s="7">
        <f t="shared" si="2"/>
        <v>171880.9375</v>
      </c>
      <c r="I80" s="7">
        <v>27500.95</v>
      </c>
    </row>
    <row r="81" spans="1:9">
      <c r="A81" t="s">
        <v>5929</v>
      </c>
      <c r="B81" s="1">
        <v>42335</v>
      </c>
      <c r="C81" t="s">
        <v>5930</v>
      </c>
      <c r="D81">
        <v>1</v>
      </c>
      <c r="E81" t="s">
        <v>110</v>
      </c>
      <c r="F81" t="s">
        <v>724</v>
      </c>
      <c r="G81" t="s">
        <v>3664</v>
      </c>
      <c r="H81" s="7">
        <f t="shared" si="2"/>
        <v>243817.8125</v>
      </c>
      <c r="I81" s="7">
        <v>39010.85</v>
      </c>
    </row>
    <row r="82" spans="1:9">
      <c r="A82" t="s">
        <v>5784</v>
      </c>
      <c r="B82" s="1">
        <v>42314</v>
      </c>
      <c r="C82" t="s">
        <v>5785</v>
      </c>
      <c r="D82">
        <v>1</v>
      </c>
      <c r="E82" t="s">
        <v>5786</v>
      </c>
      <c r="F82" t="s">
        <v>727</v>
      </c>
      <c r="G82" t="s">
        <v>6253</v>
      </c>
      <c r="H82" s="7">
        <f t="shared" si="2"/>
        <v>166527.5</v>
      </c>
      <c r="I82" s="7">
        <v>26644.400000000001</v>
      </c>
    </row>
    <row r="83" spans="1:9">
      <c r="A83" t="s">
        <v>6107</v>
      </c>
      <c r="B83" s="1">
        <v>42338</v>
      </c>
      <c r="C83" t="s">
        <v>6108</v>
      </c>
      <c r="D83">
        <v>1</v>
      </c>
      <c r="E83" t="s">
        <v>3945</v>
      </c>
      <c r="F83" s="103" t="s">
        <v>3945</v>
      </c>
      <c r="G83" s="139" t="s">
        <v>7438</v>
      </c>
      <c r="H83" s="7">
        <f t="shared" si="2"/>
        <v>503.24999999999994</v>
      </c>
      <c r="I83" s="7">
        <v>80.52</v>
      </c>
    </row>
    <row r="84" spans="1:9">
      <c r="A84" t="s">
        <v>3124</v>
      </c>
      <c r="B84" s="1">
        <v>42313</v>
      </c>
      <c r="C84" t="s">
        <v>6139</v>
      </c>
      <c r="D84">
        <v>1</v>
      </c>
      <c r="E84" t="s">
        <v>1436</v>
      </c>
      <c r="F84" s="103" t="s">
        <v>1551</v>
      </c>
      <c r="G84" s="103" t="s">
        <v>1436</v>
      </c>
      <c r="H84" s="7">
        <f t="shared" si="2"/>
        <v>1744.875</v>
      </c>
      <c r="I84" s="7">
        <v>279.18</v>
      </c>
    </row>
    <row r="85" spans="1:9">
      <c r="A85" t="s">
        <v>514</v>
      </c>
      <c r="B85" s="1">
        <v>42333</v>
      </c>
      <c r="C85" t="s">
        <v>6202</v>
      </c>
      <c r="D85">
        <v>1</v>
      </c>
      <c r="E85" t="s">
        <v>1436</v>
      </c>
      <c r="F85" s="103" t="s">
        <v>1551</v>
      </c>
      <c r="G85" s="103" t="s">
        <v>1436</v>
      </c>
      <c r="H85" s="7">
        <f t="shared" si="2"/>
        <v>3479.1249999999995</v>
      </c>
      <c r="I85" s="7">
        <v>556.66</v>
      </c>
    </row>
    <row r="86" spans="1:9">
      <c r="A86" t="s">
        <v>3925</v>
      </c>
      <c r="B86" s="1">
        <v>42338</v>
      </c>
      <c r="C86" t="s">
        <v>6008</v>
      </c>
      <c r="D86">
        <v>1</v>
      </c>
      <c r="E86" t="s">
        <v>5365</v>
      </c>
      <c r="F86" s="103" t="s">
        <v>5365</v>
      </c>
      <c r="G86" t="s">
        <v>5678</v>
      </c>
      <c r="H86" s="7">
        <f t="shared" si="2"/>
        <v>100.875</v>
      </c>
      <c r="I86" s="7">
        <v>16.14</v>
      </c>
    </row>
    <row r="87" spans="1:9">
      <c r="A87" t="s">
        <v>3955</v>
      </c>
      <c r="B87" s="1">
        <v>42338</v>
      </c>
      <c r="C87" t="s">
        <v>6045</v>
      </c>
      <c r="D87">
        <v>1</v>
      </c>
      <c r="E87" t="s">
        <v>5365</v>
      </c>
      <c r="F87" s="103" t="s">
        <v>5365</v>
      </c>
      <c r="G87" t="s">
        <v>5678</v>
      </c>
      <c r="H87" s="7">
        <f t="shared" si="2"/>
        <v>70.6875</v>
      </c>
      <c r="I87" s="7">
        <v>11.31</v>
      </c>
    </row>
    <row r="88" spans="1:9">
      <c r="A88" t="s">
        <v>3957</v>
      </c>
      <c r="B88" s="1">
        <v>42338</v>
      </c>
      <c r="C88" t="s">
        <v>6056</v>
      </c>
      <c r="D88">
        <v>1</v>
      </c>
      <c r="E88" t="s">
        <v>5365</v>
      </c>
      <c r="F88" s="103" t="s">
        <v>5365</v>
      </c>
      <c r="G88" t="s">
        <v>5678</v>
      </c>
      <c r="H88" s="7">
        <f t="shared" si="2"/>
        <v>116.375</v>
      </c>
      <c r="I88" s="7">
        <v>18.62</v>
      </c>
    </row>
    <row r="89" spans="1:9">
      <c r="A89" t="s">
        <v>4733</v>
      </c>
      <c r="B89" s="1">
        <v>42338</v>
      </c>
      <c r="C89" t="s">
        <v>6097</v>
      </c>
      <c r="D89">
        <v>1</v>
      </c>
      <c r="E89" t="s">
        <v>5365</v>
      </c>
      <c r="F89" s="103" t="s">
        <v>5365</v>
      </c>
      <c r="G89" t="s">
        <v>5678</v>
      </c>
      <c r="H89" s="7">
        <f t="shared" si="2"/>
        <v>166.375</v>
      </c>
      <c r="I89" s="7">
        <v>26.62</v>
      </c>
    </row>
    <row r="90" spans="1:9">
      <c r="A90" t="s">
        <v>5191</v>
      </c>
      <c r="B90" s="1">
        <v>42338</v>
      </c>
      <c r="C90" t="s">
        <v>6029</v>
      </c>
      <c r="D90">
        <v>1</v>
      </c>
      <c r="E90" t="s">
        <v>759</v>
      </c>
      <c r="F90" s="144" t="s">
        <v>759</v>
      </c>
      <c r="G90" s="139" t="s">
        <v>3221</v>
      </c>
      <c r="H90" s="7">
        <f t="shared" si="2"/>
        <v>1637.125</v>
      </c>
      <c r="I90" s="7">
        <v>261.94</v>
      </c>
    </row>
    <row r="91" spans="1:9">
      <c r="A91" t="s">
        <v>3565</v>
      </c>
      <c r="B91" s="1">
        <v>42313</v>
      </c>
      <c r="C91" t="s">
        <v>4107</v>
      </c>
      <c r="D91">
        <v>2</v>
      </c>
      <c r="E91" t="s">
        <v>476</v>
      </c>
      <c r="F91" s="103" t="s">
        <v>730</v>
      </c>
      <c r="G91" s="103" t="s">
        <v>476</v>
      </c>
      <c r="H91" s="7">
        <f t="shared" si="2"/>
        <v>5000</v>
      </c>
      <c r="I91" s="7">
        <v>800</v>
      </c>
    </row>
    <row r="92" spans="1:9">
      <c r="A92" t="s">
        <v>3185</v>
      </c>
      <c r="B92" s="1">
        <v>42333</v>
      </c>
      <c r="C92" t="s">
        <v>6198</v>
      </c>
      <c r="D92">
        <v>2</v>
      </c>
      <c r="E92" t="s">
        <v>476</v>
      </c>
      <c r="F92" s="103" t="s">
        <v>730</v>
      </c>
      <c r="G92" s="103" t="s">
        <v>476</v>
      </c>
      <c r="H92" s="7">
        <f t="shared" si="2"/>
        <v>1706.875</v>
      </c>
      <c r="I92" s="7">
        <v>273.10000000000002</v>
      </c>
    </row>
    <row r="93" spans="1:9">
      <c r="A93" t="s">
        <v>1487</v>
      </c>
      <c r="B93" s="1">
        <v>42338</v>
      </c>
      <c r="C93" t="s">
        <v>6242</v>
      </c>
      <c r="D93">
        <v>1</v>
      </c>
      <c r="E93" t="s">
        <v>6243</v>
      </c>
      <c r="F93" s="88" t="s">
        <v>733</v>
      </c>
      <c r="G93" s="107" t="s">
        <v>734</v>
      </c>
      <c r="H93" s="7">
        <f t="shared" si="2"/>
        <v>979.37499999999989</v>
      </c>
      <c r="I93" s="7">
        <v>156.69999999999999</v>
      </c>
    </row>
    <row r="94" spans="1:9">
      <c r="A94" t="s">
        <v>560</v>
      </c>
      <c r="B94" s="1">
        <v>42338</v>
      </c>
      <c r="C94" t="s">
        <v>6234</v>
      </c>
      <c r="D94">
        <v>1</v>
      </c>
      <c r="E94" t="s">
        <v>6235</v>
      </c>
      <c r="F94" t="s">
        <v>735</v>
      </c>
      <c r="G94" t="s">
        <v>6272</v>
      </c>
      <c r="H94" s="7">
        <f t="shared" si="2"/>
        <v>200</v>
      </c>
      <c r="I94" s="7">
        <v>32</v>
      </c>
    </row>
    <row r="95" spans="1:9">
      <c r="A95" t="s">
        <v>1470</v>
      </c>
      <c r="B95" s="1">
        <v>42338</v>
      </c>
      <c r="C95" t="s">
        <v>6232</v>
      </c>
      <c r="D95">
        <v>1</v>
      </c>
      <c r="E95" t="s">
        <v>6233</v>
      </c>
      <c r="F95" s="88" t="s">
        <v>741</v>
      </c>
      <c r="G95" s="45" t="s">
        <v>742</v>
      </c>
      <c r="H95" s="7">
        <f t="shared" si="2"/>
        <v>70</v>
      </c>
      <c r="I95" s="7">
        <v>11.2</v>
      </c>
    </row>
    <row r="96" spans="1:9">
      <c r="A96" t="s">
        <v>2169</v>
      </c>
      <c r="B96" s="1">
        <v>42338</v>
      </c>
      <c r="C96" t="s">
        <v>6236</v>
      </c>
      <c r="D96">
        <v>1</v>
      </c>
      <c r="E96" t="s">
        <v>6237</v>
      </c>
      <c r="F96" s="88" t="s">
        <v>743</v>
      </c>
      <c r="G96" s="45" t="s">
        <v>744</v>
      </c>
      <c r="H96" s="7">
        <f t="shared" si="2"/>
        <v>65</v>
      </c>
      <c r="I96" s="7">
        <v>10.4</v>
      </c>
    </row>
    <row r="97" spans="1:9">
      <c r="A97" t="s">
        <v>2044</v>
      </c>
      <c r="B97" s="1">
        <v>42314</v>
      </c>
      <c r="C97" t="s">
        <v>6129</v>
      </c>
      <c r="D97">
        <v>1</v>
      </c>
      <c r="E97" t="s">
        <v>489</v>
      </c>
      <c r="F97" s="103" t="s">
        <v>808</v>
      </c>
      <c r="G97" s="103" t="s">
        <v>489</v>
      </c>
      <c r="H97" s="7">
        <f t="shared" si="2"/>
        <v>18575.875</v>
      </c>
      <c r="I97" s="7">
        <v>2972.14</v>
      </c>
    </row>
    <row r="98" spans="1:9">
      <c r="A98" t="s">
        <v>429</v>
      </c>
      <c r="B98" s="1">
        <v>42311</v>
      </c>
      <c r="C98" t="s">
        <v>6115</v>
      </c>
      <c r="D98">
        <v>1</v>
      </c>
      <c r="E98" t="s">
        <v>428</v>
      </c>
      <c r="F98" s="103" t="s">
        <v>790</v>
      </c>
      <c r="G98" s="103" t="s">
        <v>428</v>
      </c>
      <c r="H98" s="7">
        <f t="shared" si="2"/>
        <v>2038.8124999999998</v>
      </c>
      <c r="I98" s="7">
        <v>326.20999999999998</v>
      </c>
    </row>
    <row r="99" spans="1:9">
      <c r="A99" t="s">
        <v>2574</v>
      </c>
      <c r="B99" s="1">
        <v>42311</v>
      </c>
      <c r="C99" t="s">
        <v>6116</v>
      </c>
      <c r="D99">
        <v>1</v>
      </c>
      <c r="E99" t="s">
        <v>428</v>
      </c>
      <c r="F99" s="103" t="s">
        <v>790</v>
      </c>
      <c r="G99" s="103" t="s">
        <v>428</v>
      </c>
      <c r="H99" s="7">
        <f t="shared" si="2"/>
        <v>334177.75</v>
      </c>
      <c r="I99" s="7">
        <v>53468.44</v>
      </c>
    </row>
    <row r="100" spans="1:9">
      <c r="A100" t="s">
        <v>4106</v>
      </c>
      <c r="B100" s="1">
        <v>42313</v>
      </c>
      <c r="C100" t="s">
        <v>6128</v>
      </c>
      <c r="D100">
        <v>1</v>
      </c>
      <c r="E100" t="s">
        <v>428</v>
      </c>
      <c r="F100" s="103" t="s">
        <v>790</v>
      </c>
      <c r="G100" s="103" t="s">
        <v>428</v>
      </c>
      <c r="H100" s="7">
        <f t="shared" si="2"/>
        <v>270213.8125</v>
      </c>
      <c r="I100" s="7">
        <v>43234.21</v>
      </c>
    </row>
    <row r="101" spans="1:9">
      <c r="A101" t="s">
        <v>2580</v>
      </c>
      <c r="B101" s="1">
        <v>42314</v>
      </c>
      <c r="C101" t="s">
        <v>6131</v>
      </c>
      <c r="D101">
        <v>1</v>
      </c>
      <c r="E101" t="s">
        <v>428</v>
      </c>
      <c r="F101" s="103" t="s">
        <v>790</v>
      </c>
      <c r="G101" s="103" t="s">
        <v>428</v>
      </c>
      <c r="H101" s="7">
        <f t="shared" si="2"/>
        <v>1581.3125</v>
      </c>
      <c r="I101" s="7">
        <v>253.01</v>
      </c>
    </row>
    <row r="102" spans="1:9">
      <c r="A102" t="s">
        <v>3119</v>
      </c>
      <c r="B102" s="1">
        <v>42314</v>
      </c>
      <c r="C102" t="s">
        <v>6134</v>
      </c>
      <c r="D102">
        <v>1</v>
      </c>
      <c r="E102" t="s">
        <v>428</v>
      </c>
      <c r="F102" s="103" t="s">
        <v>790</v>
      </c>
      <c r="G102" s="103" t="s">
        <v>428</v>
      </c>
      <c r="H102" s="7">
        <f t="shared" si="2"/>
        <v>115996</v>
      </c>
      <c r="I102" s="7">
        <v>18559.36</v>
      </c>
    </row>
    <row r="103" spans="1:9">
      <c r="A103" t="s">
        <v>1342</v>
      </c>
      <c r="B103" s="1">
        <v>42317</v>
      </c>
      <c r="C103" t="s">
        <v>6136</v>
      </c>
      <c r="D103">
        <v>1</v>
      </c>
      <c r="E103" t="s">
        <v>428</v>
      </c>
      <c r="F103" s="103" t="s">
        <v>790</v>
      </c>
      <c r="G103" s="103" t="s">
        <v>428</v>
      </c>
      <c r="H103" s="7">
        <f t="shared" ref="H103:H134" si="3">+I103/0.16</f>
        <v>8129.0000000000009</v>
      </c>
      <c r="I103" s="7">
        <v>1300.6400000000001</v>
      </c>
    </row>
    <row r="104" spans="1:9">
      <c r="A104" t="s">
        <v>2583</v>
      </c>
      <c r="B104" s="1">
        <v>42317</v>
      </c>
      <c r="C104" t="s">
        <v>6137</v>
      </c>
      <c r="D104">
        <v>1</v>
      </c>
      <c r="E104" t="s">
        <v>428</v>
      </c>
      <c r="F104" s="103" t="s">
        <v>790</v>
      </c>
      <c r="G104" s="103" t="s">
        <v>428</v>
      </c>
      <c r="H104" s="7">
        <f t="shared" si="3"/>
        <v>3145.5625</v>
      </c>
      <c r="I104" s="7">
        <v>503.29</v>
      </c>
    </row>
    <row r="105" spans="1:9">
      <c r="A105" t="s">
        <v>2586</v>
      </c>
      <c r="B105" s="1">
        <v>42317</v>
      </c>
      <c r="C105" t="s">
        <v>6138</v>
      </c>
      <c r="D105">
        <v>1</v>
      </c>
      <c r="E105" t="s">
        <v>428</v>
      </c>
      <c r="F105" s="103" t="s">
        <v>790</v>
      </c>
      <c r="G105" s="103" t="s">
        <v>428</v>
      </c>
      <c r="H105" s="7">
        <f t="shared" si="3"/>
        <v>83362.8125</v>
      </c>
      <c r="I105" s="7">
        <v>13338.05</v>
      </c>
    </row>
    <row r="106" spans="1:9">
      <c r="A106" t="s">
        <v>471</v>
      </c>
      <c r="B106" s="1">
        <v>42321</v>
      </c>
      <c r="C106" t="s">
        <v>6168</v>
      </c>
      <c r="D106">
        <v>1</v>
      </c>
      <c r="E106" t="s">
        <v>428</v>
      </c>
      <c r="F106" s="103" t="s">
        <v>790</v>
      </c>
      <c r="G106" s="103" t="s">
        <v>428</v>
      </c>
      <c r="H106" s="7">
        <f t="shared" si="3"/>
        <v>86860.125</v>
      </c>
      <c r="I106" s="7">
        <v>13897.62</v>
      </c>
    </row>
    <row r="107" spans="1:9">
      <c r="A107" t="s">
        <v>473</v>
      </c>
      <c r="B107" s="1">
        <v>42321</v>
      </c>
      <c r="C107" t="s">
        <v>6169</v>
      </c>
      <c r="D107">
        <v>1</v>
      </c>
      <c r="E107" t="s">
        <v>428</v>
      </c>
      <c r="F107" s="103" t="s">
        <v>790</v>
      </c>
      <c r="G107" s="103" t="s">
        <v>428</v>
      </c>
      <c r="H107" s="7">
        <f t="shared" si="3"/>
        <v>350093.1875</v>
      </c>
      <c r="I107" s="7">
        <v>56014.91</v>
      </c>
    </row>
    <row r="108" spans="1:9">
      <c r="A108" t="s">
        <v>475</v>
      </c>
      <c r="B108" s="1">
        <v>42321</v>
      </c>
      <c r="C108" t="s">
        <v>6170</v>
      </c>
      <c r="D108">
        <v>1</v>
      </c>
      <c r="E108" t="s">
        <v>428</v>
      </c>
      <c r="F108" s="103" t="s">
        <v>790</v>
      </c>
      <c r="G108" s="103" t="s">
        <v>428</v>
      </c>
      <c r="H108" s="7">
        <f t="shared" si="3"/>
        <v>9809</v>
      </c>
      <c r="I108" s="7">
        <v>1569.44</v>
      </c>
    </row>
    <row r="109" spans="1:9">
      <c r="A109" t="s">
        <v>2083</v>
      </c>
      <c r="B109" s="1">
        <v>42325</v>
      </c>
      <c r="C109" t="s">
        <v>6173</v>
      </c>
      <c r="D109">
        <v>1</v>
      </c>
      <c r="E109" t="s">
        <v>428</v>
      </c>
      <c r="F109" s="103" t="s">
        <v>790</v>
      </c>
      <c r="G109" s="103" t="s">
        <v>428</v>
      </c>
      <c r="H109" s="7">
        <f t="shared" si="3"/>
        <v>83342.3125</v>
      </c>
      <c r="I109" s="7">
        <v>13334.77</v>
      </c>
    </row>
    <row r="110" spans="1:9">
      <c r="A110" t="s">
        <v>1377</v>
      </c>
      <c r="B110" s="1">
        <v>42326</v>
      </c>
      <c r="C110" t="s">
        <v>6175</v>
      </c>
      <c r="D110">
        <v>1</v>
      </c>
      <c r="E110" t="s">
        <v>428</v>
      </c>
      <c r="F110" s="103" t="s">
        <v>790</v>
      </c>
      <c r="G110" s="103" t="s">
        <v>428</v>
      </c>
      <c r="H110" s="7">
        <f t="shared" si="3"/>
        <v>40836.1875</v>
      </c>
      <c r="I110" s="7">
        <v>6533.79</v>
      </c>
    </row>
    <row r="111" spans="1:9">
      <c r="A111" t="s">
        <v>2112</v>
      </c>
      <c r="B111" s="1">
        <v>42328</v>
      </c>
      <c r="C111" t="s">
        <v>6178</v>
      </c>
      <c r="D111">
        <v>1</v>
      </c>
      <c r="E111" t="s">
        <v>428</v>
      </c>
      <c r="F111" s="103" t="s">
        <v>790</v>
      </c>
      <c r="G111" s="103" t="s">
        <v>428</v>
      </c>
      <c r="H111" s="7">
        <f t="shared" si="3"/>
        <v>103437.375</v>
      </c>
      <c r="I111" s="7">
        <v>16549.98</v>
      </c>
    </row>
    <row r="112" spans="1:9">
      <c r="A112" t="s">
        <v>486</v>
      </c>
      <c r="B112" s="1">
        <v>42328</v>
      </c>
      <c r="C112" t="s">
        <v>6179</v>
      </c>
      <c r="D112">
        <v>1</v>
      </c>
      <c r="E112" t="s">
        <v>428</v>
      </c>
      <c r="F112" s="103" t="s">
        <v>790</v>
      </c>
      <c r="G112" s="103" t="s">
        <v>428</v>
      </c>
      <c r="H112" s="7">
        <f t="shared" si="3"/>
        <v>78130.1875</v>
      </c>
      <c r="I112" s="7">
        <v>12500.83</v>
      </c>
    </row>
    <row r="113" spans="1:9">
      <c r="A113" t="s">
        <v>545</v>
      </c>
      <c r="B113" s="1">
        <v>42335</v>
      </c>
      <c r="C113" t="s">
        <v>6218</v>
      </c>
      <c r="D113">
        <v>1</v>
      </c>
      <c r="E113" t="s">
        <v>428</v>
      </c>
      <c r="F113" s="103" t="s">
        <v>790</v>
      </c>
      <c r="G113" s="103" t="s">
        <v>428</v>
      </c>
      <c r="H113" s="7">
        <f t="shared" si="3"/>
        <v>4581.0625</v>
      </c>
      <c r="I113" s="7">
        <v>732.97</v>
      </c>
    </row>
    <row r="114" spans="1:9">
      <c r="A114" t="s">
        <v>1449</v>
      </c>
      <c r="B114" s="1">
        <v>42335</v>
      </c>
      <c r="C114" t="s">
        <v>6219</v>
      </c>
      <c r="D114">
        <v>1</v>
      </c>
      <c r="E114" t="s">
        <v>428</v>
      </c>
      <c r="F114" s="103" t="s">
        <v>790</v>
      </c>
      <c r="G114" s="103" t="s">
        <v>428</v>
      </c>
      <c r="H114" s="7">
        <f t="shared" si="3"/>
        <v>325547.4375</v>
      </c>
      <c r="I114" s="7">
        <v>52087.59</v>
      </c>
    </row>
    <row r="115" spans="1:9">
      <c r="A115" t="s">
        <v>1451</v>
      </c>
      <c r="B115" s="1">
        <v>42335</v>
      </c>
      <c r="C115" t="s">
        <v>6220</v>
      </c>
      <c r="D115">
        <v>1</v>
      </c>
      <c r="E115" t="s">
        <v>428</v>
      </c>
      <c r="F115" s="103" t="s">
        <v>790</v>
      </c>
      <c r="G115" s="103" t="s">
        <v>428</v>
      </c>
      <c r="H115" s="7">
        <f t="shared" si="3"/>
        <v>220560.3125</v>
      </c>
      <c r="I115" s="7">
        <v>35289.65</v>
      </c>
    </row>
    <row r="116" spans="1:9">
      <c r="A116" t="s">
        <v>1453</v>
      </c>
      <c r="B116" s="1">
        <v>42335</v>
      </c>
      <c r="C116" t="s">
        <v>6221</v>
      </c>
      <c r="D116">
        <v>1</v>
      </c>
      <c r="E116" t="s">
        <v>428</v>
      </c>
      <c r="F116" s="103" t="s">
        <v>790</v>
      </c>
      <c r="G116" s="103" t="s">
        <v>428</v>
      </c>
      <c r="H116" s="7">
        <f t="shared" si="3"/>
        <v>1818.9374999999998</v>
      </c>
      <c r="I116" s="7">
        <v>291.02999999999997</v>
      </c>
    </row>
    <row r="117" spans="1:9">
      <c r="A117" t="s">
        <v>558</v>
      </c>
      <c r="B117" s="1">
        <v>42338</v>
      </c>
      <c r="C117" t="s">
        <v>6227</v>
      </c>
      <c r="D117">
        <v>1</v>
      </c>
      <c r="E117" t="s">
        <v>428</v>
      </c>
      <c r="F117" s="103" t="s">
        <v>790</v>
      </c>
      <c r="G117" s="103" t="s">
        <v>428</v>
      </c>
      <c r="H117" s="7">
        <f t="shared" si="3"/>
        <v>24823.5625</v>
      </c>
      <c r="I117" s="7">
        <v>3971.77</v>
      </c>
    </row>
    <row r="118" spans="1:9">
      <c r="A118" t="s">
        <v>550</v>
      </c>
      <c r="B118" s="1">
        <v>42334</v>
      </c>
      <c r="C118" t="s">
        <v>6224</v>
      </c>
      <c r="D118">
        <v>1</v>
      </c>
      <c r="E118" t="s">
        <v>6225</v>
      </c>
      <c r="F118" s="103" t="s">
        <v>6254</v>
      </c>
      <c r="G118" s="103" t="s">
        <v>6225</v>
      </c>
      <c r="H118" s="7">
        <f t="shared" si="3"/>
        <v>11450</v>
      </c>
      <c r="I118" s="7">
        <v>1832</v>
      </c>
    </row>
    <row r="119" spans="1:9">
      <c r="A119" t="s">
        <v>3906</v>
      </c>
      <c r="B119" s="1">
        <v>42338</v>
      </c>
      <c r="C119" t="s">
        <v>5988</v>
      </c>
      <c r="D119">
        <v>1</v>
      </c>
      <c r="E119" t="s">
        <v>925</v>
      </c>
      <c r="F119" s="103" t="s">
        <v>925</v>
      </c>
      <c r="G119" s="139" t="s">
        <v>7365</v>
      </c>
      <c r="H119" s="7">
        <f t="shared" si="3"/>
        <v>341.4375</v>
      </c>
      <c r="I119" s="7">
        <v>54.63</v>
      </c>
    </row>
    <row r="120" spans="1:9">
      <c r="A120" t="s">
        <v>3917</v>
      </c>
      <c r="B120" s="1">
        <v>42338</v>
      </c>
      <c r="C120" t="s">
        <v>5995</v>
      </c>
      <c r="D120">
        <v>1</v>
      </c>
      <c r="E120" t="s">
        <v>925</v>
      </c>
      <c r="F120" s="103" t="s">
        <v>925</v>
      </c>
      <c r="G120" s="139" t="s">
        <v>7365</v>
      </c>
      <c r="H120" s="7">
        <f t="shared" si="3"/>
        <v>341.4375</v>
      </c>
      <c r="I120" s="7">
        <v>54.63</v>
      </c>
    </row>
    <row r="121" spans="1:9">
      <c r="A121" t="s">
        <v>6063</v>
      </c>
      <c r="B121" s="1">
        <v>42338</v>
      </c>
      <c r="C121" t="s">
        <v>6064</v>
      </c>
      <c r="D121">
        <v>1</v>
      </c>
      <c r="E121" t="s">
        <v>727</v>
      </c>
      <c r="F121" s="103" t="s">
        <v>727</v>
      </c>
      <c r="G121" s="139" t="s">
        <v>6253</v>
      </c>
      <c r="H121" s="7">
        <f t="shared" si="3"/>
        <v>50</v>
      </c>
      <c r="I121" s="7">
        <v>8</v>
      </c>
    </row>
    <row r="122" spans="1:9">
      <c r="A122" t="s">
        <v>5848</v>
      </c>
      <c r="B122" s="1">
        <v>42322</v>
      </c>
      <c r="C122" t="s">
        <v>5849</v>
      </c>
      <c r="D122">
        <v>1</v>
      </c>
      <c r="E122" t="s">
        <v>5850</v>
      </c>
      <c r="F122" t="s">
        <v>791</v>
      </c>
      <c r="G122" t="s">
        <v>3222</v>
      </c>
      <c r="H122" s="7">
        <f t="shared" si="3"/>
        <v>393488.5</v>
      </c>
      <c r="I122" s="7">
        <v>62958.16</v>
      </c>
    </row>
    <row r="123" spans="1:9">
      <c r="A123" t="s">
        <v>5812</v>
      </c>
      <c r="B123" s="1">
        <v>42319</v>
      </c>
      <c r="C123" t="s">
        <v>5813</v>
      </c>
      <c r="D123">
        <v>1</v>
      </c>
      <c r="E123" t="s">
        <v>5814</v>
      </c>
      <c r="F123" t="s">
        <v>791</v>
      </c>
      <c r="G123" t="s">
        <v>3222</v>
      </c>
      <c r="H123" s="7">
        <f t="shared" si="3"/>
        <v>186526.06249999997</v>
      </c>
      <c r="I123" s="7">
        <v>29844.17</v>
      </c>
    </row>
    <row r="124" spans="1:9">
      <c r="A124" t="s">
        <v>4003</v>
      </c>
      <c r="B124" s="1">
        <v>42338</v>
      </c>
      <c r="C124" t="s">
        <v>6069</v>
      </c>
      <c r="D124">
        <v>1</v>
      </c>
      <c r="E124" t="s">
        <v>3477</v>
      </c>
      <c r="F124" s="103" t="s">
        <v>3477</v>
      </c>
      <c r="G124" s="139" t="s">
        <v>7366</v>
      </c>
      <c r="H124" s="7">
        <f t="shared" si="3"/>
        <v>538</v>
      </c>
      <c r="I124" s="7">
        <v>86.08</v>
      </c>
    </row>
    <row r="125" spans="1:9">
      <c r="A125" t="s">
        <v>447</v>
      </c>
      <c r="B125" s="1">
        <v>42319</v>
      </c>
      <c r="C125" t="s">
        <v>6161</v>
      </c>
      <c r="D125">
        <v>1</v>
      </c>
      <c r="E125" t="s">
        <v>638</v>
      </c>
      <c r="F125" s="103" t="s">
        <v>795</v>
      </c>
      <c r="G125" s="103" t="s">
        <v>638</v>
      </c>
      <c r="H125" s="7">
        <f t="shared" si="3"/>
        <v>116862.1875</v>
      </c>
      <c r="I125" s="7">
        <v>18697.95</v>
      </c>
    </row>
    <row r="126" spans="1:9">
      <c r="A126" t="s">
        <v>535</v>
      </c>
      <c r="B126" s="1">
        <v>42333</v>
      </c>
      <c r="C126" t="s">
        <v>6216</v>
      </c>
      <c r="D126">
        <v>1</v>
      </c>
      <c r="E126" t="s">
        <v>638</v>
      </c>
      <c r="F126" s="103" t="s">
        <v>795</v>
      </c>
      <c r="G126" s="103" t="s">
        <v>638</v>
      </c>
      <c r="H126" s="7">
        <f t="shared" si="3"/>
        <v>12481.999999999998</v>
      </c>
      <c r="I126" s="7">
        <v>1997.12</v>
      </c>
    </row>
    <row r="127" spans="1:9">
      <c r="A127" t="s">
        <v>5968</v>
      </c>
      <c r="B127" s="1">
        <v>42338</v>
      </c>
      <c r="C127" t="s">
        <v>5969</v>
      </c>
      <c r="D127">
        <v>1</v>
      </c>
      <c r="E127" t="s">
        <v>1558</v>
      </c>
      <c r="F127" s="103" t="s">
        <v>1558</v>
      </c>
      <c r="G127" s="139" t="s">
        <v>7504</v>
      </c>
      <c r="H127" s="7">
        <f t="shared" si="3"/>
        <v>340.5</v>
      </c>
      <c r="I127" s="7">
        <v>54.48</v>
      </c>
    </row>
    <row r="128" spans="1:9">
      <c r="A128" t="s">
        <v>6084</v>
      </c>
      <c r="B128" s="1">
        <v>42338</v>
      </c>
      <c r="C128" t="s">
        <v>6085</v>
      </c>
      <c r="D128">
        <v>1</v>
      </c>
      <c r="E128" t="s">
        <v>704</v>
      </c>
      <c r="F128" s="103" t="s">
        <v>704</v>
      </c>
      <c r="G128" s="139" t="s">
        <v>237</v>
      </c>
      <c r="H128" s="7">
        <f t="shared" si="3"/>
        <v>215.49999999999997</v>
      </c>
      <c r="I128" s="7">
        <v>34.479999999999997</v>
      </c>
    </row>
    <row r="129" spans="1:9">
      <c r="A129" t="s">
        <v>6078</v>
      </c>
      <c r="B129" s="1">
        <v>42338</v>
      </c>
      <c r="C129" t="s">
        <v>6079</v>
      </c>
      <c r="D129">
        <v>1</v>
      </c>
      <c r="E129" t="s">
        <v>704</v>
      </c>
      <c r="F129" s="103" t="s">
        <v>704</v>
      </c>
      <c r="G129" s="139" t="s">
        <v>237</v>
      </c>
      <c r="H129" s="7">
        <f t="shared" si="3"/>
        <v>215.49999999999997</v>
      </c>
      <c r="I129" s="7">
        <v>34.479999999999997</v>
      </c>
    </row>
    <row r="130" spans="1:9">
      <c r="A130" t="s">
        <v>4019</v>
      </c>
      <c r="B130" s="1">
        <v>42338</v>
      </c>
      <c r="C130" t="s">
        <v>6080</v>
      </c>
      <c r="D130">
        <v>1</v>
      </c>
      <c r="E130" t="s">
        <v>704</v>
      </c>
      <c r="F130" s="103" t="s">
        <v>704</v>
      </c>
      <c r="G130" s="139" t="s">
        <v>237</v>
      </c>
      <c r="H130" s="7">
        <f t="shared" si="3"/>
        <v>215.49999999999997</v>
      </c>
      <c r="I130" s="7">
        <v>34.479999999999997</v>
      </c>
    </row>
    <row r="131" spans="1:9">
      <c r="A131" t="s">
        <v>5821</v>
      </c>
      <c r="B131" s="1">
        <v>42321</v>
      </c>
      <c r="C131" t="s">
        <v>5822</v>
      </c>
      <c r="D131">
        <v>1</v>
      </c>
      <c r="E131" t="s">
        <v>5112</v>
      </c>
      <c r="F131" t="s">
        <v>797</v>
      </c>
      <c r="G131" t="s">
        <v>3669</v>
      </c>
      <c r="H131" s="7">
        <f t="shared" si="3"/>
        <v>325629.6875</v>
      </c>
      <c r="I131" s="7">
        <v>52100.75</v>
      </c>
    </row>
    <row r="132" spans="1:9">
      <c r="A132" t="s">
        <v>5895</v>
      </c>
      <c r="B132" s="1">
        <v>42331</v>
      </c>
      <c r="C132" t="s">
        <v>5896</v>
      </c>
      <c r="D132">
        <v>1</v>
      </c>
      <c r="E132" t="s">
        <v>127</v>
      </c>
      <c r="F132" t="s">
        <v>797</v>
      </c>
      <c r="G132" t="s">
        <v>3669</v>
      </c>
      <c r="H132" s="7">
        <f t="shared" si="3"/>
        <v>217499.3125</v>
      </c>
      <c r="I132" s="7">
        <v>34799.89</v>
      </c>
    </row>
    <row r="133" spans="1:9">
      <c r="A133" t="s">
        <v>3979</v>
      </c>
      <c r="B133" s="1">
        <v>42338</v>
      </c>
      <c r="C133" t="s">
        <v>6061</v>
      </c>
      <c r="D133">
        <v>1</v>
      </c>
      <c r="E133" t="s">
        <v>2695</v>
      </c>
      <c r="F133" s="103" t="s">
        <v>2695</v>
      </c>
      <c r="G133" s="139" t="s">
        <v>7505</v>
      </c>
      <c r="H133" s="7">
        <f t="shared" si="3"/>
        <v>199.125</v>
      </c>
      <c r="I133" s="7">
        <v>31.86</v>
      </c>
    </row>
    <row r="134" spans="1:9">
      <c r="A134" t="s">
        <v>4015</v>
      </c>
      <c r="B134" s="1">
        <v>42338</v>
      </c>
      <c r="C134" t="s">
        <v>6077</v>
      </c>
      <c r="D134">
        <v>1</v>
      </c>
      <c r="E134" t="s">
        <v>2695</v>
      </c>
      <c r="F134" s="103" t="s">
        <v>2695</v>
      </c>
      <c r="G134" s="139" t="s">
        <v>7505</v>
      </c>
      <c r="H134" s="7">
        <f t="shared" si="3"/>
        <v>202.625</v>
      </c>
      <c r="I134" s="7">
        <v>32.42</v>
      </c>
    </row>
    <row r="135" spans="1:9">
      <c r="A135" t="s">
        <v>1326</v>
      </c>
      <c r="B135" s="1">
        <v>42312</v>
      </c>
      <c r="C135" t="s">
        <v>6117</v>
      </c>
      <c r="D135">
        <v>1</v>
      </c>
      <c r="E135" t="s">
        <v>6118</v>
      </c>
      <c r="F135" s="103" t="s">
        <v>6255</v>
      </c>
      <c r="G135" s="103" t="s">
        <v>6118</v>
      </c>
      <c r="H135" s="7">
        <f t="shared" ref="H135:H166" si="4">+I135/0.16</f>
        <v>5041.375</v>
      </c>
      <c r="I135" s="7">
        <v>806.62</v>
      </c>
    </row>
    <row r="136" spans="1:9">
      <c r="A136" t="s">
        <v>3917</v>
      </c>
      <c r="B136" s="1">
        <v>42338</v>
      </c>
      <c r="C136" t="s">
        <v>5995</v>
      </c>
      <c r="D136">
        <v>1</v>
      </c>
      <c r="E136" t="s">
        <v>905</v>
      </c>
      <c r="F136" s="103" t="s">
        <v>905</v>
      </c>
      <c r="G136" s="139" t="s">
        <v>906</v>
      </c>
      <c r="H136" s="7">
        <f t="shared" si="4"/>
        <v>887.8125</v>
      </c>
      <c r="I136" s="7">
        <v>142.05000000000001</v>
      </c>
    </row>
    <row r="137" spans="1:9">
      <c r="A137" t="s">
        <v>2272</v>
      </c>
      <c r="B137" s="1">
        <v>42312</v>
      </c>
      <c r="C137" t="s">
        <v>5779</v>
      </c>
      <c r="D137">
        <v>1</v>
      </c>
      <c r="E137" t="s">
        <v>5780</v>
      </c>
      <c r="F137" t="s">
        <v>6256</v>
      </c>
      <c r="G137" t="s">
        <v>6257</v>
      </c>
      <c r="H137" s="7">
        <f t="shared" si="4"/>
        <v>243817.8125</v>
      </c>
      <c r="I137" s="7">
        <v>39010.85</v>
      </c>
    </row>
    <row r="138" spans="1:9">
      <c r="A138" t="s">
        <v>5790</v>
      </c>
      <c r="B138" s="1">
        <v>42314</v>
      </c>
      <c r="C138" t="s">
        <v>5791</v>
      </c>
      <c r="D138">
        <v>1</v>
      </c>
      <c r="E138" t="s">
        <v>5792</v>
      </c>
      <c r="F138" t="s">
        <v>6256</v>
      </c>
      <c r="G138" t="s">
        <v>6257</v>
      </c>
      <c r="H138" s="7">
        <f t="shared" si="4"/>
        <v>171880.9375</v>
      </c>
      <c r="I138" s="7">
        <v>27500.95</v>
      </c>
    </row>
    <row r="139" spans="1:9">
      <c r="A139" t="s">
        <v>3931</v>
      </c>
      <c r="B139" s="1">
        <v>42338</v>
      </c>
      <c r="C139" t="s">
        <v>6016</v>
      </c>
      <c r="D139">
        <v>1</v>
      </c>
      <c r="E139" t="s">
        <v>6017</v>
      </c>
      <c r="F139" s="103" t="s">
        <v>6017</v>
      </c>
      <c r="G139" s="139" t="s">
        <v>7506</v>
      </c>
      <c r="H139" s="7">
        <f t="shared" si="4"/>
        <v>96.5625</v>
      </c>
      <c r="I139" s="7">
        <v>15.45</v>
      </c>
    </row>
    <row r="140" spans="1:9">
      <c r="A140" t="s">
        <v>4024</v>
      </c>
      <c r="B140" s="1">
        <v>42338</v>
      </c>
      <c r="C140" t="s">
        <v>6081</v>
      </c>
      <c r="D140">
        <v>1</v>
      </c>
      <c r="E140" t="s">
        <v>805</v>
      </c>
      <c r="F140" s="103" t="s">
        <v>805</v>
      </c>
      <c r="G140" s="139" t="s">
        <v>2377</v>
      </c>
      <c r="H140" s="7">
        <f t="shared" si="4"/>
        <v>312.5</v>
      </c>
      <c r="I140" s="7">
        <v>50</v>
      </c>
    </row>
    <row r="141" spans="1:9">
      <c r="A141" t="s">
        <v>6082</v>
      </c>
      <c r="B141" s="1">
        <v>42338</v>
      </c>
      <c r="C141" t="s">
        <v>6083</v>
      </c>
      <c r="D141">
        <v>1</v>
      </c>
      <c r="E141" t="s">
        <v>805</v>
      </c>
      <c r="F141" s="103" t="s">
        <v>805</v>
      </c>
      <c r="G141" s="139" t="s">
        <v>2377</v>
      </c>
      <c r="H141" s="7">
        <f t="shared" si="4"/>
        <v>312.5</v>
      </c>
      <c r="I141" s="7">
        <v>50</v>
      </c>
    </row>
    <row r="142" spans="1:9">
      <c r="A142" t="s">
        <v>4041</v>
      </c>
      <c r="B142" s="1">
        <v>42338</v>
      </c>
      <c r="C142" t="s">
        <v>6105</v>
      </c>
      <c r="D142">
        <v>1</v>
      </c>
      <c r="E142" t="s">
        <v>6106</v>
      </c>
      <c r="F142" s="144" t="s">
        <v>5330</v>
      </c>
      <c r="G142" s="139" t="s">
        <v>5693</v>
      </c>
      <c r="H142" s="7">
        <f t="shared" si="4"/>
        <v>176.4375</v>
      </c>
      <c r="I142" s="7">
        <v>28.23</v>
      </c>
    </row>
    <row r="143" spans="1:9">
      <c r="A143" t="s">
        <v>5188</v>
      </c>
      <c r="B143" s="1">
        <v>42338</v>
      </c>
      <c r="C143" t="s">
        <v>5975</v>
      </c>
      <c r="D143">
        <v>1</v>
      </c>
      <c r="E143" t="s">
        <v>5330</v>
      </c>
      <c r="F143" s="103" t="s">
        <v>5330</v>
      </c>
      <c r="G143" s="139" t="s">
        <v>5693</v>
      </c>
      <c r="H143" s="7">
        <f t="shared" si="4"/>
        <v>120.68749999999999</v>
      </c>
      <c r="I143" s="7">
        <v>19.309999999999999</v>
      </c>
    </row>
    <row r="144" spans="1:9">
      <c r="A144" t="s">
        <v>5979</v>
      </c>
      <c r="B144" s="1">
        <v>42338</v>
      </c>
      <c r="C144" t="s">
        <v>5980</v>
      </c>
      <c r="D144">
        <v>1</v>
      </c>
      <c r="E144" t="s">
        <v>5330</v>
      </c>
      <c r="F144" s="103" t="s">
        <v>5330</v>
      </c>
      <c r="G144" s="139" t="s">
        <v>5693</v>
      </c>
      <c r="H144" s="7">
        <f t="shared" si="4"/>
        <v>112.0625</v>
      </c>
      <c r="I144" s="7">
        <v>17.93</v>
      </c>
    </row>
    <row r="145" spans="1:9">
      <c r="A145" t="s">
        <v>5986</v>
      </c>
      <c r="B145" s="1">
        <v>42338</v>
      </c>
      <c r="C145" t="s">
        <v>5987</v>
      </c>
      <c r="D145">
        <v>1</v>
      </c>
      <c r="E145" t="s">
        <v>5330</v>
      </c>
      <c r="F145" s="103" t="s">
        <v>5330</v>
      </c>
      <c r="G145" s="139" t="s">
        <v>5693</v>
      </c>
      <c r="H145" s="7">
        <f t="shared" si="4"/>
        <v>56.0625</v>
      </c>
      <c r="I145" s="7">
        <v>8.9700000000000006</v>
      </c>
    </row>
    <row r="146" spans="1:9">
      <c r="A146" t="s">
        <v>3906</v>
      </c>
      <c r="B146" s="1">
        <v>42338</v>
      </c>
      <c r="C146" t="s">
        <v>5988</v>
      </c>
      <c r="D146">
        <v>1</v>
      </c>
      <c r="E146" t="s">
        <v>5330</v>
      </c>
      <c r="F146" s="103" t="s">
        <v>5330</v>
      </c>
      <c r="G146" s="139" t="s">
        <v>5693</v>
      </c>
      <c r="H146" s="7">
        <f t="shared" si="4"/>
        <v>353.4375</v>
      </c>
      <c r="I146" s="7">
        <v>56.55</v>
      </c>
    </row>
    <row r="147" spans="1:9">
      <c r="A147" t="s">
        <v>3917</v>
      </c>
      <c r="B147" s="1">
        <v>42338</v>
      </c>
      <c r="C147" t="s">
        <v>5995</v>
      </c>
      <c r="D147">
        <v>1</v>
      </c>
      <c r="E147" t="s">
        <v>5330</v>
      </c>
      <c r="F147" s="103" t="s">
        <v>5330</v>
      </c>
      <c r="G147" s="139" t="s">
        <v>5693</v>
      </c>
      <c r="H147" s="7">
        <f t="shared" si="4"/>
        <v>837.0625</v>
      </c>
      <c r="I147" s="7">
        <v>133.93</v>
      </c>
    </row>
    <row r="148" spans="1:9">
      <c r="A148" t="s">
        <v>3921</v>
      </c>
      <c r="B148" s="1">
        <v>42338</v>
      </c>
      <c r="C148" t="s">
        <v>6004</v>
      </c>
      <c r="D148">
        <v>1</v>
      </c>
      <c r="E148" t="s">
        <v>5330</v>
      </c>
      <c r="F148" s="103" t="s">
        <v>5330</v>
      </c>
      <c r="G148" s="139" t="s">
        <v>5693</v>
      </c>
      <c r="H148" s="7">
        <f t="shared" si="4"/>
        <v>176.75</v>
      </c>
      <c r="I148" s="7">
        <v>28.28</v>
      </c>
    </row>
    <row r="149" spans="1:9">
      <c r="A149" t="s">
        <v>3923</v>
      </c>
      <c r="B149" s="1">
        <v>42338</v>
      </c>
      <c r="C149" t="s">
        <v>6005</v>
      </c>
      <c r="D149">
        <v>1</v>
      </c>
      <c r="E149" t="s">
        <v>5330</v>
      </c>
      <c r="F149" s="103" t="s">
        <v>5330</v>
      </c>
      <c r="G149" s="139" t="s">
        <v>5693</v>
      </c>
      <c r="H149" s="7">
        <f t="shared" si="4"/>
        <v>142.25</v>
      </c>
      <c r="I149" s="7">
        <v>22.76</v>
      </c>
    </row>
    <row r="150" spans="1:9">
      <c r="A150" t="s">
        <v>3925</v>
      </c>
      <c r="B150" s="1">
        <v>42338</v>
      </c>
      <c r="C150" t="s">
        <v>6008</v>
      </c>
      <c r="D150">
        <v>1</v>
      </c>
      <c r="E150" t="s">
        <v>5330</v>
      </c>
      <c r="F150" s="103" t="s">
        <v>5330</v>
      </c>
      <c r="G150" s="139" t="s">
        <v>5693</v>
      </c>
      <c r="H150" s="7">
        <f t="shared" si="4"/>
        <v>176.75</v>
      </c>
      <c r="I150" s="7">
        <v>28.28</v>
      </c>
    </row>
    <row r="151" spans="1:9">
      <c r="A151" t="s">
        <v>3955</v>
      </c>
      <c r="B151" s="1">
        <v>42338</v>
      </c>
      <c r="C151" t="s">
        <v>6045</v>
      </c>
      <c r="D151">
        <v>1</v>
      </c>
      <c r="E151" t="s">
        <v>5330</v>
      </c>
      <c r="F151" s="103" t="s">
        <v>5330</v>
      </c>
      <c r="G151" s="139" t="s">
        <v>5693</v>
      </c>
      <c r="H151" s="7">
        <f t="shared" si="4"/>
        <v>176.75</v>
      </c>
      <c r="I151" s="7">
        <v>28.28</v>
      </c>
    </row>
    <row r="152" spans="1:9">
      <c r="A152" t="s">
        <v>5194</v>
      </c>
      <c r="B152" s="1">
        <v>42338</v>
      </c>
      <c r="C152" t="s">
        <v>6046</v>
      </c>
      <c r="D152">
        <v>1</v>
      </c>
      <c r="E152" t="s">
        <v>5330</v>
      </c>
      <c r="F152" s="103" t="s">
        <v>5330</v>
      </c>
      <c r="G152" s="139" t="s">
        <v>5693</v>
      </c>
      <c r="H152" s="7">
        <f t="shared" si="4"/>
        <v>56.0625</v>
      </c>
      <c r="I152" s="7">
        <v>8.9700000000000006</v>
      </c>
    </row>
    <row r="153" spans="1:9">
      <c r="A153" t="s">
        <v>3962</v>
      </c>
      <c r="B153" s="1">
        <v>42338</v>
      </c>
      <c r="C153" t="s">
        <v>6059</v>
      </c>
      <c r="D153">
        <v>1</v>
      </c>
      <c r="E153" t="s">
        <v>5330</v>
      </c>
      <c r="F153" s="103" t="s">
        <v>5330</v>
      </c>
      <c r="G153" s="139" t="s">
        <v>5693</v>
      </c>
      <c r="H153" s="7">
        <f t="shared" si="4"/>
        <v>120.68749999999999</v>
      </c>
      <c r="I153" s="7">
        <v>19.309999999999999</v>
      </c>
    </row>
    <row r="154" spans="1:9">
      <c r="A154" t="s">
        <v>6088</v>
      </c>
      <c r="B154" s="1">
        <v>42338</v>
      </c>
      <c r="C154" t="s">
        <v>6089</v>
      </c>
      <c r="D154">
        <v>1</v>
      </c>
      <c r="E154" t="s">
        <v>5330</v>
      </c>
      <c r="F154" s="103" t="s">
        <v>5330</v>
      </c>
      <c r="G154" s="139" t="s">
        <v>5693</v>
      </c>
      <c r="H154" s="7">
        <f t="shared" si="4"/>
        <v>21.5625</v>
      </c>
      <c r="I154" s="7">
        <v>3.45</v>
      </c>
    </row>
    <row r="155" spans="1:9">
      <c r="A155" t="s">
        <v>4031</v>
      </c>
      <c r="B155" s="1">
        <v>42338</v>
      </c>
      <c r="C155" t="s">
        <v>6095</v>
      </c>
      <c r="D155">
        <v>1</v>
      </c>
      <c r="E155" t="s">
        <v>5330</v>
      </c>
      <c r="F155" s="103" t="s">
        <v>5330</v>
      </c>
      <c r="G155" s="139" t="s">
        <v>5693</v>
      </c>
      <c r="H155" s="7">
        <f t="shared" si="4"/>
        <v>116.375</v>
      </c>
      <c r="I155" s="7">
        <v>18.62</v>
      </c>
    </row>
    <row r="156" spans="1:9">
      <c r="A156" t="s">
        <v>4733</v>
      </c>
      <c r="B156" s="1">
        <v>42338</v>
      </c>
      <c r="C156" t="s">
        <v>6097</v>
      </c>
      <c r="D156">
        <v>1</v>
      </c>
      <c r="E156" t="s">
        <v>5330</v>
      </c>
      <c r="F156" s="103" t="s">
        <v>5330</v>
      </c>
      <c r="G156" s="139" t="s">
        <v>5693</v>
      </c>
      <c r="H156" s="7">
        <f t="shared" si="4"/>
        <v>116.375</v>
      </c>
      <c r="I156" s="7">
        <v>18.62</v>
      </c>
    </row>
    <row r="157" spans="1:9">
      <c r="A157" t="s">
        <v>6107</v>
      </c>
      <c r="B157" s="1">
        <v>42338</v>
      </c>
      <c r="C157" t="s">
        <v>6108</v>
      </c>
      <c r="D157">
        <v>1</v>
      </c>
      <c r="E157" t="s">
        <v>5330</v>
      </c>
      <c r="F157" s="103" t="s">
        <v>5330</v>
      </c>
      <c r="G157" s="139" t="s">
        <v>5693</v>
      </c>
      <c r="H157" s="7">
        <f t="shared" si="4"/>
        <v>176.75</v>
      </c>
      <c r="I157" s="7">
        <v>28.28</v>
      </c>
    </row>
    <row r="158" spans="1:9">
      <c r="A158" t="s">
        <v>3981</v>
      </c>
      <c r="B158" s="1">
        <v>42338</v>
      </c>
      <c r="C158" t="s">
        <v>6062</v>
      </c>
      <c r="D158">
        <v>1</v>
      </c>
      <c r="E158" t="s">
        <v>1568</v>
      </c>
      <c r="F158" s="103" t="s">
        <v>1568</v>
      </c>
      <c r="G158" s="139" t="s">
        <v>7507</v>
      </c>
      <c r="H158" s="7">
        <f t="shared" si="4"/>
        <v>17.25</v>
      </c>
      <c r="I158" s="7">
        <v>2.76</v>
      </c>
    </row>
    <row r="159" spans="1:9">
      <c r="A159" t="s">
        <v>501</v>
      </c>
      <c r="B159" s="1">
        <v>42327</v>
      </c>
      <c r="C159" t="s">
        <v>6192</v>
      </c>
      <c r="D159">
        <v>1</v>
      </c>
      <c r="E159" t="s">
        <v>6193</v>
      </c>
      <c r="F159" s="103" t="s">
        <v>6258</v>
      </c>
      <c r="G159" s="103" t="s">
        <v>6193</v>
      </c>
      <c r="H159" s="7">
        <f t="shared" si="4"/>
        <v>1726.0000000000002</v>
      </c>
      <c r="I159" s="7">
        <v>276.16000000000003</v>
      </c>
    </row>
    <row r="160" spans="1:9">
      <c r="A160" t="s">
        <v>444</v>
      </c>
      <c r="B160" s="1">
        <v>42319</v>
      </c>
      <c r="C160" t="s">
        <v>6159</v>
      </c>
      <c r="D160">
        <v>1</v>
      </c>
      <c r="E160" t="s">
        <v>6160</v>
      </c>
      <c r="F160" s="103" t="s">
        <v>6259</v>
      </c>
      <c r="G160" s="103" t="s">
        <v>6160</v>
      </c>
      <c r="H160" s="7">
        <f t="shared" si="4"/>
        <v>3200</v>
      </c>
      <c r="I160" s="7">
        <v>512</v>
      </c>
    </row>
    <row r="161" spans="1:11">
      <c r="A161" t="s">
        <v>1328</v>
      </c>
      <c r="B161" s="1">
        <v>42312</v>
      </c>
      <c r="C161" t="s">
        <v>6121</v>
      </c>
      <c r="D161">
        <v>1</v>
      </c>
      <c r="E161" t="s">
        <v>433</v>
      </c>
      <c r="F161" s="103" t="s">
        <v>5643</v>
      </c>
      <c r="G161" s="103" t="s">
        <v>5644</v>
      </c>
      <c r="H161" s="7">
        <f t="shared" si="4"/>
        <v>1114.625</v>
      </c>
      <c r="I161" s="7">
        <v>178.34</v>
      </c>
    </row>
    <row r="162" spans="1:11">
      <c r="A162" t="s">
        <v>5963</v>
      </c>
      <c r="B162" s="1">
        <v>42338</v>
      </c>
      <c r="C162" t="s">
        <v>5964</v>
      </c>
      <c r="D162">
        <v>1</v>
      </c>
      <c r="E162" t="s">
        <v>5965</v>
      </c>
      <c r="F162" s="105" t="s">
        <v>714</v>
      </c>
      <c r="G162" s="103" t="s">
        <v>6291</v>
      </c>
      <c r="H162" s="106">
        <f t="shared" si="4"/>
        <v>587.9375</v>
      </c>
      <c r="I162" s="103">
        <v>94.07</v>
      </c>
    </row>
    <row r="163" spans="1:11">
      <c r="A163" t="s">
        <v>5963</v>
      </c>
      <c r="B163" s="1">
        <v>42338</v>
      </c>
      <c r="C163" t="s">
        <v>5964</v>
      </c>
      <c r="D163">
        <v>1</v>
      </c>
      <c r="E163" t="s">
        <v>5965</v>
      </c>
      <c r="F163" s="105" t="s">
        <v>6292</v>
      </c>
      <c r="G163" s="103" t="s">
        <v>6293</v>
      </c>
      <c r="H163" s="106">
        <f t="shared" si="4"/>
        <v>101.6875</v>
      </c>
      <c r="I163" s="108">
        <v>16.27</v>
      </c>
    </row>
    <row r="164" spans="1:11">
      <c r="A164" t="s">
        <v>5963</v>
      </c>
      <c r="B164" s="1">
        <v>42338</v>
      </c>
      <c r="C164" t="s">
        <v>5964</v>
      </c>
      <c r="D164">
        <v>1</v>
      </c>
      <c r="E164" t="s">
        <v>5965</v>
      </c>
      <c r="F164" s="105" t="s">
        <v>716</v>
      </c>
      <c r="G164" s="103" t="s">
        <v>717</v>
      </c>
      <c r="H164" s="106">
        <f t="shared" si="4"/>
        <v>183.625</v>
      </c>
      <c r="I164" s="103">
        <f>12.97+16.41</f>
        <v>29.380000000000003</v>
      </c>
    </row>
    <row r="165" spans="1:11">
      <c r="A165" t="s">
        <v>5963</v>
      </c>
      <c r="B165" s="1">
        <v>42338</v>
      </c>
      <c r="C165" t="s">
        <v>5964</v>
      </c>
      <c r="D165">
        <v>1</v>
      </c>
      <c r="E165" t="s">
        <v>5965</v>
      </c>
      <c r="F165" s="105" t="s">
        <v>716</v>
      </c>
      <c r="G165" s="103" t="s">
        <v>717</v>
      </c>
      <c r="H165" s="106">
        <f t="shared" si="4"/>
        <v>2362.5</v>
      </c>
      <c r="I165" s="103">
        <v>378</v>
      </c>
      <c r="J165" s="7">
        <f>3235.75-H162-H163-H164-H165</f>
        <v>0</v>
      </c>
      <c r="K165" s="7">
        <f>517.72-I162-I163-I164-I165</f>
        <v>0</v>
      </c>
    </row>
    <row r="166" spans="1:11">
      <c r="A166" t="s">
        <v>3917</v>
      </c>
      <c r="B166" s="1">
        <v>42338</v>
      </c>
      <c r="C166" t="s">
        <v>5995</v>
      </c>
      <c r="D166">
        <v>1</v>
      </c>
      <c r="E166" t="s">
        <v>5997</v>
      </c>
      <c r="F166" s="103" t="s">
        <v>5997</v>
      </c>
      <c r="G166" s="144" t="s">
        <v>7508</v>
      </c>
      <c r="H166" s="7">
        <f t="shared" si="4"/>
        <v>56.0625</v>
      </c>
      <c r="I166" s="7">
        <v>8.9700000000000006</v>
      </c>
    </row>
    <row r="167" spans="1:11">
      <c r="A167" t="s">
        <v>3933</v>
      </c>
      <c r="B167" s="1">
        <v>42338</v>
      </c>
      <c r="C167" t="s">
        <v>6018</v>
      </c>
      <c r="D167">
        <v>1</v>
      </c>
      <c r="E167" t="s">
        <v>1571</v>
      </c>
      <c r="F167" s="103" t="s">
        <v>1571</v>
      </c>
      <c r="G167" s="139" t="s">
        <v>7510</v>
      </c>
      <c r="H167" s="7">
        <f t="shared" ref="H167:H189" si="5">+I167/0.16</f>
        <v>190.4375</v>
      </c>
      <c r="I167" s="7">
        <v>30.47</v>
      </c>
    </row>
    <row r="168" spans="1:11">
      <c r="A168" t="s">
        <v>5979</v>
      </c>
      <c r="B168" s="1">
        <v>42338</v>
      </c>
      <c r="C168" t="s">
        <v>5980</v>
      </c>
      <c r="D168">
        <v>1</v>
      </c>
      <c r="E168" t="s">
        <v>5981</v>
      </c>
      <c r="F168" s="103" t="s">
        <v>5981</v>
      </c>
      <c r="G168" s="139" t="s">
        <v>7509</v>
      </c>
      <c r="H168" s="7">
        <f t="shared" si="5"/>
        <v>295.6875</v>
      </c>
      <c r="I168" s="7">
        <v>47.31</v>
      </c>
    </row>
    <row r="169" spans="1:11">
      <c r="A169" t="s">
        <v>6088</v>
      </c>
      <c r="B169" s="1">
        <v>42338</v>
      </c>
      <c r="C169" t="s">
        <v>6089</v>
      </c>
      <c r="D169">
        <v>1</v>
      </c>
      <c r="E169" t="s">
        <v>722</v>
      </c>
      <c r="F169" s="105" t="s">
        <v>722</v>
      </c>
      <c r="G169" s="103" t="str">
        <f>+F169</f>
        <v>GLOBAL</v>
      </c>
      <c r="H169" s="7">
        <f t="shared" si="5"/>
        <v>110.375</v>
      </c>
      <c r="I169" s="7">
        <v>17.66</v>
      </c>
    </row>
    <row r="170" spans="1:11">
      <c r="A170" t="s">
        <v>1401</v>
      </c>
      <c r="B170" s="1">
        <v>42327</v>
      </c>
      <c r="C170" t="s">
        <v>6185</v>
      </c>
      <c r="D170">
        <v>1</v>
      </c>
      <c r="E170" t="s">
        <v>6186</v>
      </c>
      <c r="F170" s="103" t="s">
        <v>6260</v>
      </c>
      <c r="G170" s="103" t="s">
        <v>6186</v>
      </c>
      <c r="H170" s="7">
        <f t="shared" si="5"/>
        <v>5200</v>
      </c>
      <c r="I170" s="7">
        <v>832</v>
      </c>
    </row>
    <row r="171" spans="1:11">
      <c r="A171" t="s">
        <v>4031</v>
      </c>
      <c r="B171" s="1">
        <v>42338</v>
      </c>
      <c r="C171" t="s">
        <v>6095</v>
      </c>
      <c r="D171">
        <v>1</v>
      </c>
      <c r="E171" t="s">
        <v>6096</v>
      </c>
      <c r="F171" s="103" t="s">
        <v>6096</v>
      </c>
      <c r="G171" s="139" t="s">
        <v>7511</v>
      </c>
      <c r="H171" s="7">
        <f t="shared" si="5"/>
        <v>335.5</v>
      </c>
      <c r="I171" s="7">
        <v>53.68</v>
      </c>
    </row>
    <row r="172" spans="1:11">
      <c r="A172" t="s">
        <v>2048</v>
      </c>
      <c r="B172" s="1">
        <v>42313</v>
      </c>
      <c r="C172" t="s">
        <v>6146</v>
      </c>
      <c r="D172">
        <v>1</v>
      </c>
      <c r="E172" t="s">
        <v>1476</v>
      </c>
      <c r="F172" s="103" t="s">
        <v>1570</v>
      </c>
      <c r="G172" s="103" t="s">
        <v>1476</v>
      </c>
      <c r="H172" s="7">
        <f t="shared" si="5"/>
        <v>5886</v>
      </c>
      <c r="I172" s="7">
        <v>941.76</v>
      </c>
    </row>
    <row r="173" spans="1:11">
      <c r="A173" t="s">
        <v>1416</v>
      </c>
      <c r="B173" s="1">
        <v>42333</v>
      </c>
      <c r="C173" t="s">
        <v>6204</v>
      </c>
      <c r="D173">
        <v>1</v>
      </c>
      <c r="E173" t="s">
        <v>1476</v>
      </c>
      <c r="F173" s="103" t="s">
        <v>1570</v>
      </c>
      <c r="G173" s="103" t="s">
        <v>1476</v>
      </c>
      <c r="H173" s="7">
        <f t="shared" si="5"/>
        <v>6012.5</v>
      </c>
      <c r="I173" s="7">
        <v>962</v>
      </c>
    </row>
    <row r="174" spans="1:11">
      <c r="A174" t="s">
        <v>2595</v>
      </c>
      <c r="B174" s="1">
        <v>42313</v>
      </c>
      <c r="C174" t="s">
        <v>6143</v>
      </c>
      <c r="D174">
        <v>1</v>
      </c>
      <c r="E174" t="s">
        <v>446</v>
      </c>
      <c r="F174" s="103" t="s">
        <v>815</v>
      </c>
      <c r="G174" s="103" t="s">
        <v>446</v>
      </c>
      <c r="H174" s="7">
        <f t="shared" si="5"/>
        <v>1403.9999999999998</v>
      </c>
      <c r="I174" s="7">
        <v>224.64</v>
      </c>
    </row>
    <row r="175" spans="1:11">
      <c r="A175" t="s">
        <v>519</v>
      </c>
      <c r="B175" s="1">
        <v>42333</v>
      </c>
      <c r="C175" t="s">
        <v>6207</v>
      </c>
      <c r="D175">
        <v>1</v>
      </c>
      <c r="E175" t="s">
        <v>446</v>
      </c>
      <c r="F175" s="103" t="s">
        <v>815</v>
      </c>
      <c r="G175" s="103" t="s">
        <v>446</v>
      </c>
      <c r="H175" s="7">
        <f t="shared" si="5"/>
        <v>5112.1875</v>
      </c>
      <c r="I175" s="7">
        <v>817.95</v>
      </c>
    </row>
    <row r="176" spans="1:11">
      <c r="A176" t="s">
        <v>5787</v>
      </c>
      <c r="B176" s="1">
        <v>42314</v>
      </c>
      <c r="C176" t="s">
        <v>5788</v>
      </c>
      <c r="D176">
        <v>1</v>
      </c>
      <c r="E176" t="s">
        <v>5789</v>
      </c>
      <c r="F176" t="s">
        <v>813</v>
      </c>
      <c r="G176" t="s">
        <v>3675</v>
      </c>
      <c r="H176" s="7">
        <f t="shared" si="5"/>
        <v>166527.5</v>
      </c>
      <c r="I176" s="7">
        <v>26644.400000000001</v>
      </c>
    </row>
    <row r="177" spans="1:11">
      <c r="A177" t="s">
        <v>5856</v>
      </c>
      <c r="B177" s="1">
        <v>42325</v>
      </c>
      <c r="C177" t="s">
        <v>5857</v>
      </c>
      <c r="D177">
        <v>1</v>
      </c>
      <c r="E177" t="s">
        <v>5789</v>
      </c>
      <c r="F177" t="s">
        <v>813</v>
      </c>
      <c r="G177" t="s">
        <v>3675</v>
      </c>
      <c r="H177" s="7">
        <f t="shared" si="5"/>
        <v>149613.6875</v>
      </c>
      <c r="I177" s="7">
        <v>23938.19</v>
      </c>
    </row>
    <row r="178" spans="1:11">
      <c r="A178" t="s">
        <v>5917</v>
      </c>
      <c r="B178" s="1">
        <v>42332</v>
      </c>
      <c r="C178" t="s">
        <v>5918</v>
      </c>
      <c r="D178">
        <v>1</v>
      </c>
      <c r="E178" t="s">
        <v>5919</v>
      </c>
      <c r="F178" t="s">
        <v>813</v>
      </c>
      <c r="G178" t="s">
        <v>3675</v>
      </c>
      <c r="H178" s="7">
        <f t="shared" si="5"/>
        <v>166527.5</v>
      </c>
      <c r="I178" s="7">
        <v>26644.400000000001</v>
      </c>
    </row>
    <row r="179" spans="1:11">
      <c r="A179" t="s">
        <v>3497</v>
      </c>
      <c r="B179" s="1">
        <v>42338</v>
      </c>
      <c r="C179" t="s">
        <v>5958</v>
      </c>
      <c r="D179">
        <v>1</v>
      </c>
      <c r="E179" t="s">
        <v>5959</v>
      </c>
      <c r="F179" s="105" t="s">
        <v>716</v>
      </c>
      <c r="G179" s="103" t="s">
        <v>717</v>
      </c>
      <c r="H179" s="106">
        <f t="shared" si="5"/>
        <v>1771.875</v>
      </c>
      <c r="I179" s="103">
        <v>283.5</v>
      </c>
    </row>
    <row r="180" spans="1:11">
      <c r="A180" t="s">
        <v>3497</v>
      </c>
      <c r="B180" s="1">
        <v>42338</v>
      </c>
      <c r="C180" t="s">
        <v>5958</v>
      </c>
      <c r="D180">
        <v>1</v>
      </c>
      <c r="E180" t="s">
        <v>5959</v>
      </c>
      <c r="F180" s="105" t="s">
        <v>716</v>
      </c>
      <c r="G180" s="103" t="s">
        <v>717</v>
      </c>
      <c r="H180" s="106">
        <f t="shared" si="5"/>
        <v>84.5</v>
      </c>
      <c r="I180" s="103">
        <v>13.52</v>
      </c>
    </row>
    <row r="181" spans="1:11">
      <c r="A181" t="s">
        <v>3497</v>
      </c>
      <c r="B181" s="1">
        <v>42338</v>
      </c>
      <c r="C181" t="s">
        <v>5958</v>
      </c>
      <c r="D181">
        <v>1</v>
      </c>
      <c r="E181" t="s">
        <v>5959</v>
      </c>
      <c r="F181" s="105" t="s">
        <v>3689</v>
      </c>
      <c r="G181" s="103" t="s">
        <v>6294</v>
      </c>
      <c r="H181" s="106">
        <f t="shared" si="5"/>
        <v>112.0625</v>
      </c>
      <c r="I181" s="103">
        <v>17.93</v>
      </c>
    </row>
    <row r="182" spans="1:11">
      <c r="A182" t="s">
        <v>3497</v>
      </c>
      <c r="B182" s="1">
        <v>42338</v>
      </c>
      <c r="C182" t="s">
        <v>5958</v>
      </c>
      <c r="D182">
        <v>1</v>
      </c>
      <c r="E182" t="s">
        <v>5959</v>
      </c>
      <c r="F182" s="105" t="s">
        <v>2738</v>
      </c>
      <c r="G182" s="103" t="s">
        <v>2739</v>
      </c>
      <c r="H182" s="106">
        <f t="shared" si="5"/>
        <v>64.625</v>
      </c>
      <c r="I182" s="103">
        <v>10.34</v>
      </c>
    </row>
    <row r="183" spans="1:11">
      <c r="A183" t="s">
        <v>3497</v>
      </c>
      <c r="B183" s="1">
        <v>42338</v>
      </c>
      <c r="C183" t="s">
        <v>5958</v>
      </c>
      <c r="D183">
        <v>1</v>
      </c>
      <c r="E183" t="s">
        <v>5959</v>
      </c>
      <c r="F183" s="105" t="s">
        <v>714</v>
      </c>
      <c r="G183" s="103" t="s">
        <v>6291</v>
      </c>
      <c r="H183" s="106">
        <f t="shared" si="5"/>
        <v>309.5</v>
      </c>
      <c r="I183" s="103">
        <v>49.52</v>
      </c>
    </row>
    <row r="184" spans="1:11">
      <c r="A184" t="s">
        <v>3497</v>
      </c>
      <c r="B184" s="1">
        <v>42338</v>
      </c>
      <c r="C184" t="s">
        <v>5958</v>
      </c>
      <c r="D184">
        <v>1</v>
      </c>
      <c r="E184" t="s">
        <v>5959</v>
      </c>
      <c r="F184" s="105" t="s">
        <v>714</v>
      </c>
      <c r="G184" s="103" t="s">
        <v>6291</v>
      </c>
      <c r="H184" s="106">
        <f t="shared" si="5"/>
        <v>309.5</v>
      </c>
      <c r="I184" s="103">
        <v>49.52</v>
      </c>
      <c r="J184" s="7">
        <f>2652.06-H179-H180-H181-H182-H183-H184</f>
        <v>-2.5000000000545697E-3</v>
      </c>
      <c r="K184" s="7">
        <f>424.33-I179-I180-I181-I182-I183-I184</f>
        <v>0</v>
      </c>
    </row>
    <row r="185" spans="1:11">
      <c r="A185" t="s">
        <v>3946</v>
      </c>
      <c r="B185" s="1">
        <v>42338</v>
      </c>
      <c r="C185" t="s">
        <v>6031</v>
      </c>
      <c r="D185">
        <v>1</v>
      </c>
      <c r="E185" t="s">
        <v>820</v>
      </c>
      <c r="F185" s="103" t="s">
        <v>820</v>
      </c>
      <c r="G185" s="139" t="s">
        <v>7431</v>
      </c>
      <c r="H185" s="7">
        <f t="shared" si="5"/>
        <v>197.4375</v>
      </c>
      <c r="I185" s="7">
        <v>31.59</v>
      </c>
    </row>
    <row r="186" spans="1:11">
      <c r="A186" t="s">
        <v>5982</v>
      </c>
      <c r="B186" s="1">
        <v>42338</v>
      </c>
      <c r="C186" t="s">
        <v>5983</v>
      </c>
      <c r="D186">
        <v>1</v>
      </c>
      <c r="E186" t="s">
        <v>840</v>
      </c>
      <c r="F186" s="103" t="s">
        <v>840</v>
      </c>
      <c r="G186" s="139" t="s">
        <v>409</v>
      </c>
      <c r="H186" s="7">
        <f t="shared" si="5"/>
        <v>107.25</v>
      </c>
      <c r="I186" s="7">
        <v>17.16</v>
      </c>
    </row>
    <row r="187" spans="1:11">
      <c r="A187" t="s">
        <v>3921</v>
      </c>
      <c r="B187" s="1">
        <v>42338</v>
      </c>
      <c r="C187" t="s">
        <v>6004</v>
      </c>
      <c r="D187">
        <v>1</v>
      </c>
      <c r="E187" t="s">
        <v>911</v>
      </c>
      <c r="F187" s="103" t="s">
        <v>911</v>
      </c>
      <c r="G187" s="139" t="s">
        <v>912</v>
      </c>
      <c r="H187" s="7">
        <f t="shared" si="5"/>
        <v>51.749999999999993</v>
      </c>
      <c r="I187" s="7">
        <v>8.2799999999999994</v>
      </c>
    </row>
    <row r="188" spans="1:11">
      <c r="A188" t="s">
        <v>3962</v>
      </c>
      <c r="B188" s="1">
        <v>42338</v>
      </c>
      <c r="C188" t="s">
        <v>6059</v>
      </c>
      <c r="D188">
        <v>1</v>
      </c>
      <c r="E188" t="s">
        <v>911</v>
      </c>
      <c r="F188" s="103" t="s">
        <v>911</v>
      </c>
      <c r="G188" s="139" t="s">
        <v>912</v>
      </c>
      <c r="H188" s="7">
        <f t="shared" si="5"/>
        <v>67.25</v>
      </c>
      <c r="I188" s="7">
        <v>10.76</v>
      </c>
    </row>
    <row r="189" spans="1:11">
      <c r="A189" t="s">
        <v>4041</v>
      </c>
      <c r="B189" s="1">
        <v>42338</v>
      </c>
      <c r="C189" t="s">
        <v>6105</v>
      </c>
      <c r="D189">
        <v>1</v>
      </c>
      <c r="E189" t="s">
        <v>911</v>
      </c>
      <c r="F189" s="103" t="s">
        <v>911</v>
      </c>
      <c r="G189" s="139" t="s">
        <v>912</v>
      </c>
      <c r="H189" s="7">
        <f t="shared" si="5"/>
        <v>77.5625</v>
      </c>
      <c r="I189" s="7">
        <v>12.41</v>
      </c>
    </row>
    <row r="190" spans="1:11">
      <c r="A190" t="s">
        <v>2084</v>
      </c>
      <c r="B190" s="1">
        <v>42326</v>
      </c>
      <c r="C190" t="s">
        <v>6174</v>
      </c>
      <c r="D190">
        <v>1</v>
      </c>
      <c r="E190" t="s">
        <v>5591</v>
      </c>
      <c r="F190" s="103" t="s">
        <v>6295</v>
      </c>
      <c r="G190" s="103" t="s">
        <v>6296</v>
      </c>
      <c r="H190" s="106">
        <v>5619</v>
      </c>
      <c r="I190" s="106">
        <v>899.04</v>
      </c>
    </row>
    <row r="191" spans="1:11">
      <c r="A191" t="s">
        <v>2084</v>
      </c>
      <c r="B191" s="1">
        <v>42326</v>
      </c>
      <c r="C191" t="s">
        <v>6174</v>
      </c>
      <c r="D191">
        <v>1</v>
      </c>
      <c r="E191" t="s">
        <v>5591</v>
      </c>
      <c r="F191" s="103" t="s">
        <v>5643</v>
      </c>
      <c r="G191" s="103" t="s">
        <v>5644</v>
      </c>
      <c r="H191" s="106">
        <v>1409.5</v>
      </c>
      <c r="I191" s="106">
        <v>225.52</v>
      </c>
      <c r="J191" s="7">
        <f>7028.5-H190-H191</f>
        <v>0</v>
      </c>
      <c r="K191" s="7">
        <f>1124.56-I190-I191</f>
        <v>0</v>
      </c>
    </row>
    <row r="192" spans="1:11">
      <c r="A192" t="s">
        <v>3113</v>
      </c>
      <c r="B192" s="1">
        <v>42314</v>
      </c>
      <c r="C192" t="s">
        <v>6132</v>
      </c>
      <c r="D192">
        <v>1</v>
      </c>
      <c r="E192" t="s">
        <v>6133</v>
      </c>
      <c r="F192" s="103" t="s">
        <v>6261</v>
      </c>
      <c r="G192" s="103" t="s">
        <v>6133</v>
      </c>
      <c r="H192" s="7">
        <f t="shared" ref="H192:H223" si="6">+I192/0.16</f>
        <v>6600</v>
      </c>
      <c r="I192" s="7">
        <v>1056</v>
      </c>
    </row>
    <row r="193" spans="1:9">
      <c r="A193" t="s">
        <v>3619</v>
      </c>
      <c r="B193" s="1">
        <v>42327</v>
      </c>
      <c r="C193" t="s">
        <v>6195</v>
      </c>
      <c r="D193">
        <v>1</v>
      </c>
      <c r="E193" t="s">
        <v>2139</v>
      </c>
      <c r="F193" s="103" t="s">
        <v>2209</v>
      </c>
      <c r="G193" s="103" t="s">
        <v>2139</v>
      </c>
      <c r="H193" s="7">
        <f t="shared" si="6"/>
        <v>9393.1875</v>
      </c>
      <c r="I193" s="7">
        <v>1502.91</v>
      </c>
    </row>
    <row r="194" spans="1:9">
      <c r="A194" t="s">
        <v>1424</v>
      </c>
      <c r="B194" s="1">
        <v>42333</v>
      </c>
      <c r="C194" t="s">
        <v>6213</v>
      </c>
      <c r="D194">
        <v>1</v>
      </c>
      <c r="E194" t="s">
        <v>2139</v>
      </c>
      <c r="F194" s="103" t="s">
        <v>2209</v>
      </c>
      <c r="G194" s="103" t="s">
        <v>2139</v>
      </c>
      <c r="H194" s="7">
        <f t="shared" si="6"/>
        <v>1508.625</v>
      </c>
      <c r="I194" s="7">
        <v>241.38</v>
      </c>
    </row>
    <row r="195" spans="1:9">
      <c r="A195" t="s">
        <v>3904</v>
      </c>
      <c r="B195" s="1">
        <v>42338</v>
      </c>
      <c r="C195" t="s">
        <v>5984</v>
      </c>
      <c r="D195">
        <v>1</v>
      </c>
      <c r="E195" t="s">
        <v>5985</v>
      </c>
      <c r="F195" s="103" t="s">
        <v>5985</v>
      </c>
      <c r="G195" s="139" t="s">
        <v>7512</v>
      </c>
      <c r="H195" s="7">
        <f t="shared" si="6"/>
        <v>380</v>
      </c>
      <c r="I195" s="7">
        <v>60.8</v>
      </c>
    </row>
    <row r="196" spans="1:9">
      <c r="A196" t="s">
        <v>3957</v>
      </c>
      <c r="B196" s="1">
        <v>42338</v>
      </c>
      <c r="C196" t="s">
        <v>6056</v>
      </c>
      <c r="D196">
        <v>1</v>
      </c>
      <c r="E196" t="s">
        <v>6057</v>
      </c>
      <c r="F196" s="103" t="s">
        <v>6057</v>
      </c>
      <c r="G196" s="139" t="s">
        <v>7513</v>
      </c>
      <c r="H196" s="7">
        <f t="shared" si="6"/>
        <v>436.125</v>
      </c>
      <c r="I196" s="7">
        <v>69.78</v>
      </c>
    </row>
    <row r="197" spans="1:9">
      <c r="A197" t="s">
        <v>6088</v>
      </c>
      <c r="B197" s="1">
        <v>42338</v>
      </c>
      <c r="C197" t="s">
        <v>6089</v>
      </c>
      <c r="D197">
        <v>1</v>
      </c>
      <c r="E197" t="s">
        <v>6090</v>
      </c>
      <c r="F197" s="144" t="s">
        <v>722</v>
      </c>
      <c r="G197" s="144" t="s">
        <v>722</v>
      </c>
      <c r="H197" s="7">
        <f t="shared" si="6"/>
        <v>98.25</v>
      </c>
      <c r="I197" s="7">
        <v>15.72</v>
      </c>
    </row>
    <row r="198" spans="1:9">
      <c r="A198" t="s">
        <v>3936</v>
      </c>
      <c r="B198" s="1">
        <v>42338</v>
      </c>
      <c r="C198" t="s">
        <v>6023</v>
      </c>
      <c r="D198">
        <v>1</v>
      </c>
      <c r="E198" t="s">
        <v>821</v>
      </c>
      <c r="F198" s="103" t="s">
        <v>821</v>
      </c>
      <c r="G198" s="139" t="s">
        <v>5707</v>
      </c>
      <c r="H198" s="7">
        <f t="shared" si="6"/>
        <v>689.625</v>
      </c>
      <c r="I198" s="7">
        <v>110.34</v>
      </c>
    </row>
    <row r="199" spans="1:9">
      <c r="A199" t="s">
        <v>4728</v>
      </c>
      <c r="B199" s="1">
        <v>42338</v>
      </c>
      <c r="C199" t="s">
        <v>6024</v>
      </c>
      <c r="D199">
        <v>1</v>
      </c>
      <c r="E199" t="s">
        <v>821</v>
      </c>
      <c r="F199" s="103" t="s">
        <v>821</v>
      </c>
      <c r="G199" s="139" t="s">
        <v>5707</v>
      </c>
      <c r="H199" s="7">
        <f t="shared" si="6"/>
        <v>689.625</v>
      </c>
      <c r="I199" s="7">
        <v>110.34</v>
      </c>
    </row>
    <row r="200" spans="1:9">
      <c r="A200" t="s">
        <v>3938</v>
      </c>
      <c r="B200" s="1">
        <v>42338</v>
      </c>
      <c r="C200" t="s">
        <v>6025</v>
      </c>
      <c r="D200">
        <v>1</v>
      </c>
      <c r="E200" t="s">
        <v>821</v>
      </c>
      <c r="F200" s="103" t="s">
        <v>821</v>
      </c>
      <c r="G200" s="139" t="s">
        <v>5707</v>
      </c>
      <c r="H200" s="7">
        <f t="shared" si="6"/>
        <v>293.0625</v>
      </c>
      <c r="I200" s="7">
        <v>46.89</v>
      </c>
    </row>
    <row r="201" spans="1:9">
      <c r="A201" t="s">
        <v>3134</v>
      </c>
      <c r="B201" s="1">
        <v>42313</v>
      </c>
      <c r="C201" t="s">
        <v>6151</v>
      </c>
      <c r="D201">
        <v>1</v>
      </c>
      <c r="E201" t="s">
        <v>1455</v>
      </c>
      <c r="F201" s="103" t="s">
        <v>1573</v>
      </c>
      <c r="G201" s="103" t="s">
        <v>1455</v>
      </c>
      <c r="H201" s="7">
        <f t="shared" si="6"/>
        <v>850</v>
      </c>
      <c r="I201" s="7">
        <v>136</v>
      </c>
    </row>
    <row r="202" spans="1:9">
      <c r="A202" t="s">
        <v>450</v>
      </c>
      <c r="B202" s="1">
        <v>42319</v>
      </c>
      <c r="C202" t="s">
        <v>6162</v>
      </c>
      <c r="D202">
        <v>1</v>
      </c>
      <c r="E202" t="s">
        <v>1455</v>
      </c>
      <c r="F202" s="103" t="s">
        <v>1573</v>
      </c>
      <c r="G202" s="103" t="s">
        <v>1455</v>
      </c>
      <c r="H202" s="7">
        <f t="shared" si="6"/>
        <v>5400</v>
      </c>
      <c r="I202" s="7">
        <v>864</v>
      </c>
    </row>
    <row r="203" spans="1:9">
      <c r="A203" t="s">
        <v>2144</v>
      </c>
      <c r="B203" s="1">
        <v>42327</v>
      </c>
      <c r="C203" t="s">
        <v>4123</v>
      </c>
      <c r="D203">
        <v>2</v>
      </c>
      <c r="E203" t="s">
        <v>455</v>
      </c>
      <c r="F203" s="103" t="s">
        <v>823</v>
      </c>
      <c r="G203" s="103" t="s">
        <v>455</v>
      </c>
      <c r="H203" s="7">
        <f t="shared" si="6"/>
        <v>1875.25</v>
      </c>
      <c r="I203" s="7">
        <v>300.04000000000002</v>
      </c>
    </row>
    <row r="204" spans="1:9">
      <c r="A204" t="s">
        <v>2664</v>
      </c>
      <c r="B204" s="1">
        <v>42333</v>
      </c>
      <c r="C204" t="s">
        <v>6199</v>
      </c>
      <c r="D204">
        <v>1</v>
      </c>
      <c r="E204" t="s">
        <v>6200</v>
      </c>
      <c r="F204" s="103" t="s">
        <v>2212</v>
      </c>
      <c r="G204" s="103" t="s">
        <v>6200</v>
      </c>
      <c r="H204" s="7">
        <f t="shared" si="6"/>
        <v>3785.625</v>
      </c>
      <c r="I204" s="7">
        <v>605.70000000000005</v>
      </c>
    </row>
    <row r="205" spans="1:9">
      <c r="A205" t="s">
        <v>6088</v>
      </c>
      <c r="B205" s="1">
        <v>42338</v>
      </c>
      <c r="C205" t="s">
        <v>6089</v>
      </c>
      <c r="D205">
        <v>1</v>
      </c>
      <c r="E205" t="s">
        <v>6091</v>
      </c>
      <c r="F205" s="144" t="s">
        <v>722</v>
      </c>
      <c r="G205" s="144" t="s">
        <v>722</v>
      </c>
      <c r="H205" s="7">
        <f t="shared" si="6"/>
        <v>32.75</v>
      </c>
      <c r="I205" s="7">
        <v>5.24</v>
      </c>
    </row>
    <row r="206" spans="1:9">
      <c r="A206" t="s">
        <v>3929</v>
      </c>
      <c r="B206" s="1">
        <v>42338</v>
      </c>
      <c r="C206" t="s">
        <v>6014</v>
      </c>
      <c r="D206">
        <v>1</v>
      </c>
      <c r="E206" t="s">
        <v>6015</v>
      </c>
      <c r="F206" s="103" t="s">
        <v>6015</v>
      </c>
      <c r="G206" s="144" t="s">
        <v>7514</v>
      </c>
      <c r="H206" s="7">
        <f t="shared" si="6"/>
        <v>547.4375</v>
      </c>
      <c r="I206" s="7">
        <v>87.59</v>
      </c>
    </row>
    <row r="207" spans="1:9">
      <c r="A207" t="s">
        <v>1407</v>
      </c>
      <c r="B207" s="1">
        <v>42327</v>
      </c>
      <c r="C207" t="s">
        <v>6188</v>
      </c>
      <c r="D207">
        <v>2</v>
      </c>
      <c r="E207" t="s">
        <v>650</v>
      </c>
      <c r="F207" s="103" t="s">
        <v>827</v>
      </c>
      <c r="G207" s="103" t="s">
        <v>650</v>
      </c>
      <c r="H207" s="7">
        <f t="shared" si="6"/>
        <v>1046.5</v>
      </c>
      <c r="I207" s="7">
        <v>167.44</v>
      </c>
    </row>
    <row r="208" spans="1:9">
      <c r="A208" t="s">
        <v>1335</v>
      </c>
      <c r="B208" s="1">
        <v>42314</v>
      </c>
      <c r="C208" t="s">
        <v>6130</v>
      </c>
      <c r="D208">
        <v>1</v>
      </c>
      <c r="E208" t="s">
        <v>518</v>
      </c>
      <c r="F208" s="103" t="s">
        <v>828</v>
      </c>
      <c r="G208" s="103" t="s">
        <v>518</v>
      </c>
      <c r="H208" s="7">
        <f t="shared" si="6"/>
        <v>3707.8125</v>
      </c>
      <c r="I208" s="7">
        <v>593.25</v>
      </c>
    </row>
    <row r="209" spans="1:9">
      <c r="A209" t="s">
        <v>2651</v>
      </c>
      <c r="B209" s="1">
        <v>42332</v>
      </c>
      <c r="C209" t="s">
        <v>6183</v>
      </c>
      <c r="D209">
        <v>1</v>
      </c>
      <c r="E209" t="s">
        <v>529</v>
      </c>
      <c r="F209" s="19" t="s">
        <v>829</v>
      </c>
      <c r="G209" s="103" t="s">
        <v>529</v>
      </c>
      <c r="H209" s="7">
        <f t="shared" si="6"/>
        <v>107758.625</v>
      </c>
      <c r="I209" s="7">
        <v>17241.38</v>
      </c>
    </row>
    <row r="210" spans="1:9">
      <c r="A210" t="s">
        <v>5196</v>
      </c>
      <c r="B210" s="1">
        <v>42338</v>
      </c>
      <c r="C210" t="s">
        <v>6047</v>
      </c>
      <c r="D210">
        <v>1</v>
      </c>
      <c r="E210" t="s">
        <v>6048</v>
      </c>
      <c r="F210" s="103" t="s">
        <v>6273</v>
      </c>
      <c r="G210" s="139" t="s">
        <v>7515</v>
      </c>
      <c r="H210" s="7">
        <f t="shared" si="6"/>
        <v>417.9375</v>
      </c>
      <c r="I210" s="7">
        <v>66.87</v>
      </c>
    </row>
    <row r="211" spans="1:9">
      <c r="A211" t="s">
        <v>3953</v>
      </c>
      <c r="B211" s="1">
        <v>42338</v>
      </c>
      <c r="C211" t="s">
        <v>6037</v>
      </c>
      <c r="D211">
        <v>1</v>
      </c>
      <c r="E211" t="s">
        <v>6038</v>
      </c>
      <c r="F211" s="144" t="s">
        <v>722</v>
      </c>
      <c r="G211" s="144" t="s">
        <v>722</v>
      </c>
      <c r="H211" s="7">
        <f t="shared" si="6"/>
        <v>265.5</v>
      </c>
      <c r="I211" s="7">
        <v>42.48</v>
      </c>
    </row>
    <row r="212" spans="1:9">
      <c r="A212" t="s">
        <v>5196</v>
      </c>
      <c r="B212" s="1">
        <v>42338</v>
      </c>
      <c r="C212" t="s">
        <v>6047</v>
      </c>
      <c r="D212">
        <v>1</v>
      </c>
      <c r="E212" t="s">
        <v>6049</v>
      </c>
      <c r="F212" s="144" t="s">
        <v>722</v>
      </c>
      <c r="G212" s="144" t="s">
        <v>722</v>
      </c>
      <c r="H212" s="7">
        <f t="shared" si="6"/>
        <v>741.4375</v>
      </c>
      <c r="I212" s="7">
        <v>118.63</v>
      </c>
    </row>
    <row r="213" spans="1:9">
      <c r="A213" t="s">
        <v>4034</v>
      </c>
      <c r="B213" s="1">
        <v>42338</v>
      </c>
      <c r="C213" t="s">
        <v>6098</v>
      </c>
      <c r="D213">
        <v>1</v>
      </c>
      <c r="E213" t="s">
        <v>6099</v>
      </c>
      <c r="F213" s="103" t="s">
        <v>879</v>
      </c>
      <c r="G213" s="139" t="s">
        <v>7357</v>
      </c>
      <c r="H213" s="7">
        <f t="shared" si="6"/>
        <v>293.5625</v>
      </c>
      <c r="I213" s="7">
        <v>46.97</v>
      </c>
    </row>
    <row r="214" spans="1:9">
      <c r="A214" t="s">
        <v>256</v>
      </c>
      <c r="B214" s="1">
        <v>42338</v>
      </c>
      <c r="C214" t="s">
        <v>5777</v>
      </c>
      <c r="D214">
        <v>1</v>
      </c>
      <c r="E214" t="s">
        <v>6112</v>
      </c>
      <c r="F214" s="105" t="s">
        <v>2187</v>
      </c>
      <c r="G214" s="136" t="s">
        <v>3658</v>
      </c>
      <c r="H214" s="7">
        <f t="shared" si="6"/>
        <v>1310.3125</v>
      </c>
      <c r="I214" s="7">
        <v>209.65</v>
      </c>
    </row>
    <row r="215" spans="1:9">
      <c r="A215" t="s">
        <v>258</v>
      </c>
      <c r="B215" s="1">
        <v>42338</v>
      </c>
      <c r="C215" t="s">
        <v>6113</v>
      </c>
      <c r="D215">
        <v>1</v>
      </c>
      <c r="E215" t="s">
        <v>6114</v>
      </c>
      <c r="F215" s="105" t="s">
        <v>849</v>
      </c>
      <c r="G215" s="105" t="s">
        <v>6263</v>
      </c>
      <c r="H215" s="7">
        <f t="shared" si="6"/>
        <v>1310.3125</v>
      </c>
      <c r="I215" s="7">
        <v>209.65</v>
      </c>
    </row>
    <row r="216" spans="1:9">
      <c r="A216" t="s">
        <v>254</v>
      </c>
      <c r="B216" s="1">
        <v>42319</v>
      </c>
      <c r="C216" t="s">
        <v>5113</v>
      </c>
      <c r="D216">
        <v>1</v>
      </c>
      <c r="E216" t="s">
        <v>6111</v>
      </c>
      <c r="F216" s="105" t="s">
        <v>5633</v>
      </c>
      <c r="G216" s="105" t="s">
        <v>6247</v>
      </c>
      <c r="H216" s="7">
        <f t="shared" si="6"/>
        <v>1310.3125</v>
      </c>
      <c r="I216" s="7">
        <v>209.65</v>
      </c>
    </row>
    <row r="217" spans="1:9">
      <c r="A217" t="s">
        <v>3919</v>
      </c>
      <c r="B217" s="1">
        <v>42338</v>
      </c>
      <c r="C217" t="s">
        <v>6000</v>
      </c>
      <c r="D217">
        <v>1</v>
      </c>
      <c r="E217" t="s">
        <v>6001</v>
      </c>
      <c r="F217" s="144" t="s">
        <v>722</v>
      </c>
      <c r="G217" s="144" t="s">
        <v>722</v>
      </c>
      <c r="H217" s="7">
        <f t="shared" si="6"/>
        <v>150.875</v>
      </c>
      <c r="I217" s="7">
        <v>24.14</v>
      </c>
    </row>
    <row r="218" spans="1:9">
      <c r="A218" t="s">
        <v>3896</v>
      </c>
      <c r="B218" s="1">
        <v>42338</v>
      </c>
      <c r="C218" t="s">
        <v>5971</v>
      </c>
      <c r="D218">
        <v>1</v>
      </c>
      <c r="E218" t="s">
        <v>3491</v>
      </c>
      <c r="F218" s="103" t="s">
        <v>714</v>
      </c>
      <c r="G218" s="144" t="s">
        <v>6291</v>
      </c>
      <c r="H218" s="7">
        <f t="shared" si="6"/>
        <v>48.25</v>
      </c>
      <c r="I218" s="7">
        <v>7.72</v>
      </c>
    </row>
    <row r="219" spans="1:9">
      <c r="A219" t="s">
        <v>3896</v>
      </c>
      <c r="B219" s="1">
        <v>42338</v>
      </c>
      <c r="C219" t="s">
        <v>5971</v>
      </c>
      <c r="D219">
        <v>1</v>
      </c>
      <c r="E219" t="s">
        <v>3491</v>
      </c>
      <c r="F219" s="103" t="s">
        <v>714</v>
      </c>
      <c r="G219" s="144" t="s">
        <v>6291</v>
      </c>
      <c r="H219" s="7">
        <f t="shared" si="6"/>
        <v>163.8125</v>
      </c>
      <c r="I219" s="7">
        <v>26.21</v>
      </c>
    </row>
    <row r="220" spans="1:9">
      <c r="A220" t="s">
        <v>3899</v>
      </c>
      <c r="B220" s="1">
        <v>42338</v>
      </c>
      <c r="C220" t="s">
        <v>5976</v>
      </c>
      <c r="D220">
        <v>1</v>
      </c>
      <c r="E220" t="s">
        <v>3491</v>
      </c>
      <c r="F220" s="103" t="s">
        <v>714</v>
      </c>
      <c r="G220" s="144" t="s">
        <v>6291</v>
      </c>
      <c r="H220" s="7">
        <f t="shared" si="6"/>
        <v>48.25</v>
      </c>
      <c r="I220" s="7">
        <v>7.72</v>
      </c>
    </row>
    <row r="221" spans="1:9">
      <c r="A221" t="s">
        <v>3899</v>
      </c>
      <c r="B221" s="1">
        <v>42338</v>
      </c>
      <c r="C221" t="s">
        <v>5976</v>
      </c>
      <c r="D221">
        <v>1</v>
      </c>
      <c r="E221" t="s">
        <v>3491</v>
      </c>
      <c r="F221" s="103" t="s">
        <v>714</v>
      </c>
      <c r="G221" s="144" t="s">
        <v>6291</v>
      </c>
      <c r="H221" s="7">
        <f t="shared" si="6"/>
        <v>175</v>
      </c>
      <c r="I221" s="7">
        <v>28</v>
      </c>
    </row>
    <row r="222" spans="1:9">
      <c r="A222" t="s">
        <v>3919</v>
      </c>
      <c r="B222" s="1">
        <v>42338</v>
      </c>
      <c r="C222" t="s">
        <v>6000</v>
      </c>
      <c r="D222">
        <v>1</v>
      </c>
      <c r="E222" t="s">
        <v>3491</v>
      </c>
      <c r="F222" s="103" t="s">
        <v>714</v>
      </c>
      <c r="G222" s="144" t="s">
        <v>6291</v>
      </c>
      <c r="H222" s="7">
        <f t="shared" si="6"/>
        <v>118.12499999999999</v>
      </c>
      <c r="I222" s="7">
        <v>18.899999999999999</v>
      </c>
    </row>
    <row r="223" spans="1:9">
      <c r="A223" t="s">
        <v>3953</v>
      </c>
      <c r="B223" s="1">
        <v>42338</v>
      </c>
      <c r="C223" t="s">
        <v>6037</v>
      </c>
      <c r="D223">
        <v>1</v>
      </c>
      <c r="E223" t="s">
        <v>3491</v>
      </c>
      <c r="F223" s="103" t="s">
        <v>714</v>
      </c>
      <c r="G223" s="144" t="s">
        <v>6291</v>
      </c>
      <c r="H223" s="7">
        <f t="shared" si="6"/>
        <v>57.75</v>
      </c>
      <c r="I223" s="7">
        <v>9.24</v>
      </c>
    </row>
    <row r="224" spans="1:9">
      <c r="A224" t="s">
        <v>3953</v>
      </c>
      <c r="B224" s="1">
        <v>42338</v>
      </c>
      <c r="C224" t="s">
        <v>6037</v>
      </c>
      <c r="D224">
        <v>1</v>
      </c>
      <c r="E224" t="s">
        <v>3491</v>
      </c>
      <c r="F224" s="103" t="s">
        <v>714</v>
      </c>
      <c r="G224" s="144" t="s">
        <v>6291</v>
      </c>
      <c r="H224" s="7">
        <f t="shared" ref="H224:H253" si="7">+I224/0.16</f>
        <v>235.37499999999997</v>
      </c>
      <c r="I224" s="7">
        <v>37.659999999999997</v>
      </c>
    </row>
    <row r="225" spans="1:9">
      <c r="A225" t="s">
        <v>5196</v>
      </c>
      <c r="B225" s="1">
        <v>42338</v>
      </c>
      <c r="C225" t="s">
        <v>6047</v>
      </c>
      <c r="D225">
        <v>1</v>
      </c>
      <c r="E225" t="s">
        <v>3491</v>
      </c>
      <c r="F225" s="103" t="s">
        <v>714</v>
      </c>
      <c r="G225" s="144" t="s">
        <v>6291</v>
      </c>
      <c r="H225" s="7">
        <f t="shared" si="7"/>
        <v>48.25</v>
      </c>
      <c r="I225" s="7">
        <v>7.72</v>
      </c>
    </row>
    <row r="226" spans="1:9">
      <c r="A226" t="s">
        <v>5196</v>
      </c>
      <c r="B226" s="1">
        <v>42338</v>
      </c>
      <c r="C226" t="s">
        <v>6047</v>
      </c>
      <c r="D226">
        <v>1</v>
      </c>
      <c r="E226" t="s">
        <v>3491</v>
      </c>
      <c r="F226" s="103" t="s">
        <v>714</v>
      </c>
      <c r="G226" s="144" t="s">
        <v>6291</v>
      </c>
      <c r="H226" s="7">
        <f t="shared" si="7"/>
        <v>206.875</v>
      </c>
      <c r="I226" s="7">
        <v>33.1</v>
      </c>
    </row>
    <row r="227" spans="1:9">
      <c r="A227" t="s">
        <v>4034</v>
      </c>
      <c r="B227" s="1">
        <v>42338</v>
      </c>
      <c r="C227" t="s">
        <v>6098</v>
      </c>
      <c r="D227">
        <v>1</v>
      </c>
      <c r="E227" t="s">
        <v>3491</v>
      </c>
      <c r="F227" s="103" t="s">
        <v>714</v>
      </c>
      <c r="G227" s="144" t="s">
        <v>6291</v>
      </c>
      <c r="H227" s="7">
        <f t="shared" si="7"/>
        <v>317.25</v>
      </c>
      <c r="I227" s="7">
        <v>50.76</v>
      </c>
    </row>
    <row r="228" spans="1:9">
      <c r="A228" t="s">
        <v>4034</v>
      </c>
      <c r="B228" s="1">
        <v>42338</v>
      </c>
      <c r="C228" t="s">
        <v>6098</v>
      </c>
      <c r="D228">
        <v>1</v>
      </c>
      <c r="E228" t="s">
        <v>3491</v>
      </c>
      <c r="F228" s="103" t="s">
        <v>714</v>
      </c>
      <c r="G228" s="144" t="s">
        <v>6291</v>
      </c>
      <c r="H228" s="7">
        <f t="shared" si="7"/>
        <v>388.8125</v>
      </c>
      <c r="I228" s="7">
        <v>62.21</v>
      </c>
    </row>
    <row r="229" spans="1:9">
      <c r="A229" t="s">
        <v>3953</v>
      </c>
      <c r="B229" s="1">
        <v>42338</v>
      </c>
      <c r="C229" t="s">
        <v>6037</v>
      </c>
      <c r="D229">
        <v>1</v>
      </c>
      <c r="E229" t="s">
        <v>3465</v>
      </c>
      <c r="F229" s="103" t="s">
        <v>751</v>
      </c>
      <c r="G229" s="139" t="s">
        <v>7516</v>
      </c>
      <c r="H229" s="7">
        <f t="shared" si="7"/>
        <v>165.5</v>
      </c>
      <c r="I229" s="7">
        <v>26.48</v>
      </c>
    </row>
    <row r="230" spans="1:9">
      <c r="A230" t="s">
        <v>3953</v>
      </c>
      <c r="B230" s="1">
        <v>42338</v>
      </c>
      <c r="C230" t="s">
        <v>6037</v>
      </c>
      <c r="D230">
        <v>1</v>
      </c>
      <c r="E230" t="s">
        <v>3465</v>
      </c>
      <c r="F230" s="103" t="s">
        <v>751</v>
      </c>
      <c r="G230" s="139" t="s">
        <v>7516</v>
      </c>
      <c r="H230" s="7">
        <f t="shared" si="7"/>
        <v>181.0625</v>
      </c>
      <c r="I230" s="7">
        <v>28.97</v>
      </c>
    </row>
    <row r="231" spans="1:9">
      <c r="A231" t="s">
        <v>3953</v>
      </c>
      <c r="B231" s="1">
        <v>42338</v>
      </c>
      <c r="C231" t="s">
        <v>6037</v>
      </c>
      <c r="D231">
        <v>1</v>
      </c>
      <c r="E231" t="s">
        <v>3465</v>
      </c>
      <c r="F231" s="103" t="s">
        <v>751</v>
      </c>
      <c r="G231" s="139" t="s">
        <v>7516</v>
      </c>
      <c r="H231" s="7">
        <f t="shared" si="7"/>
        <v>689.6875</v>
      </c>
      <c r="I231" s="7">
        <v>110.35</v>
      </c>
    </row>
    <row r="232" spans="1:9">
      <c r="A232" t="s">
        <v>3896</v>
      </c>
      <c r="B232" s="1">
        <v>42338</v>
      </c>
      <c r="C232" t="s">
        <v>5971</v>
      </c>
      <c r="D232">
        <v>1</v>
      </c>
      <c r="E232" t="s">
        <v>5972</v>
      </c>
      <c r="F232" s="103" t="s">
        <v>749</v>
      </c>
      <c r="G232" s="139" t="s">
        <v>7359</v>
      </c>
      <c r="H232" s="7">
        <f t="shared" si="7"/>
        <v>85.375</v>
      </c>
      <c r="I232" s="7">
        <v>13.66</v>
      </c>
    </row>
    <row r="233" spans="1:9">
      <c r="A233" t="s">
        <v>3953</v>
      </c>
      <c r="B233" s="1">
        <v>42338</v>
      </c>
      <c r="C233" t="s">
        <v>6037</v>
      </c>
      <c r="D233">
        <v>1</v>
      </c>
      <c r="E233" t="s">
        <v>6039</v>
      </c>
      <c r="F233" s="103" t="s">
        <v>6276</v>
      </c>
      <c r="G233" s="139" t="s">
        <v>7517</v>
      </c>
      <c r="H233" s="7">
        <f t="shared" si="7"/>
        <v>77</v>
      </c>
      <c r="I233" s="7">
        <v>12.32</v>
      </c>
    </row>
    <row r="234" spans="1:9">
      <c r="A234" t="s">
        <v>434</v>
      </c>
      <c r="B234" s="1">
        <v>42312</v>
      </c>
      <c r="C234" t="s">
        <v>6124</v>
      </c>
      <c r="D234">
        <v>1</v>
      </c>
      <c r="E234" t="s">
        <v>6125</v>
      </c>
      <c r="F234" s="103" t="s">
        <v>6277</v>
      </c>
      <c r="G234" s="103" t="s">
        <v>6278</v>
      </c>
      <c r="H234" s="7">
        <f t="shared" si="7"/>
        <v>4240.4375</v>
      </c>
      <c r="I234" s="7">
        <v>678.47</v>
      </c>
    </row>
    <row r="235" spans="1:9">
      <c r="A235" t="s">
        <v>4034</v>
      </c>
      <c r="B235" s="1">
        <v>42338</v>
      </c>
      <c r="C235" t="s">
        <v>6098</v>
      </c>
      <c r="D235">
        <v>1</v>
      </c>
      <c r="E235" t="s">
        <v>6100</v>
      </c>
      <c r="F235" s="144" t="s">
        <v>722</v>
      </c>
      <c r="G235" s="144" t="s">
        <v>722</v>
      </c>
      <c r="H235" s="7">
        <f t="shared" si="7"/>
        <v>256.9375</v>
      </c>
      <c r="I235" s="7">
        <v>41.11</v>
      </c>
    </row>
    <row r="236" spans="1:9">
      <c r="A236" t="s">
        <v>1354</v>
      </c>
      <c r="B236" s="1">
        <v>42313</v>
      </c>
      <c r="C236" t="s">
        <v>6153</v>
      </c>
      <c r="D236">
        <v>1</v>
      </c>
      <c r="E236" t="s">
        <v>557</v>
      </c>
      <c r="F236" s="103" t="s">
        <v>956</v>
      </c>
      <c r="G236" s="103" t="s">
        <v>957</v>
      </c>
      <c r="H236" s="7">
        <f t="shared" si="7"/>
        <v>36890.4375</v>
      </c>
      <c r="I236" s="7">
        <v>5902.47</v>
      </c>
    </row>
    <row r="237" spans="1:9">
      <c r="A237" t="s">
        <v>3953</v>
      </c>
      <c r="B237" s="1">
        <v>42338</v>
      </c>
      <c r="C237" t="s">
        <v>6037</v>
      </c>
      <c r="D237">
        <v>1</v>
      </c>
      <c r="E237" t="s">
        <v>6040</v>
      </c>
      <c r="F237" s="103" t="s">
        <v>895</v>
      </c>
      <c r="G237" s="139" t="s">
        <v>896</v>
      </c>
      <c r="H237" s="7">
        <f t="shared" si="7"/>
        <v>100.875</v>
      </c>
      <c r="I237" s="7">
        <v>16.14</v>
      </c>
    </row>
    <row r="238" spans="1:9">
      <c r="A238" t="s">
        <v>4034</v>
      </c>
      <c r="B238" s="1">
        <v>42338</v>
      </c>
      <c r="C238" t="s">
        <v>6098</v>
      </c>
      <c r="D238">
        <v>1</v>
      </c>
      <c r="E238" t="s">
        <v>6101</v>
      </c>
      <c r="F238" s="103" t="s">
        <v>3503</v>
      </c>
      <c r="G238" s="139" t="s">
        <v>950</v>
      </c>
      <c r="H238" s="7">
        <f t="shared" si="7"/>
        <v>92.25</v>
      </c>
      <c r="I238" s="7">
        <v>14.76</v>
      </c>
    </row>
    <row r="239" spans="1:9">
      <c r="A239" t="s">
        <v>3896</v>
      </c>
      <c r="B239" s="1">
        <v>42338</v>
      </c>
      <c r="C239" t="s">
        <v>5971</v>
      </c>
      <c r="D239">
        <v>1</v>
      </c>
      <c r="E239" t="s">
        <v>5973</v>
      </c>
      <c r="F239" s="103" t="s">
        <v>6279</v>
      </c>
      <c r="G239" s="139" t="s">
        <v>7518</v>
      </c>
      <c r="H239" s="7">
        <f t="shared" si="7"/>
        <v>218.18749999999997</v>
      </c>
      <c r="I239" s="7">
        <v>34.909999999999997</v>
      </c>
    </row>
    <row r="240" spans="1:9">
      <c r="A240" t="s">
        <v>2165</v>
      </c>
      <c r="B240" s="1">
        <v>42338</v>
      </c>
      <c r="C240" t="s">
        <v>6230</v>
      </c>
      <c r="D240">
        <v>1</v>
      </c>
      <c r="E240" t="s">
        <v>6231</v>
      </c>
      <c r="F240" s="88" t="s">
        <v>739</v>
      </c>
      <c r="G240" s="45" t="s">
        <v>740</v>
      </c>
      <c r="H240" s="7">
        <f t="shared" si="7"/>
        <v>12634.8125</v>
      </c>
      <c r="I240" s="7">
        <v>2021.57</v>
      </c>
    </row>
    <row r="241" spans="1:11">
      <c r="A241" t="s">
        <v>2009</v>
      </c>
      <c r="B241" s="1">
        <v>42338</v>
      </c>
      <c r="C241" t="s">
        <v>5961</v>
      </c>
      <c r="D241">
        <v>1</v>
      </c>
      <c r="E241" t="s">
        <v>5962</v>
      </c>
      <c r="F241" s="23" t="s">
        <v>737</v>
      </c>
      <c r="G241" t="s">
        <v>738</v>
      </c>
      <c r="H241" s="7">
        <f t="shared" si="7"/>
        <v>16149.375</v>
      </c>
      <c r="I241" s="7">
        <v>2583.9</v>
      </c>
    </row>
    <row r="242" spans="1:11">
      <c r="A242" t="s">
        <v>4069</v>
      </c>
      <c r="B242" s="1">
        <v>42317</v>
      </c>
      <c r="C242" t="s">
        <v>3545</v>
      </c>
      <c r="D242">
        <v>1</v>
      </c>
      <c r="E242" t="s">
        <v>6110</v>
      </c>
      <c r="F242" s="88" t="s">
        <v>799</v>
      </c>
      <c r="G242" t="s">
        <v>1361</v>
      </c>
      <c r="H242" s="7">
        <f t="shared" si="7"/>
        <v>333.125</v>
      </c>
      <c r="I242" s="7">
        <v>53.3</v>
      </c>
    </row>
    <row r="243" spans="1:11">
      <c r="A243" t="s">
        <v>4069</v>
      </c>
      <c r="B243" s="1">
        <v>42317</v>
      </c>
      <c r="C243" t="s">
        <v>3545</v>
      </c>
      <c r="D243">
        <v>1</v>
      </c>
      <c r="E243" t="s">
        <v>6110</v>
      </c>
      <c r="F243" s="88" t="s">
        <v>799</v>
      </c>
      <c r="G243" t="s">
        <v>1361</v>
      </c>
      <c r="H243" s="7">
        <f t="shared" si="7"/>
        <v>440</v>
      </c>
      <c r="I243" s="7">
        <v>70.400000000000006</v>
      </c>
    </row>
    <row r="244" spans="1:11">
      <c r="A244" t="s">
        <v>4069</v>
      </c>
      <c r="B244" s="1">
        <v>42317</v>
      </c>
      <c r="C244" t="s">
        <v>3545</v>
      </c>
      <c r="D244">
        <v>1</v>
      </c>
      <c r="E244" t="s">
        <v>6110</v>
      </c>
      <c r="F244" s="88" t="s">
        <v>799</v>
      </c>
      <c r="G244" t="s">
        <v>1361</v>
      </c>
      <c r="H244" s="7">
        <f t="shared" si="7"/>
        <v>528.9375</v>
      </c>
      <c r="I244" s="7">
        <v>84.63</v>
      </c>
    </row>
    <row r="245" spans="1:11">
      <c r="A245" t="s">
        <v>4069</v>
      </c>
      <c r="B245" s="1">
        <v>42317</v>
      </c>
      <c r="C245" t="s">
        <v>3545</v>
      </c>
      <c r="D245">
        <v>1</v>
      </c>
      <c r="E245" t="s">
        <v>6110</v>
      </c>
      <c r="F245" s="88" t="s">
        <v>799</v>
      </c>
      <c r="G245" t="s">
        <v>1361</v>
      </c>
      <c r="H245" s="7">
        <f t="shared" si="7"/>
        <v>558.125</v>
      </c>
      <c r="I245" s="7">
        <v>89.3</v>
      </c>
    </row>
    <row r="246" spans="1:11">
      <c r="A246" t="s">
        <v>4069</v>
      </c>
      <c r="B246" s="1">
        <v>42317</v>
      </c>
      <c r="C246" t="s">
        <v>3545</v>
      </c>
      <c r="D246">
        <v>1</v>
      </c>
      <c r="E246" t="s">
        <v>6110</v>
      </c>
      <c r="F246" s="88" t="s">
        <v>799</v>
      </c>
      <c r="G246" t="s">
        <v>1361</v>
      </c>
      <c r="H246" s="7">
        <f t="shared" si="7"/>
        <v>594.5625</v>
      </c>
      <c r="I246" s="7">
        <v>95.13</v>
      </c>
    </row>
    <row r="247" spans="1:11">
      <c r="A247" t="s">
        <v>3953</v>
      </c>
      <c r="B247" s="1">
        <v>42338</v>
      </c>
      <c r="C247" t="s">
        <v>6037</v>
      </c>
      <c r="D247">
        <v>1</v>
      </c>
      <c r="E247" t="s">
        <v>3468</v>
      </c>
      <c r="F247" s="103" t="s">
        <v>905</v>
      </c>
      <c r="G247" s="139" t="s">
        <v>906</v>
      </c>
      <c r="H247" s="7">
        <f t="shared" si="7"/>
        <v>467.12499999999994</v>
      </c>
      <c r="I247" s="7">
        <v>74.739999999999995</v>
      </c>
    </row>
    <row r="248" spans="1:11">
      <c r="A248" t="s">
        <v>3919</v>
      </c>
      <c r="B248" s="1">
        <v>42338</v>
      </c>
      <c r="C248" t="s">
        <v>6000</v>
      </c>
      <c r="D248">
        <v>1</v>
      </c>
      <c r="E248" t="s">
        <v>6002</v>
      </c>
      <c r="F248" s="103" t="s">
        <v>6017</v>
      </c>
      <c r="G248" s="139" t="s">
        <v>7506</v>
      </c>
      <c r="H248" s="7">
        <f t="shared" si="7"/>
        <v>96.5625</v>
      </c>
      <c r="I248" s="7">
        <v>15.45</v>
      </c>
    </row>
    <row r="249" spans="1:11">
      <c r="A249" t="s">
        <v>3896</v>
      </c>
      <c r="B249" s="1">
        <v>42338</v>
      </c>
      <c r="C249" t="s">
        <v>5971</v>
      </c>
      <c r="D249">
        <v>1</v>
      </c>
      <c r="E249" t="s">
        <v>5974</v>
      </c>
      <c r="F249" s="103" t="s">
        <v>5330</v>
      </c>
      <c r="G249" s="139" t="s">
        <v>5693</v>
      </c>
      <c r="H249" s="7">
        <f t="shared" si="7"/>
        <v>112.0625</v>
      </c>
      <c r="I249" s="7">
        <v>17.93</v>
      </c>
    </row>
    <row r="250" spans="1:11">
      <c r="A250" t="s">
        <v>3899</v>
      </c>
      <c r="B250" s="1">
        <v>42338</v>
      </c>
      <c r="C250" t="s">
        <v>5976</v>
      </c>
      <c r="D250">
        <v>1</v>
      </c>
      <c r="E250" t="s">
        <v>5974</v>
      </c>
      <c r="F250" s="103" t="s">
        <v>5330</v>
      </c>
      <c r="G250" s="139" t="s">
        <v>5693</v>
      </c>
      <c r="H250" s="7">
        <f t="shared" si="7"/>
        <v>122.4375</v>
      </c>
      <c r="I250" s="7">
        <v>19.59</v>
      </c>
    </row>
    <row r="251" spans="1:11">
      <c r="A251" t="s">
        <v>3953</v>
      </c>
      <c r="B251" s="1">
        <v>42338</v>
      </c>
      <c r="C251" t="s">
        <v>6037</v>
      </c>
      <c r="D251">
        <v>1</v>
      </c>
      <c r="E251" t="s">
        <v>5974</v>
      </c>
      <c r="F251" s="103" t="s">
        <v>5330</v>
      </c>
      <c r="G251" s="139" t="s">
        <v>5693</v>
      </c>
      <c r="H251" s="7">
        <f t="shared" si="7"/>
        <v>837.0625</v>
      </c>
      <c r="I251" s="7">
        <v>133.93</v>
      </c>
    </row>
    <row r="252" spans="1:11">
      <c r="A252" t="s">
        <v>5196</v>
      </c>
      <c r="B252" s="1">
        <v>42338</v>
      </c>
      <c r="C252" t="s">
        <v>6047</v>
      </c>
      <c r="D252">
        <v>1</v>
      </c>
      <c r="E252" t="s">
        <v>5974</v>
      </c>
      <c r="F252" s="103" t="s">
        <v>5330</v>
      </c>
      <c r="G252" s="139" t="s">
        <v>5693</v>
      </c>
      <c r="H252" s="7">
        <f t="shared" si="7"/>
        <v>262.9375</v>
      </c>
      <c r="I252" s="7">
        <v>42.07</v>
      </c>
    </row>
    <row r="253" spans="1:11">
      <c r="A253" t="s">
        <v>4034</v>
      </c>
      <c r="B253" s="1">
        <v>42338</v>
      </c>
      <c r="C253" t="s">
        <v>6098</v>
      </c>
      <c r="D253">
        <v>1</v>
      </c>
      <c r="E253" t="s">
        <v>5974</v>
      </c>
      <c r="F253" s="103" t="s">
        <v>5330</v>
      </c>
      <c r="G253" s="139" t="s">
        <v>5693</v>
      </c>
      <c r="H253" s="7">
        <f t="shared" si="7"/>
        <v>86.187499999999986</v>
      </c>
      <c r="I253" s="7">
        <v>13.79</v>
      </c>
    </row>
    <row r="254" spans="1:11">
      <c r="A254" t="s">
        <v>463</v>
      </c>
      <c r="B254" s="1">
        <v>42321</v>
      </c>
      <c r="C254" t="s">
        <v>6164</v>
      </c>
      <c r="D254">
        <v>1</v>
      </c>
      <c r="E254" t="s">
        <v>5537</v>
      </c>
      <c r="F254" s="103" t="s">
        <v>5381</v>
      </c>
      <c r="G254" s="103" t="s">
        <v>6288</v>
      </c>
      <c r="H254" s="106">
        <v>152.5625</v>
      </c>
      <c r="I254" s="103">
        <v>24.41</v>
      </c>
    </row>
    <row r="255" spans="1:11">
      <c r="A255" t="s">
        <v>463</v>
      </c>
      <c r="B255" s="1">
        <v>42321</v>
      </c>
      <c r="C255" t="s">
        <v>6164</v>
      </c>
      <c r="D255">
        <v>1</v>
      </c>
      <c r="E255" t="s">
        <v>5537</v>
      </c>
      <c r="F255" s="103" t="s">
        <v>5330</v>
      </c>
      <c r="G255" s="103" t="s">
        <v>5693</v>
      </c>
      <c r="H255" s="106">
        <v>187.9375</v>
      </c>
      <c r="I255" s="103">
        <v>30.07</v>
      </c>
    </row>
    <row r="256" spans="1:11">
      <c r="A256" t="s">
        <v>463</v>
      </c>
      <c r="B256" s="1">
        <v>42321</v>
      </c>
      <c r="C256" t="s">
        <v>6164</v>
      </c>
      <c r="D256">
        <v>1</v>
      </c>
      <c r="E256" t="s">
        <v>5537</v>
      </c>
      <c r="F256" s="103" t="s">
        <v>6286</v>
      </c>
      <c r="G256" s="103" t="s">
        <v>6287</v>
      </c>
      <c r="H256" s="106">
        <v>284.0625</v>
      </c>
      <c r="I256" s="103">
        <v>45.45</v>
      </c>
      <c r="J256" s="7">
        <f>624.56-H254-H255-H256</f>
        <v>-2.5000000000545697E-3</v>
      </c>
      <c r="K256" s="7">
        <f>99.93-I254-I255-I256</f>
        <v>0</v>
      </c>
    </row>
    <row r="257" spans="1:12">
      <c r="A257" t="s">
        <v>3953</v>
      </c>
      <c r="B257" s="1">
        <v>42338</v>
      </c>
      <c r="C257" t="s">
        <v>6037</v>
      </c>
      <c r="D257">
        <v>1</v>
      </c>
      <c r="E257" t="s">
        <v>6041</v>
      </c>
      <c r="F257" s="103" t="s">
        <v>5997</v>
      </c>
      <c r="G257" s="144" t="s">
        <v>7508</v>
      </c>
      <c r="H257" s="7">
        <f>+I257/0.16</f>
        <v>56.0625</v>
      </c>
      <c r="I257" s="7">
        <v>8.9700000000000006</v>
      </c>
    </row>
    <row r="258" spans="1:12">
      <c r="A258" t="s">
        <v>3919</v>
      </c>
      <c r="B258" s="1">
        <v>42338</v>
      </c>
      <c r="C258" t="s">
        <v>6000</v>
      </c>
      <c r="D258">
        <v>1</v>
      </c>
      <c r="E258" t="s">
        <v>6003</v>
      </c>
      <c r="F258" s="103" t="s">
        <v>6280</v>
      </c>
      <c r="G258" s="139" t="s">
        <v>7519</v>
      </c>
      <c r="H258" s="7">
        <f>+I258/0.16</f>
        <v>335.5</v>
      </c>
      <c r="I258" s="7">
        <v>53.68</v>
      </c>
    </row>
    <row r="259" spans="1:12">
      <c r="A259" t="s">
        <v>5196</v>
      </c>
      <c r="B259" s="1">
        <v>42338</v>
      </c>
      <c r="C259" t="s">
        <v>6047</v>
      </c>
      <c r="D259">
        <v>1</v>
      </c>
      <c r="E259" t="s">
        <v>6050</v>
      </c>
      <c r="F259" s="144" t="s">
        <v>722</v>
      </c>
      <c r="G259" s="144" t="s">
        <v>722</v>
      </c>
      <c r="H259" s="7">
        <f>+I259/0.16</f>
        <v>78.4375</v>
      </c>
      <c r="I259" s="7">
        <v>12.55</v>
      </c>
    </row>
    <row r="260" spans="1:12">
      <c r="A260" t="s">
        <v>5861</v>
      </c>
      <c r="B260" s="1">
        <v>42326</v>
      </c>
      <c r="C260" t="s">
        <v>5858</v>
      </c>
      <c r="D260">
        <v>1</v>
      </c>
      <c r="E260" t="s">
        <v>2292</v>
      </c>
      <c r="F260" t="s">
        <v>813</v>
      </c>
      <c r="G260" t="s">
        <v>3675</v>
      </c>
      <c r="H260" s="7">
        <f>+I260/0.16</f>
        <v>179018.875</v>
      </c>
      <c r="I260" s="7">
        <v>28643.02</v>
      </c>
      <c r="J260" s="7">
        <f>+H260-'[1]NOV 2015'!$I$222</f>
        <v>1311.1875</v>
      </c>
      <c r="K260" s="7">
        <f>+I260-'[1]NOV 2015'!$J$222</f>
        <v>209.79000000000087</v>
      </c>
      <c r="L260" t="s">
        <v>960</v>
      </c>
    </row>
    <row r="261" spans="1:12">
      <c r="A261" t="s">
        <v>2003</v>
      </c>
      <c r="B261" s="1">
        <v>42338</v>
      </c>
      <c r="C261" t="s">
        <v>1315</v>
      </c>
      <c r="D261">
        <v>1</v>
      </c>
      <c r="E261" t="s">
        <v>5960</v>
      </c>
      <c r="F261" s="105" t="s">
        <v>714</v>
      </c>
      <c r="G261" s="103" t="s">
        <v>6291</v>
      </c>
      <c r="H261" s="106">
        <v>619</v>
      </c>
      <c r="I261" s="103">
        <v>99.04</v>
      </c>
    </row>
    <row r="262" spans="1:12">
      <c r="A262" t="s">
        <v>2003</v>
      </c>
      <c r="B262" s="1">
        <v>42338</v>
      </c>
      <c r="C262" t="s">
        <v>1315</v>
      </c>
      <c r="D262">
        <v>1</v>
      </c>
      <c r="E262" t="s">
        <v>5960</v>
      </c>
      <c r="F262" s="105" t="s">
        <v>716</v>
      </c>
      <c r="G262" s="103" t="s">
        <v>717</v>
      </c>
      <c r="H262" s="106">
        <v>1181.25</v>
      </c>
      <c r="I262" s="103">
        <v>189</v>
      </c>
      <c r="J262" s="7">
        <f>1800.25-H261-H262</f>
        <v>0</v>
      </c>
      <c r="K262" s="7">
        <f>288.04-I261-I262</f>
        <v>0</v>
      </c>
    </row>
    <row r="263" spans="1:12">
      <c r="A263" t="s">
        <v>3899</v>
      </c>
      <c r="B263" s="1">
        <v>42338</v>
      </c>
      <c r="C263" t="s">
        <v>5976</v>
      </c>
      <c r="D263">
        <v>1</v>
      </c>
      <c r="E263" t="s">
        <v>5977</v>
      </c>
      <c r="F263" s="103" t="s">
        <v>6281</v>
      </c>
      <c r="G263" s="139" t="s">
        <v>7520</v>
      </c>
      <c r="H263" s="7">
        <f t="shared" ref="H263:H294" si="8">+I263/0.16</f>
        <v>81.875</v>
      </c>
      <c r="I263" s="7">
        <v>13.1</v>
      </c>
    </row>
    <row r="264" spans="1:12">
      <c r="A264" t="s">
        <v>5196</v>
      </c>
      <c r="B264" s="1">
        <v>42338</v>
      </c>
      <c r="C264" t="s">
        <v>6047</v>
      </c>
      <c r="D264">
        <v>1</v>
      </c>
      <c r="E264" t="s">
        <v>6051</v>
      </c>
      <c r="F264" s="103" t="s">
        <v>911</v>
      </c>
      <c r="G264" s="139" t="s">
        <v>912</v>
      </c>
      <c r="H264" s="7">
        <f t="shared" si="8"/>
        <v>83.625</v>
      </c>
      <c r="I264" s="7">
        <v>13.38</v>
      </c>
    </row>
    <row r="265" spans="1:12">
      <c r="A265" t="s">
        <v>3953</v>
      </c>
      <c r="B265" s="1">
        <v>42338</v>
      </c>
      <c r="C265" t="s">
        <v>6037</v>
      </c>
      <c r="D265">
        <v>1</v>
      </c>
      <c r="E265" t="s">
        <v>6042</v>
      </c>
      <c r="F265" s="103" t="s">
        <v>887</v>
      </c>
      <c r="G265" s="139" t="s">
        <v>888</v>
      </c>
      <c r="H265" s="7">
        <f t="shared" si="8"/>
        <v>455.31249999999994</v>
      </c>
      <c r="I265" s="7">
        <v>72.849999999999994</v>
      </c>
    </row>
    <row r="266" spans="1:12">
      <c r="A266" t="s">
        <v>3899</v>
      </c>
      <c r="B266" s="1">
        <v>42338</v>
      </c>
      <c r="C266" t="s">
        <v>5976</v>
      </c>
      <c r="D266">
        <v>1</v>
      </c>
      <c r="E266" t="s">
        <v>5978</v>
      </c>
      <c r="F266" s="144" t="s">
        <v>722</v>
      </c>
      <c r="G266" s="144" t="s">
        <v>722</v>
      </c>
      <c r="H266" s="7">
        <f t="shared" si="8"/>
        <v>302</v>
      </c>
      <c r="I266" s="7">
        <v>48.32</v>
      </c>
    </row>
    <row r="267" spans="1:12">
      <c r="A267" t="s">
        <v>1337</v>
      </c>
      <c r="B267" s="1">
        <v>42317</v>
      </c>
      <c r="C267" t="s">
        <v>6135</v>
      </c>
      <c r="D267">
        <v>1</v>
      </c>
      <c r="E267" t="s">
        <v>3107</v>
      </c>
      <c r="F267" s="103" t="s">
        <v>822</v>
      </c>
      <c r="G267" s="103" t="s">
        <v>588</v>
      </c>
      <c r="H267" s="7">
        <f t="shared" si="8"/>
        <v>227</v>
      </c>
      <c r="I267" s="7">
        <v>36.32</v>
      </c>
    </row>
    <row r="268" spans="1:12">
      <c r="A268" t="s">
        <v>460</v>
      </c>
      <c r="B268" s="1">
        <v>42321</v>
      </c>
      <c r="C268" t="s">
        <v>6163</v>
      </c>
      <c r="D268">
        <v>1</v>
      </c>
      <c r="E268" t="s">
        <v>3107</v>
      </c>
      <c r="F268" s="103" t="s">
        <v>822</v>
      </c>
      <c r="G268" s="103" t="s">
        <v>588</v>
      </c>
      <c r="H268" s="7">
        <f t="shared" si="8"/>
        <v>409.99999999999994</v>
      </c>
      <c r="I268" s="7">
        <v>65.599999999999994</v>
      </c>
    </row>
    <row r="269" spans="1:12">
      <c r="A269" t="s">
        <v>2823</v>
      </c>
      <c r="B269" s="1">
        <v>42322</v>
      </c>
      <c r="C269" t="s">
        <v>5845</v>
      </c>
      <c r="D269">
        <v>1</v>
      </c>
      <c r="E269" t="s">
        <v>5846</v>
      </c>
      <c r="F269" t="s">
        <v>963</v>
      </c>
      <c r="G269" t="s">
        <v>3702</v>
      </c>
      <c r="H269" s="7">
        <f t="shared" si="8"/>
        <v>283696.5</v>
      </c>
      <c r="I269" s="7">
        <v>45391.44</v>
      </c>
      <c r="J269" s="7">
        <f>+H269-'[1]NOV 2015'!$I$264</f>
        <v>2850.125</v>
      </c>
      <c r="K269" s="7">
        <f>+I269-'[1]NOV 2015'!$J$264</f>
        <v>456.02000000000407</v>
      </c>
      <c r="L269" t="s">
        <v>960</v>
      </c>
    </row>
    <row r="270" spans="1:12">
      <c r="A270" t="s">
        <v>5808</v>
      </c>
      <c r="B270" s="1">
        <v>42319</v>
      </c>
      <c r="C270">
        <v>11940</v>
      </c>
      <c r="D270">
        <v>1</v>
      </c>
      <c r="E270" t="s">
        <v>3816</v>
      </c>
      <c r="F270" t="s">
        <v>799</v>
      </c>
      <c r="G270" t="s">
        <v>1361</v>
      </c>
      <c r="H270" s="7">
        <f t="shared" si="8"/>
        <v>5566.875</v>
      </c>
      <c r="I270" s="7">
        <v>890.7</v>
      </c>
    </row>
    <row r="271" spans="1:12">
      <c r="A271" t="s">
        <v>3284</v>
      </c>
      <c r="B271" s="1">
        <v>42319</v>
      </c>
      <c r="C271">
        <v>11939</v>
      </c>
      <c r="D271">
        <v>1</v>
      </c>
      <c r="E271" t="s">
        <v>3723</v>
      </c>
      <c r="F271" t="s">
        <v>799</v>
      </c>
      <c r="G271" t="s">
        <v>1361</v>
      </c>
      <c r="H271" s="7">
        <f t="shared" si="8"/>
        <v>14964.4375</v>
      </c>
      <c r="I271" s="7">
        <v>2394.31</v>
      </c>
    </row>
    <row r="272" spans="1:12">
      <c r="A272" t="s">
        <v>3953</v>
      </c>
      <c r="B272" s="1">
        <v>42338</v>
      </c>
      <c r="C272" t="s">
        <v>6037</v>
      </c>
      <c r="D272">
        <v>1</v>
      </c>
      <c r="E272" t="s">
        <v>6043</v>
      </c>
      <c r="F272" s="103" t="s">
        <v>5998</v>
      </c>
      <c r="G272" s="139" t="s">
        <v>7521</v>
      </c>
      <c r="H272" s="7">
        <f t="shared" si="8"/>
        <v>419.4375</v>
      </c>
      <c r="I272" s="7">
        <v>67.11</v>
      </c>
    </row>
    <row r="273" spans="1:12">
      <c r="A273" t="s">
        <v>3749</v>
      </c>
      <c r="B273" s="1">
        <v>42321</v>
      </c>
      <c r="C273" t="s">
        <v>5819</v>
      </c>
      <c r="D273">
        <v>1</v>
      </c>
      <c r="E273" t="s">
        <v>5820</v>
      </c>
      <c r="F273" t="s">
        <v>849</v>
      </c>
      <c r="G273" t="s">
        <v>6263</v>
      </c>
      <c r="H273" s="7">
        <f t="shared" si="8"/>
        <v>278611.25</v>
      </c>
      <c r="I273" s="7">
        <v>44577.8</v>
      </c>
    </row>
    <row r="274" spans="1:12">
      <c r="A274" t="s">
        <v>1827</v>
      </c>
      <c r="B274" s="1">
        <v>42338</v>
      </c>
      <c r="C274" t="s">
        <v>5947</v>
      </c>
      <c r="D274">
        <v>1</v>
      </c>
      <c r="E274" t="s">
        <v>5948</v>
      </c>
      <c r="F274" t="s">
        <v>849</v>
      </c>
      <c r="G274" t="s">
        <v>6263</v>
      </c>
      <c r="H274" s="7">
        <f t="shared" si="8"/>
        <v>169863.875</v>
      </c>
      <c r="I274" s="7">
        <v>27178.22</v>
      </c>
      <c r="J274" s="7">
        <f>+H274-'[1]NOV 2015'!$I$306</f>
        <v>1311.375</v>
      </c>
      <c r="K274" s="7">
        <f>+I274-'[1]NOV 2015'!$J$306</f>
        <v>209.81999999999971</v>
      </c>
      <c r="L274" t="s">
        <v>960</v>
      </c>
    </row>
    <row r="275" spans="1:12">
      <c r="A275" t="s">
        <v>1477</v>
      </c>
      <c r="B275" s="1">
        <v>42327</v>
      </c>
      <c r="C275" t="s">
        <v>6240</v>
      </c>
      <c r="D275">
        <v>1</v>
      </c>
      <c r="E275" t="s">
        <v>6241</v>
      </c>
      <c r="F275" s="17" t="s">
        <v>799</v>
      </c>
      <c r="G275" s="103" t="s">
        <v>1361</v>
      </c>
      <c r="H275" s="7">
        <f t="shared" si="8"/>
        <v>610190.6875</v>
      </c>
      <c r="I275" s="7">
        <v>97630.51</v>
      </c>
    </row>
    <row r="276" spans="1:12">
      <c r="A276" t="s">
        <v>3953</v>
      </c>
      <c r="B276" s="1">
        <v>42338</v>
      </c>
      <c r="C276" t="s">
        <v>6037</v>
      </c>
      <c r="D276">
        <v>1</v>
      </c>
      <c r="E276" t="s">
        <v>6044</v>
      </c>
      <c r="F276" s="103" t="s">
        <v>6282</v>
      </c>
      <c r="G276" s="144" t="s">
        <v>7530</v>
      </c>
      <c r="H276" s="7">
        <f t="shared" si="8"/>
        <v>81.875</v>
      </c>
      <c r="I276" s="7">
        <v>13.1</v>
      </c>
    </row>
    <row r="277" spans="1:12">
      <c r="A277" t="s">
        <v>3953</v>
      </c>
      <c r="B277" s="1">
        <v>42338</v>
      </c>
      <c r="C277" t="s">
        <v>6037</v>
      </c>
      <c r="D277">
        <v>1</v>
      </c>
      <c r="E277" t="s">
        <v>6044</v>
      </c>
      <c r="F277" s="103" t="s">
        <v>6282</v>
      </c>
      <c r="G277" s="144" t="s">
        <v>7530</v>
      </c>
      <c r="H277" s="7">
        <f t="shared" si="8"/>
        <v>177.9375</v>
      </c>
      <c r="I277" s="7">
        <v>28.47</v>
      </c>
    </row>
    <row r="278" spans="1:12">
      <c r="A278" t="s">
        <v>5196</v>
      </c>
      <c r="B278" s="1">
        <v>42338</v>
      </c>
      <c r="C278" t="s">
        <v>6047</v>
      </c>
      <c r="D278">
        <v>1</v>
      </c>
      <c r="E278" t="s">
        <v>6052</v>
      </c>
      <c r="F278" s="103" t="s">
        <v>5377</v>
      </c>
      <c r="G278" s="139" t="s">
        <v>7522</v>
      </c>
      <c r="H278" s="7">
        <f t="shared" si="8"/>
        <v>218.125</v>
      </c>
      <c r="I278" s="7">
        <v>34.9</v>
      </c>
    </row>
    <row r="279" spans="1:12">
      <c r="A279" t="s">
        <v>4034</v>
      </c>
      <c r="B279" s="1">
        <v>42338</v>
      </c>
      <c r="C279" t="s">
        <v>6098</v>
      </c>
      <c r="D279">
        <v>1</v>
      </c>
      <c r="E279" t="s">
        <v>6052</v>
      </c>
      <c r="F279" s="103" t="s">
        <v>5377</v>
      </c>
      <c r="G279" s="139" t="s">
        <v>7522</v>
      </c>
      <c r="H279" s="7">
        <f t="shared" si="8"/>
        <v>389.625</v>
      </c>
      <c r="I279" s="7">
        <v>62.34</v>
      </c>
    </row>
    <row r="280" spans="1:12">
      <c r="A280" t="s">
        <v>2040</v>
      </c>
      <c r="B280" s="1">
        <v>42312</v>
      </c>
      <c r="C280" t="s">
        <v>6119</v>
      </c>
      <c r="D280">
        <v>1</v>
      </c>
      <c r="E280" t="s">
        <v>6120</v>
      </c>
      <c r="F280" s="105" t="s">
        <v>4938</v>
      </c>
      <c r="G280" s="103" t="s">
        <v>4554</v>
      </c>
      <c r="H280" s="7">
        <f t="shared" si="8"/>
        <v>1050</v>
      </c>
      <c r="I280" s="7">
        <v>168</v>
      </c>
    </row>
    <row r="281" spans="1:12">
      <c r="A281" t="s">
        <v>5883</v>
      </c>
      <c r="B281" s="1">
        <v>42328</v>
      </c>
      <c r="C281" t="s">
        <v>5884</v>
      </c>
      <c r="D281">
        <v>1</v>
      </c>
      <c r="E281" t="s">
        <v>5885</v>
      </c>
      <c r="F281" t="s">
        <v>1600</v>
      </c>
      <c r="G281" t="s">
        <v>6283</v>
      </c>
      <c r="H281" s="7">
        <f t="shared" si="8"/>
        <v>179068.6875</v>
      </c>
      <c r="I281" s="7">
        <v>28650.99</v>
      </c>
      <c r="J281" s="7">
        <f>+H281-'[1]NOV 2015'!$I$324</f>
        <v>1361</v>
      </c>
      <c r="K281" s="7">
        <f>+I281-'[1]NOV 2015'!$J$324</f>
        <v>217.76000000000204</v>
      </c>
      <c r="L281" t="s">
        <v>960</v>
      </c>
    </row>
    <row r="282" spans="1:12">
      <c r="A282" t="s">
        <v>209</v>
      </c>
      <c r="B282" s="1">
        <v>42338</v>
      </c>
      <c r="C282" t="s">
        <v>5938</v>
      </c>
      <c r="D282">
        <v>1</v>
      </c>
      <c r="E282" t="s">
        <v>5951</v>
      </c>
      <c r="F282" t="s">
        <v>1600</v>
      </c>
      <c r="G282" t="s">
        <v>6283</v>
      </c>
      <c r="H282" s="7">
        <f t="shared" si="8"/>
        <v>170516.375</v>
      </c>
      <c r="I282" s="7">
        <v>27282.62</v>
      </c>
    </row>
    <row r="283" spans="1:12">
      <c r="A283" t="s">
        <v>5196</v>
      </c>
      <c r="B283" s="1">
        <v>42338</v>
      </c>
      <c r="C283" t="s">
        <v>6047</v>
      </c>
      <c r="D283">
        <v>1</v>
      </c>
      <c r="E283" t="s">
        <v>6053</v>
      </c>
      <c r="F283" s="103" t="s">
        <v>5655</v>
      </c>
      <c r="G283" s="139" t="s">
        <v>7523</v>
      </c>
      <c r="H283" s="7">
        <f t="shared" si="8"/>
        <v>671</v>
      </c>
      <c r="I283" s="7">
        <v>107.36</v>
      </c>
    </row>
    <row r="284" spans="1:12">
      <c r="A284" t="s">
        <v>4121</v>
      </c>
      <c r="B284" s="1">
        <v>42313</v>
      </c>
      <c r="C284" t="s">
        <v>6149</v>
      </c>
      <c r="D284">
        <v>1</v>
      </c>
      <c r="E284" t="s">
        <v>1461</v>
      </c>
      <c r="F284" s="103" t="s">
        <v>1648</v>
      </c>
      <c r="G284" s="103" t="s">
        <v>1649</v>
      </c>
      <c r="H284" s="7">
        <f t="shared" si="8"/>
        <v>922.625</v>
      </c>
      <c r="I284" s="7">
        <v>147.62</v>
      </c>
    </row>
    <row r="285" spans="1:12">
      <c r="A285" t="s">
        <v>2063</v>
      </c>
      <c r="B285" s="1">
        <v>42319</v>
      </c>
      <c r="C285" t="s">
        <v>6158</v>
      </c>
      <c r="D285">
        <v>1</v>
      </c>
      <c r="E285" t="s">
        <v>1461</v>
      </c>
      <c r="F285" s="103" t="s">
        <v>1648</v>
      </c>
      <c r="G285" s="103" t="s">
        <v>1649</v>
      </c>
      <c r="H285" s="7">
        <f t="shared" si="8"/>
        <v>455.31249999999994</v>
      </c>
      <c r="I285" s="7">
        <v>72.849999999999994</v>
      </c>
    </row>
    <row r="286" spans="1:12">
      <c r="A286" t="s">
        <v>3622</v>
      </c>
      <c r="B286" s="1">
        <v>42327</v>
      </c>
      <c r="C286" t="s">
        <v>6196</v>
      </c>
      <c r="D286">
        <v>1</v>
      </c>
      <c r="E286" t="s">
        <v>1461</v>
      </c>
      <c r="F286" s="103" t="s">
        <v>1648</v>
      </c>
      <c r="G286" s="103" t="s">
        <v>1649</v>
      </c>
      <c r="H286" s="7">
        <f t="shared" si="8"/>
        <v>751.75</v>
      </c>
      <c r="I286" s="7">
        <v>120.28</v>
      </c>
    </row>
    <row r="287" spans="1:12">
      <c r="A287" t="s">
        <v>533</v>
      </c>
      <c r="B287" s="1">
        <v>42333</v>
      </c>
      <c r="C287" t="s">
        <v>6215</v>
      </c>
      <c r="D287">
        <v>1</v>
      </c>
      <c r="E287" t="s">
        <v>1461</v>
      </c>
      <c r="F287" s="103" t="s">
        <v>1648</v>
      </c>
      <c r="G287" s="103" t="s">
        <v>1649</v>
      </c>
      <c r="H287" s="7">
        <f t="shared" si="8"/>
        <v>836.6875</v>
      </c>
      <c r="I287" s="7">
        <v>133.87</v>
      </c>
    </row>
    <row r="288" spans="1:12">
      <c r="A288" t="s">
        <v>2594</v>
      </c>
      <c r="B288" s="1">
        <v>42313</v>
      </c>
      <c r="C288" t="s">
        <v>6142</v>
      </c>
      <c r="D288">
        <v>1</v>
      </c>
      <c r="E288" t="s">
        <v>452</v>
      </c>
      <c r="F288" s="103" t="s">
        <v>863</v>
      </c>
      <c r="G288" s="103" t="s">
        <v>967</v>
      </c>
      <c r="H288" s="7">
        <f t="shared" si="8"/>
        <v>46026</v>
      </c>
      <c r="I288" s="7">
        <v>7364.16</v>
      </c>
    </row>
    <row r="289" spans="1:11">
      <c r="A289" t="s">
        <v>3631</v>
      </c>
      <c r="B289" s="1">
        <v>42333</v>
      </c>
      <c r="C289" t="s">
        <v>6205</v>
      </c>
      <c r="D289">
        <v>1</v>
      </c>
      <c r="E289" t="s">
        <v>452</v>
      </c>
      <c r="F289" s="103" t="s">
        <v>863</v>
      </c>
      <c r="G289" s="103" t="s">
        <v>967</v>
      </c>
      <c r="H289" s="7">
        <f t="shared" si="8"/>
        <v>35590.0625</v>
      </c>
      <c r="I289" s="7">
        <v>5694.41</v>
      </c>
    </row>
    <row r="290" spans="1:11">
      <c r="A290" t="s">
        <v>5196</v>
      </c>
      <c r="B290" s="1">
        <v>42338</v>
      </c>
      <c r="C290" t="s">
        <v>6047</v>
      </c>
      <c r="D290">
        <v>1</v>
      </c>
      <c r="E290" t="s">
        <v>6054</v>
      </c>
      <c r="F290" s="103" t="s">
        <v>1617</v>
      </c>
      <c r="G290" s="139" t="s">
        <v>1618</v>
      </c>
      <c r="H290" s="7">
        <f t="shared" si="8"/>
        <v>142.625</v>
      </c>
      <c r="I290" s="7">
        <v>22.82</v>
      </c>
    </row>
    <row r="291" spans="1:11">
      <c r="A291" t="s">
        <v>4034</v>
      </c>
      <c r="B291" s="1">
        <v>42338</v>
      </c>
      <c r="C291" t="s">
        <v>6098</v>
      </c>
      <c r="D291">
        <v>1</v>
      </c>
      <c r="E291" t="s">
        <v>6102</v>
      </c>
      <c r="F291" s="103" t="s">
        <v>883</v>
      </c>
      <c r="G291" s="139" t="s">
        <v>884</v>
      </c>
      <c r="H291" s="7">
        <f t="shared" si="8"/>
        <v>493.18749999999994</v>
      </c>
      <c r="I291" s="7">
        <v>78.91</v>
      </c>
    </row>
    <row r="292" spans="1:11">
      <c r="A292" t="s">
        <v>5989</v>
      </c>
      <c r="B292" s="1">
        <v>42338</v>
      </c>
      <c r="C292" t="s">
        <v>5990</v>
      </c>
      <c r="D292">
        <v>1</v>
      </c>
      <c r="E292" t="s">
        <v>5991</v>
      </c>
      <c r="F292" s="103" t="s">
        <v>6284</v>
      </c>
      <c r="G292" s="139" t="s">
        <v>7524</v>
      </c>
      <c r="H292" s="7">
        <f t="shared" si="8"/>
        <v>773.6875</v>
      </c>
      <c r="I292" s="7">
        <v>123.79</v>
      </c>
    </row>
    <row r="293" spans="1:11">
      <c r="A293" t="s">
        <v>5196</v>
      </c>
      <c r="B293" s="1">
        <v>42338</v>
      </c>
      <c r="C293" t="s">
        <v>6047</v>
      </c>
      <c r="D293">
        <v>1</v>
      </c>
      <c r="E293" t="s">
        <v>6055</v>
      </c>
      <c r="F293" s="103" t="s">
        <v>6285</v>
      </c>
      <c r="G293" s="139" t="s">
        <v>7525</v>
      </c>
      <c r="H293" s="7">
        <f t="shared" si="8"/>
        <v>75.875</v>
      </c>
      <c r="I293" s="7">
        <v>12.14</v>
      </c>
    </row>
    <row r="294" spans="1:11">
      <c r="A294" t="s">
        <v>3338</v>
      </c>
      <c r="B294" s="1">
        <v>42329</v>
      </c>
      <c r="C294" t="s">
        <v>5171</v>
      </c>
      <c r="D294">
        <v>1</v>
      </c>
      <c r="E294" t="s">
        <v>107</v>
      </c>
      <c r="F294" s="94" t="s">
        <v>2751</v>
      </c>
      <c r="G294" s="94" t="s">
        <v>5728</v>
      </c>
      <c r="H294" s="7">
        <f t="shared" si="8"/>
        <v>-168242.1875</v>
      </c>
      <c r="I294" s="7">
        <v>-26918.75</v>
      </c>
    </row>
    <row r="295" spans="1:11">
      <c r="A295" t="s">
        <v>2308</v>
      </c>
      <c r="B295" s="1">
        <v>42319</v>
      </c>
      <c r="C295" t="s">
        <v>5173</v>
      </c>
      <c r="D295">
        <v>1</v>
      </c>
      <c r="E295" t="s">
        <v>107</v>
      </c>
      <c r="F295" s="94" t="s">
        <v>2751</v>
      </c>
      <c r="G295" s="94" t="s">
        <v>5728</v>
      </c>
      <c r="H295" s="7">
        <f t="shared" ref="H295:H326" si="9">+I295/0.16</f>
        <v>-168242.1875</v>
      </c>
      <c r="I295" s="7">
        <v>-26918.75</v>
      </c>
    </row>
    <row r="296" spans="1:11">
      <c r="A296" t="s">
        <v>6074</v>
      </c>
      <c r="B296" s="1">
        <v>42338</v>
      </c>
      <c r="C296" t="s">
        <v>6075</v>
      </c>
      <c r="D296">
        <v>1</v>
      </c>
      <c r="E296" t="s">
        <v>6076</v>
      </c>
      <c r="F296" s="103" t="s">
        <v>878</v>
      </c>
      <c r="G296" s="139" t="s">
        <v>7410</v>
      </c>
      <c r="H296" s="7">
        <f t="shared" si="9"/>
        <v>380</v>
      </c>
      <c r="I296" s="7">
        <v>60.8</v>
      </c>
    </row>
    <row r="297" spans="1:11">
      <c r="A297" t="s">
        <v>1359</v>
      </c>
      <c r="B297" s="1">
        <v>42319</v>
      </c>
      <c r="C297" t="s">
        <v>6155</v>
      </c>
      <c r="D297">
        <v>1</v>
      </c>
      <c r="E297" t="s">
        <v>5610</v>
      </c>
      <c r="F297" s="103" t="s">
        <v>6286</v>
      </c>
      <c r="G297" s="103" t="s">
        <v>6287</v>
      </c>
      <c r="H297" s="106">
        <f t="shared" si="9"/>
        <v>367.625</v>
      </c>
      <c r="I297" s="103">
        <v>58.82</v>
      </c>
    </row>
    <row r="298" spans="1:11">
      <c r="A298" t="s">
        <v>1359</v>
      </c>
      <c r="B298" s="1">
        <v>42319</v>
      </c>
      <c r="C298" t="s">
        <v>6155</v>
      </c>
      <c r="D298">
        <v>1</v>
      </c>
      <c r="E298" t="s">
        <v>5610</v>
      </c>
      <c r="F298" s="103" t="s">
        <v>5330</v>
      </c>
      <c r="G298" s="103" t="s">
        <v>5693</v>
      </c>
      <c r="H298" s="106">
        <f t="shared" si="9"/>
        <v>248.25</v>
      </c>
      <c r="I298" s="103">
        <v>39.72</v>
      </c>
    </row>
    <row r="299" spans="1:11">
      <c r="A299" t="s">
        <v>1359</v>
      </c>
      <c r="B299" s="1">
        <v>42319</v>
      </c>
      <c r="C299" t="s">
        <v>6155</v>
      </c>
      <c r="D299">
        <v>1</v>
      </c>
      <c r="E299" t="s">
        <v>5610</v>
      </c>
      <c r="F299" s="103" t="s">
        <v>5381</v>
      </c>
      <c r="G299" s="103" t="s">
        <v>6288</v>
      </c>
      <c r="H299" s="106">
        <f t="shared" si="9"/>
        <v>236.24999999999997</v>
      </c>
      <c r="I299" s="103">
        <v>37.799999999999997</v>
      </c>
    </row>
    <row r="300" spans="1:11">
      <c r="A300" t="s">
        <v>1359</v>
      </c>
      <c r="B300" s="1">
        <v>42319</v>
      </c>
      <c r="C300" t="s">
        <v>6155</v>
      </c>
      <c r="D300">
        <v>1</v>
      </c>
      <c r="E300" t="s">
        <v>5610</v>
      </c>
      <c r="F300" s="103" t="s">
        <v>6289</v>
      </c>
      <c r="G300" s="103" t="s">
        <v>6290</v>
      </c>
      <c r="H300" s="106">
        <f t="shared" si="9"/>
        <v>635.1875</v>
      </c>
      <c r="I300" s="103">
        <v>101.63</v>
      </c>
      <c r="J300" s="7">
        <f>1487.31-H297-H298-H299-H300</f>
        <v>-2.5000000000545697E-3</v>
      </c>
      <c r="K300" s="7">
        <f>237.97-I297-I298-I299-I300</f>
        <v>0</v>
      </c>
    </row>
    <row r="301" spans="1:11">
      <c r="A301" t="s">
        <v>497</v>
      </c>
      <c r="B301" s="1">
        <v>42331</v>
      </c>
      <c r="C301" t="s">
        <v>6180</v>
      </c>
      <c r="D301">
        <v>1</v>
      </c>
      <c r="E301" t="s">
        <v>520</v>
      </c>
      <c r="F301" s="103" t="s">
        <v>834</v>
      </c>
      <c r="G301" s="103" t="s">
        <v>520</v>
      </c>
      <c r="H301" s="7">
        <f t="shared" si="9"/>
        <v>17880</v>
      </c>
      <c r="I301" s="7">
        <v>2860.8</v>
      </c>
    </row>
    <row r="302" spans="1:11">
      <c r="A302" t="s">
        <v>2655</v>
      </c>
      <c r="B302" s="1">
        <v>42327</v>
      </c>
      <c r="C302" t="s">
        <v>6189</v>
      </c>
      <c r="D302">
        <v>2</v>
      </c>
      <c r="E302" t="s">
        <v>472</v>
      </c>
      <c r="F302" s="103" t="s">
        <v>836</v>
      </c>
      <c r="G302" s="103" t="s">
        <v>472</v>
      </c>
      <c r="H302" s="7">
        <f t="shared" si="9"/>
        <v>6430</v>
      </c>
      <c r="I302" s="7">
        <v>1028.8</v>
      </c>
    </row>
    <row r="303" spans="1:11">
      <c r="A303" t="s">
        <v>6088</v>
      </c>
      <c r="B303" s="1">
        <v>42338</v>
      </c>
      <c r="C303" t="s">
        <v>6089</v>
      </c>
      <c r="D303">
        <v>1</v>
      </c>
      <c r="E303" t="s">
        <v>6092</v>
      </c>
      <c r="F303" s="103" t="s">
        <v>6092</v>
      </c>
      <c r="G303" s="139" t="s">
        <v>7526</v>
      </c>
      <c r="H303" s="7">
        <f t="shared" si="9"/>
        <v>200</v>
      </c>
      <c r="I303" s="7">
        <v>32</v>
      </c>
    </row>
    <row r="304" spans="1:11">
      <c r="A304" t="s">
        <v>6088</v>
      </c>
      <c r="B304" s="1">
        <v>42338</v>
      </c>
      <c r="C304" t="s">
        <v>6089</v>
      </c>
      <c r="D304">
        <v>1</v>
      </c>
      <c r="E304" t="s">
        <v>1636</v>
      </c>
      <c r="F304" s="103" t="s">
        <v>1636</v>
      </c>
      <c r="G304" s="139" t="s">
        <v>7527</v>
      </c>
      <c r="H304" s="7">
        <f t="shared" si="9"/>
        <v>94.8125</v>
      </c>
      <c r="I304" s="7">
        <v>15.17</v>
      </c>
    </row>
    <row r="305" spans="1:9">
      <c r="A305" t="s">
        <v>3909</v>
      </c>
      <c r="B305" s="1">
        <v>42338</v>
      </c>
      <c r="C305" t="s">
        <v>5992</v>
      </c>
      <c r="D305">
        <v>1</v>
      </c>
      <c r="E305" t="s">
        <v>837</v>
      </c>
      <c r="F305" s="103" t="s">
        <v>837</v>
      </c>
      <c r="G305" s="139" t="s">
        <v>261</v>
      </c>
      <c r="H305" s="7">
        <f t="shared" si="9"/>
        <v>380.3125</v>
      </c>
      <c r="I305" s="7">
        <v>60.85</v>
      </c>
    </row>
    <row r="306" spans="1:9">
      <c r="A306" t="s">
        <v>4027</v>
      </c>
      <c r="B306" s="1">
        <v>42338</v>
      </c>
      <c r="C306" t="s">
        <v>6086</v>
      </c>
      <c r="D306">
        <v>1</v>
      </c>
      <c r="E306" t="s">
        <v>837</v>
      </c>
      <c r="F306" s="103" t="s">
        <v>837</v>
      </c>
      <c r="G306" s="139" t="s">
        <v>261</v>
      </c>
      <c r="H306" s="7">
        <f t="shared" si="9"/>
        <v>140</v>
      </c>
      <c r="I306" s="7">
        <v>22.4</v>
      </c>
    </row>
    <row r="307" spans="1:9">
      <c r="A307" t="s">
        <v>1356</v>
      </c>
      <c r="B307" s="1">
        <v>42318</v>
      </c>
      <c r="C307" t="s">
        <v>6154</v>
      </c>
      <c r="D307">
        <v>1</v>
      </c>
      <c r="E307" t="s">
        <v>1341</v>
      </c>
      <c r="F307" s="103" t="s">
        <v>1589</v>
      </c>
      <c r="G307" s="103" t="s">
        <v>1341</v>
      </c>
      <c r="H307" s="7">
        <f t="shared" si="9"/>
        <v>10905.875</v>
      </c>
      <c r="I307" s="7">
        <v>1744.94</v>
      </c>
    </row>
    <row r="308" spans="1:9">
      <c r="A308" t="s">
        <v>1426</v>
      </c>
      <c r="B308" s="1">
        <v>42333</v>
      </c>
      <c r="C308" t="s">
        <v>6214</v>
      </c>
      <c r="D308">
        <v>1</v>
      </c>
      <c r="E308" t="s">
        <v>1341</v>
      </c>
      <c r="F308" s="103" t="s">
        <v>1589</v>
      </c>
      <c r="G308" s="103" t="s">
        <v>1341</v>
      </c>
      <c r="H308" s="7">
        <f t="shared" si="9"/>
        <v>1720</v>
      </c>
      <c r="I308" s="7">
        <v>275.2</v>
      </c>
    </row>
    <row r="309" spans="1:9">
      <c r="A309" t="s">
        <v>6071</v>
      </c>
      <c r="B309" s="1">
        <v>42338</v>
      </c>
      <c r="C309" t="s">
        <v>6072</v>
      </c>
      <c r="D309">
        <v>1</v>
      </c>
      <c r="E309" t="s">
        <v>768</v>
      </c>
      <c r="F309" s="103" t="s">
        <v>768</v>
      </c>
      <c r="G309" s="139" t="s">
        <v>7400</v>
      </c>
      <c r="H309" s="7">
        <f t="shared" si="9"/>
        <v>209.1875</v>
      </c>
      <c r="I309" s="7">
        <v>33.47</v>
      </c>
    </row>
    <row r="310" spans="1:9">
      <c r="A310" t="s">
        <v>4013</v>
      </c>
      <c r="B310" s="1">
        <v>42338</v>
      </c>
      <c r="C310" t="s">
        <v>6073</v>
      </c>
      <c r="D310">
        <v>1</v>
      </c>
      <c r="E310" t="s">
        <v>768</v>
      </c>
      <c r="F310" s="103" t="s">
        <v>768</v>
      </c>
      <c r="G310" s="139" t="s">
        <v>7400</v>
      </c>
      <c r="H310" s="7">
        <f t="shared" si="9"/>
        <v>291.1875</v>
      </c>
      <c r="I310" s="7">
        <v>46.59</v>
      </c>
    </row>
    <row r="311" spans="1:9">
      <c r="A311" t="s">
        <v>3617</v>
      </c>
      <c r="B311" s="1">
        <v>42327</v>
      </c>
      <c r="C311" t="s">
        <v>6194</v>
      </c>
      <c r="D311">
        <v>1</v>
      </c>
      <c r="E311" t="s">
        <v>470</v>
      </c>
      <c r="F311" s="103" t="s">
        <v>843</v>
      </c>
      <c r="G311" s="103" t="s">
        <v>470</v>
      </c>
      <c r="H311" s="7">
        <f t="shared" si="9"/>
        <v>1180</v>
      </c>
      <c r="I311" s="7">
        <v>188.8</v>
      </c>
    </row>
    <row r="312" spans="1:9">
      <c r="A312" t="s">
        <v>3633</v>
      </c>
      <c r="B312" s="1">
        <v>42333</v>
      </c>
      <c r="C312" t="s">
        <v>6206</v>
      </c>
      <c r="D312">
        <v>1</v>
      </c>
      <c r="E312" t="s">
        <v>470</v>
      </c>
      <c r="F312" s="103" t="s">
        <v>843</v>
      </c>
      <c r="G312" s="103" t="s">
        <v>470</v>
      </c>
      <c r="H312" s="7">
        <f t="shared" si="9"/>
        <v>5278.75</v>
      </c>
      <c r="I312" s="7">
        <v>844.6</v>
      </c>
    </row>
    <row r="313" spans="1:9">
      <c r="A313" t="s">
        <v>1409</v>
      </c>
      <c r="B313" s="1">
        <v>42327</v>
      </c>
      <c r="C313" t="s">
        <v>4124</v>
      </c>
      <c r="D313">
        <v>2</v>
      </c>
      <c r="E313" t="s">
        <v>665</v>
      </c>
      <c r="F313" s="103" t="s">
        <v>844</v>
      </c>
      <c r="G313" s="103" t="s">
        <v>665</v>
      </c>
      <c r="H313" s="7">
        <f t="shared" si="9"/>
        <v>1900</v>
      </c>
      <c r="I313" s="7">
        <v>304</v>
      </c>
    </row>
    <row r="314" spans="1:9">
      <c r="A314" t="s">
        <v>527</v>
      </c>
      <c r="B314" s="1">
        <v>42333</v>
      </c>
      <c r="C314" t="s">
        <v>6211</v>
      </c>
      <c r="D314">
        <v>2</v>
      </c>
      <c r="E314" t="s">
        <v>665</v>
      </c>
      <c r="F314" s="103" t="s">
        <v>844</v>
      </c>
      <c r="G314" s="103" t="s">
        <v>665</v>
      </c>
      <c r="H314" s="7">
        <f t="shared" si="9"/>
        <v>1200</v>
      </c>
      <c r="I314" s="7">
        <v>192</v>
      </c>
    </row>
    <row r="315" spans="1:9">
      <c r="A315" t="s">
        <v>6088</v>
      </c>
      <c r="B315" s="1">
        <v>42338</v>
      </c>
      <c r="C315" t="s">
        <v>6089</v>
      </c>
      <c r="D315">
        <v>1</v>
      </c>
      <c r="E315" t="s">
        <v>6093</v>
      </c>
      <c r="F315" s="144" t="s">
        <v>722</v>
      </c>
      <c r="G315" s="144" t="s">
        <v>722</v>
      </c>
      <c r="H315" s="7">
        <f t="shared" si="9"/>
        <v>49.125</v>
      </c>
      <c r="I315" s="7">
        <v>7.86</v>
      </c>
    </row>
    <row r="316" spans="1:9">
      <c r="A316" t="s">
        <v>2130</v>
      </c>
      <c r="B316" s="1">
        <v>42332</v>
      </c>
      <c r="C316" t="s">
        <v>6184</v>
      </c>
      <c r="D316">
        <v>1</v>
      </c>
      <c r="E316" t="s">
        <v>532</v>
      </c>
      <c r="F316" s="19" t="s">
        <v>845</v>
      </c>
      <c r="G316" s="103" t="s">
        <v>532</v>
      </c>
      <c r="H316" s="7">
        <f t="shared" si="9"/>
        <v>107758.625</v>
      </c>
      <c r="I316" s="7">
        <v>17241.38</v>
      </c>
    </row>
    <row r="317" spans="1:9">
      <c r="A317" t="s">
        <v>2076</v>
      </c>
      <c r="B317" s="1">
        <v>42325</v>
      </c>
      <c r="C317" t="s">
        <v>6171</v>
      </c>
      <c r="D317">
        <v>1</v>
      </c>
      <c r="E317" t="s">
        <v>6172</v>
      </c>
      <c r="F317" s="103" t="s">
        <v>6262</v>
      </c>
      <c r="G317" s="103" t="s">
        <v>6172</v>
      </c>
      <c r="H317" s="7">
        <f t="shared" si="9"/>
        <v>274.5</v>
      </c>
      <c r="I317" s="7">
        <v>43.92</v>
      </c>
    </row>
    <row r="318" spans="1:9">
      <c r="A318" t="s">
        <v>3940</v>
      </c>
      <c r="B318" s="1">
        <v>42338</v>
      </c>
      <c r="C318" t="s">
        <v>6028</v>
      </c>
      <c r="D318">
        <v>1</v>
      </c>
      <c r="E318" t="s">
        <v>847</v>
      </c>
      <c r="F318" s="103" t="s">
        <v>847</v>
      </c>
      <c r="G318" s="139" t="s">
        <v>7402</v>
      </c>
      <c r="H318" s="7">
        <f t="shared" si="9"/>
        <v>117.625</v>
      </c>
      <c r="I318" s="7">
        <v>18.82</v>
      </c>
    </row>
    <row r="319" spans="1:9">
      <c r="A319" t="s">
        <v>3943</v>
      </c>
      <c r="B319" s="1">
        <v>42338</v>
      </c>
      <c r="C319" t="s">
        <v>6030</v>
      </c>
      <c r="D319">
        <v>1</v>
      </c>
      <c r="E319" t="s">
        <v>847</v>
      </c>
      <c r="F319" s="103" t="s">
        <v>847</v>
      </c>
      <c r="G319" s="139" t="s">
        <v>7402</v>
      </c>
      <c r="H319" s="7">
        <f t="shared" si="9"/>
        <v>79.3125</v>
      </c>
      <c r="I319" s="7">
        <v>12.69</v>
      </c>
    </row>
    <row r="320" spans="1:9">
      <c r="A320" t="s">
        <v>1347</v>
      </c>
      <c r="B320" s="1">
        <v>42313</v>
      </c>
      <c r="C320" t="s">
        <v>4110</v>
      </c>
      <c r="D320">
        <v>2</v>
      </c>
      <c r="E320" t="s">
        <v>449</v>
      </c>
      <c r="F320" s="103" t="s">
        <v>848</v>
      </c>
      <c r="G320" s="103" t="s">
        <v>449</v>
      </c>
      <c r="H320" s="7">
        <f t="shared" si="9"/>
        <v>3000</v>
      </c>
      <c r="I320" s="7">
        <v>480</v>
      </c>
    </row>
    <row r="321" spans="1:9">
      <c r="A321" t="s">
        <v>505</v>
      </c>
      <c r="B321" s="1">
        <v>42327</v>
      </c>
      <c r="C321" t="s">
        <v>6197</v>
      </c>
      <c r="D321">
        <v>2</v>
      </c>
      <c r="E321" t="s">
        <v>449</v>
      </c>
      <c r="F321" s="103" t="s">
        <v>848</v>
      </c>
      <c r="G321" s="103" t="s">
        <v>449</v>
      </c>
      <c r="H321" s="7">
        <f t="shared" si="9"/>
        <v>500</v>
      </c>
      <c r="I321" s="7">
        <v>80</v>
      </c>
    </row>
    <row r="322" spans="1:9">
      <c r="A322" t="s">
        <v>523</v>
      </c>
      <c r="B322" s="1">
        <v>42333</v>
      </c>
      <c r="C322" t="s">
        <v>6209</v>
      </c>
      <c r="D322">
        <v>2</v>
      </c>
      <c r="E322" t="s">
        <v>449</v>
      </c>
      <c r="F322" s="103" t="s">
        <v>848</v>
      </c>
      <c r="G322" s="103" t="s">
        <v>449</v>
      </c>
      <c r="H322" s="7">
        <f t="shared" si="9"/>
        <v>7537</v>
      </c>
      <c r="I322" s="7">
        <v>1205.92</v>
      </c>
    </row>
    <row r="323" spans="1:9">
      <c r="A323" t="s">
        <v>2605</v>
      </c>
      <c r="B323" s="1">
        <v>42313</v>
      </c>
      <c r="C323" t="s">
        <v>6148</v>
      </c>
      <c r="D323">
        <v>1</v>
      </c>
      <c r="E323" t="s">
        <v>449</v>
      </c>
      <c r="F323" s="103" t="s">
        <v>848</v>
      </c>
      <c r="G323" s="103" t="s">
        <v>449</v>
      </c>
      <c r="H323" s="7">
        <f t="shared" si="9"/>
        <v>13900</v>
      </c>
      <c r="I323" s="7">
        <v>2224</v>
      </c>
    </row>
    <row r="324" spans="1:9">
      <c r="A324" t="s">
        <v>525</v>
      </c>
      <c r="B324" s="1">
        <v>42333</v>
      </c>
      <c r="C324" t="s">
        <v>6210</v>
      </c>
      <c r="D324">
        <v>1</v>
      </c>
      <c r="E324" t="s">
        <v>449</v>
      </c>
      <c r="F324" s="103" t="s">
        <v>848</v>
      </c>
      <c r="G324" s="103" t="s">
        <v>449</v>
      </c>
      <c r="H324" s="7">
        <f t="shared" si="9"/>
        <v>8600</v>
      </c>
      <c r="I324" s="7">
        <v>1376</v>
      </c>
    </row>
    <row r="325" spans="1:9">
      <c r="A325" t="s">
        <v>5966</v>
      </c>
      <c r="B325" s="1">
        <v>42338</v>
      </c>
      <c r="C325" t="s">
        <v>5967</v>
      </c>
      <c r="D325">
        <v>1</v>
      </c>
      <c r="E325" t="s">
        <v>769</v>
      </c>
      <c r="F325" s="103" t="s">
        <v>769</v>
      </c>
      <c r="G325" s="139" t="s">
        <v>3707</v>
      </c>
      <c r="H325" s="7">
        <f t="shared" si="9"/>
        <v>387.0625</v>
      </c>
      <c r="I325" s="7">
        <v>61.93</v>
      </c>
    </row>
    <row r="326" spans="1:9">
      <c r="A326" t="s">
        <v>6019</v>
      </c>
      <c r="B326" s="1">
        <v>42338</v>
      </c>
      <c r="C326" t="s">
        <v>6020</v>
      </c>
      <c r="D326">
        <v>1</v>
      </c>
      <c r="E326" t="s">
        <v>769</v>
      </c>
      <c r="F326" s="103" t="s">
        <v>769</v>
      </c>
      <c r="G326" s="139" t="s">
        <v>3707</v>
      </c>
      <c r="H326" s="7">
        <f t="shared" si="9"/>
        <v>51.749999999999993</v>
      </c>
      <c r="I326" s="7">
        <v>8.2799999999999994</v>
      </c>
    </row>
    <row r="327" spans="1:9">
      <c r="A327" t="s">
        <v>6026</v>
      </c>
      <c r="B327" s="1">
        <v>42338</v>
      </c>
      <c r="C327" t="s">
        <v>6027</v>
      </c>
      <c r="D327">
        <v>1</v>
      </c>
      <c r="E327" t="s">
        <v>769</v>
      </c>
      <c r="F327" s="103" t="s">
        <v>769</v>
      </c>
      <c r="G327" s="139" t="s">
        <v>3707</v>
      </c>
      <c r="H327" s="7">
        <f t="shared" ref="H327:H358" si="10">+I327/0.16</f>
        <v>387.0625</v>
      </c>
      <c r="I327" s="7">
        <v>61.93</v>
      </c>
    </row>
    <row r="328" spans="1:9">
      <c r="A328" t="s">
        <v>6032</v>
      </c>
      <c r="B328" s="1">
        <v>42338</v>
      </c>
      <c r="C328" t="s">
        <v>6033</v>
      </c>
      <c r="D328">
        <v>1</v>
      </c>
      <c r="E328" t="s">
        <v>769</v>
      </c>
      <c r="F328" s="103" t="s">
        <v>769</v>
      </c>
      <c r="G328" s="139" t="s">
        <v>3707</v>
      </c>
      <c r="H328" s="7">
        <f t="shared" si="10"/>
        <v>143.3125</v>
      </c>
      <c r="I328" s="7">
        <v>22.93</v>
      </c>
    </row>
    <row r="329" spans="1:9">
      <c r="A329" t="s">
        <v>6034</v>
      </c>
      <c r="B329" s="1">
        <v>42338</v>
      </c>
      <c r="C329" t="s">
        <v>6035</v>
      </c>
      <c r="D329">
        <v>1</v>
      </c>
      <c r="E329" t="s">
        <v>769</v>
      </c>
      <c r="F329" s="103" t="s">
        <v>769</v>
      </c>
      <c r="G329" s="139" t="s">
        <v>3707</v>
      </c>
      <c r="H329" s="7">
        <f t="shared" si="10"/>
        <v>122.4375</v>
      </c>
      <c r="I329" s="7">
        <v>19.59</v>
      </c>
    </row>
    <row r="330" spans="1:9">
      <c r="A330" t="s">
        <v>3949</v>
      </c>
      <c r="B330" s="1">
        <v>42338</v>
      </c>
      <c r="C330" t="s">
        <v>6036</v>
      </c>
      <c r="D330">
        <v>1</v>
      </c>
      <c r="E330" t="s">
        <v>769</v>
      </c>
      <c r="F330" s="103" t="s">
        <v>769</v>
      </c>
      <c r="G330" s="139" t="s">
        <v>3707</v>
      </c>
      <c r="H330" s="7">
        <f t="shared" si="10"/>
        <v>38.8125</v>
      </c>
      <c r="I330" s="7">
        <v>6.21</v>
      </c>
    </row>
    <row r="331" spans="1:9">
      <c r="A331" t="s">
        <v>3911</v>
      </c>
      <c r="B331" s="1">
        <v>42338</v>
      </c>
      <c r="C331" t="s">
        <v>5993</v>
      </c>
      <c r="D331">
        <v>1</v>
      </c>
      <c r="E331" t="s">
        <v>769</v>
      </c>
      <c r="F331" s="103" t="s">
        <v>769</v>
      </c>
      <c r="G331" s="139" t="s">
        <v>3707</v>
      </c>
      <c r="H331" s="7">
        <f t="shared" si="10"/>
        <v>544.5625</v>
      </c>
      <c r="I331" s="7">
        <v>87.13</v>
      </c>
    </row>
    <row r="332" spans="1:9">
      <c r="A332" t="s">
        <v>1345</v>
      </c>
      <c r="B332" s="1">
        <v>42313</v>
      </c>
      <c r="C332" t="s">
        <v>6147</v>
      </c>
      <c r="D332">
        <v>1</v>
      </c>
      <c r="E332" t="s">
        <v>645</v>
      </c>
      <c r="F332" s="103" t="s">
        <v>769</v>
      </c>
      <c r="G332" s="103" t="s">
        <v>645</v>
      </c>
      <c r="H332" s="7">
        <f t="shared" si="10"/>
        <v>5320.9375</v>
      </c>
      <c r="I332" s="7">
        <v>851.35</v>
      </c>
    </row>
    <row r="333" spans="1:9">
      <c r="A333" t="s">
        <v>515</v>
      </c>
      <c r="B333" s="1">
        <v>42333</v>
      </c>
      <c r="C333" t="s">
        <v>6203</v>
      </c>
      <c r="D333">
        <v>1</v>
      </c>
      <c r="E333" t="s">
        <v>645</v>
      </c>
      <c r="F333" s="103" t="s">
        <v>769</v>
      </c>
      <c r="G333" s="103" t="s">
        <v>645</v>
      </c>
      <c r="H333" s="7">
        <f t="shared" si="10"/>
        <v>2797.5625</v>
      </c>
      <c r="I333" s="7">
        <v>447.61</v>
      </c>
    </row>
    <row r="334" spans="1:9">
      <c r="A334" t="s">
        <v>3906</v>
      </c>
      <c r="B334" s="1">
        <v>42338</v>
      </c>
      <c r="C334" t="s">
        <v>5988</v>
      </c>
      <c r="D334">
        <v>1</v>
      </c>
      <c r="E334" t="s">
        <v>3690</v>
      </c>
      <c r="F334" s="103" t="s">
        <v>3690</v>
      </c>
      <c r="G334" s="139" t="s">
        <v>7390</v>
      </c>
      <c r="H334" s="7">
        <f t="shared" si="10"/>
        <v>887.8125</v>
      </c>
      <c r="I334" s="7">
        <v>142.05000000000001</v>
      </c>
    </row>
    <row r="335" spans="1:9">
      <c r="A335" t="s">
        <v>2666</v>
      </c>
      <c r="B335" s="1">
        <v>42333</v>
      </c>
      <c r="C335" t="s">
        <v>6201</v>
      </c>
      <c r="D335">
        <v>1</v>
      </c>
      <c r="E335" t="s">
        <v>4484</v>
      </c>
      <c r="F335" s="103" t="s">
        <v>4936</v>
      </c>
      <c r="G335" s="103" t="s">
        <v>4484</v>
      </c>
      <c r="H335" s="7">
        <f t="shared" si="10"/>
        <v>6260</v>
      </c>
      <c r="I335" s="7">
        <v>1001.6</v>
      </c>
    </row>
    <row r="336" spans="1:9">
      <c r="A336" t="s">
        <v>3917</v>
      </c>
      <c r="B336" s="1">
        <v>42338</v>
      </c>
      <c r="C336" t="s">
        <v>5995</v>
      </c>
      <c r="D336">
        <v>1</v>
      </c>
      <c r="E336" t="s">
        <v>5998</v>
      </c>
      <c r="F336" s="103" t="s">
        <v>5998</v>
      </c>
      <c r="G336" s="139" t="s">
        <v>7521</v>
      </c>
      <c r="H336" s="7">
        <f t="shared" si="10"/>
        <v>863.93749999999989</v>
      </c>
      <c r="I336" s="7">
        <v>138.22999999999999</v>
      </c>
    </row>
    <row r="337" spans="1:9">
      <c r="A337" t="s">
        <v>6088</v>
      </c>
      <c r="B337" s="1">
        <v>42338</v>
      </c>
      <c r="C337" t="s">
        <v>6089</v>
      </c>
      <c r="D337">
        <v>1</v>
      </c>
      <c r="E337" t="s">
        <v>915</v>
      </c>
      <c r="F337" s="103" t="s">
        <v>915</v>
      </c>
      <c r="G337" s="139" t="s">
        <v>7403</v>
      </c>
      <c r="H337" s="7">
        <f t="shared" si="10"/>
        <v>662.9375</v>
      </c>
      <c r="I337" s="7">
        <v>106.07</v>
      </c>
    </row>
    <row r="338" spans="1:9">
      <c r="A338" t="s">
        <v>5766</v>
      </c>
      <c r="B338" s="1">
        <v>42310</v>
      </c>
      <c r="C338" t="s">
        <v>5767</v>
      </c>
      <c r="D338">
        <v>1</v>
      </c>
      <c r="E338" t="s">
        <v>74</v>
      </c>
      <c r="F338" t="s">
        <v>965</v>
      </c>
      <c r="G338" t="s">
        <v>6264</v>
      </c>
      <c r="H338" s="7">
        <f t="shared" si="10"/>
        <v>169155.375</v>
      </c>
      <c r="I338" s="7">
        <v>27064.86</v>
      </c>
    </row>
    <row r="339" spans="1:9">
      <c r="A339" t="s">
        <v>5888</v>
      </c>
      <c r="B339" s="1">
        <v>42329</v>
      </c>
      <c r="C339" t="s">
        <v>5887</v>
      </c>
      <c r="D339">
        <v>1</v>
      </c>
      <c r="E339" t="s">
        <v>5889</v>
      </c>
      <c r="F339" t="s">
        <v>849</v>
      </c>
      <c r="G339" t="s">
        <v>6263</v>
      </c>
      <c r="H339" s="7">
        <f t="shared" si="10"/>
        <v>233308.125</v>
      </c>
      <c r="I339" s="7">
        <v>37329.300000000003</v>
      </c>
    </row>
    <row r="340" spans="1:9">
      <c r="A340" t="s">
        <v>1473</v>
      </c>
      <c r="B340" s="1">
        <v>42333</v>
      </c>
      <c r="C340" t="s">
        <v>6238</v>
      </c>
      <c r="D340">
        <v>1</v>
      </c>
      <c r="E340" t="s">
        <v>6239</v>
      </c>
      <c r="F340" s="103" t="s">
        <v>827</v>
      </c>
      <c r="G340" s="103" t="s">
        <v>6297</v>
      </c>
      <c r="H340" s="7">
        <f t="shared" si="10"/>
        <v>1227.5</v>
      </c>
      <c r="I340" s="7">
        <v>196.4</v>
      </c>
    </row>
    <row r="341" spans="1:9">
      <c r="A341" t="s">
        <v>6067</v>
      </c>
      <c r="B341" s="1">
        <v>42338</v>
      </c>
      <c r="C341" t="s">
        <v>6068</v>
      </c>
      <c r="D341">
        <v>1</v>
      </c>
      <c r="E341" t="s">
        <v>4072</v>
      </c>
      <c r="F341" s="103" t="s">
        <v>4072</v>
      </c>
      <c r="G341" s="139" t="s">
        <v>7423</v>
      </c>
      <c r="H341" s="7">
        <f t="shared" si="10"/>
        <v>70</v>
      </c>
      <c r="I341" s="7">
        <v>11.2</v>
      </c>
    </row>
    <row r="342" spans="1:9">
      <c r="A342" t="s">
        <v>5897</v>
      </c>
      <c r="B342" s="1">
        <v>42331</v>
      </c>
      <c r="C342" t="s">
        <v>5898</v>
      </c>
      <c r="D342">
        <v>1</v>
      </c>
      <c r="E342" t="s">
        <v>5899</v>
      </c>
      <c r="F342" t="s">
        <v>854</v>
      </c>
      <c r="G342" t="s">
        <v>6265</v>
      </c>
      <c r="H342" s="7">
        <f t="shared" si="10"/>
        <v>149613.6875</v>
      </c>
      <c r="I342" s="7">
        <v>23938.19</v>
      </c>
    </row>
    <row r="343" spans="1:9">
      <c r="A343" t="s">
        <v>5986</v>
      </c>
      <c r="B343" s="1">
        <v>42338</v>
      </c>
      <c r="C343" t="s">
        <v>5987</v>
      </c>
      <c r="D343">
        <v>1</v>
      </c>
      <c r="E343" t="s">
        <v>5377</v>
      </c>
      <c r="F343" s="103" t="s">
        <v>5377</v>
      </c>
      <c r="G343" s="139" t="s">
        <v>7522</v>
      </c>
      <c r="H343" s="7">
        <f t="shared" si="10"/>
        <v>389.625</v>
      </c>
      <c r="I343" s="7">
        <v>62.34</v>
      </c>
    </row>
    <row r="344" spans="1:9">
      <c r="A344" t="s">
        <v>3977</v>
      </c>
      <c r="B344" s="1">
        <v>42338</v>
      </c>
      <c r="C344" t="s">
        <v>6060</v>
      </c>
      <c r="D344">
        <v>1</v>
      </c>
      <c r="E344" t="s">
        <v>857</v>
      </c>
      <c r="F344" s="103" t="s">
        <v>857</v>
      </c>
      <c r="G344" s="139" t="s">
        <v>315</v>
      </c>
      <c r="H344" s="7">
        <f t="shared" si="10"/>
        <v>182.3125</v>
      </c>
      <c r="I344" s="7">
        <v>29.17</v>
      </c>
    </row>
    <row r="345" spans="1:9">
      <c r="A345" t="s">
        <v>2599</v>
      </c>
      <c r="B345" s="1">
        <v>42313</v>
      </c>
      <c r="C345" t="s">
        <v>4109</v>
      </c>
      <c r="D345">
        <v>2</v>
      </c>
      <c r="E345" t="s">
        <v>457</v>
      </c>
      <c r="F345" s="103" t="s">
        <v>858</v>
      </c>
      <c r="G345" s="103" t="s">
        <v>457</v>
      </c>
      <c r="H345" s="7">
        <f t="shared" si="10"/>
        <v>600</v>
      </c>
      <c r="I345" s="7">
        <v>96</v>
      </c>
    </row>
    <row r="346" spans="1:9">
      <c r="A346" t="s">
        <v>504</v>
      </c>
      <c r="B346" s="1">
        <v>42327</v>
      </c>
      <c r="C346" t="s">
        <v>4125</v>
      </c>
      <c r="D346">
        <v>2</v>
      </c>
      <c r="E346" t="s">
        <v>457</v>
      </c>
      <c r="F346" s="103" t="s">
        <v>858</v>
      </c>
      <c r="G346" s="103" t="s">
        <v>457</v>
      </c>
      <c r="H346" s="7">
        <f t="shared" si="10"/>
        <v>10928</v>
      </c>
      <c r="I346" s="7">
        <v>1748.48</v>
      </c>
    </row>
    <row r="347" spans="1:9">
      <c r="A347" t="s">
        <v>521</v>
      </c>
      <c r="B347" s="1">
        <v>42333</v>
      </c>
      <c r="C347" t="s">
        <v>6208</v>
      </c>
      <c r="D347">
        <v>2</v>
      </c>
      <c r="E347" t="s">
        <v>457</v>
      </c>
      <c r="F347" s="103" t="s">
        <v>858</v>
      </c>
      <c r="G347" s="103" t="s">
        <v>457</v>
      </c>
      <c r="H347" s="7">
        <f t="shared" si="10"/>
        <v>4000</v>
      </c>
      <c r="I347" s="7">
        <v>640</v>
      </c>
    </row>
    <row r="348" spans="1:9">
      <c r="A348" t="s">
        <v>2597</v>
      </c>
      <c r="B348" s="1">
        <v>42313</v>
      </c>
      <c r="C348" t="s">
        <v>6144</v>
      </c>
      <c r="D348">
        <v>1</v>
      </c>
      <c r="E348" t="s">
        <v>457</v>
      </c>
      <c r="F348" s="103" t="s">
        <v>858</v>
      </c>
      <c r="G348" s="103" t="s">
        <v>457</v>
      </c>
      <c r="H348" s="7">
        <f t="shared" si="10"/>
        <v>2700</v>
      </c>
      <c r="I348" s="7">
        <v>432</v>
      </c>
    </row>
    <row r="349" spans="1:9">
      <c r="A349" t="s">
        <v>5979</v>
      </c>
      <c r="B349" s="1">
        <v>42338</v>
      </c>
      <c r="C349" t="s">
        <v>5980</v>
      </c>
      <c r="D349">
        <v>1</v>
      </c>
      <c r="E349" t="s">
        <v>929</v>
      </c>
      <c r="F349" s="103" t="s">
        <v>929</v>
      </c>
      <c r="G349" s="139" t="s">
        <v>4038</v>
      </c>
      <c r="H349" s="7">
        <f t="shared" si="10"/>
        <v>69</v>
      </c>
      <c r="I349" s="7">
        <v>11.04</v>
      </c>
    </row>
    <row r="350" spans="1:9">
      <c r="A350" t="s">
        <v>2592</v>
      </c>
      <c r="B350" s="1">
        <v>42313</v>
      </c>
      <c r="C350" t="s">
        <v>4108</v>
      </c>
      <c r="D350">
        <v>2</v>
      </c>
      <c r="E350" t="s">
        <v>474</v>
      </c>
      <c r="F350" s="103" t="s">
        <v>860</v>
      </c>
      <c r="G350" s="103" t="s">
        <v>474</v>
      </c>
      <c r="H350" s="7">
        <f t="shared" si="10"/>
        <v>3000</v>
      </c>
      <c r="I350" s="7">
        <v>480</v>
      </c>
    </row>
    <row r="351" spans="1:9">
      <c r="A351" t="s">
        <v>2135</v>
      </c>
      <c r="B351" s="1">
        <v>42327</v>
      </c>
      <c r="C351" t="s">
        <v>4122</v>
      </c>
      <c r="D351">
        <v>2</v>
      </c>
      <c r="E351" t="s">
        <v>474</v>
      </c>
      <c r="F351" s="103" t="s">
        <v>860</v>
      </c>
      <c r="G351" s="103" t="s">
        <v>474</v>
      </c>
      <c r="H351" s="7">
        <f t="shared" si="10"/>
        <v>300</v>
      </c>
      <c r="I351" s="7">
        <v>48</v>
      </c>
    </row>
    <row r="352" spans="1:9">
      <c r="A352" t="s">
        <v>3132</v>
      </c>
      <c r="B352" s="1">
        <v>42313</v>
      </c>
      <c r="C352" t="s">
        <v>6150</v>
      </c>
      <c r="D352">
        <v>1</v>
      </c>
      <c r="E352" t="s">
        <v>2660</v>
      </c>
      <c r="F352" s="103" t="s">
        <v>2701</v>
      </c>
      <c r="G352" s="103" t="s">
        <v>2660</v>
      </c>
      <c r="H352" s="7">
        <f t="shared" si="10"/>
        <v>1764.5</v>
      </c>
      <c r="I352" s="7">
        <v>282.32</v>
      </c>
    </row>
    <row r="353" spans="1:9">
      <c r="A353" t="s">
        <v>468</v>
      </c>
      <c r="B353" s="1">
        <v>42321</v>
      </c>
      <c r="C353" t="s">
        <v>6166</v>
      </c>
      <c r="D353">
        <v>1</v>
      </c>
      <c r="E353" t="s">
        <v>6167</v>
      </c>
      <c r="F353" s="103" t="s">
        <v>6266</v>
      </c>
      <c r="G353" s="103" t="s">
        <v>6167</v>
      </c>
      <c r="H353" s="7">
        <f t="shared" si="10"/>
        <v>9500</v>
      </c>
      <c r="I353" s="7">
        <v>1520</v>
      </c>
    </row>
    <row r="354" spans="1:9">
      <c r="A354" t="s">
        <v>6011</v>
      </c>
      <c r="B354" s="1">
        <v>42338</v>
      </c>
      <c r="C354" t="s">
        <v>6012</v>
      </c>
      <c r="D354">
        <v>1</v>
      </c>
      <c r="E354" t="s">
        <v>6013</v>
      </c>
      <c r="F354" s="103" t="s">
        <v>6013</v>
      </c>
      <c r="G354" s="139" t="s">
        <v>7486</v>
      </c>
      <c r="H354" s="7">
        <f t="shared" si="10"/>
        <v>682.9375</v>
      </c>
      <c r="I354" s="7">
        <v>109.27</v>
      </c>
    </row>
    <row r="355" spans="1:9">
      <c r="A355" t="s">
        <v>1333</v>
      </c>
      <c r="B355" s="1">
        <v>42312</v>
      </c>
      <c r="C355" t="s">
        <v>6126</v>
      </c>
      <c r="D355">
        <v>1</v>
      </c>
      <c r="E355" t="s">
        <v>6127</v>
      </c>
      <c r="F355" s="103" t="s">
        <v>6267</v>
      </c>
      <c r="G355" s="103" t="s">
        <v>6127</v>
      </c>
      <c r="H355" s="7">
        <f t="shared" si="10"/>
        <v>1250</v>
      </c>
      <c r="I355" s="7">
        <v>200</v>
      </c>
    </row>
    <row r="356" spans="1:9">
      <c r="A356" t="s">
        <v>465</v>
      </c>
      <c r="B356" s="1">
        <v>42321</v>
      </c>
      <c r="C356" t="s">
        <v>6165</v>
      </c>
      <c r="D356">
        <v>1</v>
      </c>
      <c r="E356" t="s">
        <v>6127</v>
      </c>
      <c r="F356" s="103" t="s">
        <v>6267</v>
      </c>
      <c r="G356" s="103" t="s">
        <v>6127</v>
      </c>
      <c r="H356" s="7">
        <f t="shared" si="10"/>
        <v>1142.25</v>
      </c>
      <c r="I356" s="7">
        <v>182.76</v>
      </c>
    </row>
    <row r="357" spans="1:9">
      <c r="A357" t="s">
        <v>3962</v>
      </c>
      <c r="B357" s="1">
        <v>42338</v>
      </c>
      <c r="C357" t="s">
        <v>6059</v>
      </c>
      <c r="D357">
        <v>1</v>
      </c>
      <c r="E357" t="s">
        <v>2233</v>
      </c>
      <c r="F357" s="103" t="s">
        <v>2233</v>
      </c>
      <c r="G357" s="139" t="s">
        <v>7473</v>
      </c>
      <c r="H357" s="7">
        <f t="shared" si="10"/>
        <v>377.4375</v>
      </c>
      <c r="I357" s="7">
        <v>60.39</v>
      </c>
    </row>
    <row r="358" spans="1:9">
      <c r="A358" t="s">
        <v>6088</v>
      </c>
      <c r="B358" s="1">
        <v>42338</v>
      </c>
      <c r="C358" t="s">
        <v>6089</v>
      </c>
      <c r="D358">
        <v>1</v>
      </c>
      <c r="E358" t="s">
        <v>2711</v>
      </c>
      <c r="F358" s="103" t="s">
        <v>2711</v>
      </c>
      <c r="G358" s="139" t="s">
        <v>2712</v>
      </c>
      <c r="H358" s="7">
        <f t="shared" si="10"/>
        <v>86.187499999999986</v>
      </c>
      <c r="I358" s="7">
        <v>13.79</v>
      </c>
    </row>
    <row r="359" spans="1:9">
      <c r="A359" t="s">
        <v>2587</v>
      </c>
      <c r="B359" s="1">
        <v>42313</v>
      </c>
      <c r="C359" t="s">
        <v>6140</v>
      </c>
      <c r="D359">
        <v>1</v>
      </c>
      <c r="E359" t="s">
        <v>3613</v>
      </c>
      <c r="F359" s="103" t="s">
        <v>3709</v>
      </c>
      <c r="G359" s="103" t="s">
        <v>3613</v>
      </c>
      <c r="H359" s="7">
        <f t="shared" ref="H359:H390" si="11">+I359/0.16</f>
        <v>853.56249999999989</v>
      </c>
      <c r="I359" s="7">
        <v>136.57</v>
      </c>
    </row>
    <row r="360" spans="1:9">
      <c r="A360" t="s">
        <v>1350</v>
      </c>
      <c r="B360" s="1">
        <v>42313</v>
      </c>
      <c r="C360" t="s">
        <v>4111</v>
      </c>
      <c r="D360">
        <v>2</v>
      </c>
      <c r="E360" t="s">
        <v>1501</v>
      </c>
      <c r="F360" s="103" t="s">
        <v>1604</v>
      </c>
      <c r="G360" s="103" t="s">
        <v>1501</v>
      </c>
      <c r="H360" s="7">
        <f t="shared" si="11"/>
        <v>1700</v>
      </c>
      <c r="I360" s="7">
        <v>272</v>
      </c>
    </row>
    <row r="361" spans="1:9">
      <c r="A361" t="s">
        <v>530</v>
      </c>
      <c r="B361" s="1">
        <v>42333</v>
      </c>
      <c r="C361" t="s">
        <v>4133</v>
      </c>
      <c r="D361">
        <v>2</v>
      </c>
      <c r="E361" t="s">
        <v>1501</v>
      </c>
      <c r="F361" s="103" t="s">
        <v>1604</v>
      </c>
      <c r="G361" s="103" t="s">
        <v>1501</v>
      </c>
      <c r="H361" s="7">
        <f t="shared" si="11"/>
        <v>1200</v>
      </c>
      <c r="I361" s="7">
        <v>192</v>
      </c>
    </row>
    <row r="362" spans="1:9">
      <c r="A362" t="s">
        <v>3960</v>
      </c>
      <c r="B362" s="1">
        <v>42338</v>
      </c>
      <c r="C362" t="s">
        <v>6058</v>
      </c>
      <c r="D362">
        <v>1</v>
      </c>
      <c r="E362" t="s">
        <v>1547</v>
      </c>
      <c r="F362" s="103" t="s">
        <v>1547</v>
      </c>
      <c r="G362" s="139" t="s">
        <v>1548</v>
      </c>
      <c r="H362" s="7">
        <f t="shared" si="11"/>
        <v>381.25</v>
      </c>
      <c r="I362" s="7">
        <v>61</v>
      </c>
    </row>
    <row r="363" spans="1:9">
      <c r="A363" t="s">
        <v>6088</v>
      </c>
      <c r="B363" s="1">
        <v>42338</v>
      </c>
      <c r="C363" t="s">
        <v>6089</v>
      </c>
      <c r="D363">
        <v>1</v>
      </c>
      <c r="E363" t="s">
        <v>921</v>
      </c>
      <c r="F363" s="103" t="s">
        <v>921</v>
      </c>
      <c r="G363" s="139" t="s">
        <v>7407</v>
      </c>
      <c r="H363" s="7">
        <f t="shared" si="11"/>
        <v>293.5625</v>
      </c>
      <c r="I363" s="7">
        <v>46.97</v>
      </c>
    </row>
    <row r="364" spans="1:9">
      <c r="A364" t="s">
        <v>5188</v>
      </c>
      <c r="B364" s="1">
        <v>42338</v>
      </c>
      <c r="C364" t="s">
        <v>5975</v>
      </c>
      <c r="D364">
        <v>1</v>
      </c>
      <c r="E364" t="s">
        <v>780</v>
      </c>
      <c r="F364" s="103" t="s">
        <v>780</v>
      </c>
      <c r="G364" s="139" t="s">
        <v>7408</v>
      </c>
      <c r="H364" s="7">
        <f t="shared" si="11"/>
        <v>293.5625</v>
      </c>
      <c r="I364" s="7">
        <v>46.97</v>
      </c>
    </row>
    <row r="365" spans="1:9">
      <c r="A365" t="s">
        <v>3921</v>
      </c>
      <c r="B365" s="1">
        <v>42338</v>
      </c>
      <c r="C365" t="s">
        <v>6004</v>
      </c>
      <c r="D365">
        <v>1</v>
      </c>
      <c r="E365" t="s">
        <v>780</v>
      </c>
      <c r="F365" s="103" t="s">
        <v>780</v>
      </c>
      <c r="G365" s="139" t="s">
        <v>7408</v>
      </c>
      <c r="H365" s="7">
        <f t="shared" si="11"/>
        <v>341.4375</v>
      </c>
      <c r="I365" s="7">
        <v>54.63</v>
      </c>
    </row>
    <row r="366" spans="1:9">
      <c r="A366" t="s">
        <v>3925</v>
      </c>
      <c r="B366" s="1">
        <v>42338</v>
      </c>
      <c r="C366" t="s">
        <v>6008</v>
      </c>
      <c r="D366">
        <v>1</v>
      </c>
      <c r="E366" t="s">
        <v>780</v>
      </c>
      <c r="F366" s="103" t="s">
        <v>780</v>
      </c>
      <c r="G366" s="139" t="s">
        <v>7408</v>
      </c>
      <c r="H366" s="7">
        <f t="shared" si="11"/>
        <v>335.5625</v>
      </c>
      <c r="I366" s="7">
        <v>53.69</v>
      </c>
    </row>
    <row r="367" spans="1:9">
      <c r="A367" t="s">
        <v>4041</v>
      </c>
      <c r="B367" s="1">
        <v>42338</v>
      </c>
      <c r="C367" t="s">
        <v>6105</v>
      </c>
      <c r="D367">
        <v>1</v>
      </c>
      <c r="E367" t="s">
        <v>780</v>
      </c>
      <c r="F367" s="103" t="s">
        <v>780</v>
      </c>
      <c r="G367" s="139" t="s">
        <v>7408</v>
      </c>
      <c r="H367" s="7">
        <f t="shared" si="11"/>
        <v>373.3125</v>
      </c>
      <c r="I367" s="7">
        <v>59.73</v>
      </c>
    </row>
    <row r="368" spans="1:9">
      <c r="A368" t="s">
        <v>3917</v>
      </c>
      <c r="B368" s="1">
        <v>42338</v>
      </c>
      <c r="C368" t="s">
        <v>5995</v>
      </c>
      <c r="D368">
        <v>1</v>
      </c>
      <c r="E368" t="s">
        <v>5999</v>
      </c>
      <c r="F368" s="103" t="s">
        <v>5999</v>
      </c>
      <c r="G368" s="139" t="s">
        <v>7528</v>
      </c>
      <c r="H368" s="7">
        <f t="shared" si="11"/>
        <v>853.62500000000011</v>
      </c>
      <c r="I368" s="7">
        <v>136.58000000000001</v>
      </c>
    </row>
    <row r="369" spans="1:9">
      <c r="A369" t="s">
        <v>6088</v>
      </c>
      <c r="B369" s="1">
        <v>42338</v>
      </c>
      <c r="C369" t="s">
        <v>6089</v>
      </c>
      <c r="D369">
        <v>1</v>
      </c>
      <c r="E369" t="s">
        <v>6094</v>
      </c>
      <c r="F369" s="103" t="s">
        <v>6094</v>
      </c>
      <c r="G369" s="139" t="s">
        <v>7529</v>
      </c>
      <c r="H369" s="7">
        <f t="shared" si="11"/>
        <v>720.625</v>
      </c>
      <c r="I369" s="7">
        <v>115.3</v>
      </c>
    </row>
    <row r="370" spans="1:9">
      <c r="A370" t="s">
        <v>3170</v>
      </c>
      <c r="B370" s="1">
        <v>42332</v>
      </c>
      <c r="C370" t="s">
        <v>6181</v>
      </c>
      <c r="D370">
        <v>1</v>
      </c>
      <c r="E370" t="s">
        <v>436</v>
      </c>
      <c r="F370" s="103" t="s">
        <v>868</v>
      </c>
      <c r="G370" s="103" t="s">
        <v>436</v>
      </c>
      <c r="H370" s="7">
        <f t="shared" si="11"/>
        <v>6445</v>
      </c>
      <c r="I370" s="7">
        <v>1031.2</v>
      </c>
    </row>
    <row r="371" spans="1:9">
      <c r="A371" t="s">
        <v>3608</v>
      </c>
      <c r="B371" s="1">
        <v>42332</v>
      </c>
      <c r="C371" t="s">
        <v>6182</v>
      </c>
      <c r="D371">
        <v>1</v>
      </c>
      <c r="E371" t="s">
        <v>436</v>
      </c>
      <c r="F371" s="103" t="s">
        <v>868</v>
      </c>
      <c r="G371" s="103" t="s">
        <v>436</v>
      </c>
      <c r="H371" s="7">
        <f t="shared" si="11"/>
        <v>10889</v>
      </c>
      <c r="I371" s="7">
        <v>1742.24</v>
      </c>
    </row>
    <row r="372" spans="1:9">
      <c r="A372" t="s">
        <v>4007</v>
      </c>
      <c r="B372" s="1">
        <v>42338</v>
      </c>
      <c r="C372" t="s">
        <v>6070</v>
      </c>
      <c r="D372">
        <v>1</v>
      </c>
      <c r="E372" t="s">
        <v>5280</v>
      </c>
      <c r="F372" s="103" t="s">
        <v>5280</v>
      </c>
      <c r="G372" s="139" t="s">
        <v>5755</v>
      </c>
      <c r="H372" s="7">
        <f t="shared" si="11"/>
        <v>71.9375</v>
      </c>
      <c r="I372" s="7">
        <v>11.51</v>
      </c>
    </row>
    <row r="373" spans="1:9">
      <c r="A373" t="s">
        <v>499</v>
      </c>
      <c r="B373" s="1">
        <v>42327</v>
      </c>
      <c r="C373" t="s">
        <v>6190</v>
      </c>
      <c r="D373">
        <v>1</v>
      </c>
      <c r="E373" t="s">
        <v>6191</v>
      </c>
      <c r="F373" s="103" t="s">
        <v>6268</v>
      </c>
      <c r="G373" s="103" t="s">
        <v>6191</v>
      </c>
      <c r="H373" s="7">
        <f t="shared" si="11"/>
        <v>1650</v>
      </c>
      <c r="I373" s="7">
        <v>264</v>
      </c>
    </row>
    <row r="374" spans="1:9">
      <c r="A374" t="s">
        <v>5022</v>
      </c>
      <c r="B374" s="1">
        <v>42322</v>
      </c>
      <c r="C374" t="s">
        <v>5847</v>
      </c>
      <c r="D374">
        <v>1</v>
      </c>
      <c r="E374" t="s">
        <v>872</v>
      </c>
      <c r="F374" s="105" t="s">
        <v>871</v>
      </c>
      <c r="G374" s="103" t="s">
        <v>872</v>
      </c>
      <c r="H374" s="7">
        <f t="shared" si="11"/>
        <v>206605.24999999997</v>
      </c>
      <c r="I374" s="7">
        <v>33056.839999999997</v>
      </c>
    </row>
    <row r="375" spans="1:9">
      <c r="A375" t="s">
        <v>5859</v>
      </c>
      <c r="B375" s="1">
        <v>42325</v>
      </c>
      <c r="C375" t="s">
        <v>5860</v>
      </c>
      <c r="D375">
        <v>1</v>
      </c>
      <c r="E375" t="s">
        <v>872</v>
      </c>
      <c r="F375" s="105" t="s">
        <v>871</v>
      </c>
      <c r="G375" s="103" t="s">
        <v>872</v>
      </c>
      <c r="H375" s="7">
        <f t="shared" si="11"/>
        <v>206605.24999999997</v>
      </c>
      <c r="I375" s="7">
        <v>33056.839999999997</v>
      </c>
    </row>
    <row r="376" spans="1:9">
      <c r="A376" t="s">
        <v>4370</v>
      </c>
      <c r="B376" s="1">
        <v>42338</v>
      </c>
      <c r="C376" t="s">
        <v>5945</v>
      </c>
      <c r="D376">
        <v>1</v>
      </c>
      <c r="E376" t="s">
        <v>5946</v>
      </c>
      <c r="F376" t="s">
        <v>873</v>
      </c>
      <c r="G376" t="s">
        <v>6269</v>
      </c>
      <c r="H376" s="7">
        <f t="shared" si="11"/>
        <v>186526.06249999997</v>
      </c>
      <c r="I376" s="7">
        <v>29844.17</v>
      </c>
    </row>
    <row r="377" spans="1:9">
      <c r="A377" t="s">
        <v>2430</v>
      </c>
      <c r="B377" s="1">
        <v>42333</v>
      </c>
      <c r="C377" t="s">
        <v>5920</v>
      </c>
      <c r="D377">
        <v>1</v>
      </c>
      <c r="E377" t="s">
        <v>101</v>
      </c>
      <c r="F377" t="s">
        <v>873</v>
      </c>
      <c r="G377" t="s">
        <v>6269</v>
      </c>
      <c r="H377" s="7">
        <f t="shared" si="11"/>
        <v>488802.375</v>
      </c>
      <c r="I377" s="7">
        <v>78208.38</v>
      </c>
    </row>
    <row r="378" spans="1:9">
      <c r="A378" t="s">
        <v>5817</v>
      </c>
      <c r="B378" s="1">
        <v>42321</v>
      </c>
      <c r="C378" t="s">
        <v>5818</v>
      </c>
      <c r="D378">
        <v>1</v>
      </c>
      <c r="E378" t="s">
        <v>5033</v>
      </c>
      <c r="F378" t="s">
        <v>1606</v>
      </c>
      <c r="G378" t="s">
        <v>3693</v>
      </c>
      <c r="H378" s="7">
        <f t="shared" si="11"/>
        <v>186525.9375</v>
      </c>
      <c r="I378" s="7">
        <v>29844.15</v>
      </c>
    </row>
    <row r="379" spans="1:9">
      <c r="A379" t="s">
        <v>5801</v>
      </c>
      <c r="B379" s="1">
        <v>42318</v>
      </c>
      <c r="C379" t="s">
        <v>5802</v>
      </c>
      <c r="D379">
        <v>1</v>
      </c>
      <c r="E379" t="s">
        <v>1055</v>
      </c>
      <c r="F379" t="s">
        <v>1606</v>
      </c>
      <c r="G379" t="s">
        <v>3693</v>
      </c>
      <c r="H379" s="7">
        <f t="shared" si="11"/>
        <v>170467.5625</v>
      </c>
      <c r="I379" s="7">
        <v>27274.81</v>
      </c>
    </row>
    <row r="380" spans="1:9">
      <c r="A380" t="s">
        <v>3287</v>
      </c>
      <c r="B380" s="1">
        <v>42320</v>
      </c>
      <c r="C380" t="s">
        <v>5815</v>
      </c>
      <c r="D380">
        <v>1</v>
      </c>
      <c r="E380" t="s">
        <v>5816</v>
      </c>
      <c r="F380" t="s">
        <v>1606</v>
      </c>
      <c r="G380" t="s">
        <v>3693</v>
      </c>
      <c r="H380" s="7">
        <f t="shared" si="11"/>
        <v>186527</v>
      </c>
      <c r="I380" s="7">
        <v>29844.32</v>
      </c>
    </row>
    <row r="381" spans="1:9">
      <c r="A381" t="s">
        <v>552</v>
      </c>
      <c r="B381" s="1">
        <v>42334</v>
      </c>
      <c r="C381" t="s">
        <v>6226</v>
      </c>
      <c r="D381">
        <v>1</v>
      </c>
      <c r="E381" t="s">
        <v>3693</v>
      </c>
      <c r="F381" s="103" t="s">
        <v>1606</v>
      </c>
      <c r="G381" s="103" t="s">
        <v>3693</v>
      </c>
      <c r="H381" s="7">
        <f t="shared" si="11"/>
        <v>800</v>
      </c>
      <c r="I381" s="7">
        <v>128</v>
      </c>
    </row>
    <row r="382" spans="1:9">
      <c r="A382" t="s">
        <v>5762</v>
      </c>
      <c r="B382" s="1">
        <v>42310</v>
      </c>
      <c r="C382" t="s">
        <v>5763</v>
      </c>
      <c r="D382">
        <v>1</v>
      </c>
      <c r="E382" t="s">
        <v>0</v>
      </c>
      <c r="F382" s="94" t="s">
        <v>2751</v>
      </c>
      <c r="G382" s="94" t="s">
        <v>5728</v>
      </c>
      <c r="H382" s="7">
        <f t="shared" si="11"/>
        <v>212994.25</v>
      </c>
      <c r="I382" s="7">
        <v>34079.08</v>
      </c>
    </row>
    <row r="383" spans="1:9">
      <c r="A383" t="s">
        <v>5764</v>
      </c>
      <c r="B383" s="1">
        <v>42310</v>
      </c>
      <c r="C383" t="s">
        <v>5765</v>
      </c>
      <c r="D383">
        <v>1</v>
      </c>
      <c r="E383" t="s">
        <v>0</v>
      </c>
      <c r="F383" s="94" t="s">
        <v>2751</v>
      </c>
      <c r="G383" s="94" t="s">
        <v>5728</v>
      </c>
      <c r="H383" s="7">
        <f t="shared" si="11"/>
        <v>166217.125</v>
      </c>
      <c r="I383" s="7">
        <v>26594.74</v>
      </c>
    </row>
    <row r="384" spans="1:9">
      <c r="A384" t="s">
        <v>5774</v>
      </c>
      <c r="B384" s="1">
        <v>42311</v>
      </c>
      <c r="C384" t="s">
        <v>5775</v>
      </c>
      <c r="D384">
        <v>1</v>
      </c>
      <c r="E384" t="s">
        <v>0</v>
      </c>
      <c r="F384" s="94" t="s">
        <v>2751</v>
      </c>
      <c r="G384" s="94" t="s">
        <v>5728</v>
      </c>
      <c r="H384" s="7">
        <f t="shared" si="11"/>
        <v>329127</v>
      </c>
      <c r="I384" s="7">
        <v>52660.32</v>
      </c>
    </row>
    <row r="385" spans="1:9">
      <c r="A385" t="s">
        <v>5781</v>
      </c>
      <c r="B385" s="1">
        <v>42312</v>
      </c>
      <c r="C385" t="s">
        <v>5782</v>
      </c>
      <c r="D385">
        <v>1</v>
      </c>
      <c r="E385" t="s">
        <v>0</v>
      </c>
      <c r="F385" s="94" t="s">
        <v>2751</v>
      </c>
      <c r="G385" s="94" t="s">
        <v>5728</v>
      </c>
      <c r="H385" s="7">
        <f t="shared" si="11"/>
        <v>186215.6875</v>
      </c>
      <c r="I385" s="7">
        <v>29794.51</v>
      </c>
    </row>
    <row r="386" spans="1:9">
      <c r="A386" t="s">
        <v>2276</v>
      </c>
      <c r="B386" s="1">
        <v>42313</v>
      </c>
      <c r="C386" t="s">
        <v>5783</v>
      </c>
      <c r="D386">
        <v>1</v>
      </c>
      <c r="E386" t="s">
        <v>0</v>
      </c>
      <c r="F386" s="94" t="s">
        <v>2751</v>
      </c>
      <c r="G386" s="94" t="s">
        <v>5728</v>
      </c>
      <c r="H386" s="7">
        <f t="shared" si="11"/>
        <v>329127</v>
      </c>
      <c r="I386" s="7">
        <v>52660.32</v>
      </c>
    </row>
    <row r="387" spans="1:9">
      <c r="A387" t="s">
        <v>5795</v>
      </c>
      <c r="B387" s="1">
        <v>42314</v>
      </c>
      <c r="C387" t="s">
        <v>5796</v>
      </c>
      <c r="D387">
        <v>1</v>
      </c>
      <c r="E387" t="s">
        <v>0</v>
      </c>
      <c r="F387" s="94" t="s">
        <v>2751</v>
      </c>
      <c r="G387" s="94" t="s">
        <v>5728</v>
      </c>
      <c r="H387" s="7">
        <f t="shared" si="11"/>
        <v>186215.6875</v>
      </c>
      <c r="I387" s="7">
        <v>29794.51</v>
      </c>
    </row>
    <row r="388" spans="1:9">
      <c r="A388" t="s">
        <v>5797</v>
      </c>
      <c r="B388" s="1">
        <v>42317</v>
      </c>
      <c r="C388" t="s">
        <v>5798</v>
      </c>
      <c r="D388">
        <v>1</v>
      </c>
      <c r="E388" t="s">
        <v>0</v>
      </c>
      <c r="F388" s="94" t="s">
        <v>2751</v>
      </c>
      <c r="G388" s="94" t="s">
        <v>5728</v>
      </c>
      <c r="H388" s="7">
        <f t="shared" si="11"/>
        <v>171570.5</v>
      </c>
      <c r="I388" s="7">
        <v>27451.279999999999</v>
      </c>
    </row>
    <row r="389" spans="1:9">
      <c r="A389" t="s">
        <v>5799</v>
      </c>
      <c r="B389" s="1">
        <v>42317</v>
      </c>
      <c r="C389" t="s">
        <v>5800</v>
      </c>
      <c r="D389">
        <v>1</v>
      </c>
      <c r="E389" t="s">
        <v>0</v>
      </c>
      <c r="F389" s="94" t="s">
        <v>2751</v>
      </c>
      <c r="G389" s="94" t="s">
        <v>5728</v>
      </c>
      <c r="H389" s="7">
        <f t="shared" si="11"/>
        <v>184905.375</v>
      </c>
      <c r="I389" s="7">
        <v>29584.86</v>
      </c>
    </row>
    <row r="390" spans="1:9">
      <c r="A390" t="s">
        <v>5810</v>
      </c>
      <c r="B390" s="1">
        <v>42319</v>
      </c>
      <c r="C390" t="s">
        <v>5811</v>
      </c>
      <c r="D390">
        <v>1</v>
      </c>
      <c r="E390" t="s">
        <v>0</v>
      </c>
      <c r="F390" s="94" t="s">
        <v>2751</v>
      </c>
      <c r="G390" s="94" t="s">
        <v>5728</v>
      </c>
      <c r="H390" s="7">
        <f t="shared" si="11"/>
        <v>171570.5625</v>
      </c>
      <c r="I390" s="7">
        <v>27451.29</v>
      </c>
    </row>
    <row r="391" spans="1:9">
      <c r="A391" t="s">
        <v>5823</v>
      </c>
      <c r="B391" s="1">
        <v>42321</v>
      </c>
      <c r="C391" t="s">
        <v>5824</v>
      </c>
      <c r="D391">
        <v>1</v>
      </c>
      <c r="E391" t="s">
        <v>0</v>
      </c>
      <c r="F391" s="94" t="s">
        <v>2751</v>
      </c>
      <c r="G391" s="94" t="s">
        <v>5728</v>
      </c>
      <c r="H391" s="7">
        <f t="shared" ref="H391:H422" si="12">+I391/0.16</f>
        <v>329127</v>
      </c>
      <c r="I391" s="7">
        <v>52660.32</v>
      </c>
    </row>
    <row r="392" spans="1:9">
      <c r="A392" t="s">
        <v>5825</v>
      </c>
      <c r="B392" s="1">
        <v>42321</v>
      </c>
      <c r="C392" t="s">
        <v>5826</v>
      </c>
      <c r="D392">
        <v>1</v>
      </c>
      <c r="E392" t="s">
        <v>0</v>
      </c>
      <c r="F392" s="94" t="s">
        <v>2751</v>
      </c>
      <c r="G392" s="94" t="s">
        <v>5728</v>
      </c>
      <c r="H392" s="7">
        <f t="shared" si="12"/>
        <v>392056.375</v>
      </c>
      <c r="I392" s="7">
        <v>62729.02</v>
      </c>
    </row>
    <row r="393" spans="1:9">
      <c r="A393" t="s">
        <v>5830</v>
      </c>
      <c r="B393" s="1">
        <v>42321</v>
      </c>
      <c r="C393" t="s">
        <v>5831</v>
      </c>
      <c r="D393">
        <v>1</v>
      </c>
      <c r="E393" t="s">
        <v>0</v>
      </c>
      <c r="F393" s="94" t="s">
        <v>2751</v>
      </c>
      <c r="G393" s="94" t="s">
        <v>5728</v>
      </c>
      <c r="H393" s="7">
        <f t="shared" si="12"/>
        <v>195364.5625</v>
      </c>
      <c r="I393" s="7">
        <v>31258.33</v>
      </c>
    </row>
    <row r="394" spans="1:9">
      <c r="A394" t="s">
        <v>5832</v>
      </c>
      <c r="B394" s="1">
        <v>42321</v>
      </c>
      <c r="C394" t="s">
        <v>5833</v>
      </c>
      <c r="D394">
        <v>1</v>
      </c>
      <c r="E394" t="s">
        <v>0</v>
      </c>
      <c r="F394" s="94" t="s">
        <v>2751</v>
      </c>
      <c r="G394" s="94" t="s">
        <v>5728</v>
      </c>
      <c r="H394" s="7">
        <f t="shared" si="12"/>
        <v>243507.4375</v>
      </c>
      <c r="I394" s="7">
        <v>38961.19</v>
      </c>
    </row>
    <row r="395" spans="1:9">
      <c r="A395" t="s">
        <v>5834</v>
      </c>
      <c r="B395" s="1">
        <v>42321</v>
      </c>
      <c r="C395" t="s">
        <v>5835</v>
      </c>
      <c r="D395">
        <v>1</v>
      </c>
      <c r="E395" t="s">
        <v>0</v>
      </c>
      <c r="F395" s="94" t="s">
        <v>2751</v>
      </c>
      <c r="G395" s="94" t="s">
        <v>5728</v>
      </c>
      <c r="H395" s="7">
        <f t="shared" si="12"/>
        <v>243507.4375</v>
      </c>
      <c r="I395" s="7">
        <v>38961.19</v>
      </c>
    </row>
    <row r="396" spans="1:9">
      <c r="A396" t="s">
        <v>5836</v>
      </c>
      <c r="B396" s="1">
        <v>42321</v>
      </c>
      <c r="C396" t="s">
        <v>5837</v>
      </c>
      <c r="D396">
        <v>1</v>
      </c>
      <c r="E396" t="s">
        <v>0</v>
      </c>
      <c r="F396" s="94" t="s">
        <v>2751</v>
      </c>
      <c r="G396" s="94" t="s">
        <v>5728</v>
      </c>
      <c r="H396" s="7">
        <f t="shared" si="12"/>
        <v>243507.4375</v>
      </c>
      <c r="I396" s="7">
        <v>38961.19</v>
      </c>
    </row>
    <row r="397" spans="1:9">
      <c r="A397" t="s">
        <v>5838</v>
      </c>
      <c r="B397" s="1">
        <v>42321</v>
      </c>
      <c r="C397" t="s">
        <v>5839</v>
      </c>
      <c r="D397">
        <v>1</v>
      </c>
      <c r="E397" t="s">
        <v>0</v>
      </c>
      <c r="F397" s="94" t="s">
        <v>2751</v>
      </c>
      <c r="G397" s="94" t="s">
        <v>5728</v>
      </c>
      <c r="H397" s="7">
        <f t="shared" si="12"/>
        <v>243507.4375</v>
      </c>
      <c r="I397" s="7">
        <v>38961.19</v>
      </c>
    </row>
    <row r="398" spans="1:9">
      <c r="A398" t="s">
        <v>78</v>
      </c>
      <c r="B398" s="1">
        <v>42321</v>
      </c>
      <c r="C398" t="s">
        <v>5840</v>
      </c>
      <c r="D398">
        <v>1</v>
      </c>
      <c r="E398" t="s">
        <v>0</v>
      </c>
      <c r="F398" s="94" t="s">
        <v>2751</v>
      </c>
      <c r="G398" s="94" t="s">
        <v>5728</v>
      </c>
      <c r="H398" s="7">
        <f t="shared" si="12"/>
        <v>243507.4375</v>
      </c>
      <c r="I398" s="7">
        <v>38961.19</v>
      </c>
    </row>
    <row r="399" spans="1:9">
      <c r="A399" t="s">
        <v>5841</v>
      </c>
      <c r="B399" s="1">
        <v>42321</v>
      </c>
      <c r="C399" t="s">
        <v>5842</v>
      </c>
      <c r="D399">
        <v>1</v>
      </c>
      <c r="E399" t="s">
        <v>0</v>
      </c>
      <c r="F399" s="94" t="s">
        <v>2751</v>
      </c>
      <c r="G399" s="94" t="s">
        <v>5728</v>
      </c>
      <c r="H399" s="7">
        <f t="shared" si="12"/>
        <v>243507.4375</v>
      </c>
      <c r="I399" s="7">
        <v>38961.19</v>
      </c>
    </row>
    <row r="400" spans="1:9">
      <c r="A400" t="s">
        <v>5843</v>
      </c>
      <c r="B400" s="1">
        <v>42321</v>
      </c>
      <c r="C400" t="s">
        <v>5844</v>
      </c>
      <c r="D400">
        <v>1</v>
      </c>
      <c r="E400" t="s">
        <v>0</v>
      </c>
      <c r="F400" s="94" t="s">
        <v>2751</v>
      </c>
      <c r="G400" s="94" t="s">
        <v>5728</v>
      </c>
      <c r="H400" s="7">
        <f t="shared" si="12"/>
        <v>243507.4375</v>
      </c>
      <c r="I400" s="7">
        <v>38961.19</v>
      </c>
    </row>
    <row r="401" spans="1:9">
      <c r="A401" t="s">
        <v>5827</v>
      </c>
      <c r="B401" s="1">
        <v>42321</v>
      </c>
      <c r="C401" t="s">
        <v>5828</v>
      </c>
      <c r="D401">
        <v>1</v>
      </c>
      <c r="E401" t="s">
        <v>0</v>
      </c>
      <c r="F401" s="94" t="s">
        <v>2751</v>
      </c>
      <c r="G401" s="94" t="s">
        <v>5728</v>
      </c>
      <c r="H401" s="7">
        <f t="shared" si="12"/>
        <v>186215.8125</v>
      </c>
      <c r="I401" s="7">
        <v>29794.53</v>
      </c>
    </row>
    <row r="402" spans="1:9">
      <c r="A402" t="s">
        <v>5854</v>
      </c>
      <c r="B402" s="1">
        <v>42325</v>
      </c>
      <c r="C402" t="s">
        <v>5855</v>
      </c>
      <c r="D402">
        <v>1</v>
      </c>
      <c r="E402" t="s">
        <v>0</v>
      </c>
      <c r="F402" s="94" t="s">
        <v>2751</v>
      </c>
      <c r="G402" s="94" t="s">
        <v>5728</v>
      </c>
      <c r="H402" s="7">
        <f t="shared" si="12"/>
        <v>217188.99999999997</v>
      </c>
      <c r="I402" s="7">
        <v>34750.239999999998</v>
      </c>
    </row>
    <row r="403" spans="1:9">
      <c r="A403" t="s">
        <v>5863</v>
      </c>
      <c r="B403" s="1">
        <v>42326</v>
      </c>
      <c r="C403" t="s">
        <v>5864</v>
      </c>
      <c r="D403">
        <v>1</v>
      </c>
      <c r="E403" t="s">
        <v>0</v>
      </c>
      <c r="F403" s="94" t="s">
        <v>2751</v>
      </c>
      <c r="G403" s="94" t="s">
        <v>5728</v>
      </c>
      <c r="H403" s="7">
        <f t="shared" si="12"/>
        <v>329127</v>
      </c>
      <c r="I403" s="7">
        <v>52660.32</v>
      </c>
    </row>
    <row r="404" spans="1:9">
      <c r="A404" t="s">
        <v>5871</v>
      </c>
      <c r="B404" s="1">
        <v>42326</v>
      </c>
      <c r="C404" t="s">
        <v>5872</v>
      </c>
      <c r="D404">
        <v>1</v>
      </c>
      <c r="E404" t="s">
        <v>0</v>
      </c>
      <c r="F404" s="94" t="s">
        <v>2751</v>
      </c>
      <c r="G404" s="94" t="s">
        <v>5728</v>
      </c>
      <c r="H404" s="7">
        <f t="shared" si="12"/>
        <v>186215.6875</v>
      </c>
      <c r="I404" s="7">
        <v>29794.51</v>
      </c>
    </row>
    <row r="405" spans="1:9">
      <c r="A405" t="s">
        <v>5873</v>
      </c>
      <c r="B405" s="1">
        <v>42326</v>
      </c>
      <c r="C405" t="s">
        <v>5874</v>
      </c>
      <c r="D405">
        <v>1</v>
      </c>
      <c r="E405" t="s">
        <v>0</v>
      </c>
      <c r="F405" s="94" t="s">
        <v>2751</v>
      </c>
      <c r="G405" s="94" t="s">
        <v>5728</v>
      </c>
      <c r="H405" s="7">
        <f t="shared" si="12"/>
        <v>166217.125</v>
      </c>
      <c r="I405" s="7">
        <v>26594.74</v>
      </c>
    </row>
    <row r="406" spans="1:9">
      <c r="A406" t="s">
        <v>1758</v>
      </c>
      <c r="B406" s="1">
        <v>42331</v>
      </c>
      <c r="C406" t="s">
        <v>5890</v>
      </c>
      <c r="D406">
        <v>1</v>
      </c>
      <c r="E406" t="s">
        <v>0</v>
      </c>
      <c r="F406" s="94" t="s">
        <v>2751</v>
      </c>
      <c r="G406" s="94" t="s">
        <v>5728</v>
      </c>
      <c r="H406" s="7">
        <f t="shared" si="12"/>
        <v>186215.6875</v>
      </c>
      <c r="I406" s="7">
        <v>29794.51</v>
      </c>
    </row>
    <row r="407" spans="1:9">
      <c r="A407" t="s">
        <v>1772</v>
      </c>
      <c r="B407" s="1">
        <v>42332</v>
      </c>
      <c r="C407" t="s">
        <v>5900</v>
      </c>
      <c r="D407">
        <v>1</v>
      </c>
      <c r="E407" t="s">
        <v>0</v>
      </c>
      <c r="F407" s="94" t="s">
        <v>2751</v>
      </c>
      <c r="G407" s="94" t="s">
        <v>5728</v>
      </c>
      <c r="H407" s="7">
        <f t="shared" si="12"/>
        <v>166217.125</v>
      </c>
      <c r="I407" s="7">
        <v>26594.74</v>
      </c>
    </row>
    <row r="408" spans="1:9">
      <c r="A408" t="s">
        <v>4677</v>
      </c>
      <c r="B408" s="1">
        <v>42332</v>
      </c>
      <c r="C408" t="s">
        <v>5901</v>
      </c>
      <c r="D408">
        <v>1</v>
      </c>
      <c r="E408" t="s">
        <v>0</v>
      </c>
      <c r="F408" s="94" t="s">
        <v>2751</v>
      </c>
      <c r="G408" s="94" t="s">
        <v>5728</v>
      </c>
      <c r="H408" s="7">
        <f t="shared" si="12"/>
        <v>166217.125</v>
      </c>
      <c r="I408" s="7">
        <v>26594.74</v>
      </c>
    </row>
    <row r="409" spans="1:9">
      <c r="A409" t="s">
        <v>4679</v>
      </c>
      <c r="B409" s="1">
        <v>42332</v>
      </c>
      <c r="C409" t="s">
        <v>5902</v>
      </c>
      <c r="D409">
        <v>1</v>
      </c>
      <c r="E409" t="s">
        <v>0</v>
      </c>
      <c r="F409" s="94" t="s">
        <v>2751</v>
      </c>
      <c r="G409" s="94" t="s">
        <v>5728</v>
      </c>
      <c r="H409" s="7">
        <f t="shared" si="12"/>
        <v>149070.5625</v>
      </c>
      <c r="I409" s="7">
        <v>23851.29</v>
      </c>
    </row>
    <row r="410" spans="1:9">
      <c r="A410" t="s">
        <v>5914</v>
      </c>
      <c r="B410" s="1">
        <v>42332</v>
      </c>
      <c r="C410" t="s">
        <v>5915</v>
      </c>
      <c r="D410">
        <v>1</v>
      </c>
      <c r="E410" t="s">
        <v>0</v>
      </c>
      <c r="F410" s="94" t="s">
        <v>2751</v>
      </c>
      <c r="G410" s="94" t="s">
        <v>5728</v>
      </c>
      <c r="H410" s="7">
        <f t="shared" si="12"/>
        <v>329435.625</v>
      </c>
      <c r="I410" s="7">
        <v>52709.7</v>
      </c>
    </row>
    <row r="411" spans="1:9">
      <c r="A411" t="s">
        <v>5910</v>
      </c>
      <c r="B411" s="1">
        <v>42332</v>
      </c>
      <c r="C411" t="s">
        <v>5911</v>
      </c>
      <c r="D411">
        <v>1</v>
      </c>
      <c r="E411" t="s">
        <v>0</v>
      </c>
      <c r="F411" s="94" t="s">
        <v>2751</v>
      </c>
      <c r="G411" s="94" t="s">
        <v>5728</v>
      </c>
      <c r="H411" s="7">
        <f t="shared" si="12"/>
        <v>195362.8125</v>
      </c>
      <c r="I411" s="7">
        <v>31258.05</v>
      </c>
    </row>
    <row r="412" spans="1:9">
      <c r="A412" t="s">
        <v>5912</v>
      </c>
      <c r="B412" s="1">
        <v>42332</v>
      </c>
      <c r="C412" t="s">
        <v>5913</v>
      </c>
      <c r="D412">
        <v>1</v>
      </c>
      <c r="E412" t="s">
        <v>0</v>
      </c>
      <c r="F412" s="94" t="s">
        <v>2751</v>
      </c>
      <c r="G412" s="94" t="s">
        <v>5728</v>
      </c>
      <c r="H412" s="7">
        <f t="shared" si="12"/>
        <v>243335.0625</v>
      </c>
      <c r="I412" s="7">
        <v>38933.61</v>
      </c>
    </row>
    <row r="413" spans="1:9">
      <c r="A413" t="s">
        <v>1116</v>
      </c>
      <c r="B413" s="1">
        <v>42332</v>
      </c>
      <c r="C413" t="s">
        <v>5916</v>
      </c>
      <c r="D413">
        <v>1</v>
      </c>
      <c r="E413" t="s">
        <v>0</v>
      </c>
      <c r="F413" s="94" t="s">
        <v>2751</v>
      </c>
      <c r="G413" s="94" t="s">
        <v>5728</v>
      </c>
      <c r="H413" s="7">
        <f t="shared" si="12"/>
        <v>233306.37499999997</v>
      </c>
      <c r="I413" s="7">
        <v>37329.019999999997</v>
      </c>
    </row>
    <row r="414" spans="1:9">
      <c r="A414" t="s">
        <v>5925</v>
      </c>
      <c r="B414" s="1">
        <v>42335</v>
      </c>
      <c r="C414" t="s">
        <v>5926</v>
      </c>
      <c r="D414">
        <v>1</v>
      </c>
      <c r="E414" t="s">
        <v>0</v>
      </c>
      <c r="F414" s="94" t="s">
        <v>2751</v>
      </c>
      <c r="G414" s="94" t="s">
        <v>5728</v>
      </c>
      <c r="H414" s="7">
        <f t="shared" si="12"/>
        <v>149994.75</v>
      </c>
      <c r="I414" s="7">
        <v>23999.16</v>
      </c>
    </row>
    <row r="415" spans="1:9">
      <c r="A415" t="s">
        <v>1174</v>
      </c>
      <c r="B415" s="1">
        <v>42335</v>
      </c>
      <c r="C415" t="s">
        <v>5931</v>
      </c>
      <c r="D415">
        <v>1</v>
      </c>
      <c r="E415" t="s">
        <v>0</v>
      </c>
      <c r="F415" s="94" t="s">
        <v>2751</v>
      </c>
      <c r="G415" s="94" t="s">
        <v>5728</v>
      </c>
      <c r="H415" s="7">
        <f t="shared" si="12"/>
        <v>243507.4375</v>
      </c>
      <c r="I415" s="7">
        <v>38961.19</v>
      </c>
    </row>
    <row r="416" spans="1:9">
      <c r="A416" t="s">
        <v>1169</v>
      </c>
      <c r="B416" s="1">
        <v>42335</v>
      </c>
      <c r="C416" t="s">
        <v>5932</v>
      </c>
      <c r="D416">
        <v>1</v>
      </c>
      <c r="E416" t="s">
        <v>0</v>
      </c>
      <c r="F416" s="94" t="s">
        <v>2751</v>
      </c>
      <c r="G416" s="94" t="s">
        <v>5728</v>
      </c>
      <c r="H416" s="7">
        <f t="shared" si="12"/>
        <v>243507.4375</v>
      </c>
      <c r="I416" s="7">
        <v>38961.19</v>
      </c>
    </row>
    <row r="417" spans="1:9">
      <c r="A417" t="s">
        <v>1175</v>
      </c>
      <c r="B417" s="1">
        <v>42335</v>
      </c>
      <c r="C417" t="s">
        <v>5933</v>
      </c>
      <c r="D417">
        <v>1</v>
      </c>
      <c r="E417" t="s">
        <v>0</v>
      </c>
      <c r="F417" s="94" t="s">
        <v>2751</v>
      </c>
      <c r="G417" s="94" t="s">
        <v>5728</v>
      </c>
      <c r="H417" s="7">
        <f t="shared" si="12"/>
        <v>243507.4375</v>
      </c>
      <c r="I417" s="7">
        <v>38961.19</v>
      </c>
    </row>
    <row r="418" spans="1:9">
      <c r="A418" t="s">
        <v>1176</v>
      </c>
      <c r="B418" s="1">
        <v>42335</v>
      </c>
      <c r="C418" t="s">
        <v>5934</v>
      </c>
      <c r="D418">
        <v>1</v>
      </c>
      <c r="E418" t="s">
        <v>0</v>
      </c>
      <c r="F418" s="94" t="s">
        <v>2751</v>
      </c>
      <c r="G418" s="94" t="s">
        <v>5728</v>
      </c>
      <c r="H418" s="7">
        <f t="shared" si="12"/>
        <v>243507.4375</v>
      </c>
      <c r="I418" s="7">
        <v>38961.19</v>
      </c>
    </row>
    <row r="419" spans="1:9">
      <c r="A419" t="s">
        <v>4704</v>
      </c>
      <c r="B419" s="1">
        <v>42338</v>
      </c>
      <c r="C419" t="s">
        <v>5942</v>
      </c>
      <c r="D419">
        <v>1</v>
      </c>
      <c r="E419" t="s">
        <v>0</v>
      </c>
      <c r="F419" s="94" t="s">
        <v>2751</v>
      </c>
      <c r="G419" s="94" t="s">
        <v>5728</v>
      </c>
      <c r="H419" s="7">
        <f t="shared" si="12"/>
        <v>195364.5625</v>
      </c>
      <c r="I419" s="7">
        <v>31258.33</v>
      </c>
    </row>
    <row r="420" spans="1:9">
      <c r="A420" t="s">
        <v>5943</v>
      </c>
      <c r="B420" s="1">
        <v>42338</v>
      </c>
      <c r="C420" t="s">
        <v>5944</v>
      </c>
      <c r="D420">
        <v>1</v>
      </c>
      <c r="E420" t="s">
        <v>0</v>
      </c>
      <c r="F420" s="94" t="s">
        <v>2751</v>
      </c>
      <c r="G420" s="94" t="s">
        <v>5728</v>
      </c>
      <c r="H420" s="7">
        <f t="shared" si="12"/>
        <v>243507.4375</v>
      </c>
      <c r="I420" s="7">
        <v>38961.19</v>
      </c>
    </row>
    <row r="421" spans="1:9">
      <c r="A421" t="s">
        <v>1929</v>
      </c>
      <c r="B421" s="1">
        <v>42338</v>
      </c>
      <c r="C421" t="s">
        <v>5954</v>
      </c>
      <c r="D421">
        <v>1</v>
      </c>
      <c r="E421" t="s">
        <v>0</v>
      </c>
      <c r="F421" s="94" t="s">
        <v>2751</v>
      </c>
      <c r="G421" s="94" t="s">
        <v>5728</v>
      </c>
      <c r="H421" s="7">
        <f t="shared" si="12"/>
        <v>243817.8125</v>
      </c>
      <c r="I421" s="7">
        <v>39010.85</v>
      </c>
    </row>
    <row r="422" spans="1:9">
      <c r="A422" t="s">
        <v>1930</v>
      </c>
      <c r="B422" s="1">
        <v>42338</v>
      </c>
      <c r="C422" t="s">
        <v>5955</v>
      </c>
      <c r="D422">
        <v>1</v>
      </c>
      <c r="E422" t="s">
        <v>0</v>
      </c>
      <c r="F422" s="94" t="s">
        <v>2751</v>
      </c>
      <c r="G422" s="94" t="s">
        <v>5728</v>
      </c>
      <c r="H422" s="7">
        <f t="shared" si="12"/>
        <v>149994.75</v>
      </c>
      <c r="I422" s="7">
        <v>23999.16</v>
      </c>
    </row>
    <row r="423" spans="1:9">
      <c r="A423" t="s">
        <v>5809</v>
      </c>
      <c r="B423" s="1">
        <v>42319</v>
      </c>
      <c r="C423" t="s">
        <v>3353</v>
      </c>
      <c r="D423">
        <v>1</v>
      </c>
      <c r="E423" t="s">
        <v>0</v>
      </c>
      <c r="F423" s="94" t="s">
        <v>2751</v>
      </c>
      <c r="G423" s="94" t="s">
        <v>5728</v>
      </c>
      <c r="H423" s="7">
        <f t="shared" ref="H423:H452" si="13">+I423/0.16</f>
        <v>-242048.9375</v>
      </c>
      <c r="I423" s="7">
        <v>-38727.83</v>
      </c>
    </row>
    <row r="424" spans="1:9">
      <c r="A424" t="s">
        <v>5770</v>
      </c>
      <c r="B424" s="1">
        <v>42310</v>
      </c>
      <c r="C424" t="s">
        <v>5771</v>
      </c>
      <c r="D424">
        <v>1</v>
      </c>
      <c r="E424" t="s">
        <v>0</v>
      </c>
      <c r="F424" s="94" t="s">
        <v>2751</v>
      </c>
      <c r="G424" s="94" t="s">
        <v>5728</v>
      </c>
      <c r="H424" s="7">
        <f t="shared" si="13"/>
        <v>318009</v>
      </c>
      <c r="I424" s="7">
        <v>50881.440000000002</v>
      </c>
    </row>
    <row r="425" spans="1:9">
      <c r="A425" t="s">
        <v>5772</v>
      </c>
      <c r="B425" s="1">
        <v>42310</v>
      </c>
      <c r="C425" t="s">
        <v>5773</v>
      </c>
      <c r="D425">
        <v>1</v>
      </c>
      <c r="E425" t="s">
        <v>0</v>
      </c>
      <c r="F425" s="94" t="s">
        <v>2751</v>
      </c>
      <c r="G425" s="94" t="s">
        <v>5728</v>
      </c>
      <c r="H425" s="7">
        <f t="shared" si="13"/>
        <v>318009</v>
      </c>
      <c r="I425" s="7">
        <v>50881.440000000002</v>
      </c>
    </row>
    <row r="426" spans="1:9">
      <c r="A426" t="s">
        <v>5768</v>
      </c>
      <c r="B426" s="1">
        <v>42310</v>
      </c>
      <c r="C426" t="s">
        <v>5769</v>
      </c>
      <c r="D426">
        <v>1</v>
      </c>
      <c r="E426" t="s">
        <v>0</v>
      </c>
      <c r="F426" s="94" t="s">
        <v>2751</v>
      </c>
      <c r="G426" s="94" t="s">
        <v>5728</v>
      </c>
      <c r="H426" s="7">
        <f t="shared" si="13"/>
        <v>437204.125</v>
      </c>
      <c r="I426" s="7">
        <v>69952.66</v>
      </c>
    </row>
    <row r="427" spans="1:9">
      <c r="A427" t="s">
        <v>5803</v>
      </c>
      <c r="B427" s="1">
        <v>42318</v>
      </c>
      <c r="C427" t="s">
        <v>5804</v>
      </c>
      <c r="D427">
        <v>1</v>
      </c>
      <c r="E427" t="s">
        <v>0</v>
      </c>
      <c r="F427" s="94" t="s">
        <v>2751</v>
      </c>
      <c r="G427" s="94" t="s">
        <v>5728</v>
      </c>
      <c r="H427" s="7">
        <f t="shared" si="13"/>
        <v>318009</v>
      </c>
      <c r="I427" s="7">
        <v>50881.440000000002</v>
      </c>
    </row>
    <row r="428" spans="1:9">
      <c r="A428" t="s">
        <v>5805</v>
      </c>
      <c r="B428" s="1">
        <v>42318</v>
      </c>
      <c r="C428" t="s">
        <v>5806</v>
      </c>
      <c r="D428">
        <v>1</v>
      </c>
      <c r="E428" t="s">
        <v>0</v>
      </c>
      <c r="F428" s="94" t="s">
        <v>2751</v>
      </c>
      <c r="G428" s="94" t="s">
        <v>5728</v>
      </c>
      <c r="H428" s="7">
        <f t="shared" si="13"/>
        <v>304774.125</v>
      </c>
      <c r="I428" s="7">
        <v>48763.86</v>
      </c>
    </row>
    <row r="429" spans="1:9">
      <c r="A429" t="s">
        <v>2310</v>
      </c>
      <c r="B429" s="1">
        <v>42319</v>
      </c>
      <c r="C429" t="s">
        <v>5807</v>
      </c>
      <c r="D429">
        <v>1</v>
      </c>
      <c r="E429" t="s">
        <v>0</v>
      </c>
      <c r="F429" s="94" t="s">
        <v>2751</v>
      </c>
      <c r="G429" s="94" t="s">
        <v>5728</v>
      </c>
      <c r="H429" s="7">
        <f t="shared" si="13"/>
        <v>169552.5</v>
      </c>
      <c r="I429" s="7">
        <v>27128.400000000001</v>
      </c>
    </row>
    <row r="430" spans="1:9">
      <c r="A430" t="s">
        <v>5876</v>
      </c>
      <c r="B430" s="1">
        <v>42327</v>
      </c>
      <c r="C430" t="s">
        <v>5877</v>
      </c>
      <c r="D430">
        <v>1</v>
      </c>
      <c r="E430" t="s">
        <v>0</v>
      </c>
      <c r="F430" s="94" t="s">
        <v>2751</v>
      </c>
      <c r="G430" s="94" t="s">
        <v>5728</v>
      </c>
      <c r="H430" s="7">
        <f t="shared" si="13"/>
        <v>277798.3125</v>
      </c>
      <c r="I430" s="7">
        <v>44447.73</v>
      </c>
    </row>
    <row r="431" spans="1:9">
      <c r="A431" t="s">
        <v>3336</v>
      </c>
      <c r="B431" s="1">
        <v>42329</v>
      </c>
      <c r="C431" t="s">
        <v>5886</v>
      </c>
      <c r="D431">
        <v>1</v>
      </c>
      <c r="E431" t="s">
        <v>0</v>
      </c>
      <c r="F431" s="94" t="s">
        <v>2751</v>
      </c>
      <c r="G431" s="94" t="s">
        <v>5728</v>
      </c>
      <c r="H431" s="7">
        <f t="shared" si="13"/>
        <v>168242.1875</v>
      </c>
      <c r="I431" s="7">
        <v>26918.75</v>
      </c>
    </row>
    <row r="432" spans="1:9">
      <c r="A432" t="s">
        <v>5893</v>
      </c>
      <c r="B432" s="1">
        <v>42331</v>
      </c>
      <c r="C432" t="s">
        <v>5894</v>
      </c>
      <c r="D432">
        <v>1</v>
      </c>
      <c r="E432" t="s">
        <v>0</v>
      </c>
      <c r="F432" s="94" t="s">
        <v>2751</v>
      </c>
      <c r="G432" s="94" t="s">
        <v>5728</v>
      </c>
      <c r="H432" s="7">
        <f t="shared" si="13"/>
        <v>168242.1875</v>
      </c>
      <c r="I432" s="7">
        <v>26918.75</v>
      </c>
    </row>
    <row r="433" spans="1:9">
      <c r="A433" t="s">
        <v>5903</v>
      </c>
      <c r="B433" s="1">
        <v>42332</v>
      </c>
      <c r="C433" t="s">
        <v>5904</v>
      </c>
      <c r="D433">
        <v>1</v>
      </c>
      <c r="E433" t="s">
        <v>0</v>
      </c>
      <c r="F433" s="94" t="s">
        <v>2751</v>
      </c>
      <c r="G433" s="94" t="s">
        <v>5728</v>
      </c>
      <c r="H433" s="7">
        <f t="shared" si="13"/>
        <v>178707.6875</v>
      </c>
      <c r="I433" s="7">
        <v>28593.23</v>
      </c>
    </row>
    <row r="434" spans="1:9">
      <c r="A434" t="s">
        <v>5905</v>
      </c>
      <c r="B434" s="1">
        <v>42332</v>
      </c>
      <c r="C434" t="s">
        <v>5906</v>
      </c>
      <c r="D434">
        <v>1</v>
      </c>
      <c r="E434" t="s">
        <v>0</v>
      </c>
      <c r="F434" s="94" t="s">
        <v>2751</v>
      </c>
      <c r="G434" s="94" t="s">
        <v>5728</v>
      </c>
      <c r="H434" s="7">
        <f t="shared" si="13"/>
        <v>262468.625</v>
      </c>
      <c r="I434" s="7">
        <v>41994.98</v>
      </c>
    </row>
    <row r="435" spans="1:9">
      <c r="A435" t="s">
        <v>5087</v>
      </c>
      <c r="B435" s="1">
        <v>42332</v>
      </c>
      <c r="C435" t="s">
        <v>5907</v>
      </c>
      <c r="D435">
        <v>1</v>
      </c>
      <c r="E435" t="s">
        <v>0</v>
      </c>
      <c r="F435" s="94" t="s">
        <v>2751</v>
      </c>
      <c r="G435" s="94" t="s">
        <v>5728</v>
      </c>
      <c r="H435" s="7">
        <f t="shared" si="13"/>
        <v>318009</v>
      </c>
      <c r="I435" s="7">
        <v>50881.440000000002</v>
      </c>
    </row>
    <row r="436" spans="1:9">
      <c r="A436" t="s">
        <v>5091</v>
      </c>
      <c r="B436" s="1">
        <v>42332</v>
      </c>
      <c r="C436" t="s">
        <v>5908</v>
      </c>
      <c r="D436">
        <v>1</v>
      </c>
      <c r="E436" t="s">
        <v>0</v>
      </c>
      <c r="F436" s="94" t="s">
        <v>2751</v>
      </c>
      <c r="G436" s="94" t="s">
        <v>5728</v>
      </c>
      <c r="H436" s="7">
        <f t="shared" si="13"/>
        <v>318009</v>
      </c>
      <c r="I436" s="7">
        <v>50881.440000000002</v>
      </c>
    </row>
    <row r="437" spans="1:9">
      <c r="A437" t="s">
        <v>138</v>
      </c>
      <c r="B437" s="1">
        <v>42332</v>
      </c>
      <c r="C437" t="s">
        <v>5909</v>
      </c>
      <c r="D437">
        <v>1</v>
      </c>
      <c r="E437" t="s">
        <v>0</v>
      </c>
      <c r="F437" s="94" t="s">
        <v>2751</v>
      </c>
      <c r="G437" s="94" t="s">
        <v>5728</v>
      </c>
      <c r="H437" s="7">
        <f t="shared" si="13"/>
        <v>318009</v>
      </c>
      <c r="I437" s="7">
        <v>50881.440000000002</v>
      </c>
    </row>
    <row r="438" spans="1:9">
      <c r="A438" t="s">
        <v>2613</v>
      </c>
      <c r="B438" s="1">
        <v>42319</v>
      </c>
      <c r="C438" t="s">
        <v>6156</v>
      </c>
      <c r="D438">
        <v>1</v>
      </c>
      <c r="E438" t="s">
        <v>1361</v>
      </c>
      <c r="F438" s="17" t="s">
        <v>799</v>
      </c>
      <c r="G438" s="103" t="s">
        <v>1361</v>
      </c>
      <c r="H438" s="7">
        <f t="shared" si="13"/>
        <v>14964.125000000002</v>
      </c>
      <c r="I438" s="7">
        <v>2394.2600000000002</v>
      </c>
    </row>
    <row r="439" spans="1:9">
      <c r="A439" t="s">
        <v>2615</v>
      </c>
      <c r="B439" s="1">
        <v>42319</v>
      </c>
      <c r="C439" t="s">
        <v>6157</v>
      </c>
      <c r="D439">
        <v>1</v>
      </c>
      <c r="E439" t="s">
        <v>1361</v>
      </c>
      <c r="F439" s="17" t="s">
        <v>799</v>
      </c>
      <c r="G439" s="103" t="s">
        <v>1361</v>
      </c>
      <c r="H439" s="7">
        <f t="shared" si="13"/>
        <v>5566.9375</v>
      </c>
      <c r="I439" s="7">
        <v>890.71</v>
      </c>
    </row>
    <row r="440" spans="1:9">
      <c r="A440" t="s">
        <v>548</v>
      </c>
      <c r="B440" s="1">
        <v>42334</v>
      </c>
      <c r="C440" t="s">
        <v>6222</v>
      </c>
      <c r="D440">
        <v>1</v>
      </c>
      <c r="E440" t="s">
        <v>1361</v>
      </c>
      <c r="F440" s="17" t="s">
        <v>799</v>
      </c>
      <c r="G440" s="103" t="s">
        <v>1361</v>
      </c>
      <c r="H440" s="7">
        <f t="shared" si="13"/>
        <v>379199.625</v>
      </c>
      <c r="I440" s="7">
        <v>60671.94</v>
      </c>
    </row>
    <row r="441" spans="1:9">
      <c r="A441" t="s">
        <v>549</v>
      </c>
      <c r="B441" s="1">
        <v>42334</v>
      </c>
      <c r="C441" t="s">
        <v>6223</v>
      </c>
      <c r="D441">
        <v>1</v>
      </c>
      <c r="E441" t="s">
        <v>1361</v>
      </c>
      <c r="F441" s="17" t="s">
        <v>799</v>
      </c>
      <c r="G441" s="103" t="s">
        <v>1361</v>
      </c>
      <c r="H441" s="7">
        <f t="shared" si="13"/>
        <v>242983.0625</v>
      </c>
      <c r="I441" s="7">
        <v>38877.29</v>
      </c>
    </row>
    <row r="442" spans="1:9">
      <c r="A442" t="s">
        <v>6009</v>
      </c>
      <c r="B442" s="1">
        <v>42338</v>
      </c>
      <c r="C442" t="s">
        <v>6010</v>
      </c>
      <c r="D442">
        <v>1</v>
      </c>
      <c r="E442" t="s">
        <v>878</v>
      </c>
      <c r="F442" s="103" t="s">
        <v>878</v>
      </c>
      <c r="G442" s="139" t="s">
        <v>7410</v>
      </c>
      <c r="H442" s="106">
        <f t="shared" si="13"/>
        <v>380</v>
      </c>
      <c r="I442" s="103">
        <v>60.8</v>
      </c>
    </row>
    <row r="443" spans="1:9">
      <c r="A443" t="s">
        <v>4733</v>
      </c>
      <c r="B443" s="1">
        <v>42338</v>
      </c>
      <c r="C443" t="s">
        <v>6097</v>
      </c>
      <c r="D443">
        <v>1</v>
      </c>
      <c r="E443" t="s">
        <v>935</v>
      </c>
      <c r="F443" s="103" t="s">
        <v>935</v>
      </c>
      <c r="G443" s="139" t="s">
        <v>936</v>
      </c>
      <c r="H443" s="106">
        <f t="shared" si="13"/>
        <v>86.187499999999986</v>
      </c>
      <c r="I443" s="103">
        <v>13.79</v>
      </c>
    </row>
    <row r="444" spans="1:9">
      <c r="A444" t="s">
        <v>6107</v>
      </c>
      <c r="B444" s="1">
        <v>42338</v>
      </c>
      <c r="C444" t="s">
        <v>6108</v>
      </c>
      <c r="D444">
        <v>1</v>
      </c>
      <c r="E444" t="s">
        <v>935</v>
      </c>
      <c r="F444" s="103" t="s">
        <v>935</v>
      </c>
      <c r="G444" s="139" t="s">
        <v>936</v>
      </c>
      <c r="H444" s="106">
        <f t="shared" si="13"/>
        <v>86.187499999999986</v>
      </c>
      <c r="I444" s="103">
        <v>13.79</v>
      </c>
    </row>
    <row r="445" spans="1:9">
      <c r="A445" t="s">
        <v>38</v>
      </c>
      <c r="B445" s="1">
        <v>42314</v>
      </c>
      <c r="C445" t="s">
        <v>5793</v>
      </c>
      <c r="D445">
        <v>1</v>
      </c>
      <c r="E445" t="s">
        <v>5794</v>
      </c>
      <c r="F445" t="s">
        <v>1643</v>
      </c>
      <c r="G445" t="s">
        <v>3713</v>
      </c>
      <c r="H445" s="7">
        <f t="shared" si="13"/>
        <v>185215.6875</v>
      </c>
      <c r="I445" s="7">
        <v>29634.51</v>
      </c>
    </row>
    <row r="446" spans="1:9">
      <c r="A446" t="s">
        <v>5880</v>
      </c>
      <c r="B446" s="1">
        <v>42328</v>
      </c>
      <c r="C446" t="s">
        <v>5881</v>
      </c>
      <c r="D446">
        <v>1</v>
      </c>
      <c r="E446" t="s">
        <v>5882</v>
      </c>
      <c r="F446" t="s">
        <v>1643</v>
      </c>
      <c r="G446" t="s">
        <v>3713</v>
      </c>
      <c r="H446" s="7">
        <f t="shared" si="13"/>
        <v>243817.8125</v>
      </c>
      <c r="I446" s="7">
        <v>39010.85</v>
      </c>
    </row>
    <row r="447" spans="1:9">
      <c r="A447" t="s">
        <v>5130</v>
      </c>
      <c r="B447" s="1">
        <v>42335</v>
      </c>
      <c r="C447" t="s">
        <v>5927</v>
      </c>
      <c r="D447">
        <v>1</v>
      </c>
      <c r="E447" t="s">
        <v>5928</v>
      </c>
      <c r="F447" t="s">
        <v>6270</v>
      </c>
      <c r="G447" t="s">
        <v>6271</v>
      </c>
      <c r="H447" s="7">
        <f t="shared" si="13"/>
        <v>186526.06249999997</v>
      </c>
      <c r="I447" s="7">
        <v>29844.17</v>
      </c>
    </row>
    <row r="448" spans="1:9">
      <c r="A448" t="s">
        <v>3923</v>
      </c>
      <c r="B448" s="1">
        <v>42338</v>
      </c>
      <c r="C448" t="s">
        <v>6005</v>
      </c>
      <c r="D448">
        <v>1</v>
      </c>
      <c r="E448" t="s">
        <v>6007</v>
      </c>
      <c r="F448" s="139" t="s">
        <v>1630</v>
      </c>
      <c r="G448" s="139" t="s">
        <v>3020</v>
      </c>
      <c r="H448" s="7">
        <f t="shared" si="13"/>
        <v>92.25</v>
      </c>
      <c r="I448" s="7">
        <v>14.76</v>
      </c>
    </row>
    <row r="449" spans="1:11">
      <c r="A449" t="s">
        <v>6021</v>
      </c>
      <c r="B449" s="1">
        <v>42338</v>
      </c>
      <c r="C449" t="s">
        <v>6022</v>
      </c>
      <c r="D449">
        <v>1</v>
      </c>
      <c r="E449" t="s">
        <v>802</v>
      </c>
      <c r="F449" s="103" t="s">
        <v>802</v>
      </c>
      <c r="G449" s="139" t="s">
        <v>275</v>
      </c>
      <c r="H449" s="7">
        <f t="shared" si="13"/>
        <v>310.375</v>
      </c>
      <c r="I449" s="7">
        <v>49.66</v>
      </c>
    </row>
    <row r="450" spans="1:11">
      <c r="A450" t="s">
        <v>5979</v>
      </c>
      <c r="B450" s="1">
        <v>42338</v>
      </c>
      <c r="C450" t="s">
        <v>5980</v>
      </c>
      <c r="D450">
        <v>1</v>
      </c>
      <c r="E450" t="s">
        <v>1315</v>
      </c>
      <c r="F450" s="103" t="s">
        <v>714</v>
      </c>
      <c r="G450" s="144" t="s">
        <v>6291</v>
      </c>
      <c r="H450" s="7">
        <f t="shared" si="13"/>
        <v>163.8125</v>
      </c>
      <c r="I450" s="7">
        <v>26.21</v>
      </c>
    </row>
    <row r="451" spans="1:11">
      <c r="A451" t="s">
        <v>5185</v>
      </c>
      <c r="B451" s="1">
        <v>42338</v>
      </c>
      <c r="C451" t="s">
        <v>5970</v>
      </c>
      <c r="D451">
        <v>1</v>
      </c>
      <c r="E451" t="s">
        <v>3695</v>
      </c>
      <c r="F451" s="103" t="s">
        <v>3695</v>
      </c>
      <c r="G451" s="139" t="s">
        <v>7398</v>
      </c>
      <c r="H451" s="7">
        <f t="shared" si="13"/>
        <v>112.9375</v>
      </c>
      <c r="I451" s="7">
        <v>18.07</v>
      </c>
    </row>
    <row r="452" spans="1:11">
      <c r="A452" t="s">
        <v>3917</v>
      </c>
      <c r="B452" s="1">
        <v>42338</v>
      </c>
      <c r="C452" t="s">
        <v>5995</v>
      </c>
      <c r="D452">
        <v>1</v>
      </c>
      <c r="E452" t="s">
        <v>747</v>
      </c>
      <c r="F452" s="103" t="s">
        <v>747</v>
      </c>
      <c r="G452" s="139" t="s">
        <v>748</v>
      </c>
      <c r="H452" s="7">
        <f t="shared" si="13"/>
        <v>100.875</v>
      </c>
      <c r="I452" s="7">
        <v>16.14</v>
      </c>
    </row>
    <row r="454" spans="1:11">
      <c r="H454" s="8"/>
      <c r="I454" s="8"/>
    </row>
    <row r="455" spans="1:11">
      <c r="H455" s="9">
        <f>SUM(H7:H454)</f>
        <v>26365749.3125</v>
      </c>
      <c r="I455" s="9">
        <f>SUM(I7:I454)</f>
        <v>4218519.8899999978</v>
      </c>
    </row>
    <row r="456" spans="1:11">
      <c r="H456" s="10">
        <f>4647001.88-428140.82</f>
        <v>4218861.0599999996</v>
      </c>
      <c r="I456" s="10">
        <f>+H456-I455</f>
        <v>341.17000000178814</v>
      </c>
      <c r="J456" s="7" t="s">
        <v>960</v>
      </c>
    </row>
    <row r="457" spans="1:11" s="152" customFormat="1">
      <c r="A457" s="152" t="s">
        <v>1467</v>
      </c>
      <c r="B457" s="153">
        <v>42320</v>
      </c>
      <c r="C457" s="152" t="s">
        <v>6228</v>
      </c>
      <c r="D457" s="152">
        <v>1</v>
      </c>
      <c r="E457" s="152" t="s">
        <v>6229</v>
      </c>
      <c r="F457" s="168" t="s">
        <v>6246</v>
      </c>
      <c r="G457" s="168" t="s">
        <v>6229</v>
      </c>
      <c r="H457" s="154">
        <f>+I457/0.16</f>
        <v>2132.3125</v>
      </c>
      <c r="I457" s="154">
        <v>341.17</v>
      </c>
      <c r="J457" s="154" t="s">
        <v>7561</v>
      </c>
      <c r="K457" s="154"/>
    </row>
    <row r="458" spans="1:11">
      <c r="I458" s="9">
        <f>+I457+I455</f>
        <v>4218861.0599999977</v>
      </c>
    </row>
    <row r="460" spans="1:11">
      <c r="F460" s="11"/>
      <c r="J460"/>
    </row>
    <row r="461" spans="1:11">
      <c r="F461" s="12" t="s">
        <v>696</v>
      </c>
      <c r="J461"/>
    </row>
    <row r="462" spans="1:11">
      <c r="F462" s="13" t="s">
        <v>6244</v>
      </c>
      <c r="J462"/>
    </row>
    <row r="463" spans="1:11">
      <c r="F463" s="11"/>
      <c r="J463"/>
    </row>
    <row r="464" spans="1:11">
      <c r="A464" s="14"/>
      <c r="B464" s="14"/>
      <c r="C464" s="14"/>
      <c r="D464" s="14"/>
      <c r="E464" s="14"/>
      <c r="F464" s="14" t="s">
        <v>692</v>
      </c>
      <c r="G464" s="14" t="s">
        <v>693</v>
      </c>
      <c r="H464" s="15" t="s">
        <v>694</v>
      </c>
      <c r="I464" s="14" t="s">
        <v>695</v>
      </c>
      <c r="J464" s="14" t="s">
        <v>697</v>
      </c>
    </row>
    <row r="465" spans="1:9">
      <c r="A465" s="150" t="s">
        <v>7544</v>
      </c>
      <c r="B465">
        <v>85</v>
      </c>
      <c r="F465" s="103" t="s">
        <v>5996</v>
      </c>
      <c r="G465" s="139" t="s">
        <v>7498</v>
      </c>
      <c r="H465" s="7">
        <f>+I465/0.16</f>
        <v>200</v>
      </c>
      <c r="I465" s="7">
        <f>+SUMIF($F$7:$F$452,F465,$I$7:$I$452)</f>
        <v>32</v>
      </c>
    </row>
    <row r="466" spans="1:9">
      <c r="A466" s="150" t="s">
        <v>7544</v>
      </c>
      <c r="B466">
        <v>85</v>
      </c>
      <c r="F466" s="103" t="s">
        <v>1604</v>
      </c>
      <c r="G466" s="103" t="s">
        <v>1501</v>
      </c>
      <c r="H466" s="7">
        <f t="shared" ref="H466:H529" si="14">+I466/0.16</f>
        <v>2900</v>
      </c>
      <c r="I466" s="7">
        <f t="shared" ref="I466:I529" si="15">+SUMIF($F$7:$F$452,F466,$I$7:$I$452)</f>
        <v>464</v>
      </c>
    </row>
    <row r="467" spans="1:9">
      <c r="A467" s="150" t="s">
        <v>7544</v>
      </c>
      <c r="B467">
        <v>85</v>
      </c>
      <c r="F467" s="103" t="s">
        <v>6273</v>
      </c>
      <c r="G467" s="139" t="s">
        <v>7515</v>
      </c>
      <c r="H467" s="7">
        <f t="shared" si="14"/>
        <v>417.9375</v>
      </c>
      <c r="I467" s="7">
        <f t="shared" si="15"/>
        <v>66.87</v>
      </c>
    </row>
    <row r="468" spans="1:9">
      <c r="A468" s="150" t="s">
        <v>7544</v>
      </c>
      <c r="B468">
        <v>85</v>
      </c>
      <c r="F468" s="103" t="s">
        <v>5381</v>
      </c>
      <c r="G468" s="103" t="s">
        <v>6288</v>
      </c>
      <c r="H468" s="7">
        <f t="shared" si="14"/>
        <v>388.81249999999994</v>
      </c>
      <c r="I468" s="7">
        <f t="shared" si="15"/>
        <v>62.209999999999994</v>
      </c>
    </row>
    <row r="469" spans="1:9">
      <c r="A469" s="150" t="s">
        <v>7544</v>
      </c>
      <c r="B469">
        <v>85</v>
      </c>
      <c r="F469" s="104" t="s">
        <v>6246</v>
      </c>
      <c r="G469" s="104" t="s">
        <v>6229</v>
      </c>
      <c r="H469" s="7">
        <f t="shared" si="14"/>
        <v>2132.3125</v>
      </c>
      <c r="I469" s="7">
        <f t="shared" si="15"/>
        <v>341.17</v>
      </c>
    </row>
    <row r="470" spans="1:9">
      <c r="A470" s="150" t="s">
        <v>7544</v>
      </c>
      <c r="B470">
        <v>85</v>
      </c>
      <c r="F470" s="103" t="s">
        <v>6066</v>
      </c>
      <c r="G470" s="139" t="s">
        <v>7499</v>
      </c>
      <c r="H470" s="7">
        <f t="shared" si="14"/>
        <v>1027.75</v>
      </c>
      <c r="I470" s="7">
        <f t="shared" si="15"/>
        <v>164.44</v>
      </c>
    </row>
    <row r="471" spans="1:9">
      <c r="A471" s="150" t="s">
        <v>7544</v>
      </c>
      <c r="B471">
        <v>85</v>
      </c>
      <c r="F471" t="s">
        <v>5634</v>
      </c>
      <c r="G471" t="s">
        <v>6250</v>
      </c>
      <c r="H471" s="7">
        <f t="shared" si="14"/>
        <v>170465.6875</v>
      </c>
      <c r="I471" s="7">
        <f t="shared" si="15"/>
        <v>27274.51</v>
      </c>
    </row>
    <row r="472" spans="1:9">
      <c r="A472" s="150" t="s">
        <v>7544</v>
      </c>
      <c r="B472">
        <v>85</v>
      </c>
      <c r="F472" s="103" t="s">
        <v>923</v>
      </c>
      <c r="G472" s="139" t="s">
        <v>7356</v>
      </c>
      <c r="H472" s="7">
        <f t="shared" si="14"/>
        <v>1142.3124999999998</v>
      </c>
      <c r="I472" s="7">
        <f t="shared" si="15"/>
        <v>182.76999999999998</v>
      </c>
    </row>
    <row r="473" spans="1:9">
      <c r="A473" s="150" t="s">
        <v>7544</v>
      </c>
      <c r="B473">
        <v>85</v>
      </c>
      <c r="F473" s="88" t="s">
        <v>733</v>
      </c>
      <c r="G473" s="107" t="s">
        <v>734</v>
      </c>
      <c r="H473" s="7">
        <f t="shared" si="14"/>
        <v>979.37499999999989</v>
      </c>
      <c r="I473" s="7">
        <f t="shared" si="15"/>
        <v>156.69999999999999</v>
      </c>
    </row>
    <row r="474" spans="1:9">
      <c r="A474" s="150" t="s">
        <v>7544</v>
      </c>
      <c r="B474">
        <v>85</v>
      </c>
      <c r="F474" s="103" t="s">
        <v>879</v>
      </c>
      <c r="G474" s="139" t="s">
        <v>7357</v>
      </c>
      <c r="H474" s="7">
        <f t="shared" si="14"/>
        <v>671</v>
      </c>
      <c r="I474" s="7">
        <f t="shared" si="15"/>
        <v>107.36</v>
      </c>
    </row>
    <row r="475" spans="1:9">
      <c r="A475" s="150" t="s">
        <v>7544</v>
      </c>
      <c r="B475">
        <v>85</v>
      </c>
      <c r="F475" s="103" t="s">
        <v>933</v>
      </c>
      <c r="G475" s="139" t="s">
        <v>7500</v>
      </c>
      <c r="H475" s="7">
        <f t="shared" si="14"/>
        <v>341.4375</v>
      </c>
      <c r="I475" s="7">
        <f t="shared" si="15"/>
        <v>54.63</v>
      </c>
    </row>
    <row r="476" spans="1:9">
      <c r="A476" s="150" t="s">
        <v>7544</v>
      </c>
      <c r="B476">
        <v>85</v>
      </c>
      <c r="F476" s="103" t="s">
        <v>6289</v>
      </c>
      <c r="G476" s="103" t="s">
        <v>6290</v>
      </c>
      <c r="H476" s="7">
        <f t="shared" si="14"/>
        <v>635.1875</v>
      </c>
      <c r="I476" s="7">
        <f t="shared" si="15"/>
        <v>101.63</v>
      </c>
    </row>
    <row r="477" spans="1:9">
      <c r="A477" s="150" t="s">
        <v>7544</v>
      </c>
      <c r="B477">
        <v>85</v>
      </c>
      <c r="F477" t="s">
        <v>5633</v>
      </c>
      <c r="G477" t="s">
        <v>6247</v>
      </c>
      <c r="H477" s="7">
        <f t="shared" si="14"/>
        <v>218809.625</v>
      </c>
      <c r="I477" s="7">
        <f t="shared" si="15"/>
        <v>35009.54</v>
      </c>
    </row>
    <row r="478" spans="1:9">
      <c r="A478" s="150" t="s">
        <v>7544</v>
      </c>
      <c r="B478">
        <v>85</v>
      </c>
      <c r="F478" s="103" t="s">
        <v>745</v>
      </c>
      <c r="G478" s="139" t="s">
        <v>746</v>
      </c>
      <c r="H478" s="7">
        <f t="shared" si="14"/>
        <v>557.6875</v>
      </c>
      <c r="I478" s="7">
        <f t="shared" si="15"/>
        <v>89.23</v>
      </c>
    </row>
    <row r="479" spans="1:9">
      <c r="A479" s="150" t="s">
        <v>7544</v>
      </c>
      <c r="B479">
        <v>85</v>
      </c>
      <c r="F479" t="s">
        <v>1530</v>
      </c>
      <c r="G479" t="s">
        <v>6248</v>
      </c>
      <c r="H479" s="7">
        <f t="shared" si="14"/>
        <v>186526.06249999997</v>
      </c>
      <c r="I479" s="7">
        <f t="shared" si="15"/>
        <v>29844.17</v>
      </c>
    </row>
    <row r="480" spans="1:9">
      <c r="A480" s="150" t="s">
        <v>7544</v>
      </c>
      <c r="B480">
        <v>85</v>
      </c>
      <c r="F480" s="105" t="s">
        <v>702</v>
      </c>
      <c r="G480" t="s">
        <v>635</v>
      </c>
      <c r="H480" s="7">
        <f t="shared" si="14"/>
        <v>47993</v>
      </c>
      <c r="I480" s="7">
        <f t="shared" si="15"/>
        <v>7678.88</v>
      </c>
    </row>
    <row r="481" spans="1:10">
      <c r="A481" s="150" t="s">
        <v>7544</v>
      </c>
      <c r="B481">
        <v>85</v>
      </c>
      <c r="F481" t="s">
        <v>3217</v>
      </c>
      <c r="G481" t="s">
        <v>4210</v>
      </c>
      <c r="H481" s="7">
        <f t="shared" si="14"/>
        <v>550367.12499999988</v>
      </c>
      <c r="I481" s="7">
        <f t="shared" si="15"/>
        <v>88058.739999999991</v>
      </c>
    </row>
    <row r="482" spans="1:10">
      <c r="A482" s="150" t="s">
        <v>7544</v>
      </c>
      <c r="B482">
        <v>85</v>
      </c>
      <c r="F482" s="103" t="s">
        <v>714</v>
      </c>
      <c r="G482" s="144" t="s">
        <v>6291</v>
      </c>
      <c r="H482" s="7">
        <f t="shared" si="14"/>
        <v>8085.4375</v>
      </c>
      <c r="I482" s="7">
        <f t="shared" si="15"/>
        <v>1293.67</v>
      </c>
    </row>
    <row r="483" spans="1:10">
      <c r="A483" s="150" t="s">
        <v>7544</v>
      </c>
      <c r="B483">
        <v>85</v>
      </c>
      <c r="F483" s="103" t="s">
        <v>751</v>
      </c>
      <c r="G483" s="139" t="s">
        <v>7358</v>
      </c>
      <c r="H483" s="7">
        <f t="shared" si="14"/>
        <v>2619.9375000000005</v>
      </c>
      <c r="I483" s="7">
        <f t="shared" si="15"/>
        <v>419.19000000000005</v>
      </c>
    </row>
    <row r="484" spans="1:10">
      <c r="A484" s="150" t="s">
        <v>7544</v>
      </c>
      <c r="B484">
        <v>85</v>
      </c>
      <c r="F484" t="s">
        <v>2187</v>
      </c>
      <c r="G484" t="s">
        <v>3658</v>
      </c>
      <c r="H484" s="7">
        <f t="shared" si="14"/>
        <v>342346.625</v>
      </c>
      <c r="I484" s="7">
        <f t="shared" si="15"/>
        <v>54775.46</v>
      </c>
    </row>
    <row r="485" spans="1:10">
      <c r="A485" s="150" t="s">
        <v>7544</v>
      </c>
      <c r="B485">
        <v>85</v>
      </c>
      <c r="F485" s="103" t="s">
        <v>3903</v>
      </c>
      <c r="G485" s="139" t="s">
        <v>7441</v>
      </c>
      <c r="H485" s="7">
        <f t="shared" si="14"/>
        <v>66.375</v>
      </c>
      <c r="I485" s="7">
        <f t="shared" si="15"/>
        <v>10.62</v>
      </c>
    </row>
    <row r="486" spans="1:10">
      <c r="A486" s="150" t="s">
        <v>7544</v>
      </c>
      <c r="B486">
        <v>85</v>
      </c>
      <c r="F486" t="s">
        <v>698</v>
      </c>
      <c r="G486" t="s">
        <v>6245</v>
      </c>
      <c r="H486" s="7">
        <f t="shared" si="14"/>
        <v>356910.31249999994</v>
      </c>
      <c r="I486" s="7">
        <f t="shared" si="15"/>
        <v>57105.649999999994</v>
      </c>
    </row>
    <row r="487" spans="1:10">
      <c r="A487" s="150" t="s">
        <v>7544</v>
      </c>
      <c r="B487">
        <v>85</v>
      </c>
      <c r="F487" s="103" t="s">
        <v>1628</v>
      </c>
      <c r="G487" s="139" t="s">
        <v>7501</v>
      </c>
      <c r="H487" s="7">
        <f t="shared" si="14"/>
        <v>503.24999999999994</v>
      </c>
      <c r="I487" s="7">
        <f t="shared" si="15"/>
        <v>80.52</v>
      </c>
    </row>
    <row r="488" spans="1:10">
      <c r="A488" s="150" t="s">
        <v>7544</v>
      </c>
      <c r="B488">
        <v>85</v>
      </c>
      <c r="F488" s="103" t="s">
        <v>749</v>
      </c>
      <c r="G488" s="139" t="s">
        <v>7359</v>
      </c>
      <c r="H488" s="7">
        <f t="shared" si="14"/>
        <v>171.5625</v>
      </c>
      <c r="I488" s="7">
        <f t="shared" si="15"/>
        <v>27.45</v>
      </c>
    </row>
    <row r="489" spans="1:10">
      <c r="A489" s="150" t="s">
        <v>7544</v>
      </c>
      <c r="B489">
        <v>85</v>
      </c>
      <c r="F489" t="s">
        <v>2192</v>
      </c>
      <c r="G489" t="s">
        <v>6249</v>
      </c>
      <c r="H489" s="7">
        <f t="shared" si="14"/>
        <v>938419.87499999988</v>
      </c>
      <c r="I489" s="7">
        <f t="shared" si="15"/>
        <v>150147.18</v>
      </c>
    </row>
    <row r="490" spans="1:10">
      <c r="A490" s="150" t="s">
        <v>7544</v>
      </c>
      <c r="B490" s="150" t="s">
        <v>7567</v>
      </c>
      <c r="F490" s="103" t="s">
        <v>6277</v>
      </c>
      <c r="G490" s="103" t="s">
        <v>6278</v>
      </c>
      <c r="H490" s="7">
        <f t="shared" si="14"/>
        <v>4240.4375</v>
      </c>
      <c r="I490" s="7">
        <f t="shared" si="15"/>
        <v>678.47</v>
      </c>
      <c r="J490" s="7">
        <v>452.45</v>
      </c>
    </row>
    <row r="491" spans="1:10">
      <c r="A491" s="150" t="s">
        <v>7544</v>
      </c>
      <c r="B491">
        <v>85</v>
      </c>
      <c r="F491" s="103" t="s">
        <v>6276</v>
      </c>
      <c r="G491" s="139" t="s">
        <v>7517</v>
      </c>
      <c r="H491" s="7">
        <f t="shared" si="14"/>
        <v>77</v>
      </c>
      <c r="I491" s="7">
        <f t="shared" si="15"/>
        <v>12.32</v>
      </c>
    </row>
    <row r="492" spans="1:10">
      <c r="A492" s="150" t="s">
        <v>7544</v>
      </c>
      <c r="B492">
        <v>85</v>
      </c>
      <c r="F492" s="23" t="s">
        <v>737</v>
      </c>
      <c r="G492" t="s">
        <v>738</v>
      </c>
      <c r="H492" s="7">
        <f t="shared" si="14"/>
        <v>16149.375</v>
      </c>
      <c r="I492" s="7">
        <f t="shared" si="15"/>
        <v>2583.9</v>
      </c>
    </row>
    <row r="493" spans="1:10">
      <c r="A493" s="150" t="s">
        <v>7544</v>
      </c>
      <c r="B493">
        <v>85</v>
      </c>
      <c r="F493" t="s">
        <v>735</v>
      </c>
      <c r="G493" t="s">
        <v>6272</v>
      </c>
      <c r="H493" s="7">
        <f t="shared" si="14"/>
        <v>200</v>
      </c>
      <c r="I493" s="7">
        <f t="shared" si="15"/>
        <v>32</v>
      </c>
    </row>
    <row r="494" spans="1:10">
      <c r="A494" s="150" t="s">
        <v>7544</v>
      </c>
      <c r="B494">
        <v>85</v>
      </c>
      <c r="F494" s="103" t="s">
        <v>2196</v>
      </c>
      <c r="G494" s="103" t="s">
        <v>2092</v>
      </c>
      <c r="H494" s="7">
        <f t="shared" si="14"/>
        <v>6570</v>
      </c>
      <c r="I494" s="7">
        <f t="shared" si="15"/>
        <v>1051.2</v>
      </c>
    </row>
    <row r="495" spans="1:10">
      <c r="A495" s="150" t="s">
        <v>7544</v>
      </c>
      <c r="B495">
        <v>85</v>
      </c>
      <c r="F495" s="103" t="s">
        <v>2212</v>
      </c>
      <c r="G495" s="103" t="s">
        <v>6200</v>
      </c>
      <c r="H495" s="7">
        <f t="shared" si="14"/>
        <v>3785.625</v>
      </c>
      <c r="I495" s="7">
        <f t="shared" si="15"/>
        <v>605.70000000000005</v>
      </c>
    </row>
    <row r="496" spans="1:10">
      <c r="A496" s="150" t="s">
        <v>7544</v>
      </c>
      <c r="B496">
        <v>85</v>
      </c>
      <c r="F496" s="88" t="s">
        <v>741</v>
      </c>
      <c r="G496" s="45" t="s">
        <v>742</v>
      </c>
      <c r="H496" s="7">
        <f t="shared" si="14"/>
        <v>70</v>
      </c>
      <c r="I496" s="7">
        <f t="shared" si="15"/>
        <v>11.2</v>
      </c>
    </row>
    <row r="497" spans="1:10">
      <c r="A497" s="150" t="s">
        <v>7544</v>
      </c>
      <c r="B497">
        <v>85</v>
      </c>
      <c r="F497" s="88" t="s">
        <v>739</v>
      </c>
      <c r="G497" s="45" t="s">
        <v>740</v>
      </c>
      <c r="H497" s="7">
        <f t="shared" si="14"/>
        <v>12634.8125</v>
      </c>
      <c r="I497" s="7">
        <f t="shared" si="15"/>
        <v>2021.57</v>
      </c>
    </row>
    <row r="498" spans="1:10">
      <c r="A498" s="150" t="s">
        <v>7544</v>
      </c>
      <c r="B498">
        <v>85</v>
      </c>
      <c r="F498" s="88" t="s">
        <v>743</v>
      </c>
      <c r="G498" s="45" t="s">
        <v>744</v>
      </c>
      <c r="H498" s="7">
        <f t="shared" si="14"/>
        <v>65</v>
      </c>
      <c r="I498" s="7">
        <f t="shared" si="15"/>
        <v>10.4</v>
      </c>
    </row>
    <row r="499" spans="1:10">
      <c r="A499" s="150" t="s">
        <v>7544</v>
      </c>
      <c r="B499">
        <v>85</v>
      </c>
      <c r="F499" s="103" t="s">
        <v>790</v>
      </c>
      <c r="G499" s="103" t="s">
        <v>428</v>
      </c>
      <c r="H499" s="7">
        <f t="shared" si="14"/>
        <v>2148484.7500000005</v>
      </c>
      <c r="I499" s="7">
        <f t="shared" si="15"/>
        <v>343757.56000000006</v>
      </c>
    </row>
    <row r="500" spans="1:10">
      <c r="A500" s="150" t="s">
        <v>7544</v>
      </c>
      <c r="B500" s="150" t="s">
        <v>7566</v>
      </c>
      <c r="F500" s="103" t="s">
        <v>956</v>
      </c>
      <c r="G500" s="103" t="s">
        <v>957</v>
      </c>
      <c r="H500" s="7">
        <f t="shared" si="14"/>
        <v>36890.4375</v>
      </c>
      <c r="I500" s="7">
        <f t="shared" si="15"/>
        <v>5902.47</v>
      </c>
      <c r="J500" s="7">
        <v>3934.98</v>
      </c>
    </row>
    <row r="501" spans="1:10">
      <c r="A501" s="150" t="s">
        <v>7544</v>
      </c>
      <c r="B501">
        <v>85</v>
      </c>
      <c r="F501" s="103" t="s">
        <v>2761</v>
      </c>
      <c r="G501" s="139" t="s">
        <v>7502</v>
      </c>
      <c r="H501" s="7">
        <f t="shared" si="14"/>
        <v>377.625</v>
      </c>
      <c r="I501" s="7">
        <f t="shared" si="15"/>
        <v>60.42</v>
      </c>
    </row>
    <row r="502" spans="1:10">
      <c r="A502" s="150" t="s">
        <v>7544</v>
      </c>
      <c r="B502">
        <v>85</v>
      </c>
      <c r="F502" s="103" t="s">
        <v>6251</v>
      </c>
      <c r="G502" s="103" t="s">
        <v>6177</v>
      </c>
      <c r="H502" s="7">
        <f t="shared" si="14"/>
        <v>25862.0625</v>
      </c>
      <c r="I502" s="7">
        <f t="shared" si="15"/>
        <v>4137.93</v>
      </c>
    </row>
    <row r="503" spans="1:10">
      <c r="A503" s="150" t="s">
        <v>7544</v>
      </c>
      <c r="B503">
        <v>85</v>
      </c>
      <c r="F503" t="s">
        <v>724</v>
      </c>
      <c r="G503" t="s">
        <v>3664</v>
      </c>
      <c r="H503" s="7">
        <f t="shared" si="14"/>
        <v>415698.75</v>
      </c>
      <c r="I503" s="7">
        <f t="shared" si="15"/>
        <v>66511.8</v>
      </c>
    </row>
    <row r="504" spans="1:10">
      <c r="A504" s="150" t="s">
        <v>7544</v>
      </c>
      <c r="B504">
        <v>85</v>
      </c>
      <c r="F504" s="103" t="s">
        <v>895</v>
      </c>
      <c r="G504" s="139" t="s">
        <v>896</v>
      </c>
      <c r="H504" s="7">
        <f t="shared" si="14"/>
        <v>187.0625</v>
      </c>
      <c r="I504" s="7">
        <f t="shared" si="15"/>
        <v>29.93</v>
      </c>
    </row>
    <row r="505" spans="1:10">
      <c r="A505" s="150" t="s">
        <v>7544</v>
      </c>
      <c r="B505">
        <v>85</v>
      </c>
      <c r="F505" s="103" t="s">
        <v>6104</v>
      </c>
      <c r="G505" s="139" t="s">
        <v>7503</v>
      </c>
      <c r="H505" s="7">
        <f t="shared" si="14"/>
        <v>1400</v>
      </c>
      <c r="I505" s="7">
        <f t="shared" si="15"/>
        <v>224</v>
      </c>
    </row>
    <row r="506" spans="1:10">
      <c r="A506" s="150" t="s">
        <v>7544</v>
      </c>
      <c r="B506">
        <v>85</v>
      </c>
      <c r="F506" s="103" t="s">
        <v>730</v>
      </c>
      <c r="G506" s="103" t="s">
        <v>476</v>
      </c>
      <c r="H506" s="7">
        <f t="shared" si="14"/>
        <v>6706.8749999999991</v>
      </c>
      <c r="I506" s="7">
        <f t="shared" si="15"/>
        <v>1073.0999999999999</v>
      </c>
    </row>
    <row r="507" spans="1:10">
      <c r="A507" s="150" t="s">
        <v>7544</v>
      </c>
      <c r="B507">
        <v>85</v>
      </c>
      <c r="F507" s="103" t="s">
        <v>808</v>
      </c>
      <c r="G507" s="103" t="s">
        <v>489</v>
      </c>
      <c r="H507" s="7">
        <f t="shared" si="14"/>
        <v>18575.875</v>
      </c>
      <c r="I507" s="7">
        <f t="shared" si="15"/>
        <v>2972.14</v>
      </c>
    </row>
    <row r="508" spans="1:10">
      <c r="A508" s="150" t="s">
        <v>7544</v>
      </c>
      <c r="B508">
        <v>85</v>
      </c>
      <c r="F508" s="103" t="s">
        <v>3503</v>
      </c>
      <c r="G508" s="139" t="s">
        <v>950</v>
      </c>
      <c r="H508" s="7">
        <f t="shared" si="14"/>
        <v>92.25</v>
      </c>
      <c r="I508" s="7">
        <f t="shared" si="15"/>
        <v>14.76</v>
      </c>
    </row>
    <row r="509" spans="1:10">
      <c r="A509" s="150" t="s">
        <v>7544</v>
      </c>
      <c r="B509">
        <v>85</v>
      </c>
      <c r="F509" s="103" t="s">
        <v>3945</v>
      </c>
      <c r="G509" s="139" t="s">
        <v>7438</v>
      </c>
      <c r="H509" s="7">
        <f t="shared" si="14"/>
        <v>503.24999999999994</v>
      </c>
      <c r="I509" s="7">
        <f t="shared" si="15"/>
        <v>80.52</v>
      </c>
    </row>
    <row r="510" spans="1:10">
      <c r="A510" s="150" t="s">
        <v>7544</v>
      </c>
      <c r="B510">
        <v>85</v>
      </c>
      <c r="F510" s="103" t="s">
        <v>5365</v>
      </c>
      <c r="G510" t="s">
        <v>5678</v>
      </c>
      <c r="H510" s="7">
        <f t="shared" si="14"/>
        <v>454.31250000000006</v>
      </c>
      <c r="I510" s="7">
        <f t="shared" si="15"/>
        <v>72.690000000000012</v>
      </c>
    </row>
    <row r="511" spans="1:10">
      <c r="A511" s="150" t="s">
        <v>7544</v>
      </c>
      <c r="B511">
        <v>85</v>
      </c>
      <c r="F511" s="103" t="s">
        <v>6252</v>
      </c>
      <c r="G511" s="103" t="s">
        <v>6123</v>
      </c>
      <c r="H511" s="7">
        <f t="shared" si="14"/>
        <v>3103.4375</v>
      </c>
      <c r="I511" s="7">
        <f t="shared" si="15"/>
        <v>496.55</v>
      </c>
    </row>
    <row r="512" spans="1:10">
      <c r="A512" s="150" t="s">
        <v>7544</v>
      </c>
      <c r="B512">
        <v>85</v>
      </c>
      <c r="F512" s="144" t="s">
        <v>759</v>
      </c>
      <c r="G512" s="136" t="s">
        <v>3221</v>
      </c>
      <c r="H512" s="7">
        <f t="shared" si="14"/>
        <v>1711.9375000000002</v>
      </c>
      <c r="I512" s="7">
        <f t="shared" si="15"/>
        <v>273.91000000000003</v>
      </c>
    </row>
    <row r="513" spans="1:9">
      <c r="A513" s="150" t="s">
        <v>7544</v>
      </c>
      <c r="B513">
        <v>85</v>
      </c>
      <c r="F513" s="103" t="s">
        <v>6279</v>
      </c>
      <c r="G513" s="139" t="s">
        <v>7518</v>
      </c>
      <c r="H513" s="7">
        <f t="shared" si="14"/>
        <v>218.18749999999997</v>
      </c>
      <c r="I513" s="7">
        <f t="shared" si="15"/>
        <v>34.909999999999997</v>
      </c>
    </row>
    <row r="514" spans="1:9">
      <c r="A514" s="150" t="s">
        <v>7544</v>
      </c>
      <c r="B514">
        <v>85</v>
      </c>
      <c r="F514" s="144" t="s">
        <v>7531</v>
      </c>
      <c r="G514" s="136" t="s">
        <v>7532</v>
      </c>
      <c r="H514" s="7">
        <f t="shared" si="14"/>
        <v>125.81249999999999</v>
      </c>
      <c r="I514" s="7">
        <f t="shared" si="15"/>
        <v>20.13</v>
      </c>
    </row>
    <row r="515" spans="1:9">
      <c r="A515" s="150" t="s">
        <v>7544</v>
      </c>
      <c r="B515">
        <v>85</v>
      </c>
      <c r="F515" s="103" t="s">
        <v>6254</v>
      </c>
      <c r="G515" s="103" t="s">
        <v>6225</v>
      </c>
      <c r="H515" s="7">
        <f t="shared" si="14"/>
        <v>11450</v>
      </c>
      <c r="I515" s="7">
        <f t="shared" si="15"/>
        <v>1832</v>
      </c>
    </row>
    <row r="516" spans="1:9">
      <c r="A516" s="150" t="s">
        <v>7544</v>
      </c>
      <c r="B516">
        <v>85</v>
      </c>
      <c r="F516" s="103" t="s">
        <v>925</v>
      </c>
      <c r="G516" s="139" t="s">
        <v>7365</v>
      </c>
      <c r="H516" s="7">
        <f t="shared" si="14"/>
        <v>682.875</v>
      </c>
      <c r="I516" s="7">
        <f t="shared" si="15"/>
        <v>109.26</v>
      </c>
    </row>
    <row r="517" spans="1:9">
      <c r="A517" s="150" t="s">
        <v>7544</v>
      </c>
      <c r="B517">
        <v>85</v>
      </c>
      <c r="F517" s="103" t="s">
        <v>1551</v>
      </c>
      <c r="G517" s="103" t="s">
        <v>1436</v>
      </c>
      <c r="H517" s="7">
        <f t="shared" si="14"/>
        <v>5223.9999999999991</v>
      </c>
      <c r="I517" s="7">
        <f t="shared" si="15"/>
        <v>835.83999999999992</v>
      </c>
    </row>
    <row r="518" spans="1:9">
      <c r="A518" s="150" t="s">
        <v>7544</v>
      </c>
      <c r="B518">
        <v>85</v>
      </c>
      <c r="F518" t="s">
        <v>727</v>
      </c>
      <c r="G518" t="s">
        <v>6253</v>
      </c>
      <c r="H518" s="7">
        <f t="shared" si="14"/>
        <v>166577.5</v>
      </c>
      <c r="I518" s="7">
        <f t="shared" si="15"/>
        <v>26652.400000000001</v>
      </c>
    </row>
    <row r="519" spans="1:9">
      <c r="A519" s="150" t="s">
        <v>7544</v>
      </c>
      <c r="B519">
        <v>85</v>
      </c>
      <c r="F519" t="s">
        <v>791</v>
      </c>
      <c r="G519" t="s">
        <v>3222</v>
      </c>
      <c r="H519" s="7">
        <f t="shared" si="14"/>
        <v>580014.5625</v>
      </c>
      <c r="I519" s="7">
        <f t="shared" si="15"/>
        <v>92802.33</v>
      </c>
    </row>
    <row r="520" spans="1:9">
      <c r="A520" s="150" t="s">
        <v>7544</v>
      </c>
      <c r="B520">
        <v>85</v>
      </c>
      <c r="F520" t="s">
        <v>797</v>
      </c>
      <c r="G520" t="s">
        <v>3669</v>
      </c>
      <c r="H520" s="7">
        <f t="shared" si="14"/>
        <v>543129</v>
      </c>
      <c r="I520" s="7">
        <f t="shared" si="15"/>
        <v>86900.64</v>
      </c>
    </row>
    <row r="521" spans="1:9">
      <c r="A521" s="150" t="s">
        <v>7544</v>
      </c>
      <c r="B521">
        <v>85</v>
      </c>
      <c r="F521" s="103" t="s">
        <v>3477</v>
      </c>
      <c r="G521" s="139" t="s">
        <v>7366</v>
      </c>
      <c r="H521" s="7">
        <f t="shared" si="14"/>
        <v>538</v>
      </c>
      <c r="I521" s="7">
        <f t="shared" si="15"/>
        <v>86.08</v>
      </c>
    </row>
    <row r="522" spans="1:9">
      <c r="A522" s="150" t="s">
        <v>7544</v>
      </c>
      <c r="B522">
        <v>85</v>
      </c>
      <c r="F522" s="103" t="s">
        <v>1558</v>
      </c>
      <c r="G522" s="139" t="s">
        <v>7504</v>
      </c>
      <c r="H522" s="7">
        <f t="shared" si="14"/>
        <v>340.5</v>
      </c>
      <c r="I522" s="7">
        <f t="shared" si="15"/>
        <v>54.48</v>
      </c>
    </row>
    <row r="523" spans="1:9">
      <c r="A523" s="150" t="s">
        <v>7544</v>
      </c>
      <c r="B523">
        <v>85</v>
      </c>
      <c r="F523" s="103" t="s">
        <v>795</v>
      </c>
      <c r="G523" s="103" t="s">
        <v>638</v>
      </c>
      <c r="H523" s="7">
        <f t="shared" si="14"/>
        <v>129344.1875</v>
      </c>
      <c r="I523" s="7">
        <f t="shared" si="15"/>
        <v>20695.07</v>
      </c>
    </row>
    <row r="524" spans="1:9">
      <c r="A524" s="150" t="s">
        <v>7544</v>
      </c>
      <c r="B524">
        <v>85</v>
      </c>
      <c r="F524" s="103" t="s">
        <v>704</v>
      </c>
      <c r="G524" s="139" t="s">
        <v>237</v>
      </c>
      <c r="H524" s="7">
        <f t="shared" si="14"/>
        <v>646.5</v>
      </c>
      <c r="I524" s="7">
        <f t="shared" si="15"/>
        <v>103.44</v>
      </c>
    </row>
    <row r="525" spans="1:9">
      <c r="A525" s="150" t="s">
        <v>7544</v>
      </c>
      <c r="B525">
        <v>85</v>
      </c>
      <c r="F525" s="103" t="s">
        <v>2695</v>
      </c>
      <c r="G525" s="139" t="s">
        <v>7505</v>
      </c>
      <c r="H525" s="7">
        <f t="shared" si="14"/>
        <v>401.75</v>
      </c>
      <c r="I525" s="7">
        <f t="shared" si="15"/>
        <v>64.28</v>
      </c>
    </row>
    <row r="526" spans="1:9">
      <c r="A526" s="150" t="s">
        <v>7544</v>
      </c>
      <c r="B526">
        <v>85</v>
      </c>
      <c r="F526" s="103" t="s">
        <v>905</v>
      </c>
      <c r="G526" s="139" t="s">
        <v>906</v>
      </c>
      <c r="H526" s="7">
        <f t="shared" si="14"/>
        <v>1354.9375</v>
      </c>
      <c r="I526" s="7">
        <f t="shared" si="15"/>
        <v>216.79000000000002</v>
      </c>
    </row>
    <row r="527" spans="1:9">
      <c r="A527" s="150" t="s">
        <v>7544</v>
      </c>
      <c r="B527">
        <v>85</v>
      </c>
      <c r="F527" s="103" t="s">
        <v>6255</v>
      </c>
      <c r="G527" s="103" t="s">
        <v>6118</v>
      </c>
      <c r="H527" s="7">
        <f t="shared" si="14"/>
        <v>5041.375</v>
      </c>
      <c r="I527" s="7">
        <f t="shared" si="15"/>
        <v>806.62</v>
      </c>
    </row>
    <row r="528" spans="1:9">
      <c r="A528" s="150" t="s">
        <v>7544</v>
      </c>
      <c r="B528">
        <v>85</v>
      </c>
      <c r="F528" s="103" t="s">
        <v>6017</v>
      </c>
      <c r="G528" s="139" t="s">
        <v>7506</v>
      </c>
      <c r="H528" s="7">
        <f t="shared" si="14"/>
        <v>193.125</v>
      </c>
      <c r="I528" s="7">
        <f t="shared" si="15"/>
        <v>30.9</v>
      </c>
    </row>
    <row r="529" spans="1:12">
      <c r="A529" s="150" t="s">
        <v>7544</v>
      </c>
      <c r="B529">
        <v>85</v>
      </c>
      <c r="F529" s="103" t="s">
        <v>6258</v>
      </c>
      <c r="G529" s="103" t="s">
        <v>6193</v>
      </c>
      <c r="H529" s="7">
        <f t="shared" si="14"/>
        <v>1726.0000000000002</v>
      </c>
      <c r="I529" s="7">
        <f t="shared" si="15"/>
        <v>276.16000000000003</v>
      </c>
    </row>
    <row r="530" spans="1:12">
      <c r="A530" s="150" t="s">
        <v>7544</v>
      </c>
      <c r="B530">
        <v>85</v>
      </c>
      <c r="F530" s="103" t="s">
        <v>805</v>
      </c>
      <c r="G530" s="139" t="s">
        <v>2377</v>
      </c>
      <c r="H530" s="7">
        <f t="shared" ref="H530:H593" si="16">+I530/0.16</f>
        <v>625</v>
      </c>
      <c r="I530" s="7">
        <f t="shared" ref="I530:I593" si="17">+SUMIF($F$7:$F$452,F530,$I$7:$I$452)</f>
        <v>100</v>
      </c>
      <c r="J530" s="7">
        <f>12.43+12.57</f>
        <v>25</v>
      </c>
      <c r="K530" s="7">
        <f>+H530*0.04</f>
        <v>25</v>
      </c>
      <c r="L530" s="60">
        <f>+K530-J530</f>
        <v>0</v>
      </c>
    </row>
    <row r="531" spans="1:12">
      <c r="A531" s="150" t="s">
        <v>7544</v>
      </c>
      <c r="B531">
        <v>85</v>
      </c>
      <c r="F531" s="103" t="s">
        <v>5330</v>
      </c>
      <c r="G531" s="139" t="s">
        <v>5693</v>
      </c>
      <c r="H531" s="7">
        <f t="shared" si="16"/>
        <v>4792.9375000000009</v>
      </c>
      <c r="I531" s="7">
        <f t="shared" si="17"/>
        <v>766.87000000000012</v>
      </c>
    </row>
    <row r="532" spans="1:12">
      <c r="A532" s="150" t="s">
        <v>7544</v>
      </c>
      <c r="B532">
        <v>85</v>
      </c>
      <c r="F532" s="103" t="s">
        <v>1568</v>
      </c>
      <c r="G532" s="139" t="s">
        <v>7507</v>
      </c>
      <c r="H532" s="7">
        <f t="shared" si="16"/>
        <v>17.25</v>
      </c>
      <c r="I532" s="7">
        <f t="shared" si="17"/>
        <v>2.76</v>
      </c>
    </row>
    <row r="533" spans="1:12">
      <c r="A533" s="150" t="s">
        <v>7544</v>
      </c>
      <c r="B533">
        <v>85</v>
      </c>
      <c r="F533" t="s">
        <v>6256</v>
      </c>
      <c r="G533" t="s">
        <v>6257</v>
      </c>
      <c r="H533" s="7">
        <f t="shared" si="16"/>
        <v>415698.75</v>
      </c>
      <c r="I533" s="7">
        <f t="shared" si="17"/>
        <v>66511.8</v>
      </c>
    </row>
    <row r="534" spans="1:12">
      <c r="A534" s="150" t="s">
        <v>7544</v>
      </c>
      <c r="B534">
        <v>85</v>
      </c>
      <c r="F534" s="103" t="s">
        <v>6259</v>
      </c>
      <c r="G534" s="103" t="s">
        <v>6160</v>
      </c>
      <c r="H534" s="7">
        <f t="shared" si="16"/>
        <v>3200</v>
      </c>
      <c r="I534" s="7">
        <f t="shared" si="17"/>
        <v>512</v>
      </c>
    </row>
    <row r="535" spans="1:12">
      <c r="A535" s="150" t="s">
        <v>7544</v>
      </c>
      <c r="B535">
        <v>85</v>
      </c>
      <c r="F535" s="103" t="s">
        <v>1570</v>
      </c>
      <c r="G535" s="103" t="s">
        <v>1476</v>
      </c>
      <c r="H535" s="7">
        <f t="shared" si="16"/>
        <v>11898.5</v>
      </c>
      <c r="I535" s="7">
        <f t="shared" si="17"/>
        <v>1903.76</v>
      </c>
    </row>
    <row r="536" spans="1:12">
      <c r="A536" s="150" t="s">
        <v>7544</v>
      </c>
      <c r="B536">
        <v>85</v>
      </c>
      <c r="F536" s="103" t="s">
        <v>815</v>
      </c>
      <c r="G536" s="103" t="s">
        <v>446</v>
      </c>
      <c r="H536" s="7">
        <f t="shared" si="16"/>
        <v>6516.1875000000009</v>
      </c>
      <c r="I536" s="7">
        <f t="shared" si="17"/>
        <v>1042.5900000000001</v>
      </c>
    </row>
    <row r="537" spans="1:12">
      <c r="A537" s="150" t="s">
        <v>7544</v>
      </c>
      <c r="B537">
        <v>85</v>
      </c>
      <c r="F537" s="103" t="s">
        <v>5997</v>
      </c>
      <c r="G537" s="144" t="s">
        <v>7508</v>
      </c>
      <c r="H537" s="7">
        <f t="shared" si="16"/>
        <v>112.125</v>
      </c>
      <c r="I537" s="7">
        <f t="shared" si="17"/>
        <v>17.940000000000001</v>
      </c>
    </row>
    <row r="538" spans="1:12">
      <c r="A538" s="150" t="s">
        <v>7544</v>
      </c>
      <c r="B538">
        <v>85</v>
      </c>
      <c r="F538" s="103" t="s">
        <v>1571</v>
      </c>
      <c r="G538" s="139" t="s">
        <v>7510</v>
      </c>
      <c r="H538" s="7">
        <f t="shared" si="16"/>
        <v>190.4375</v>
      </c>
      <c r="I538" s="7">
        <f t="shared" si="17"/>
        <v>30.47</v>
      </c>
    </row>
    <row r="539" spans="1:12">
      <c r="A539" s="150" t="s">
        <v>7544</v>
      </c>
      <c r="B539">
        <v>85</v>
      </c>
      <c r="F539" s="103" t="s">
        <v>5981</v>
      </c>
      <c r="G539" s="139" t="s">
        <v>7509</v>
      </c>
      <c r="H539" s="7">
        <f t="shared" si="16"/>
        <v>295.6875</v>
      </c>
      <c r="I539" s="7">
        <f t="shared" si="17"/>
        <v>47.31</v>
      </c>
    </row>
    <row r="540" spans="1:12">
      <c r="A540" s="150" t="s">
        <v>7544</v>
      </c>
      <c r="B540">
        <v>85</v>
      </c>
      <c r="F540" s="144" t="s">
        <v>722</v>
      </c>
      <c r="G540" s="144" t="s">
        <v>722</v>
      </c>
      <c r="H540" s="7">
        <f t="shared" si="16"/>
        <v>3000.3125</v>
      </c>
      <c r="I540" s="7">
        <f t="shared" si="17"/>
        <v>480.05</v>
      </c>
    </row>
    <row r="541" spans="1:12">
      <c r="A541" s="150" t="s">
        <v>7544</v>
      </c>
      <c r="B541">
        <v>85</v>
      </c>
      <c r="F541" s="103" t="s">
        <v>6280</v>
      </c>
      <c r="G541" s="139" t="s">
        <v>7519</v>
      </c>
      <c r="H541" s="7">
        <f t="shared" si="16"/>
        <v>335.5</v>
      </c>
      <c r="I541" s="7">
        <f t="shared" si="17"/>
        <v>53.68</v>
      </c>
    </row>
    <row r="542" spans="1:12">
      <c r="A542" s="150" t="s">
        <v>7544</v>
      </c>
      <c r="B542">
        <v>85</v>
      </c>
      <c r="F542" s="103" t="s">
        <v>6260</v>
      </c>
      <c r="G542" s="103" t="s">
        <v>6186</v>
      </c>
      <c r="H542" s="7">
        <f t="shared" si="16"/>
        <v>5200</v>
      </c>
      <c r="I542" s="7">
        <f t="shared" si="17"/>
        <v>832</v>
      </c>
    </row>
    <row r="543" spans="1:12">
      <c r="A543" s="150" t="s">
        <v>7544</v>
      </c>
      <c r="B543">
        <v>85</v>
      </c>
      <c r="F543" s="103" t="s">
        <v>6096</v>
      </c>
      <c r="G543" s="139" t="s">
        <v>7511</v>
      </c>
      <c r="H543" s="7">
        <f t="shared" si="16"/>
        <v>335.5</v>
      </c>
      <c r="I543" s="7">
        <f t="shared" si="17"/>
        <v>53.68</v>
      </c>
    </row>
    <row r="544" spans="1:12">
      <c r="A544" s="150" t="s">
        <v>7544</v>
      </c>
      <c r="B544">
        <v>85</v>
      </c>
      <c r="F544" s="103" t="s">
        <v>6286</v>
      </c>
      <c r="G544" s="103" t="s">
        <v>6287</v>
      </c>
      <c r="H544" s="7">
        <f t="shared" si="16"/>
        <v>651.6875</v>
      </c>
      <c r="I544" s="7">
        <f t="shared" si="17"/>
        <v>104.27000000000001</v>
      </c>
    </row>
    <row r="545" spans="1:12">
      <c r="A545" s="150" t="s">
        <v>7544</v>
      </c>
      <c r="B545">
        <v>85</v>
      </c>
      <c r="F545" t="s">
        <v>813</v>
      </c>
      <c r="G545" t="s">
        <v>3675</v>
      </c>
      <c r="H545" s="7">
        <f t="shared" si="16"/>
        <v>661687.5625</v>
      </c>
      <c r="I545" s="7">
        <f t="shared" si="17"/>
        <v>105870.01</v>
      </c>
    </row>
    <row r="546" spans="1:12">
      <c r="A546" s="150" t="s">
        <v>7544</v>
      </c>
      <c r="B546">
        <v>85</v>
      </c>
      <c r="F546" s="103" t="s">
        <v>820</v>
      </c>
      <c r="G546" s="139" t="s">
        <v>7431</v>
      </c>
      <c r="H546" s="7">
        <f t="shared" si="16"/>
        <v>197.4375</v>
      </c>
      <c r="I546" s="7">
        <f t="shared" si="17"/>
        <v>31.59</v>
      </c>
    </row>
    <row r="547" spans="1:12">
      <c r="A547" s="150" t="s">
        <v>7544</v>
      </c>
      <c r="B547">
        <v>85</v>
      </c>
      <c r="F547" s="103" t="s">
        <v>840</v>
      </c>
      <c r="G547" s="139" t="s">
        <v>409</v>
      </c>
      <c r="H547" s="7">
        <f t="shared" si="16"/>
        <v>107.25</v>
      </c>
      <c r="I547" s="7">
        <f t="shared" si="17"/>
        <v>17.16</v>
      </c>
    </row>
    <row r="548" spans="1:12">
      <c r="A548" s="150" t="s">
        <v>7544</v>
      </c>
      <c r="B548">
        <v>85</v>
      </c>
      <c r="F548" s="103" t="s">
        <v>6261</v>
      </c>
      <c r="G548" s="103" t="s">
        <v>6133</v>
      </c>
      <c r="H548" s="7">
        <f t="shared" si="16"/>
        <v>6600</v>
      </c>
      <c r="I548" s="7">
        <f t="shared" si="17"/>
        <v>1056</v>
      </c>
    </row>
    <row r="549" spans="1:12">
      <c r="A549" s="150" t="s">
        <v>7544</v>
      </c>
      <c r="B549">
        <v>85</v>
      </c>
      <c r="F549" s="103" t="s">
        <v>6281</v>
      </c>
      <c r="G549" s="139" t="s">
        <v>7520</v>
      </c>
      <c r="H549" s="7">
        <f t="shared" si="16"/>
        <v>81.875</v>
      </c>
      <c r="I549" s="7">
        <f t="shared" si="17"/>
        <v>13.1</v>
      </c>
    </row>
    <row r="550" spans="1:12">
      <c r="A550" s="150" t="s">
        <v>7544</v>
      </c>
      <c r="B550">
        <v>85</v>
      </c>
      <c r="F550" s="103" t="s">
        <v>911</v>
      </c>
      <c r="G550" s="139" t="s">
        <v>912</v>
      </c>
      <c r="H550" s="7">
        <f t="shared" si="16"/>
        <v>280.1875</v>
      </c>
      <c r="I550" s="7">
        <f t="shared" si="17"/>
        <v>44.83</v>
      </c>
    </row>
    <row r="551" spans="1:12">
      <c r="A551" s="150" t="s">
        <v>7544</v>
      </c>
      <c r="B551">
        <v>85</v>
      </c>
      <c r="F551" s="103" t="s">
        <v>2209</v>
      </c>
      <c r="G551" s="103" t="s">
        <v>2139</v>
      </c>
      <c r="H551" s="7">
        <f t="shared" si="16"/>
        <v>10901.8125</v>
      </c>
      <c r="I551" s="7">
        <f t="shared" si="17"/>
        <v>1744.29</v>
      </c>
    </row>
    <row r="552" spans="1:12">
      <c r="A552" s="150" t="s">
        <v>7544</v>
      </c>
      <c r="B552">
        <v>85</v>
      </c>
      <c r="F552" s="103" t="s">
        <v>887</v>
      </c>
      <c r="G552" s="139" t="s">
        <v>888</v>
      </c>
      <c r="H552" s="7">
        <f t="shared" si="16"/>
        <v>455.31249999999994</v>
      </c>
      <c r="I552" s="7">
        <f t="shared" si="17"/>
        <v>72.849999999999994</v>
      </c>
    </row>
    <row r="553" spans="1:12">
      <c r="A553" s="150" t="s">
        <v>7544</v>
      </c>
      <c r="B553">
        <v>85</v>
      </c>
      <c r="F553" s="103" t="s">
        <v>5985</v>
      </c>
      <c r="G553" s="139" t="s">
        <v>7512</v>
      </c>
      <c r="H553" s="7">
        <f t="shared" si="16"/>
        <v>380</v>
      </c>
      <c r="I553" s="7">
        <f t="shared" si="17"/>
        <v>60.8</v>
      </c>
    </row>
    <row r="554" spans="1:12">
      <c r="A554" s="150" t="s">
        <v>7544</v>
      </c>
      <c r="B554">
        <v>85</v>
      </c>
      <c r="F554" s="103" t="s">
        <v>6057</v>
      </c>
      <c r="G554" s="139" t="s">
        <v>7513</v>
      </c>
      <c r="H554" s="7">
        <f t="shared" si="16"/>
        <v>436.125</v>
      </c>
      <c r="I554" s="7">
        <f t="shared" si="17"/>
        <v>69.78</v>
      </c>
    </row>
    <row r="555" spans="1:12">
      <c r="A555" s="150" t="s">
        <v>7544</v>
      </c>
      <c r="B555">
        <v>85</v>
      </c>
      <c r="F555" s="103" t="s">
        <v>823</v>
      </c>
      <c r="G555" s="103" t="s">
        <v>455</v>
      </c>
      <c r="H555" s="7">
        <f t="shared" si="16"/>
        <v>1875.25</v>
      </c>
      <c r="I555" s="7">
        <f t="shared" si="17"/>
        <v>300.04000000000002</v>
      </c>
    </row>
    <row r="556" spans="1:12">
      <c r="A556" s="150" t="s">
        <v>7544</v>
      </c>
      <c r="B556">
        <v>85</v>
      </c>
      <c r="F556" s="103" t="s">
        <v>1573</v>
      </c>
      <c r="G556" s="103" t="s">
        <v>1455</v>
      </c>
      <c r="H556" s="7">
        <f t="shared" si="16"/>
        <v>6250</v>
      </c>
      <c r="I556" s="7">
        <f t="shared" si="17"/>
        <v>1000</v>
      </c>
    </row>
    <row r="557" spans="1:12">
      <c r="A557" s="150" t="s">
        <v>7544</v>
      </c>
      <c r="B557">
        <v>85</v>
      </c>
      <c r="F557" s="103" t="s">
        <v>821</v>
      </c>
      <c r="G557" s="139" t="s">
        <v>5707</v>
      </c>
      <c r="H557" s="7">
        <f t="shared" si="16"/>
        <v>1672.3125</v>
      </c>
      <c r="I557" s="7">
        <f t="shared" si="17"/>
        <v>267.57</v>
      </c>
    </row>
    <row r="558" spans="1:12">
      <c r="A558" s="150" t="s">
        <v>7544</v>
      </c>
      <c r="B558">
        <v>85</v>
      </c>
      <c r="F558" s="105" t="s">
        <v>716</v>
      </c>
      <c r="G558" s="103" t="s">
        <v>717</v>
      </c>
      <c r="H558" s="7">
        <f t="shared" si="16"/>
        <v>5583.75</v>
      </c>
      <c r="I558" s="7">
        <f t="shared" si="17"/>
        <v>893.4</v>
      </c>
    </row>
    <row r="559" spans="1:12">
      <c r="A559" s="150" t="s">
        <v>7544</v>
      </c>
      <c r="B559">
        <v>85</v>
      </c>
      <c r="F559" s="103" t="s">
        <v>822</v>
      </c>
      <c r="G559" s="103" t="s">
        <v>588</v>
      </c>
      <c r="H559" s="7">
        <f t="shared" si="16"/>
        <v>636.99999999999989</v>
      </c>
      <c r="I559" s="7">
        <f t="shared" si="17"/>
        <v>101.91999999999999</v>
      </c>
      <c r="J559" s="7">
        <f>3.92*2+17.64</f>
        <v>25.48</v>
      </c>
      <c r="K559" s="7">
        <f>+H559*0.04</f>
        <v>25.479999999999997</v>
      </c>
      <c r="L559" s="60">
        <f>+K559-J559</f>
        <v>0</v>
      </c>
    </row>
    <row r="560" spans="1:12">
      <c r="A560" s="150" t="s">
        <v>7544</v>
      </c>
      <c r="B560">
        <v>85</v>
      </c>
      <c r="F560" s="103" t="s">
        <v>6015</v>
      </c>
      <c r="G560" s="144" t="s">
        <v>7514</v>
      </c>
      <c r="H560" s="7">
        <f t="shared" si="16"/>
        <v>547.4375</v>
      </c>
      <c r="I560" s="7">
        <f t="shared" si="17"/>
        <v>87.59</v>
      </c>
    </row>
    <row r="561" spans="1:10">
      <c r="A561" s="150" t="s">
        <v>7544</v>
      </c>
      <c r="B561">
        <v>85</v>
      </c>
      <c r="F561" s="103" t="s">
        <v>827</v>
      </c>
      <c r="G561" s="103" t="s">
        <v>650</v>
      </c>
      <c r="H561" s="7">
        <f t="shared" si="16"/>
        <v>2274</v>
      </c>
      <c r="I561" s="7">
        <f t="shared" si="17"/>
        <v>363.84000000000003</v>
      </c>
    </row>
    <row r="562" spans="1:10">
      <c r="A562" s="150" t="s">
        <v>7544</v>
      </c>
      <c r="B562">
        <v>85</v>
      </c>
      <c r="F562" s="103" t="s">
        <v>828</v>
      </c>
      <c r="G562" s="103" t="s">
        <v>518</v>
      </c>
      <c r="H562" s="7">
        <f t="shared" si="16"/>
        <v>3707.8125</v>
      </c>
      <c r="I562" s="7">
        <f t="shared" si="17"/>
        <v>593.25</v>
      </c>
    </row>
    <row r="563" spans="1:10">
      <c r="A563" s="150" t="s">
        <v>7544</v>
      </c>
      <c r="B563">
        <v>85</v>
      </c>
      <c r="F563" s="103" t="s">
        <v>836</v>
      </c>
      <c r="G563" s="103" t="s">
        <v>472</v>
      </c>
      <c r="H563" s="7">
        <f t="shared" si="16"/>
        <v>6430</v>
      </c>
      <c r="I563" s="7">
        <f t="shared" si="17"/>
        <v>1028.8</v>
      </c>
    </row>
    <row r="564" spans="1:10">
      <c r="A564" s="150" t="s">
        <v>7544</v>
      </c>
      <c r="B564" s="150" t="s">
        <v>7566</v>
      </c>
      <c r="F564" s="19" t="s">
        <v>829</v>
      </c>
      <c r="G564" s="103" t="s">
        <v>529</v>
      </c>
      <c r="H564" s="7">
        <f t="shared" si="16"/>
        <v>107758.625</v>
      </c>
      <c r="I564" s="7">
        <f t="shared" si="17"/>
        <v>17241.38</v>
      </c>
      <c r="J564" s="7">
        <v>14285.71</v>
      </c>
    </row>
    <row r="565" spans="1:10">
      <c r="A565" s="150" t="s">
        <v>7544</v>
      </c>
      <c r="B565">
        <v>85</v>
      </c>
      <c r="F565" s="103" t="s">
        <v>2186</v>
      </c>
      <c r="G565" s="103" t="s">
        <v>2128</v>
      </c>
      <c r="H565" s="7">
        <f t="shared" si="16"/>
        <v>7600</v>
      </c>
      <c r="I565" s="7">
        <f t="shared" si="17"/>
        <v>1216</v>
      </c>
    </row>
    <row r="566" spans="1:10">
      <c r="A566" s="150" t="s">
        <v>7544</v>
      </c>
      <c r="B566">
        <v>85</v>
      </c>
      <c r="F566" s="103" t="s">
        <v>834</v>
      </c>
      <c r="G566" s="103" t="s">
        <v>520</v>
      </c>
      <c r="H566" s="7">
        <f t="shared" si="16"/>
        <v>17880</v>
      </c>
      <c r="I566" s="7">
        <f t="shared" si="17"/>
        <v>2860.8</v>
      </c>
    </row>
    <row r="567" spans="1:10">
      <c r="A567" s="150" t="s">
        <v>7544</v>
      </c>
      <c r="B567">
        <v>85</v>
      </c>
      <c r="F567" s="103" t="s">
        <v>1589</v>
      </c>
      <c r="G567" s="103" t="s">
        <v>1341</v>
      </c>
      <c r="H567" s="7">
        <f t="shared" si="16"/>
        <v>12625.875</v>
      </c>
      <c r="I567" s="7">
        <f t="shared" si="17"/>
        <v>2020.14</v>
      </c>
    </row>
    <row r="568" spans="1:10">
      <c r="A568" s="150" t="s">
        <v>7544</v>
      </c>
      <c r="B568">
        <v>85</v>
      </c>
      <c r="F568" s="103" t="s">
        <v>6092</v>
      </c>
      <c r="G568" s="139" t="s">
        <v>7526</v>
      </c>
      <c r="H568" s="7">
        <f t="shared" si="16"/>
        <v>200</v>
      </c>
      <c r="I568" s="7">
        <f t="shared" si="17"/>
        <v>32</v>
      </c>
    </row>
    <row r="569" spans="1:10">
      <c r="A569" s="150" t="s">
        <v>7544</v>
      </c>
      <c r="B569">
        <v>85</v>
      </c>
      <c r="F569" s="103" t="s">
        <v>1636</v>
      </c>
      <c r="G569" s="139" t="s">
        <v>7527</v>
      </c>
      <c r="H569" s="7">
        <f t="shared" si="16"/>
        <v>94.8125</v>
      </c>
      <c r="I569" s="7">
        <f t="shared" si="17"/>
        <v>15.17</v>
      </c>
    </row>
    <row r="570" spans="1:10">
      <c r="A570" s="150" t="s">
        <v>7544</v>
      </c>
      <c r="B570">
        <v>85</v>
      </c>
      <c r="F570" s="103" t="s">
        <v>837</v>
      </c>
      <c r="G570" s="139" t="s">
        <v>261</v>
      </c>
      <c r="H570" s="7">
        <f t="shared" si="16"/>
        <v>520.3125</v>
      </c>
      <c r="I570" s="7">
        <f t="shared" si="17"/>
        <v>83.25</v>
      </c>
    </row>
    <row r="571" spans="1:10">
      <c r="A571" s="150" t="s">
        <v>7544</v>
      </c>
      <c r="B571">
        <v>85</v>
      </c>
      <c r="F571" s="103" t="s">
        <v>768</v>
      </c>
      <c r="G571" s="139" t="s">
        <v>7400</v>
      </c>
      <c r="H571" s="7">
        <f t="shared" si="16"/>
        <v>500.375</v>
      </c>
      <c r="I571" s="7">
        <f t="shared" si="17"/>
        <v>80.06</v>
      </c>
    </row>
    <row r="572" spans="1:10">
      <c r="A572" s="150" t="s">
        <v>7544</v>
      </c>
      <c r="B572">
        <v>85</v>
      </c>
      <c r="F572" t="s">
        <v>963</v>
      </c>
      <c r="G572" t="s">
        <v>3702</v>
      </c>
      <c r="H572" s="7">
        <f t="shared" si="16"/>
        <v>283696.5</v>
      </c>
      <c r="I572" s="7">
        <f t="shared" si="17"/>
        <v>45391.44</v>
      </c>
    </row>
    <row r="573" spans="1:10">
      <c r="A573" s="150" t="s">
        <v>7544</v>
      </c>
      <c r="B573">
        <v>85</v>
      </c>
      <c r="F573" s="103" t="s">
        <v>1528</v>
      </c>
      <c r="G573" s="103" t="s">
        <v>1514</v>
      </c>
      <c r="H573" s="7">
        <f t="shared" si="16"/>
        <v>14700</v>
      </c>
      <c r="I573" s="7">
        <f t="shared" si="17"/>
        <v>2352</v>
      </c>
    </row>
    <row r="574" spans="1:10">
      <c r="A574" s="150" t="s">
        <v>7544</v>
      </c>
      <c r="B574">
        <v>85</v>
      </c>
      <c r="F574" s="103" t="s">
        <v>843</v>
      </c>
      <c r="G574" s="103" t="s">
        <v>470</v>
      </c>
      <c r="H574" s="7">
        <f t="shared" si="16"/>
        <v>6458.75</v>
      </c>
      <c r="I574" s="7">
        <f t="shared" si="17"/>
        <v>1033.4000000000001</v>
      </c>
    </row>
    <row r="575" spans="1:10">
      <c r="A575" s="150" t="s">
        <v>7544</v>
      </c>
      <c r="B575">
        <v>85</v>
      </c>
      <c r="F575" t="s">
        <v>7533</v>
      </c>
      <c r="G575" s="136" t="s">
        <v>7534</v>
      </c>
      <c r="H575" s="7">
        <f t="shared" si="16"/>
        <v>64.625</v>
      </c>
      <c r="I575" s="7">
        <f t="shared" si="17"/>
        <v>10.34</v>
      </c>
    </row>
    <row r="576" spans="1:10">
      <c r="A576" s="150" t="s">
        <v>7544</v>
      </c>
      <c r="B576">
        <v>85</v>
      </c>
      <c r="F576" s="103" t="s">
        <v>844</v>
      </c>
      <c r="G576" s="103" t="s">
        <v>665</v>
      </c>
      <c r="H576" s="7">
        <f t="shared" si="16"/>
        <v>3100</v>
      </c>
      <c r="I576" s="7">
        <f t="shared" si="17"/>
        <v>496</v>
      </c>
    </row>
    <row r="577" spans="1:10">
      <c r="A577" s="150" t="s">
        <v>7544</v>
      </c>
      <c r="B577">
        <v>85</v>
      </c>
      <c r="F577" s="103" t="s">
        <v>6266</v>
      </c>
      <c r="G577" s="103" t="s">
        <v>6167</v>
      </c>
      <c r="H577" s="7">
        <f t="shared" si="16"/>
        <v>9500</v>
      </c>
      <c r="I577" s="7">
        <f t="shared" si="17"/>
        <v>1520</v>
      </c>
    </row>
    <row r="578" spans="1:10">
      <c r="A578" s="150" t="s">
        <v>7544</v>
      </c>
      <c r="B578" s="150" t="s">
        <v>7566</v>
      </c>
      <c r="F578" s="19" t="s">
        <v>845</v>
      </c>
      <c r="G578" s="103" t="s">
        <v>532</v>
      </c>
      <c r="H578" s="7">
        <f t="shared" si="16"/>
        <v>107758.625</v>
      </c>
      <c r="I578" s="7">
        <f t="shared" si="17"/>
        <v>17241.38</v>
      </c>
      <c r="J578" s="7">
        <v>14285.71</v>
      </c>
    </row>
    <row r="579" spans="1:10">
      <c r="A579" s="150" t="s">
        <v>7544</v>
      </c>
      <c r="B579">
        <v>85</v>
      </c>
      <c r="F579" s="103" t="s">
        <v>6262</v>
      </c>
      <c r="G579" s="103" t="s">
        <v>6172</v>
      </c>
      <c r="H579" s="7">
        <f t="shared" si="16"/>
        <v>274.5</v>
      </c>
      <c r="I579" s="7">
        <f t="shared" si="17"/>
        <v>43.92</v>
      </c>
    </row>
    <row r="580" spans="1:10">
      <c r="A580" s="150" t="s">
        <v>7544</v>
      </c>
      <c r="B580">
        <v>85</v>
      </c>
      <c r="F580" s="103" t="s">
        <v>847</v>
      </c>
      <c r="G580" s="139" t="s">
        <v>7402</v>
      </c>
      <c r="H580" s="7">
        <f t="shared" si="16"/>
        <v>196.93749999999997</v>
      </c>
      <c r="I580" s="7">
        <f t="shared" si="17"/>
        <v>31.509999999999998</v>
      </c>
    </row>
    <row r="581" spans="1:10">
      <c r="A581" s="150" t="s">
        <v>7544</v>
      </c>
      <c r="B581">
        <v>85</v>
      </c>
      <c r="F581" t="s">
        <v>965</v>
      </c>
      <c r="G581" t="s">
        <v>6264</v>
      </c>
      <c r="H581" s="7">
        <f t="shared" si="16"/>
        <v>169155.375</v>
      </c>
      <c r="I581" s="7">
        <f t="shared" si="17"/>
        <v>27064.86</v>
      </c>
    </row>
    <row r="582" spans="1:10">
      <c r="A582" s="150" t="s">
        <v>7544</v>
      </c>
      <c r="B582">
        <v>85</v>
      </c>
      <c r="F582" s="105" t="s">
        <v>849</v>
      </c>
      <c r="G582" s="105" t="s">
        <v>6263</v>
      </c>
      <c r="H582" s="7">
        <f t="shared" si="16"/>
        <v>683093.56250000012</v>
      </c>
      <c r="I582" s="7">
        <f t="shared" si="17"/>
        <v>109294.97000000002</v>
      </c>
    </row>
    <row r="583" spans="1:10">
      <c r="A583" s="150" t="s">
        <v>7544</v>
      </c>
      <c r="B583">
        <v>85</v>
      </c>
      <c r="F583" s="105" t="s">
        <v>3689</v>
      </c>
      <c r="G583" s="103" t="s">
        <v>6294</v>
      </c>
      <c r="H583" s="7">
        <f t="shared" si="16"/>
        <v>112.0625</v>
      </c>
      <c r="I583" s="7">
        <f t="shared" si="17"/>
        <v>17.93</v>
      </c>
    </row>
    <row r="584" spans="1:10">
      <c r="A584" s="150" t="s">
        <v>7544</v>
      </c>
      <c r="B584">
        <v>85</v>
      </c>
      <c r="F584" s="103" t="s">
        <v>769</v>
      </c>
      <c r="G584" s="139" t="s">
        <v>3707</v>
      </c>
      <c r="H584" s="7">
        <f t="shared" si="16"/>
        <v>9793.5</v>
      </c>
      <c r="I584" s="7">
        <f t="shared" si="17"/>
        <v>1566.96</v>
      </c>
    </row>
    <row r="585" spans="1:10">
      <c r="A585" s="150" t="s">
        <v>7544</v>
      </c>
      <c r="B585">
        <v>85</v>
      </c>
      <c r="F585" s="105" t="s">
        <v>2738</v>
      </c>
      <c r="G585" s="103" t="s">
        <v>2739</v>
      </c>
      <c r="H585" s="7">
        <f t="shared" si="16"/>
        <v>64.625</v>
      </c>
      <c r="I585" s="7">
        <f t="shared" si="17"/>
        <v>10.34</v>
      </c>
    </row>
    <row r="586" spans="1:10">
      <c r="A586" s="150" t="s">
        <v>7544</v>
      </c>
      <c r="B586">
        <v>85</v>
      </c>
      <c r="F586" s="103" t="s">
        <v>4936</v>
      </c>
      <c r="G586" s="103" t="s">
        <v>4484</v>
      </c>
      <c r="H586" s="7">
        <f t="shared" si="16"/>
        <v>6260</v>
      </c>
      <c r="I586" s="7">
        <f t="shared" si="17"/>
        <v>1001.6</v>
      </c>
    </row>
    <row r="587" spans="1:10">
      <c r="A587" s="150" t="s">
        <v>7544</v>
      </c>
      <c r="B587">
        <v>85</v>
      </c>
      <c r="F587" s="103" t="s">
        <v>3690</v>
      </c>
      <c r="G587" s="139" t="s">
        <v>7390</v>
      </c>
      <c r="H587" s="7">
        <f t="shared" si="16"/>
        <v>887.8125</v>
      </c>
      <c r="I587" s="7">
        <f t="shared" si="17"/>
        <v>142.05000000000001</v>
      </c>
    </row>
    <row r="588" spans="1:10">
      <c r="A588" s="150" t="s">
        <v>7544</v>
      </c>
      <c r="B588">
        <v>85</v>
      </c>
      <c r="F588" s="103" t="s">
        <v>5998</v>
      </c>
      <c r="G588" s="139" t="s">
        <v>7521</v>
      </c>
      <c r="H588" s="7">
        <f t="shared" si="16"/>
        <v>1283.3749999999998</v>
      </c>
      <c r="I588" s="7">
        <f t="shared" si="17"/>
        <v>205.33999999999997</v>
      </c>
    </row>
    <row r="589" spans="1:10">
      <c r="A589" s="150" t="s">
        <v>7544</v>
      </c>
      <c r="B589">
        <v>85</v>
      </c>
      <c r="F589" s="103" t="s">
        <v>915</v>
      </c>
      <c r="G589" s="139" t="s">
        <v>7403</v>
      </c>
      <c r="H589" s="7">
        <f t="shared" si="16"/>
        <v>662.9375</v>
      </c>
      <c r="I589" s="7">
        <f t="shared" si="17"/>
        <v>106.07</v>
      </c>
    </row>
    <row r="590" spans="1:10">
      <c r="A590" s="150" t="s">
        <v>7544</v>
      </c>
      <c r="B590">
        <v>85</v>
      </c>
      <c r="F590" s="103" t="s">
        <v>848</v>
      </c>
      <c r="G590" s="103" t="s">
        <v>449</v>
      </c>
      <c r="H590" s="7">
        <f t="shared" si="16"/>
        <v>33537</v>
      </c>
      <c r="I590" s="7">
        <f t="shared" si="17"/>
        <v>5365.92</v>
      </c>
    </row>
    <row r="591" spans="1:10">
      <c r="A591" s="150" t="s">
        <v>7544</v>
      </c>
      <c r="B591">
        <v>85</v>
      </c>
      <c r="F591" s="103" t="s">
        <v>6295</v>
      </c>
      <c r="G591" s="103" t="s">
        <v>6296</v>
      </c>
      <c r="H591" s="7">
        <f t="shared" si="16"/>
        <v>5619</v>
      </c>
      <c r="I591" s="7">
        <f t="shared" si="17"/>
        <v>899.04</v>
      </c>
    </row>
    <row r="592" spans="1:10">
      <c r="A592" s="150" t="s">
        <v>7544</v>
      </c>
      <c r="B592">
        <v>85</v>
      </c>
      <c r="F592" s="103" t="s">
        <v>4072</v>
      </c>
      <c r="G592" s="139" t="s">
        <v>7423</v>
      </c>
      <c r="H592" s="7">
        <f t="shared" si="16"/>
        <v>70</v>
      </c>
      <c r="I592" s="7">
        <f t="shared" si="17"/>
        <v>11.2</v>
      </c>
    </row>
    <row r="593" spans="1:9">
      <c r="A593" s="150" t="s">
        <v>7544</v>
      </c>
      <c r="B593">
        <v>85</v>
      </c>
      <c r="F593" s="103" t="s">
        <v>6282</v>
      </c>
      <c r="G593" s="144" t="s">
        <v>7530</v>
      </c>
      <c r="H593" s="7">
        <f t="shared" si="16"/>
        <v>259.8125</v>
      </c>
      <c r="I593" s="7">
        <f t="shared" si="17"/>
        <v>41.57</v>
      </c>
    </row>
    <row r="594" spans="1:9">
      <c r="A594" s="150" t="s">
        <v>7544</v>
      </c>
      <c r="B594">
        <v>85</v>
      </c>
      <c r="F594" t="s">
        <v>854</v>
      </c>
      <c r="G594" t="s">
        <v>6265</v>
      </c>
      <c r="H594" s="7">
        <f t="shared" ref="H594:H637" si="18">+I594/0.16</f>
        <v>149613.6875</v>
      </c>
      <c r="I594" s="7">
        <f t="shared" ref="I594:I637" si="19">+SUMIF($F$7:$F$452,F594,$I$7:$I$452)</f>
        <v>23938.19</v>
      </c>
    </row>
    <row r="595" spans="1:9">
      <c r="A595" s="150" t="s">
        <v>7544</v>
      </c>
      <c r="B595">
        <v>85</v>
      </c>
      <c r="F595" s="103" t="s">
        <v>5643</v>
      </c>
      <c r="G595" s="103" t="s">
        <v>5644</v>
      </c>
      <c r="H595" s="7">
        <f t="shared" si="18"/>
        <v>2524.125</v>
      </c>
      <c r="I595" s="7">
        <f t="shared" si="19"/>
        <v>403.86</v>
      </c>
    </row>
    <row r="596" spans="1:9">
      <c r="A596" s="150" t="s">
        <v>7544</v>
      </c>
      <c r="B596">
        <v>85</v>
      </c>
      <c r="F596" s="103" t="s">
        <v>5377</v>
      </c>
      <c r="G596" s="139" t="s">
        <v>7522</v>
      </c>
      <c r="H596" s="7">
        <f t="shared" si="18"/>
        <v>997.37500000000011</v>
      </c>
      <c r="I596" s="7">
        <f t="shared" si="19"/>
        <v>159.58000000000001</v>
      </c>
    </row>
    <row r="597" spans="1:9">
      <c r="A597" s="150" t="s">
        <v>7544</v>
      </c>
      <c r="B597">
        <v>85</v>
      </c>
      <c r="F597" s="103" t="s">
        <v>860</v>
      </c>
      <c r="G597" s="103" t="s">
        <v>474</v>
      </c>
      <c r="H597" s="7">
        <f t="shared" si="18"/>
        <v>3300</v>
      </c>
      <c r="I597" s="7">
        <f t="shared" si="19"/>
        <v>528</v>
      </c>
    </row>
    <row r="598" spans="1:9">
      <c r="A598" s="150" t="s">
        <v>7544</v>
      </c>
      <c r="B598">
        <v>85</v>
      </c>
      <c r="F598" s="103" t="s">
        <v>857</v>
      </c>
      <c r="G598" s="139" t="s">
        <v>315</v>
      </c>
      <c r="H598" s="7">
        <f t="shared" si="18"/>
        <v>182.3125</v>
      </c>
      <c r="I598" s="7">
        <f t="shared" si="19"/>
        <v>29.17</v>
      </c>
    </row>
    <row r="599" spans="1:9">
      <c r="A599" s="150" t="s">
        <v>7544</v>
      </c>
      <c r="B599">
        <v>85</v>
      </c>
      <c r="F599" s="103" t="s">
        <v>858</v>
      </c>
      <c r="G599" s="103" t="s">
        <v>457</v>
      </c>
      <c r="H599" s="7">
        <f t="shared" si="18"/>
        <v>18228</v>
      </c>
      <c r="I599" s="7">
        <f t="shared" si="19"/>
        <v>2916.48</v>
      </c>
    </row>
    <row r="600" spans="1:9">
      <c r="A600" s="150" t="s">
        <v>7544</v>
      </c>
      <c r="B600">
        <v>85</v>
      </c>
      <c r="F600" s="103" t="s">
        <v>929</v>
      </c>
      <c r="G600" s="139" t="s">
        <v>4038</v>
      </c>
      <c r="H600" s="7">
        <f t="shared" si="18"/>
        <v>69</v>
      </c>
      <c r="I600" s="7">
        <f t="shared" si="19"/>
        <v>11.04</v>
      </c>
    </row>
    <row r="601" spans="1:9">
      <c r="A601" s="150" t="s">
        <v>7544</v>
      </c>
      <c r="B601">
        <v>85</v>
      </c>
      <c r="F601" s="105" t="s">
        <v>4938</v>
      </c>
      <c r="G601" s="103" t="s">
        <v>4554</v>
      </c>
      <c r="H601" s="7">
        <f t="shared" si="18"/>
        <v>1050</v>
      </c>
      <c r="I601" s="7">
        <f t="shared" si="19"/>
        <v>168</v>
      </c>
    </row>
    <row r="602" spans="1:9">
      <c r="A602" s="150" t="s">
        <v>7544</v>
      </c>
      <c r="B602">
        <v>85</v>
      </c>
      <c r="F602" s="103" t="s">
        <v>1648</v>
      </c>
      <c r="G602" s="103" t="s">
        <v>1649</v>
      </c>
      <c r="H602" s="7">
        <f t="shared" si="18"/>
        <v>2966.375</v>
      </c>
      <c r="I602" s="7">
        <f t="shared" si="19"/>
        <v>474.62</v>
      </c>
    </row>
    <row r="603" spans="1:9">
      <c r="A603" s="150" t="s">
        <v>7544</v>
      </c>
      <c r="B603">
        <v>85</v>
      </c>
      <c r="F603" s="103" t="s">
        <v>5655</v>
      </c>
      <c r="G603" s="139" t="s">
        <v>7523</v>
      </c>
      <c r="H603" s="7">
        <f t="shared" si="18"/>
        <v>671</v>
      </c>
      <c r="I603" s="7">
        <f t="shared" si="19"/>
        <v>107.36</v>
      </c>
    </row>
    <row r="604" spans="1:9">
      <c r="A604" s="150" t="s">
        <v>7544</v>
      </c>
      <c r="B604">
        <v>85</v>
      </c>
      <c r="F604" s="103" t="s">
        <v>2701</v>
      </c>
      <c r="G604" s="103" t="s">
        <v>2660</v>
      </c>
      <c r="H604" s="7">
        <f t="shared" si="18"/>
        <v>1764.5</v>
      </c>
      <c r="I604" s="7">
        <f t="shared" si="19"/>
        <v>282.32</v>
      </c>
    </row>
    <row r="605" spans="1:9">
      <c r="A605" s="150" t="s">
        <v>7544</v>
      </c>
      <c r="B605">
        <v>85</v>
      </c>
      <c r="F605" s="103" t="s">
        <v>863</v>
      </c>
      <c r="G605" s="103" t="s">
        <v>967</v>
      </c>
      <c r="H605" s="7">
        <f t="shared" si="18"/>
        <v>81616.0625</v>
      </c>
      <c r="I605" s="7">
        <f t="shared" si="19"/>
        <v>13058.57</v>
      </c>
    </row>
    <row r="606" spans="1:9">
      <c r="A606" s="150" t="s">
        <v>7544</v>
      </c>
      <c r="B606">
        <v>85</v>
      </c>
      <c r="F606" s="103" t="s">
        <v>6013</v>
      </c>
      <c r="G606" s="139" t="s">
        <v>7486</v>
      </c>
      <c r="H606" s="7">
        <f t="shared" si="18"/>
        <v>682.9375</v>
      </c>
      <c r="I606" s="7">
        <f t="shared" si="19"/>
        <v>109.27</v>
      </c>
    </row>
    <row r="607" spans="1:9">
      <c r="A607" s="150" t="s">
        <v>7544</v>
      </c>
      <c r="B607">
        <v>85</v>
      </c>
      <c r="F607" s="103" t="s">
        <v>1617</v>
      </c>
      <c r="G607" s="139" t="s">
        <v>1618</v>
      </c>
      <c r="H607" s="7">
        <f t="shared" si="18"/>
        <v>142.625</v>
      </c>
      <c r="I607" s="7">
        <f t="shared" si="19"/>
        <v>22.82</v>
      </c>
    </row>
    <row r="608" spans="1:9">
      <c r="A608" s="150" t="s">
        <v>7544</v>
      </c>
      <c r="B608">
        <v>85</v>
      </c>
      <c r="F608" s="103" t="s">
        <v>6267</v>
      </c>
      <c r="G608" s="103" t="s">
        <v>6127</v>
      </c>
      <c r="H608" s="7">
        <f t="shared" si="18"/>
        <v>2392.25</v>
      </c>
      <c r="I608" s="7">
        <f t="shared" si="19"/>
        <v>382.76</v>
      </c>
    </row>
    <row r="609" spans="1:9">
      <c r="A609" s="150" t="s">
        <v>7544</v>
      </c>
      <c r="B609">
        <v>85</v>
      </c>
      <c r="F609" s="103" t="s">
        <v>883</v>
      </c>
      <c r="G609" s="139" t="s">
        <v>884</v>
      </c>
      <c r="H609" s="7">
        <f t="shared" si="18"/>
        <v>493.18749999999994</v>
      </c>
      <c r="I609" s="7">
        <f t="shared" si="19"/>
        <v>78.91</v>
      </c>
    </row>
    <row r="610" spans="1:9">
      <c r="A610" s="150" t="s">
        <v>7544</v>
      </c>
      <c r="B610">
        <v>85</v>
      </c>
      <c r="F610" s="103" t="s">
        <v>2233</v>
      </c>
      <c r="G610" s="139" t="s">
        <v>7473</v>
      </c>
      <c r="H610" s="7">
        <f t="shared" si="18"/>
        <v>377.4375</v>
      </c>
      <c r="I610" s="7">
        <f t="shared" si="19"/>
        <v>60.39</v>
      </c>
    </row>
    <row r="611" spans="1:9">
      <c r="A611" s="150" t="s">
        <v>7544</v>
      </c>
      <c r="B611">
        <v>85</v>
      </c>
      <c r="F611" s="103" t="s">
        <v>2711</v>
      </c>
      <c r="G611" s="139" t="s">
        <v>2712</v>
      </c>
      <c r="H611" s="7">
        <f t="shared" si="18"/>
        <v>86.187499999999986</v>
      </c>
      <c r="I611" s="7">
        <f t="shared" si="19"/>
        <v>13.79</v>
      </c>
    </row>
    <row r="612" spans="1:9">
      <c r="A612" s="150" t="s">
        <v>7544</v>
      </c>
      <c r="B612">
        <v>85</v>
      </c>
      <c r="F612" t="s">
        <v>1600</v>
      </c>
      <c r="G612" t="s">
        <v>6283</v>
      </c>
      <c r="H612" s="7">
        <f t="shared" si="18"/>
        <v>349585.0625</v>
      </c>
      <c r="I612" s="7">
        <f t="shared" si="19"/>
        <v>55933.61</v>
      </c>
    </row>
    <row r="613" spans="1:9">
      <c r="A613" s="150" t="s">
        <v>7544</v>
      </c>
      <c r="B613">
        <v>85</v>
      </c>
      <c r="F613" s="103" t="s">
        <v>3709</v>
      </c>
      <c r="G613" s="103" t="s">
        <v>3613</v>
      </c>
      <c r="H613" s="7">
        <f t="shared" si="18"/>
        <v>853.56249999999989</v>
      </c>
      <c r="I613" s="7">
        <f t="shared" si="19"/>
        <v>136.57</v>
      </c>
    </row>
    <row r="614" spans="1:9">
      <c r="A614" s="150" t="s">
        <v>7544</v>
      </c>
      <c r="B614">
        <v>85</v>
      </c>
      <c r="F614" s="103" t="s">
        <v>6284</v>
      </c>
      <c r="G614" s="139" t="s">
        <v>7524</v>
      </c>
      <c r="H614" s="7">
        <f t="shared" si="18"/>
        <v>773.6875</v>
      </c>
      <c r="I614" s="7">
        <f t="shared" si="19"/>
        <v>123.79</v>
      </c>
    </row>
    <row r="615" spans="1:9">
      <c r="A615" s="150" t="s">
        <v>7544</v>
      </c>
      <c r="B615">
        <v>85</v>
      </c>
      <c r="F615" s="103" t="s">
        <v>1547</v>
      </c>
      <c r="G615" s="139" t="s">
        <v>1548</v>
      </c>
      <c r="H615" s="7">
        <f t="shared" si="18"/>
        <v>381.25</v>
      </c>
      <c r="I615" s="7">
        <f t="shared" si="19"/>
        <v>61</v>
      </c>
    </row>
    <row r="616" spans="1:9">
      <c r="A616" s="150" t="s">
        <v>7544</v>
      </c>
      <c r="B616">
        <v>85</v>
      </c>
      <c r="F616" s="103" t="s">
        <v>921</v>
      </c>
      <c r="G616" s="139" t="s">
        <v>7407</v>
      </c>
      <c r="H616" s="7">
        <f t="shared" si="18"/>
        <v>293.5625</v>
      </c>
      <c r="I616" s="7">
        <f t="shared" si="19"/>
        <v>46.97</v>
      </c>
    </row>
    <row r="617" spans="1:9">
      <c r="A617" s="150" t="s">
        <v>7544</v>
      </c>
      <c r="B617">
        <v>85</v>
      </c>
      <c r="F617" s="103" t="s">
        <v>780</v>
      </c>
      <c r="G617" s="139" t="s">
        <v>7408</v>
      </c>
      <c r="H617" s="7">
        <f t="shared" si="18"/>
        <v>1343.8749999999998</v>
      </c>
      <c r="I617" s="7">
        <f t="shared" si="19"/>
        <v>215.01999999999998</v>
      </c>
    </row>
    <row r="618" spans="1:9">
      <c r="A618" s="150" t="s">
        <v>7544</v>
      </c>
      <c r="B618">
        <v>85</v>
      </c>
      <c r="F618" s="103" t="s">
        <v>6285</v>
      </c>
      <c r="G618" s="139" t="s">
        <v>7525</v>
      </c>
      <c r="H618" s="7">
        <f t="shared" si="18"/>
        <v>75.875</v>
      </c>
      <c r="I618" s="7">
        <f t="shared" si="19"/>
        <v>12.14</v>
      </c>
    </row>
    <row r="619" spans="1:9">
      <c r="A619" s="150" t="s">
        <v>7544</v>
      </c>
      <c r="B619">
        <v>85</v>
      </c>
      <c r="F619" s="103" t="s">
        <v>5999</v>
      </c>
      <c r="G619" s="139" t="s">
        <v>7528</v>
      </c>
      <c r="H619" s="7">
        <f t="shared" si="18"/>
        <v>853.62500000000011</v>
      </c>
      <c r="I619" s="7">
        <f t="shared" si="19"/>
        <v>136.58000000000001</v>
      </c>
    </row>
    <row r="620" spans="1:9">
      <c r="A620" s="150" t="s">
        <v>7544</v>
      </c>
      <c r="B620">
        <v>85</v>
      </c>
      <c r="F620" s="103" t="s">
        <v>6094</v>
      </c>
      <c r="G620" s="139" t="s">
        <v>7529</v>
      </c>
      <c r="H620" s="7">
        <f t="shared" si="18"/>
        <v>720.625</v>
      </c>
      <c r="I620" s="7">
        <f t="shared" si="19"/>
        <v>115.3</v>
      </c>
    </row>
    <row r="621" spans="1:9">
      <c r="A621" s="150" t="s">
        <v>7544</v>
      </c>
      <c r="B621">
        <v>85</v>
      </c>
      <c r="F621" s="103" t="s">
        <v>5280</v>
      </c>
      <c r="G621" s="139" t="s">
        <v>5755</v>
      </c>
      <c r="H621" s="7">
        <f t="shared" si="18"/>
        <v>71.9375</v>
      </c>
      <c r="I621" s="7">
        <f t="shared" si="19"/>
        <v>11.51</v>
      </c>
    </row>
    <row r="622" spans="1:9">
      <c r="A622" s="150" t="s">
        <v>7544</v>
      </c>
      <c r="B622">
        <v>85</v>
      </c>
      <c r="F622" s="136" t="s">
        <v>799</v>
      </c>
      <c r="G622" s="136" t="s">
        <v>1361</v>
      </c>
      <c r="H622" s="7">
        <f t="shared" si="18"/>
        <v>1275966.125</v>
      </c>
      <c r="I622" s="7">
        <f t="shared" si="19"/>
        <v>204154.58</v>
      </c>
    </row>
    <row r="623" spans="1:9">
      <c r="A623" s="150" t="s">
        <v>7544</v>
      </c>
      <c r="B623">
        <v>85</v>
      </c>
      <c r="F623" t="s">
        <v>873</v>
      </c>
      <c r="G623" t="s">
        <v>6269</v>
      </c>
      <c r="H623" s="7">
        <f t="shared" si="18"/>
        <v>675328.4375</v>
      </c>
      <c r="I623" s="7">
        <f t="shared" si="19"/>
        <v>108052.55</v>
      </c>
    </row>
    <row r="624" spans="1:9">
      <c r="A624" s="150" t="s">
        <v>7544</v>
      </c>
      <c r="B624">
        <v>85</v>
      </c>
      <c r="F624" s="103" t="s">
        <v>868</v>
      </c>
      <c r="G624" s="103" t="s">
        <v>436</v>
      </c>
      <c r="H624" s="7">
        <f t="shared" si="18"/>
        <v>17334</v>
      </c>
      <c r="I624" s="7">
        <f t="shared" si="19"/>
        <v>2773.44</v>
      </c>
    </row>
    <row r="625" spans="1:12">
      <c r="A625" s="150" t="s">
        <v>7544</v>
      </c>
      <c r="B625">
        <v>85</v>
      </c>
      <c r="F625" s="94" t="s">
        <v>2751</v>
      </c>
      <c r="G625" s="94" t="s">
        <v>5728</v>
      </c>
      <c r="H625" s="7">
        <f t="shared" si="18"/>
        <v>12566387.687499994</v>
      </c>
      <c r="I625" s="7">
        <f t="shared" si="19"/>
        <v>2010622.0299999991</v>
      </c>
    </row>
    <row r="626" spans="1:12">
      <c r="A626" s="150" t="s">
        <v>7544</v>
      </c>
      <c r="B626">
        <v>85</v>
      </c>
      <c r="F626" s="103" t="s">
        <v>6268</v>
      </c>
      <c r="G626" s="103" t="s">
        <v>6191</v>
      </c>
      <c r="H626" s="7">
        <f t="shared" si="18"/>
        <v>1650</v>
      </c>
      <c r="I626" s="7">
        <f t="shared" si="19"/>
        <v>264</v>
      </c>
    </row>
    <row r="627" spans="1:12">
      <c r="A627" s="150" t="s">
        <v>7544</v>
      </c>
      <c r="B627">
        <v>85</v>
      </c>
      <c r="F627" s="105" t="s">
        <v>6292</v>
      </c>
      <c r="G627" s="103" t="s">
        <v>6293</v>
      </c>
      <c r="H627" s="7">
        <f t="shared" si="18"/>
        <v>101.6875</v>
      </c>
      <c r="I627" s="7">
        <f t="shared" si="19"/>
        <v>16.27</v>
      </c>
    </row>
    <row r="628" spans="1:12">
      <c r="A628" s="150" t="s">
        <v>7544</v>
      </c>
      <c r="B628">
        <v>85</v>
      </c>
      <c r="F628" s="105" t="s">
        <v>871</v>
      </c>
      <c r="G628" s="103" t="s">
        <v>872</v>
      </c>
      <c r="H628" s="7">
        <f t="shared" si="18"/>
        <v>413210.49999999994</v>
      </c>
      <c r="I628" s="7">
        <f t="shared" si="19"/>
        <v>66113.679999999993</v>
      </c>
    </row>
    <row r="629" spans="1:12">
      <c r="A629" s="150" t="s">
        <v>7544</v>
      </c>
      <c r="B629">
        <v>85</v>
      </c>
      <c r="F629" s="103" t="s">
        <v>1606</v>
      </c>
      <c r="G629" s="103" t="s">
        <v>3693</v>
      </c>
      <c r="H629" s="7">
        <f t="shared" si="18"/>
        <v>544320.5</v>
      </c>
      <c r="I629" s="7">
        <f t="shared" si="19"/>
        <v>87091.28</v>
      </c>
    </row>
    <row r="630" spans="1:12">
      <c r="A630" s="150" t="s">
        <v>7544</v>
      </c>
      <c r="B630">
        <v>85</v>
      </c>
      <c r="F630" s="103" t="s">
        <v>878</v>
      </c>
      <c r="G630" s="139" t="s">
        <v>7410</v>
      </c>
      <c r="H630" s="7">
        <f t="shared" si="18"/>
        <v>760</v>
      </c>
      <c r="I630" s="7">
        <f t="shared" si="19"/>
        <v>121.6</v>
      </c>
    </row>
    <row r="631" spans="1:12">
      <c r="A631" s="150" t="s">
        <v>7544</v>
      </c>
      <c r="B631">
        <v>85</v>
      </c>
      <c r="F631" s="103" t="s">
        <v>935</v>
      </c>
      <c r="G631" s="139" t="s">
        <v>936</v>
      </c>
      <c r="H631" s="7">
        <f t="shared" si="18"/>
        <v>172.37499999999997</v>
      </c>
      <c r="I631" s="7">
        <f t="shared" si="19"/>
        <v>27.58</v>
      </c>
    </row>
    <row r="632" spans="1:12">
      <c r="A632" s="150" t="s">
        <v>7544</v>
      </c>
      <c r="B632">
        <v>85</v>
      </c>
      <c r="F632" t="s">
        <v>1643</v>
      </c>
      <c r="G632" t="s">
        <v>3713</v>
      </c>
      <c r="H632" s="7">
        <f t="shared" si="18"/>
        <v>429033.5</v>
      </c>
      <c r="I632" s="7">
        <f t="shared" si="19"/>
        <v>68645.36</v>
      </c>
    </row>
    <row r="633" spans="1:12">
      <c r="A633" s="150" t="s">
        <v>7544</v>
      </c>
      <c r="B633">
        <v>85</v>
      </c>
      <c r="F633" t="s">
        <v>6270</v>
      </c>
      <c r="G633" t="s">
        <v>6271</v>
      </c>
      <c r="H633" s="7">
        <f t="shared" si="18"/>
        <v>186526.06249999997</v>
      </c>
      <c r="I633" s="7">
        <f t="shared" si="19"/>
        <v>29844.17</v>
      </c>
    </row>
    <row r="634" spans="1:12">
      <c r="A634" s="150" t="s">
        <v>7544</v>
      </c>
      <c r="B634">
        <v>85</v>
      </c>
      <c r="F634" s="139" t="s">
        <v>1630</v>
      </c>
      <c r="G634" s="139" t="s">
        <v>3020</v>
      </c>
      <c r="H634" s="7">
        <f t="shared" si="18"/>
        <v>92.25</v>
      </c>
      <c r="I634" s="7">
        <f t="shared" si="19"/>
        <v>14.76</v>
      </c>
    </row>
    <row r="635" spans="1:12">
      <c r="A635" s="150" t="s">
        <v>7544</v>
      </c>
      <c r="B635">
        <v>85</v>
      </c>
      <c r="F635" s="103" t="s">
        <v>802</v>
      </c>
      <c r="G635" s="139" t="s">
        <v>275</v>
      </c>
      <c r="H635" s="7">
        <f t="shared" si="18"/>
        <v>310.375</v>
      </c>
      <c r="I635" s="7">
        <f t="shared" si="19"/>
        <v>49.66</v>
      </c>
    </row>
    <row r="636" spans="1:12">
      <c r="A636" s="150" t="s">
        <v>7544</v>
      </c>
      <c r="B636">
        <v>85</v>
      </c>
      <c r="F636" s="103" t="s">
        <v>3695</v>
      </c>
      <c r="G636" s="139" t="s">
        <v>7398</v>
      </c>
      <c r="H636" s="7">
        <f t="shared" si="18"/>
        <v>112.9375</v>
      </c>
      <c r="I636" s="7">
        <f t="shared" si="19"/>
        <v>18.07</v>
      </c>
    </row>
    <row r="637" spans="1:12">
      <c r="A637" s="150" t="s">
        <v>7544</v>
      </c>
      <c r="B637">
        <v>85</v>
      </c>
      <c r="F637" s="103" t="s">
        <v>747</v>
      </c>
      <c r="G637" s="139" t="s">
        <v>748</v>
      </c>
      <c r="H637" s="68">
        <f t="shared" si="18"/>
        <v>100.875</v>
      </c>
      <c r="I637" s="68">
        <f t="shared" si="19"/>
        <v>16.14</v>
      </c>
    </row>
    <row r="638" spans="1:12">
      <c r="H638" s="109"/>
      <c r="I638" s="109"/>
    </row>
    <row r="639" spans="1:12">
      <c r="H639" s="9">
        <f>SUM(H465:H638)</f>
        <v>26365749.312499993</v>
      </c>
      <c r="I639" s="9">
        <f>SUM(I465:I638)</f>
        <v>4218519.8900000006</v>
      </c>
      <c r="J639" s="7">
        <f>SUM(J465:J638)</f>
        <v>33009.33</v>
      </c>
      <c r="K639" s="7">
        <f>SUM(K464:K637)</f>
        <v>50.48</v>
      </c>
      <c r="L639">
        <f>73.96-28.67-30.21</f>
        <v>15.079999999999991</v>
      </c>
    </row>
    <row r="640" spans="1:12">
      <c r="H640" s="151">
        <f>+H455</f>
        <v>26365749.3125</v>
      </c>
      <c r="I640" s="151">
        <f>+I455</f>
        <v>4218519.8899999978</v>
      </c>
    </row>
    <row r="641" spans="1:11">
      <c r="H641" s="10">
        <f>4647001.88-428140.82</f>
        <v>4218861.0599999996</v>
      </c>
      <c r="I641" s="10">
        <f>+H641-I640</f>
        <v>341.17000000178814</v>
      </c>
      <c r="J641" s="7" t="s">
        <v>960</v>
      </c>
    </row>
    <row r="642" spans="1:11" s="152" customFormat="1">
      <c r="A642" s="152" t="s">
        <v>1467</v>
      </c>
      <c r="B642" s="153">
        <v>42320</v>
      </c>
      <c r="C642" s="152" t="s">
        <v>6228</v>
      </c>
      <c r="D642" s="152">
        <v>1</v>
      </c>
      <c r="E642" s="152" t="s">
        <v>6229</v>
      </c>
      <c r="F642" s="168" t="s">
        <v>6246</v>
      </c>
      <c r="G642" s="168" t="s">
        <v>6229</v>
      </c>
      <c r="H642" s="154">
        <f>+I642/0.16</f>
        <v>2132.3125</v>
      </c>
      <c r="I642" s="154">
        <v>341.17</v>
      </c>
      <c r="J642" s="154" t="s">
        <v>7561</v>
      </c>
      <c r="K642" s="154"/>
    </row>
    <row r="643" spans="1:11">
      <c r="I643" s="9">
        <f>+I642+I640</f>
        <v>4218861.0599999977</v>
      </c>
    </row>
  </sheetData>
  <sortState ref="A7:N438">
    <sortCondition ref="E7:E438"/>
  </sortState>
  <conditionalFormatting sqref="G161">
    <cfRule type="duplicateValues" dxfId="6" priority="2"/>
  </conditionalFormatting>
  <conditionalFormatting sqref="F465:G637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scale="21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963"/>
  <sheetViews>
    <sheetView tabSelected="1" topLeftCell="A941" workbookViewId="0">
      <selection activeCell="A726" sqref="A726:L966"/>
    </sheetView>
  </sheetViews>
  <sheetFormatPr baseColWidth="10" defaultRowHeight="15"/>
  <cols>
    <col min="1" max="1" width="10.7109375" customWidth="1"/>
    <col min="2" max="2" width="10.7109375" bestFit="1" customWidth="1"/>
    <col min="3" max="3" width="12.7109375" bestFit="1" customWidth="1"/>
    <col min="4" max="4" width="2" bestFit="1" customWidth="1"/>
    <col min="5" max="5" width="28.5703125" customWidth="1"/>
    <col min="6" max="6" width="19.7109375" customWidth="1"/>
    <col min="7" max="7" width="21.28515625" customWidth="1"/>
    <col min="8" max="8" width="19" style="7" customWidth="1"/>
    <col min="9" max="10" width="14.140625" style="7" bestFit="1" customWidth="1"/>
    <col min="11" max="11" width="9.5703125" style="7" bestFit="1" customWidth="1"/>
  </cols>
  <sheetData>
    <row r="1" spans="1:9">
      <c r="A1" t="s">
        <v>684</v>
      </c>
    </row>
    <row r="2" spans="1:9">
      <c r="A2" t="s">
        <v>7101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6884</v>
      </c>
      <c r="B7" s="1">
        <v>42369</v>
      </c>
      <c r="C7" t="s">
        <v>6885</v>
      </c>
      <c r="D7">
        <v>1</v>
      </c>
      <c r="E7" t="s">
        <v>6886</v>
      </c>
      <c r="F7" s="28" t="s">
        <v>1600</v>
      </c>
      <c r="G7" s="105" t="s">
        <v>6283</v>
      </c>
      <c r="H7" s="7">
        <f>+I7/0.16</f>
        <v>50.687499999999993</v>
      </c>
      <c r="I7" s="7">
        <v>8.11</v>
      </c>
    </row>
    <row r="8" spans="1:9">
      <c r="A8" t="s">
        <v>2079</v>
      </c>
      <c r="B8" s="1">
        <v>42346</v>
      </c>
      <c r="C8" t="s">
        <v>6977</v>
      </c>
      <c r="D8">
        <v>1</v>
      </c>
      <c r="E8" t="s">
        <v>1514</v>
      </c>
      <c r="F8" s="36" t="s">
        <v>1528</v>
      </c>
      <c r="G8" s="2" t="s">
        <v>1514</v>
      </c>
      <c r="H8" s="7">
        <f t="shared" ref="H8:H71" si="0">+I8/0.16</f>
        <v>7350</v>
      </c>
      <c r="I8" s="7">
        <v>1176</v>
      </c>
    </row>
    <row r="9" spans="1:9">
      <c r="A9" t="s">
        <v>1311</v>
      </c>
      <c r="B9" s="1">
        <v>42364</v>
      </c>
      <c r="C9" t="s">
        <v>6464</v>
      </c>
      <c r="D9">
        <v>1</v>
      </c>
      <c r="E9" t="s">
        <v>5381</v>
      </c>
      <c r="F9" s="2" t="s">
        <v>5381</v>
      </c>
      <c r="G9" s="105" t="s">
        <v>7102</v>
      </c>
      <c r="H9" s="7">
        <f t="shared" si="0"/>
        <v>265.5</v>
      </c>
      <c r="I9" s="7">
        <v>42.48</v>
      </c>
    </row>
    <row r="10" spans="1:9">
      <c r="A10" t="s">
        <v>6619</v>
      </c>
      <c r="B10" s="1">
        <v>42369</v>
      </c>
      <c r="C10" t="s">
        <v>6620</v>
      </c>
      <c r="D10">
        <v>1</v>
      </c>
      <c r="E10" t="s">
        <v>923</v>
      </c>
      <c r="F10" t="s">
        <v>923</v>
      </c>
      <c r="G10" s="17" t="s">
        <v>924</v>
      </c>
      <c r="H10" s="7">
        <f t="shared" si="0"/>
        <v>750</v>
      </c>
      <c r="I10" s="7">
        <v>120</v>
      </c>
    </row>
    <row r="11" spans="1:9">
      <c r="A11" t="s">
        <v>6632</v>
      </c>
      <c r="B11" s="1">
        <v>42369</v>
      </c>
      <c r="C11" t="s">
        <v>6633</v>
      </c>
      <c r="D11">
        <v>1</v>
      </c>
      <c r="E11" t="s">
        <v>923</v>
      </c>
      <c r="F11" t="s">
        <v>923</v>
      </c>
      <c r="G11" s="17" t="s">
        <v>924</v>
      </c>
      <c r="H11" s="7">
        <f t="shared" si="0"/>
        <v>322.4375</v>
      </c>
      <c r="I11" s="7">
        <v>51.59</v>
      </c>
    </row>
    <row r="12" spans="1:9">
      <c r="A12" t="s">
        <v>6660</v>
      </c>
      <c r="B12" s="1">
        <v>42369</v>
      </c>
      <c r="C12" t="s">
        <v>6661</v>
      </c>
      <c r="D12">
        <v>1</v>
      </c>
      <c r="E12" t="s">
        <v>923</v>
      </c>
      <c r="F12" t="s">
        <v>923</v>
      </c>
      <c r="G12" s="17" t="s">
        <v>924</v>
      </c>
      <c r="H12" s="7">
        <f t="shared" si="0"/>
        <v>750</v>
      </c>
      <c r="I12" s="7">
        <v>120</v>
      </c>
    </row>
    <row r="13" spans="1:9">
      <c r="A13" t="s">
        <v>6557</v>
      </c>
      <c r="B13" s="1">
        <v>42369</v>
      </c>
      <c r="C13" t="s">
        <v>6558</v>
      </c>
      <c r="D13">
        <v>1</v>
      </c>
      <c r="E13" t="s">
        <v>879</v>
      </c>
      <c r="F13" s="110" t="s">
        <v>879</v>
      </c>
      <c r="G13" s="111" t="s">
        <v>880</v>
      </c>
      <c r="H13" s="7">
        <f t="shared" si="0"/>
        <v>251.62499999999997</v>
      </c>
      <c r="I13" s="7">
        <v>40.26</v>
      </c>
    </row>
    <row r="14" spans="1:9">
      <c r="A14" t="s">
        <v>6626</v>
      </c>
      <c r="B14" s="1">
        <v>42369</v>
      </c>
      <c r="C14" t="s">
        <v>6627</v>
      </c>
      <c r="D14">
        <v>1</v>
      </c>
      <c r="E14" t="s">
        <v>879</v>
      </c>
      <c r="F14" s="110" t="s">
        <v>879</v>
      </c>
      <c r="G14" s="111" t="s">
        <v>880</v>
      </c>
      <c r="H14" s="7">
        <f t="shared" si="0"/>
        <v>461.3125</v>
      </c>
      <c r="I14" s="7">
        <v>73.81</v>
      </c>
    </row>
    <row r="15" spans="1:9">
      <c r="A15" t="s">
        <v>6908</v>
      </c>
      <c r="B15" s="1">
        <v>42369</v>
      </c>
      <c r="C15" t="s">
        <v>5522</v>
      </c>
      <c r="D15">
        <v>1</v>
      </c>
      <c r="E15" t="s">
        <v>6909</v>
      </c>
      <c r="F15" t="s">
        <v>799</v>
      </c>
      <c r="G15" s="17" t="s">
        <v>1361</v>
      </c>
      <c r="H15" s="7">
        <f t="shared" si="0"/>
        <v>-4796.3125</v>
      </c>
      <c r="I15" s="7">
        <v>-767.41</v>
      </c>
    </row>
    <row r="16" spans="1:9">
      <c r="A16" t="s">
        <v>6908</v>
      </c>
      <c r="B16" s="1">
        <v>42369</v>
      </c>
      <c r="C16" t="s">
        <v>5522</v>
      </c>
      <c r="D16">
        <v>1</v>
      </c>
      <c r="E16" t="s">
        <v>6909</v>
      </c>
      <c r="F16" t="s">
        <v>799</v>
      </c>
      <c r="G16" s="17" t="s">
        <v>1361</v>
      </c>
      <c r="H16" s="7">
        <f t="shared" si="0"/>
        <v>3931</v>
      </c>
      <c r="I16" s="7">
        <v>628.96</v>
      </c>
    </row>
    <row r="17" spans="1:10">
      <c r="A17" t="s">
        <v>6914</v>
      </c>
      <c r="B17" s="1">
        <v>42369</v>
      </c>
      <c r="C17" t="s">
        <v>4834</v>
      </c>
      <c r="D17">
        <v>1</v>
      </c>
      <c r="E17" t="s">
        <v>6915</v>
      </c>
      <c r="F17" t="s">
        <v>2192</v>
      </c>
      <c r="G17" t="s">
        <v>7335</v>
      </c>
      <c r="H17" s="7">
        <f t="shared" si="0"/>
        <v>-1519.9375</v>
      </c>
      <c r="I17" s="7">
        <v>-243.19</v>
      </c>
    </row>
    <row r="18" spans="1:10">
      <c r="A18" t="s">
        <v>6914</v>
      </c>
      <c r="B18" s="1">
        <v>42369</v>
      </c>
      <c r="C18" t="s">
        <v>4834</v>
      </c>
      <c r="D18">
        <v>1</v>
      </c>
      <c r="E18" t="s">
        <v>6915</v>
      </c>
      <c r="F18" t="s">
        <v>2690</v>
      </c>
      <c r="G18" t="s">
        <v>7336</v>
      </c>
      <c r="H18" s="7">
        <f t="shared" si="0"/>
        <v>2283.5625</v>
      </c>
      <c r="I18" s="7">
        <v>365.37</v>
      </c>
      <c r="J18" s="7">
        <f>+J719-H719-H17-H18</f>
        <v>0</v>
      </c>
    </row>
    <row r="19" spans="1:10">
      <c r="A19" t="s">
        <v>6392</v>
      </c>
      <c r="B19" s="1">
        <v>42354</v>
      </c>
      <c r="C19" t="s">
        <v>6393</v>
      </c>
      <c r="D19">
        <v>1</v>
      </c>
      <c r="E19" t="s">
        <v>6394</v>
      </c>
      <c r="F19" t="s">
        <v>2187</v>
      </c>
      <c r="G19" t="s">
        <v>3658</v>
      </c>
      <c r="H19" s="7">
        <f t="shared" si="0"/>
        <v>195197.625</v>
      </c>
      <c r="I19" s="7">
        <v>31231.62</v>
      </c>
    </row>
    <row r="20" spans="1:10">
      <c r="A20" t="s">
        <v>6508</v>
      </c>
      <c r="B20" s="1">
        <v>42367</v>
      </c>
      <c r="C20" t="s">
        <v>6509</v>
      </c>
      <c r="D20">
        <v>1</v>
      </c>
      <c r="E20" t="s">
        <v>3844</v>
      </c>
      <c r="F20" t="s">
        <v>3217</v>
      </c>
      <c r="G20" t="s">
        <v>4210</v>
      </c>
      <c r="H20" s="7">
        <f t="shared" si="0"/>
        <v>232996.0625</v>
      </c>
      <c r="I20" s="7">
        <v>37279.370000000003</v>
      </c>
    </row>
    <row r="21" spans="1:10">
      <c r="A21" t="s">
        <v>6304</v>
      </c>
      <c r="B21" s="1">
        <v>42341</v>
      </c>
      <c r="C21" t="s">
        <v>6305</v>
      </c>
      <c r="D21">
        <v>1</v>
      </c>
      <c r="E21" t="s">
        <v>6306</v>
      </c>
      <c r="F21" t="s">
        <v>3217</v>
      </c>
      <c r="G21" t="s">
        <v>4210</v>
      </c>
      <c r="H21" s="7">
        <f t="shared" si="0"/>
        <v>325629.6875</v>
      </c>
      <c r="I21" s="7">
        <v>52100.75</v>
      </c>
    </row>
    <row r="22" spans="1:10">
      <c r="A22" t="s">
        <v>6561</v>
      </c>
      <c r="B22" s="1">
        <v>42369</v>
      </c>
      <c r="C22" t="s">
        <v>6562</v>
      </c>
      <c r="D22">
        <v>1</v>
      </c>
      <c r="E22" t="s">
        <v>2191</v>
      </c>
      <c r="F22" t="s">
        <v>2191</v>
      </c>
      <c r="G22" s="17" t="s">
        <v>1938</v>
      </c>
      <c r="H22" s="7">
        <f t="shared" si="0"/>
        <v>225</v>
      </c>
      <c r="I22" s="7">
        <v>36</v>
      </c>
    </row>
    <row r="23" spans="1:10">
      <c r="A23" t="s">
        <v>6784</v>
      </c>
      <c r="B23" s="1">
        <v>42369</v>
      </c>
      <c r="C23" t="s">
        <v>6785</v>
      </c>
      <c r="D23">
        <v>1</v>
      </c>
      <c r="E23" t="s">
        <v>711</v>
      </c>
      <c r="F23" t="s">
        <v>711</v>
      </c>
      <c r="G23" s="17" t="s">
        <v>4211</v>
      </c>
      <c r="H23" s="7">
        <f t="shared" si="0"/>
        <v>94.6875</v>
      </c>
      <c r="I23" s="7">
        <v>15.15</v>
      </c>
    </row>
    <row r="24" spans="1:10">
      <c r="A24" t="s">
        <v>6588</v>
      </c>
      <c r="B24" s="1">
        <v>42369</v>
      </c>
      <c r="C24" t="s">
        <v>6589</v>
      </c>
      <c r="D24">
        <v>1</v>
      </c>
      <c r="E24" t="s">
        <v>711</v>
      </c>
      <c r="F24" t="s">
        <v>711</v>
      </c>
      <c r="G24" s="17" t="s">
        <v>4211</v>
      </c>
      <c r="H24" s="7">
        <f t="shared" si="0"/>
        <v>51.5625</v>
      </c>
      <c r="I24" s="7">
        <v>8.25</v>
      </c>
    </row>
    <row r="25" spans="1:10">
      <c r="A25" t="s">
        <v>6609</v>
      </c>
      <c r="B25" s="1">
        <v>42369</v>
      </c>
      <c r="C25" t="s">
        <v>6610</v>
      </c>
      <c r="D25">
        <v>1</v>
      </c>
      <c r="E25" t="s">
        <v>711</v>
      </c>
      <c r="F25" t="s">
        <v>711</v>
      </c>
      <c r="G25" s="17" t="s">
        <v>4211</v>
      </c>
      <c r="H25" s="7">
        <f t="shared" si="0"/>
        <v>86.125</v>
      </c>
      <c r="I25" s="7">
        <v>13.78</v>
      </c>
    </row>
    <row r="26" spans="1:10">
      <c r="A26" t="s">
        <v>6611</v>
      </c>
      <c r="B26" s="1">
        <v>42369</v>
      </c>
      <c r="C26" t="s">
        <v>6612</v>
      </c>
      <c r="D26">
        <v>1</v>
      </c>
      <c r="E26" t="s">
        <v>711</v>
      </c>
      <c r="F26" t="s">
        <v>711</v>
      </c>
      <c r="G26" s="17" t="s">
        <v>4211</v>
      </c>
      <c r="H26" s="7">
        <f t="shared" si="0"/>
        <v>159.3125</v>
      </c>
      <c r="I26" s="7">
        <v>25.49</v>
      </c>
    </row>
    <row r="27" spans="1:10">
      <c r="A27" t="s">
        <v>6818</v>
      </c>
      <c r="B27" s="1">
        <v>42369</v>
      </c>
      <c r="C27" t="s">
        <v>6819</v>
      </c>
      <c r="D27">
        <v>1</v>
      </c>
      <c r="E27" t="s">
        <v>711</v>
      </c>
      <c r="F27" t="s">
        <v>711</v>
      </c>
      <c r="G27" s="17" t="s">
        <v>4211</v>
      </c>
      <c r="H27" s="7">
        <f t="shared" si="0"/>
        <v>103.37499999999999</v>
      </c>
      <c r="I27" s="7">
        <v>16.54</v>
      </c>
    </row>
    <row r="28" spans="1:10">
      <c r="A28" t="s">
        <v>6937</v>
      </c>
      <c r="B28" s="1">
        <v>42369</v>
      </c>
      <c r="C28" t="s">
        <v>6938</v>
      </c>
      <c r="D28">
        <v>1</v>
      </c>
      <c r="E28" t="s">
        <v>745</v>
      </c>
      <c r="F28" t="s">
        <v>745</v>
      </c>
      <c r="G28" s="17" t="s">
        <v>746</v>
      </c>
      <c r="H28" s="7">
        <f t="shared" si="0"/>
        <v>86.187499999999986</v>
      </c>
      <c r="I28" s="7">
        <v>13.79</v>
      </c>
    </row>
    <row r="29" spans="1:10">
      <c r="A29" t="s">
        <v>504</v>
      </c>
      <c r="B29" s="1">
        <v>42354</v>
      </c>
      <c r="C29" t="s">
        <v>7000</v>
      </c>
      <c r="D29">
        <v>1</v>
      </c>
      <c r="E29" t="s">
        <v>635</v>
      </c>
      <c r="F29" s="2" t="s">
        <v>702</v>
      </c>
      <c r="G29" s="2" t="s">
        <v>635</v>
      </c>
      <c r="H29" s="7">
        <f t="shared" si="0"/>
        <v>47993</v>
      </c>
      <c r="I29" s="7">
        <v>7678.88</v>
      </c>
    </row>
    <row r="30" spans="1:10">
      <c r="A30" t="s">
        <v>6937</v>
      </c>
      <c r="B30" s="1">
        <v>42369</v>
      </c>
      <c r="C30" t="s">
        <v>6938</v>
      </c>
      <c r="D30">
        <v>1</v>
      </c>
      <c r="E30" t="s">
        <v>714</v>
      </c>
      <c r="F30" t="s">
        <v>714</v>
      </c>
      <c r="G30" s="17" t="s">
        <v>7103</v>
      </c>
      <c r="H30" s="7">
        <f t="shared" si="0"/>
        <v>206.875</v>
      </c>
      <c r="I30" s="7">
        <v>33.1</v>
      </c>
    </row>
    <row r="31" spans="1:10">
      <c r="A31" t="s">
        <v>1311</v>
      </c>
      <c r="B31" s="1">
        <v>42364</v>
      </c>
      <c r="C31" t="s">
        <v>6464</v>
      </c>
      <c r="D31">
        <v>1</v>
      </c>
      <c r="E31" t="s">
        <v>714</v>
      </c>
      <c r="F31" t="s">
        <v>714</v>
      </c>
      <c r="G31" s="17" t="s">
        <v>7103</v>
      </c>
      <c r="H31" s="7">
        <f t="shared" si="0"/>
        <v>48.25</v>
      </c>
      <c r="I31" s="7">
        <v>7.72</v>
      </c>
    </row>
    <row r="32" spans="1:10">
      <c r="A32" t="s">
        <v>1311</v>
      </c>
      <c r="B32" s="1">
        <v>42364</v>
      </c>
      <c r="C32" t="s">
        <v>6464</v>
      </c>
      <c r="D32">
        <v>1</v>
      </c>
      <c r="E32" t="s">
        <v>714</v>
      </c>
      <c r="F32" t="s">
        <v>714</v>
      </c>
      <c r="G32" s="17" t="s">
        <v>7103</v>
      </c>
      <c r="H32" s="7">
        <f t="shared" si="0"/>
        <v>235.37499999999997</v>
      </c>
      <c r="I32" s="7">
        <v>37.659999999999997</v>
      </c>
    </row>
    <row r="33" spans="1:9">
      <c r="A33" t="s">
        <v>6557</v>
      </c>
      <c r="B33" s="1">
        <v>42369</v>
      </c>
      <c r="C33" t="s">
        <v>6558</v>
      </c>
      <c r="D33">
        <v>1</v>
      </c>
      <c r="E33" t="s">
        <v>714</v>
      </c>
      <c r="F33" t="s">
        <v>714</v>
      </c>
      <c r="G33" s="17" t="s">
        <v>7103</v>
      </c>
      <c r="H33" s="7">
        <f t="shared" si="0"/>
        <v>173.25</v>
      </c>
      <c r="I33" s="7">
        <v>27.72</v>
      </c>
    </row>
    <row r="34" spans="1:9">
      <c r="A34" t="s">
        <v>6557</v>
      </c>
      <c r="B34" s="1">
        <v>42369</v>
      </c>
      <c r="C34" t="s">
        <v>6558</v>
      </c>
      <c r="D34">
        <v>1</v>
      </c>
      <c r="E34" t="s">
        <v>714</v>
      </c>
      <c r="F34" t="s">
        <v>714</v>
      </c>
      <c r="G34" s="17" t="s">
        <v>7103</v>
      </c>
      <c r="H34" s="7">
        <f t="shared" si="0"/>
        <v>388.8125</v>
      </c>
      <c r="I34" s="7">
        <v>62.21</v>
      </c>
    </row>
    <row r="35" spans="1:9">
      <c r="A35" t="s">
        <v>6622</v>
      </c>
      <c r="B35" s="1">
        <v>42369</v>
      </c>
      <c r="C35" t="s">
        <v>6623</v>
      </c>
      <c r="D35">
        <v>1</v>
      </c>
      <c r="E35" t="s">
        <v>714</v>
      </c>
      <c r="F35" t="s">
        <v>714</v>
      </c>
      <c r="G35" s="17" t="s">
        <v>7103</v>
      </c>
      <c r="H35" s="7">
        <f t="shared" si="0"/>
        <v>206.875</v>
      </c>
      <c r="I35" s="7">
        <v>33.1</v>
      </c>
    </row>
    <row r="36" spans="1:9">
      <c r="A36" t="s">
        <v>6624</v>
      </c>
      <c r="B36" s="1">
        <v>42369</v>
      </c>
      <c r="C36" t="s">
        <v>6625</v>
      </c>
      <c r="D36">
        <v>1</v>
      </c>
      <c r="E36" t="s">
        <v>714</v>
      </c>
      <c r="F36" t="s">
        <v>714</v>
      </c>
      <c r="G36" s="17" t="s">
        <v>7103</v>
      </c>
      <c r="H36" s="7">
        <f t="shared" si="0"/>
        <v>322.4375</v>
      </c>
      <c r="I36" s="7">
        <v>51.59</v>
      </c>
    </row>
    <row r="37" spans="1:9">
      <c r="A37" t="s">
        <v>6626</v>
      </c>
      <c r="B37" s="1">
        <v>42369</v>
      </c>
      <c r="C37" t="s">
        <v>6627</v>
      </c>
      <c r="D37">
        <v>1</v>
      </c>
      <c r="E37" t="s">
        <v>714</v>
      </c>
      <c r="F37" t="s">
        <v>714</v>
      </c>
      <c r="G37" s="17" t="s">
        <v>7103</v>
      </c>
      <c r="H37" s="7">
        <f t="shared" si="0"/>
        <v>388.8125</v>
      </c>
      <c r="I37" s="7">
        <v>62.21</v>
      </c>
    </row>
    <row r="38" spans="1:9">
      <c r="A38" t="s">
        <v>6629</v>
      </c>
      <c r="B38" s="1">
        <v>42369</v>
      </c>
      <c r="C38" t="s">
        <v>6630</v>
      </c>
      <c r="D38">
        <v>1</v>
      </c>
      <c r="E38" t="s">
        <v>714</v>
      </c>
      <c r="F38" t="s">
        <v>714</v>
      </c>
      <c r="G38" s="17" t="s">
        <v>7103</v>
      </c>
      <c r="H38" s="7">
        <f t="shared" si="0"/>
        <v>623.25</v>
      </c>
      <c r="I38" s="7">
        <v>99.72</v>
      </c>
    </row>
    <row r="39" spans="1:9">
      <c r="A39" t="s">
        <v>6632</v>
      </c>
      <c r="B39" s="1">
        <v>42369</v>
      </c>
      <c r="C39" t="s">
        <v>6633</v>
      </c>
      <c r="D39">
        <v>1</v>
      </c>
      <c r="E39" t="s">
        <v>714</v>
      </c>
      <c r="F39" t="s">
        <v>714</v>
      </c>
      <c r="G39" s="17" t="s">
        <v>7103</v>
      </c>
      <c r="H39" s="7">
        <f t="shared" si="0"/>
        <v>57.75</v>
      </c>
      <c r="I39" s="7">
        <v>9.24</v>
      </c>
    </row>
    <row r="40" spans="1:9">
      <c r="A40" t="s">
        <v>6635</v>
      </c>
      <c r="B40" s="1">
        <v>42369</v>
      </c>
      <c r="C40" t="s">
        <v>6636</v>
      </c>
      <c r="D40">
        <v>1</v>
      </c>
      <c r="E40" t="s">
        <v>714</v>
      </c>
      <c r="F40" t="s">
        <v>714</v>
      </c>
      <c r="G40" s="17" t="s">
        <v>7103</v>
      </c>
      <c r="H40" s="7">
        <f t="shared" si="0"/>
        <v>562.0625</v>
      </c>
      <c r="I40" s="7">
        <v>89.93</v>
      </c>
    </row>
    <row r="41" spans="1:9">
      <c r="A41" t="s">
        <v>6644</v>
      </c>
      <c r="B41" s="1">
        <v>42369</v>
      </c>
      <c r="C41" t="s">
        <v>6645</v>
      </c>
      <c r="D41">
        <v>1</v>
      </c>
      <c r="E41" t="s">
        <v>714</v>
      </c>
      <c r="F41" t="s">
        <v>714</v>
      </c>
      <c r="G41" s="17" t="s">
        <v>7103</v>
      </c>
      <c r="H41" s="7">
        <f t="shared" si="0"/>
        <v>322.4375</v>
      </c>
      <c r="I41" s="7">
        <v>51.59</v>
      </c>
    </row>
    <row r="42" spans="1:9">
      <c r="A42" t="s">
        <v>6648</v>
      </c>
      <c r="B42" s="1">
        <v>42369</v>
      </c>
      <c r="C42" t="s">
        <v>6649</v>
      </c>
      <c r="D42">
        <v>1</v>
      </c>
      <c r="E42" t="s">
        <v>714</v>
      </c>
      <c r="F42" t="s">
        <v>714</v>
      </c>
      <c r="G42" s="17" t="s">
        <v>7103</v>
      </c>
      <c r="H42" s="7">
        <f t="shared" si="0"/>
        <v>314.625</v>
      </c>
      <c r="I42" s="7">
        <v>50.34</v>
      </c>
    </row>
    <row r="43" spans="1:9">
      <c r="A43" t="s">
        <v>6650</v>
      </c>
      <c r="B43" s="1">
        <v>42369</v>
      </c>
      <c r="C43" t="s">
        <v>6651</v>
      </c>
      <c r="D43">
        <v>1</v>
      </c>
      <c r="E43" t="s">
        <v>714</v>
      </c>
      <c r="F43" t="s">
        <v>714</v>
      </c>
      <c r="G43" s="17" t="s">
        <v>7103</v>
      </c>
      <c r="H43" s="7">
        <f t="shared" si="0"/>
        <v>322.4375</v>
      </c>
      <c r="I43" s="7">
        <v>51.59</v>
      </c>
    </row>
    <row r="44" spans="1:9">
      <c r="A44" t="s">
        <v>6654</v>
      </c>
      <c r="B44" s="1">
        <v>42369</v>
      </c>
      <c r="C44" t="s">
        <v>6655</v>
      </c>
      <c r="D44">
        <v>1</v>
      </c>
      <c r="E44" t="s">
        <v>714</v>
      </c>
      <c r="F44" t="s">
        <v>714</v>
      </c>
      <c r="G44" s="17" t="s">
        <v>7103</v>
      </c>
      <c r="H44" s="7">
        <f t="shared" si="0"/>
        <v>314.625</v>
      </c>
      <c r="I44" s="7">
        <v>50.34</v>
      </c>
    </row>
    <row r="45" spans="1:9">
      <c r="A45" t="s">
        <v>6658</v>
      </c>
      <c r="B45" s="1">
        <v>42369</v>
      </c>
      <c r="C45" t="s">
        <v>6659</v>
      </c>
      <c r="D45">
        <v>1</v>
      </c>
      <c r="E45" t="s">
        <v>714</v>
      </c>
      <c r="F45" t="s">
        <v>714</v>
      </c>
      <c r="G45" s="17" t="s">
        <v>7103</v>
      </c>
      <c r="H45" s="7">
        <f t="shared" si="0"/>
        <v>57.75</v>
      </c>
      <c r="I45" s="7">
        <v>9.24</v>
      </c>
    </row>
    <row r="46" spans="1:9">
      <c r="A46" t="s">
        <v>6656</v>
      </c>
      <c r="B46" s="1">
        <v>42369</v>
      </c>
      <c r="C46" t="s">
        <v>6657</v>
      </c>
      <c r="D46">
        <v>1</v>
      </c>
      <c r="E46" t="s">
        <v>714</v>
      </c>
      <c r="F46" t="s">
        <v>714</v>
      </c>
      <c r="G46" s="17" t="s">
        <v>7103</v>
      </c>
      <c r="H46" s="7">
        <f t="shared" si="0"/>
        <v>163.8125</v>
      </c>
      <c r="I46" s="7">
        <v>26.21</v>
      </c>
    </row>
    <row r="47" spans="1:9">
      <c r="A47" t="s">
        <v>1311</v>
      </c>
      <c r="B47" s="1">
        <v>42364</v>
      </c>
      <c r="C47" t="s">
        <v>6464</v>
      </c>
      <c r="D47">
        <v>1</v>
      </c>
      <c r="E47" t="s">
        <v>751</v>
      </c>
      <c r="F47" s="2" t="s">
        <v>751</v>
      </c>
      <c r="G47" s="105" t="s">
        <v>752</v>
      </c>
      <c r="H47" s="7">
        <f t="shared" si="0"/>
        <v>367.25</v>
      </c>
      <c r="I47" s="7">
        <v>58.76</v>
      </c>
    </row>
    <row r="48" spans="1:9">
      <c r="A48" t="s">
        <v>672</v>
      </c>
      <c r="B48" s="1">
        <v>42361</v>
      </c>
      <c r="C48" t="s">
        <v>7085</v>
      </c>
      <c r="D48">
        <v>1</v>
      </c>
      <c r="E48" t="s">
        <v>6955</v>
      </c>
      <c r="F48" s="36" t="s">
        <v>7104</v>
      </c>
      <c r="G48" s="2" t="s">
        <v>6955</v>
      </c>
      <c r="H48" s="7">
        <f t="shared" si="0"/>
        <v>8400</v>
      </c>
      <c r="I48" s="7">
        <v>1344</v>
      </c>
    </row>
    <row r="49" spans="1:9">
      <c r="A49" t="s">
        <v>2597</v>
      </c>
      <c r="B49" s="1">
        <v>42345</v>
      </c>
      <c r="C49" t="s">
        <v>6954</v>
      </c>
      <c r="D49">
        <v>1</v>
      </c>
      <c r="E49" t="s">
        <v>6955</v>
      </c>
      <c r="F49" s="17" t="s">
        <v>7104</v>
      </c>
      <c r="G49" t="s">
        <v>6955</v>
      </c>
      <c r="H49" s="7">
        <f t="shared" si="0"/>
        <v>8400</v>
      </c>
      <c r="I49" s="7">
        <v>1344</v>
      </c>
    </row>
    <row r="50" spans="1:9">
      <c r="A50" t="s">
        <v>6557</v>
      </c>
      <c r="B50" s="1">
        <v>42369</v>
      </c>
      <c r="C50" t="s">
        <v>6558</v>
      </c>
      <c r="D50">
        <v>1</v>
      </c>
      <c r="E50" t="s">
        <v>749</v>
      </c>
      <c r="F50" t="s">
        <v>749</v>
      </c>
      <c r="G50" s="17" t="s">
        <v>7105</v>
      </c>
      <c r="H50" s="7">
        <f t="shared" si="0"/>
        <v>86.187499999999986</v>
      </c>
      <c r="I50" s="7">
        <v>13.79</v>
      </c>
    </row>
    <row r="51" spans="1:9">
      <c r="A51" t="s">
        <v>7090</v>
      </c>
      <c r="B51" s="1">
        <v>42368</v>
      </c>
      <c r="C51" t="s">
        <v>7091</v>
      </c>
      <c r="D51">
        <v>1</v>
      </c>
      <c r="E51" t="s">
        <v>4930</v>
      </c>
      <c r="F51" t="s">
        <v>2191</v>
      </c>
      <c r="G51" t="s">
        <v>4930</v>
      </c>
      <c r="H51" s="7">
        <f t="shared" si="0"/>
        <v>840</v>
      </c>
      <c r="I51" s="7">
        <v>134.4</v>
      </c>
    </row>
    <row r="52" spans="1:9">
      <c r="A52" t="s">
        <v>7092</v>
      </c>
      <c r="B52" s="1">
        <v>42368</v>
      </c>
      <c r="C52" t="s">
        <v>7093</v>
      </c>
      <c r="D52">
        <v>1</v>
      </c>
      <c r="E52" t="s">
        <v>4930</v>
      </c>
      <c r="F52" t="s">
        <v>2191</v>
      </c>
      <c r="G52" t="s">
        <v>4930</v>
      </c>
      <c r="H52" s="7">
        <f t="shared" si="0"/>
        <v>225</v>
      </c>
      <c r="I52" s="7">
        <v>36</v>
      </c>
    </row>
    <row r="53" spans="1:9">
      <c r="A53" t="s">
        <v>7094</v>
      </c>
      <c r="B53" s="1">
        <v>42368</v>
      </c>
      <c r="C53" t="s">
        <v>7095</v>
      </c>
      <c r="D53">
        <v>1</v>
      </c>
      <c r="E53" t="s">
        <v>4930</v>
      </c>
      <c r="F53" t="s">
        <v>2191</v>
      </c>
      <c r="G53" t="s">
        <v>4930</v>
      </c>
      <c r="H53" s="7">
        <f t="shared" si="0"/>
        <v>225</v>
      </c>
      <c r="I53" s="7">
        <v>36</v>
      </c>
    </row>
    <row r="54" spans="1:9">
      <c r="A54" t="s">
        <v>7096</v>
      </c>
      <c r="B54" s="1">
        <v>42368</v>
      </c>
      <c r="C54" t="s">
        <v>7097</v>
      </c>
      <c r="D54">
        <v>1</v>
      </c>
      <c r="E54" t="s">
        <v>4930</v>
      </c>
      <c r="F54" t="s">
        <v>2191</v>
      </c>
      <c r="G54" t="s">
        <v>4930</v>
      </c>
      <c r="H54" s="7">
        <f t="shared" si="0"/>
        <v>405</v>
      </c>
      <c r="I54" s="7">
        <v>64.8</v>
      </c>
    </row>
    <row r="55" spans="1:9">
      <c r="A55" t="s">
        <v>1888</v>
      </c>
      <c r="B55" s="1">
        <v>42366</v>
      </c>
      <c r="C55" t="s">
        <v>6485</v>
      </c>
      <c r="D55">
        <v>1</v>
      </c>
      <c r="E55" t="s">
        <v>6486</v>
      </c>
      <c r="F55" t="s">
        <v>1530</v>
      </c>
      <c r="G55" t="s">
        <v>5143</v>
      </c>
      <c r="H55" s="7">
        <f t="shared" si="0"/>
        <v>443802.12499999994</v>
      </c>
      <c r="I55" s="7">
        <v>71008.34</v>
      </c>
    </row>
    <row r="56" spans="1:9">
      <c r="A56" t="s">
        <v>6470</v>
      </c>
      <c r="B56" s="1">
        <v>42364</v>
      </c>
      <c r="C56" t="s">
        <v>6471</v>
      </c>
      <c r="D56">
        <v>1</v>
      </c>
      <c r="E56" t="s">
        <v>5179</v>
      </c>
      <c r="F56" t="s">
        <v>2192</v>
      </c>
      <c r="G56" t="s">
        <v>6249</v>
      </c>
      <c r="H56" s="7">
        <f t="shared" si="0"/>
        <v>158063.6875</v>
      </c>
      <c r="I56" s="7">
        <v>25290.19</v>
      </c>
    </row>
    <row r="57" spans="1:9">
      <c r="A57" t="s">
        <v>6334</v>
      </c>
      <c r="B57" s="1">
        <v>42346</v>
      </c>
      <c r="C57" t="s">
        <v>6335</v>
      </c>
      <c r="D57">
        <v>1</v>
      </c>
      <c r="E57" t="s">
        <v>1684</v>
      </c>
      <c r="F57" t="s">
        <v>958</v>
      </c>
      <c r="G57" s="2" t="s">
        <v>1684</v>
      </c>
      <c r="H57" s="7">
        <f t="shared" si="0"/>
        <v>488802.375</v>
      </c>
      <c r="I57" s="7">
        <v>78208.38</v>
      </c>
    </row>
    <row r="58" spans="1:9">
      <c r="A58" t="s">
        <v>6356</v>
      </c>
      <c r="B58" s="1">
        <v>42349</v>
      </c>
      <c r="C58" t="s">
        <v>6355</v>
      </c>
      <c r="D58">
        <v>1</v>
      </c>
      <c r="E58" t="s">
        <v>6357</v>
      </c>
      <c r="F58" t="s">
        <v>2192</v>
      </c>
      <c r="G58" t="s">
        <v>6249</v>
      </c>
      <c r="H58" s="7">
        <f t="shared" si="0"/>
        <v>250699.5625</v>
      </c>
      <c r="I58" s="7">
        <v>40111.93</v>
      </c>
    </row>
    <row r="59" spans="1:9">
      <c r="A59" t="s">
        <v>6366</v>
      </c>
      <c r="B59" s="1">
        <v>42349</v>
      </c>
      <c r="C59" t="s">
        <v>6367</v>
      </c>
      <c r="D59">
        <v>1</v>
      </c>
      <c r="E59" t="s">
        <v>6357</v>
      </c>
      <c r="F59" t="s">
        <v>2192</v>
      </c>
      <c r="G59" t="s">
        <v>6249</v>
      </c>
      <c r="H59" s="7">
        <f t="shared" si="0"/>
        <v>248110.37500000003</v>
      </c>
      <c r="I59" s="7">
        <v>39697.660000000003</v>
      </c>
    </row>
    <row r="60" spans="1:9">
      <c r="A60" t="s">
        <v>6364</v>
      </c>
      <c r="B60" s="1">
        <v>42349</v>
      </c>
      <c r="C60" t="s">
        <v>6365</v>
      </c>
      <c r="D60">
        <v>1</v>
      </c>
      <c r="E60" t="s">
        <v>2361</v>
      </c>
      <c r="F60" t="s">
        <v>2192</v>
      </c>
      <c r="G60" t="s">
        <v>6249</v>
      </c>
      <c r="H60" s="7">
        <f t="shared" si="0"/>
        <v>177707.6875</v>
      </c>
      <c r="I60" s="7">
        <v>28433.23</v>
      </c>
    </row>
    <row r="61" spans="1:9">
      <c r="A61" t="s">
        <v>1934</v>
      </c>
      <c r="B61" s="1">
        <v>42366</v>
      </c>
      <c r="C61" t="s">
        <v>6489</v>
      </c>
      <c r="D61">
        <v>1</v>
      </c>
      <c r="E61" t="s">
        <v>6490</v>
      </c>
      <c r="F61" t="s">
        <v>2690</v>
      </c>
      <c r="G61" t="s">
        <v>5671</v>
      </c>
      <c r="H61" s="7">
        <f t="shared" si="0"/>
        <v>399127.8125</v>
      </c>
      <c r="I61" s="7">
        <v>63860.45</v>
      </c>
    </row>
    <row r="62" spans="1:9">
      <c r="A62" t="s">
        <v>6926</v>
      </c>
      <c r="B62" s="1">
        <v>42369</v>
      </c>
      <c r="C62" t="s">
        <v>1522</v>
      </c>
      <c r="D62">
        <v>1</v>
      </c>
      <c r="E62" t="s">
        <v>6927</v>
      </c>
      <c r="F62" t="s">
        <v>837</v>
      </c>
      <c r="G62" t="s">
        <v>5734</v>
      </c>
      <c r="H62" s="7">
        <f t="shared" si="0"/>
        <v>-276.3125</v>
      </c>
      <c r="I62" s="7">
        <v>-44.21</v>
      </c>
    </row>
    <row r="63" spans="1:9">
      <c r="A63" t="s">
        <v>475</v>
      </c>
      <c r="B63" s="1">
        <v>42347</v>
      </c>
      <c r="C63" t="s">
        <v>6217</v>
      </c>
      <c r="D63">
        <v>1</v>
      </c>
      <c r="E63" t="s">
        <v>6971</v>
      </c>
      <c r="F63" s="2" t="s">
        <v>702</v>
      </c>
      <c r="G63" s="113" t="s">
        <v>6971</v>
      </c>
      <c r="H63" s="7">
        <f t="shared" si="0"/>
        <v>-47993</v>
      </c>
      <c r="I63" s="7">
        <v>-7678.88</v>
      </c>
    </row>
    <row r="64" spans="1:9">
      <c r="A64" t="s">
        <v>2586</v>
      </c>
      <c r="B64" s="1">
        <v>42342</v>
      </c>
      <c r="C64" t="s">
        <v>4865</v>
      </c>
      <c r="D64">
        <v>1</v>
      </c>
      <c r="E64" t="s">
        <v>6948</v>
      </c>
      <c r="F64" s="25" t="s">
        <v>834</v>
      </c>
      <c r="G64" s="28" t="s">
        <v>7106</v>
      </c>
      <c r="H64" s="7">
        <f t="shared" si="0"/>
        <v>-1000</v>
      </c>
      <c r="I64" s="7">
        <v>-160</v>
      </c>
    </row>
    <row r="65" spans="1:9">
      <c r="A65" t="s">
        <v>623</v>
      </c>
      <c r="B65" s="1">
        <v>42361</v>
      </c>
      <c r="C65" t="s">
        <v>7054</v>
      </c>
      <c r="D65">
        <v>1</v>
      </c>
      <c r="E65" t="s">
        <v>2092</v>
      </c>
      <c r="F65" s="36" t="s">
        <v>2196</v>
      </c>
      <c r="G65" s="2" t="s">
        <v>2092</v>
      </c>
      <c r="H65" s="7">
        <f t="shared" si="0"/>
        <v>8000</v>
      </c>
      <c r="I65" s="7">
        <v>1280</v>
      </c>
    </row>
    <row r="66" spans="1:9">
      <c r="A66" t="s">
        <v>6583</v>
      </c>
      <c r="B66" s="1">
        <v>42369</v>
      </c>
      <c r="C66" t="s">
        <v>6584</v>
      </c>
      <c r="D66">
        <v>1</v>
      </c>
      <c r="E66" t="s">
        <v>6585</v>
      </c>
      <c r="F66" t="s">
        <v>6585</v>
      </c>
      <c r="G66" s="17" t="s">
        <v>5672</v>
      </c>
      <c r="H66" s="7">
        <f t="shared" si="0"/>
        <v>370.75</v>
      </c>
      <c r="I66" s="7">
        <v>59.32</v>
      </c>
    </row>
    <row r="67" spans="1:9">
      <c r="A67" t="s">
        <v>6624</v>
      </c>
      <c r="B67" s="1">
        <v>42369</v>
      </c>
      <c r="C67" t="s">
        <v>6625</v>
      </c>
      <c r="D67">
        <v>1</v>
      </c>
      <c r="E67" t="s">
        <v>2761</v>
      </c>
      <c r="F67" t="s">
        <v>2761</v>
      </c>
      <c r="G67" s="17" t="s">
        <v>2762</v>
      </c>
      <c r="H67" s="7">
        <f t="shared" si="0"/>
        <v>503.5</v>
      </c>
      <c r="I67" s="7">
        <v>80.56</v>
      </c>
    </row>
    <row r="68" spans="1:9">
      <c r="A68" t="s">
        <v>6650</v>
      </c>
      <c r="B68" s="1">
        <v>42369</v>
      </c>
      <c r="C68" t="s">
        <v>6651</v>
      </c>
      <c r="D68">
        <v>1</v>
      </c>
      <c r="E68" t="s">
        <v>2761</v>
      </c>
      <c r="F68" t="s">
        <v>2761</v>
      </c>
      <c r="G68" s="17" t="s">
        <v>2762</v>
      </c>
      <c r="H68" s="7">
        <f t="shared" si="0"/>
        <v>419.625</v>
      </c>
      <c r="I68" s="7">
        <v>67.14</v>
      </c>
    </row>
    <row r="69" spans="1:9">
      <c r="A69" t="s">
        <v>1311</v>
      </c>
      <c r="B69" s="1">
        <v>42364</v>
      </c>
      <c r="C69" t="s">
        <v>6464</v>
      </c>
      <c r="D69">
        <v>1</v>
      </c>
      <c r="E69" t="s">
        <v>895</v>
      </c>
      <c r="F69" s="2" t="s">
        <v>895</v>
      </c>
      <c r="G69" s="105" t="s">
        <v>7107</v>
      </c>
      <c r="H69" s="7">
        <f t="shared" si="0"/>
        <v>86.187499999999986</v>
      </c>
      <c r="I69" s="7">
        <v>13.79</v>
      </c>
    </row>
    <row r="70" spans="1:9">
      <c r="A70" t="s">
        <v>6474</v>
      </c>
      <c r="B70" s="1">
        <v>42364</v>
      </c>
      <c r="C70" t="s">
        <v>6475</v>
      </c>
      <c r="D70">
        <v>1</v>
      </c>
      <c r="E70" t="s">
        <v>3335</v>
      </c>
      <c r="F70" t="s">
        <v>724</v>
      </c>
      <c r="G70" t="s">
        <v>3664</v>
      </c>
      <c r="H70" s="7">
        <f t="shared" si="0"/>
        <v>450871.375</v>
      </c>
      <c r="I70" s="7">
        <v>72139.42</v>
      </c>
    </row>
    <row r="71" spans="1:9">
      <c r="A71" t="s">
        <v>6579</v>
      </c>
      <c r="B71" s="1">
        <v>42369</v>
      </c>
      <c r="C71" t="s">
        <v>6580</v>
      </c>
      <c r="D71">
        <v>1</v>
      </c>
      <c r="E71" t="s">
        <v>3523</v>
      </c>
      <c r="F71" t="s">
        <v>3523</v>
      </c>
      <c r="G71" s="17" t="s">
        <v>7108</v>
      </c>
      <c r="H71" s="7">
        <f t="shared" si="0"/>
        <v>358.625</v>
      </c>
      <c r="I71" s="7">
        <v>57.38</v>
      </c>
    </row>
    <row r="72" spans="1:9">
      <c r="A72" t="s">
        <v>6676</v>
      </c>
      <c r="B72" s="1">
        <v>42369</v>
      </c>
      <c r="C72" t="s">
        <v>6677</v>
      </c>
      <c r="D72">
        <v>1</v>
      </c>
      <c r="E72" t="s">
        <v>3523</v>
      </c>
      <c r="F72" t="s">
        <v>3523</v>
      </c>
      <c r="G72" s="17" t="s">
        <v>7108</v>
      </c>
      <c r="H72" s="7">
        <f t="shared" ref="H72:H135" si="1">+I72/0.16</f>
        <v>329.3125</v>
      </c>
      <c r="I72" s="7">
        <v>52.69</v>
      </c>
    </row>
    <row r="73" spans="1:9">
      <c r="A73" t="s">
        <v>6444</v>
      </c>
      <c r="B73" s="1">
        <v>42360</v>
      </c>
      <c r="C73" t="s">
        <v>6445</v>
      </c>
      <c r="D73">
        <v>1</v>
      </c>
      <c r="E73" t="s">
        <v>6446</v>
      </c>
      <c r="F73" t="s">
        <v>727</v>
      </c>
      <c r="G73" t="s">
        <v>6446</v>
      </c>
      <c r="H73" s="7">
        <f t="shared" si="1"/>
        <v>227286.93750000003</v>
      </c>
      <c r="I73" s="7">
        <v>36365.910000000003</v>
      </c>
    </row>
    <row r="74" spans="1:9">
      <c r="A74" t="s">
        <v>6916</v>
      </c>
      <c r="B74" s="1">
        <v>42369</v>
      </c>
      <c r="C74" t="s">
        <v>6917</v>
      </c>
      <c r="D74">
        <v>1</v>
      </c>
      <c r="E74" t="s">
        <v>6918</v>
      </c>
      <c r="F74" t="s">
        <v>722</v>
      </c>
      <c r="G74" t="s">
        <v>722</v>
      </c>
      <c r="H74" s="7">
        <f t="shared" si="1"/>
        <v>-2155.1875</v>
      </c>
      <c r="I74" s="7">
        <v>-344.83</v>
      </c>
    </row>
    <row r="75" spans="1:9">
      <c r="A75" t="s">
        <v>6916</v>
      </c>
      <c r="B75" s="1">
        <v>42369</v>
      </c>
      <c r="C75" t="s">
        <v>6917</v>
      </c>
      <c r="D75">
        <v>1</v>
      </c>
      <c r="E75" t="s">
        <v>6919</v>
      </c>
      <c r="F75" t="s">
        <v>722</v>
      </c>
      <c r="G75" t="s">
        <v>722</v>
      </c>
      <c r="H75" s="7">
        <f t="shared" si="1"/>
        <v>-1879.3125</v>
      </c>
      <c r="I75" s="7">
        <v>-300.69</v>
      </c>
    </row>
    <row r="76" spans="1:9">
      <c r="A76" t="s">
        <v>6916</v>
      </c>
      <c r="B76" s="1">
        <v>42369</v>
      </c>
      <c r="C76" t="s">
        <v>6917</v>
      </c>
      <c r="D76">
        <v>1</v>
      </c>
      <c r="E76" t="s">
        <v>6920</v>
      </c>
      <c r="F76" t="s">
        <v>722</v>
      </c>
      <c r="G76" t="s">
        <v>722</v>
      </c>
      <c r="H76" s="7">
        <f t="shared" si="1"/>
        <v>-25000</v>
      </c>
      <c r="I76" s="7">
        <v>-4000</v>
      </c>
    </row>
    <row r="77" spans="1:9">
      <c r="A77" t="s">
        <v>510</v>
      </c>
      <c r="B77" s="1">
        <v>42354</v>
      </c>
      <c r="C77" t="s">
        <v>7002</v>
      </c>
      <c r="D77">
        <v>1</v>
      </c>
      <c r="E77" t="s">
        <v>1436</v>
      </c>
      <c r="F77" s="17" t="s">
        <v>1551</v>
      </c>
      <c r="G77" t="s">
        <v>1436</v>
      </c>
      <c r="H77" s="7">
        <f t="shared" si="1"/>
        <v>1159.6875</v>
      </c>
      <c r="I77" s="7">
        <v>185.55</v>
      </c>
    </row>
    <row r="78" spans="1:9">
      <c r="A78" t="s">
        <v>626</v>
      </c>
      <c r="B78" s="1">
        <v>42361</v>
      </c>
      <c r="C78" t="s">
        <v>7055</v>
      </c>
      <c r="D78">
        <v>1</v>
      </c>
      <c r="E78" t="s">
        <v>1436</v>
      </c>
      <c r="F78" s="36" t="s">
        <v>1551</v>
      </c>
      <c r="G78" s="2" t="s">
        <v>1436</v>
      </c>
      <c r="H78" s="7">
        <f t="shared" si="1"/>
        <v>1739.5624999999998</v>
      </c>
      <c r="I78" s="7">
        <v>278.33</v>
      </c>
    </row>
    <row r="79" spans="1:9">
      <c r="A79" t="s">
        <v>1372</v>
      </c>
      <c r="B79" s="1">
        <v>42346</v>
      </c>
      <c r="C79" t="s">
        <v>6974</v>
      </c>
      <c r="D79">
        <v>2</v>
      </c>
      <c r="E79" t="s">
        <v>476</v>
      </c>
      <c r="F79" s="36" t="s">
        <v>730</v>
      </c>
      <c r="G79" s="2" t="s">
        <v>476</v>
      </c>
      <c r="H79" s="7">
        <f t="shared" si="1"/>
        <v>15090.562499999998</v>
      </c>
      <c r="I79" s="7">
        <v>2414.4899999999998</v>
      </c>
    </row>
    <row r="80" spans="1:9">
      <c r="A80" t="s">
        <v>619</v>
      </c>
      <c r="B80" s="1">
        <v>42361</v>
      </c>
      <c r="C80" t="s">
        <v>7052</v>
      </c>
      <c r="D80">
        <v>2</v>
      </c>
      <c r="E80" t="s">
        <v>476</v>
      </c>
      <c r="F80" s="36" t="s">
        <v>730</v>
      </c>
      <c r="G80" s="2" t="s">
        <v>476</v>
      </c>
      <c r="H80" s="7">
        <f t="shared" si="1"/>
        <v>5344.8125</v>
      </c>
      <c r="I80" s="7">
        <v>855.17</v>
      </c>
    </row>
    <row r="81" spans="1:9">
      <c r="A81" t="s">
        <v>611</v>
      </c>
      <c r="B81" s="1">
        <v>42369</v>
      </c>
      <c r="C81" t="s">
        <v>6234</v>
      </c>
      <c r="D81">
        <v>1</v>
      </c>
      <c r="E81" t="s">
        <v>7046</v>
      </c>
      <c r="F81" t="s">
        <v>735</v>
      </c>
      <c r="G81" t="s">
        <v>6272</v>
      </c>
      <c r="H81" s="7">
        <f t="shared" si="1"/>
        <v>200</v>
      </c>
      <c r="I81" s="7">
        <v>32</v>
      </c>
    </row>
    <row r="82" spans="1:9">
      <c r="A82" t="s">
        <v>6545</v>
      </c>
      <c r="B82" s="1">
        <v>42369</v>
      </c>
      <c r="C82" t="s">
        <v>6546</v>
      </c>
      <c r="D82">
        <v>1</v>
      </c>
      <c r="E82" t="s">
        <v>6547</v>
      </c>
      <c r="F82" s="88" t="s">
        <v>741</v>
      </c>
      <c r="G82" s="45" t="s">
        <v>742</v>
      </c>
      <c r="H82" s="7">
        <f t="shared" si="1"/>
        <v>140</v>
      </c>
      <c r="I82" s="7">
        <v>22.4</v>
      </c>
    </row>
    <row r="83" spans="1:9">
      <c r="A83" t="s">
        <v>6548</v>
      </c>
      <c r="B83" s="1">
        <v>42369</v>
      </c>
      <c r="C83" t="s">
        <v>6236</v>
      </c>
      <c r="D83">
        <v>1</v>
      </c>
      <c r="E83" t="s">
        <v>6549</v>
      </c>
      <c r="F83" s="88" t="s">
        <v>743</v>
      </c>
      <c r="G83" s="45" t="s">
        <v>744</v>
      </c>
      <c r="H83" s="7">
        <f t="shared" si="1"/>
        <v>116.99999999999999</v>
      </c>
      <c r="I83" s="7">
        <v>18.72</v>
      </c>
    </row>
    <row r="84" spans="1:9">
      <c r="A84" t="s">
        <v>678</v>
      </c>
      <c r="B84" s="1">
        <v>42369</v>
      </c>
      <c r="C84" t="s">
        <v>3147</v>
      </c>
      <c r="D84">
        <v>1</v>
      </c>
      <c r="E84" t="s">
        <v>7089</v>
      </c>
      <c r="F84" s="114" t="s">
        <v>1552</v>
      </c>
      <c r="G84" s="114" t="s">
        <v>3666</v>
      </c>
      <c r="H84" s="7">
        <f t="shared" si="1"/>
        <v>900</v>
      </c>
      <c r="I84" s="7">
        <v>144</v>
      </c>
    </row>
    <row r="85" spans="1:9">
      <c r="A85" t="s">
        <v>7047</v>
      </c>
      <c r="B85" s="1">
        <v>42369</v>
      </c>
      <c r="C85" t="s">
        <v>7048</v>
      </c>
      <c r="D85">
        <v>1</v>
      </c>
      <c r="E85" t="s">
        <v>7049</v>
      </c>
      <c r="F85" s="88" t="s">
        <v>733</v>
      </c>
      <c r="G85" s="107" t="s">
        <v>734</v>
      </c>
      <c r="H85" s="7">
        <f t="shared" si="1"/>
        <v>913.8125</v>
      </c>
      <c r="I85" s="7">
        <v>146.21</v>
      </c>
    </row>
    <row r="86" spans="1:9">
      <c r="A86" t="s">
        <v>7083</v>
      </c>
      <c r="B86" s="1">
        <v>42369</v>
      </c>
      <c r="C86" t="s">
        <v>6230</v>
      </c>
      <c r="D86">
        <v>1</v>
      </c>
      <c r="E86" t="s">
        <v>7084</v>
      </c>
      <c r="F86" s="88" t="s">
        <v>739</v>
      </c>
      <c r="G86" s="45" t="s">
        <v>740</v>
      </c>
      <c r="H86" s="7">
        <f t="shared" si="1"/>
        <v>12798.625</v>
      </c>
      <c r="I86" s="7">
        <v>2047.78</v>
      </c>
    </row>
    <row r="87" spans="1:9">
      <c r="A87" t="s">
        <v>3109</v>
      </c>
      <c r="B87" s="1">
        <v>42339</v>
      </c>
      <c r="C87" t="s">
        <v>6943</v>
      </c>
      <c r="D87">
        <v>1</v>
      </c>
      <c r="E87" t="s">
        <v>428</v>
      </c>
      <c r="F87" s="17" t="s">
        <v>790</v>
      </c>
      <c r="G87" t="s">
        <v>428</v>
      </c>
      <c r="H87" s="7">
        <f t="shared" si="1"/>
        <v>4318.0625</v>
      </c>
      <c r="I87" s="7">
        <v>690.89</v>
      </c>
    </row>
    <row r="88" spans="1:9">
      <c r="A88" t="s">
        <v>3117</v>
      </c>
      <c r="B88" s="1">
        <v>42341</v>
      </c>
      <c r="C88" t="s">
        <v>6946</v>
      </c>
      <c r="D88">
        <v>1</v>
      </c>
      <c r="E88" t="s">
        <v>428</v>
      </c>
      <c r="F88" s="17" t="s">
        <v>790</v>
      </c>
      <c r="G88" s="2" t="s">
        <v>428</v>
      </c>
      <c r="H88" s="7">
        <f t="shared" si="1"/>
        <v>365.9375</v>
      </c>
      <c r="I88" s="7">
        <v>58.55</v>
      </c>
    </row>
    <row r="89" spans="1:9">
      <c r="A89" t="s">
        <v>2585</v>
      </c>
      <c r="B89" s="1">
        <v>42342</v>
      </c>
      <c r="C89" t="s">
        <v>6947</v>
      </c>
      <c r="D89">
        <v>1</v>
      </c>
      <c r="E89" t="s">
        <v>428</v>
      </c>
      <c r="F89" s="17" t="s">
        <v>790</v>
      </c>
      <c r="G89" s="2" t="s">
        <v>428</v>
      </c>
      <c r="H89" s="7">
        <f t="shared" si="1"/>
        <v>243620.68749999997</v>
      </c>
      <c r="I89" s="7">
        <v>38979.31</v>
      </c>
    </row>
    <row r="90" spans="1:9">
      <c r="A90" t="s">
        <v>3124</v>
      </c>
      <c r="B90" s="1">
        <v>42342</v>
      </c>
      <c r="C90" t="s">
        <v>6949</v>
      </c>
      <c r="D90">
        <v>1</v>
      </c>
      <c r="E90" t="s">
        <v>428</v>
      </c>
      <c r="F90" s="17" t="s">
        <v>790</v>
      </c>
      <c r="G90" t="s">
        <v>428</v>
      </c>
      <c r="H90" s="7">
        <f t="shared" si="1"/>
        <v>116131.6875</v>
      </c>
      <c r="I90" s="7">
        <v>18581.07</v>
      </c>
    </row>
    <row r="91" spans="1:9">
      <c r="A91" t="s">
        <v>2589</v>
      </c>
      <c r="B91" s="1">
        <v>42345</v>
      </c>
      <c r="C91" t="s">
        <v>6952</v>
      </c>
      <c r="D91">
        <v>1</v>
      </c>
      <c r="E91" t="s">
        <v>428</v>
      </c>
      <c r="F91" s="17" t="s">
        <v>790</v>
      </c>
      <c r="G91" t="s">
        <v>428</v>
      </c>
      <c r="H91" s="7">
        <f t="shared" si="1"/>
        <v>5285.9375</v>
      </c>
      <c r="I91" s="7">
        <v>845.75</v>
      </c>
    </row>
    <row r="92" spans="1:9">
      <c r="A92" t="s">
        <v>669</v>
      </c>
      <c r="B92" s="1">
        <v>42345</v>
      </c>
      <c r="C92" t="s">
        <v>7078</v>
      </c>
      <c r="D92">
        <v>1</v>
      </c>
      <c r="E92" t="s">
        <v>428</v>
      </c>
      <c r="F92" s="17" t="s">
        <v>790</v>
      </c>
      <c r="G92" t="s">
        <v>428</v>
      </c>
      <c r="H92" s="7">
        <f t="shared" si="1"/>
        <v>39577.375</v>
      </c>
      <c r="I92" s="7">
        <v>6332.38</v>
      </c>
    </row>
    <row r="93" spans="1:9">
      <c r="A93" t="s">
        <v>3154</v>
      </c>
      <c r="B93" s="1">
        <v>42348</v>
      </c>
      <c r="C93" t="s">
        <v>6982</v>
      </c>
      <c r="D93">
        <v>1</v>
      </c>
      <c r="E93" t="s">
        <v>428</v>
      </c>
      <c r="F93" s="17" t="s">
        <v>790</v>
      </c>
      <c r="G93" s="2" t="s">
        <v>428</v>
      </c>
      <c r="H93" s="7">
        <f t="shared" si="1"/>
        <v>28328.1875</v>
      </c>
      <c r="I93" s="7">
        <v>4532.51</v>
      </c>
    </row>
    <row r="94" spans="1:9">
      <c r="A94" t="s">
        <v>2110</v>
      </c>
      <c r="B94" s="1">
        <v>42349</v>
      </c>
      <c r="C94" t="s">
        <v>6983</v>
      </c>
      <c r="D94">
        <v>1</v>
      </c>
      <c r="E94" t="s">
        <v>428</v>
      </c>
      <c r="F94" s="17" t="s">
        <v>790</v>
      </c>
      <c r="G94" s="2" t="s">
        <v>428</v>
      </c>
      <c r="H94" s="7">
        <f t="shared" si="1"/>
        <v>91955.5625</v>
      </c>
      <c r="I94" s="7">
        <v>14712.89</v>
      </c>
    </row>
    <row r="95" spans="1:9">
      <c r="A95" t="s">
        <v>2112</v>
      </c>
      <c r="B95" s="1">
        <v>42349</v>
      </c>
      <c r="C95" t="s">
        <v>6984</v>
      </c>
      <c r="D95">
        <v>1</v>
      </c>
      <c r="E95" t="s">
        <v>428</v>
      </c>
      <c r="F95" s="17" t="s">
        <v>790</v>
      </c>
      <c r="G95" s="2" t="s">
        <v>428</v>
      </c>
      <c r="H95" s="7">
        <f t="shared" si="1"/>
        <v>36963.6875</v>
      </c>
      <c r="I95" s="7">
        <v>5914.19</v>
      </c>
    </row>
    <row r="96" spans="1:9">
      <c r="A96" t="s">
        <v>2125</v>
      </c>
      <c r="B96" s="1">
        <v>42352</v>
      </c>
      <c r="C96" t="s">
        <v>6985</v>
      </c>
      <c r="D96">
        <v>1</v>
      </c>
      <c r="E96" t="s">
        <v>428</v>
      </c>
      <c r="F96" s="17" t="s">
        <v>790</v>
      </c>
      <c r="G96" s="2" t="s">
        <v>428</v>
      </c>
      <c r="H96" s="7">
        <f t="shared" si="1"/>
        <v>477671.8125</v>
      </c>
      <c r="I96" s="7">
        <v>76427.490000000005</v>
      </c>
    </row>
    <row r="97" spans="1:9">
      <c r="A97" t="s">
        <v>1379</v>
      </c>
      <c r="B97" s="1">
        <v>42352</v>
      </c>
      <c r="C97" t="s">
        <v>6986</v>
      </c>
      <c r="D97">
        <v>1</v>
      </c>
      <c r="E97" t="s">
        <v>428</v>
      </c>
      <c r="F97" s="17" t="s">
        <v>790</v>
      </c>
      <c r="G97" t="s">
        <v>428</v>
      </c>
      <c r="H97" s="7">
        <f t="shared" si="1"/>
        <v>14334.8125</v>
      </c>
      <c r="I97" s="7">
        <v>2293.5700000000002</v>
      </c>
    </row>
    <row r="98" spans="1:9">
      <c r="A98" t="s">
        <v>523</v>
      </c>
      <c r="B98" s="1">
        <v>42355</v>
      </c>
      <c r="C98" t="s">
        <v>7011</v>
      </c>
      <c r="D98">
        <v>1</v>
      </c>
      <c r="E98" t="s">
        <v>428</v>
      </c>
      <c r="F98" s="17" t="s">
        <v>790</v>
      </c>
      <c r="G98" s="2" t="s">
        <v>428</v>
      </c>
      <c r="H98" s="7">
        <f t="shared" si="1"/>
        <v>30797.4375</v>
      </c>
      <c r="I98" s="7">
        <v>4927.59</v>
      </c>
    </row>
    <row r="99" spans="1:9">
      <c r="A99" t="s">
        <v>1440</v>
      </c>
      <c r="B99" s="1">
        <v>42356</v>
      </c>
      <c r="C99" t="s">
        <v>7016</v>
      </c>
      <c r="D99">
        <v>1</v>
      </c>
      <c r="E99" t="s">
        <v>428</v>
      </c>
      <c r="F99" s="17" t="s">
        <v>790</v>
      </c>
      <c r="G99" t="s">
        <v>428</v>
      </c>
      <c r="H99" s="7">
        <f t="shared" si="1"/>
        <v>131378.8125</v>
      </c>
      <c r="I99" s="7">
        <v>21020.61</v>
      </c>
    </row>
    <row r="100" spans="1:9">
      <c r="A100" t="s">
        <v>1453</v>
      </c>
      <c r="B100" s="1">
        <v>42356</v>
      </c>
      <c r="C100" t="s">
        <v>7018</v>
      </c>
      <c r="D100">
        <v>1</v>
      </c>
      <c r="E100" t="s">
        <v>428</v>
      </c>
      <c r="F100" s="17" t="s">
        <v>790</v>
      </c>
      <c r="G100" t="s">
        <v>428</v>
      </c>
      <c r="H100" s="7">
        <f t="shared" si="1"/>
        <v>43103.4375</v>
      </c>
      <c r="I100" s="7">
        <v>6896.55</v>
      </c>
    </row>
    <row r="101" spans="1:9">
      <c r="A101" t="s">
        <v>1456</v>
      </c>
      <c r="B101" s="1">
        <v>42356</v>
      </c>
      <c r="C101" t="s">
        <v>7019</v>
      </c>
      <c r="D101">
        <v>1</v>
      </c>
      <c r="E101" t="s">
        <v>428</v>
      </c>
      <c r="F101" s="17" t="s">
        <v>790</v>
      </c>
      <c r="G101" s="2" t="s">
        <v>428</v>
      </c>
      <c r="H101" s="7">
        <f t="shared" si="1"/>
        <v>6225.3749999999991</v>
      </c>
      <c r="I101" s="7">
        <v>996.06</v>
      </c>
    </row>
    <row r="102" spans="1:9">
      <c r="A102" t="s">
        <v>548</v>
      </c>
      <c r="B102" s="1">
        <v>42356</v>
      </c>
      <c r="C102" t="s">
        <v>7020</v>
      </c>
      <c r="D102">
        <v>1</v>
      </c>
      <c r="E102" t="s">
        <v>428</v>
      </c>
      <c r="F102" s="17" t="s">
        <v>790</v>
      </c>
      <c r="G102" s="2" t="s">
        <v>428</v>
      </c>
      <c r="H102" s="7">
        <f t="shared" si="1"/>
        <v>251517.12499999997</v>
      </c>
      <c r="I102" s="7">
        <v>40242.74</v>
      </c>
    </row>
    <row r="103" spans="1:9">
      <c r="A103" t="s">
        <v>549</v>
      </c>
      <c r="B103" s="1">
        <v>42356</v>
      </c>
      <c r="C103" t="s">
        <v>7021</v>
      </c>
      <c r="D103">
        <v>1</v>
      </c>
      <c r="E103" t="s">
        <v>428</v>
      </c>
      <c r="F103" s="17" t="s">
        <v>790</v>
      </c>
      <c r="G103" s="2" t="s">
        <v>428</v>
      </c>
      <c r="H103" s="7">
        <f t="shared" si="1"/>
        <v>222719.99999999997</v>
      </c>
      <c r="I103" s="7">
        <v>35635.199999999997</v>
      </c>
    </row>
    <row r="104" spans="1:9">
      <c r="A104" t="s">
        <v>1483</v>
      </c>
      <c r="B104" s="1">
        <v>42366</v>
      </c>
      <c r="C104" t="s">
        <v>7029</v>
      </c>
      <c r="D104">
        <v>1</v>
      </c>
      <c r="E104" t="s">
        <v>428</v>
      </c>
      <c r="F104" s="17" t="s">
        <v>790</v>
      </c>
      <c r="G104" s="2" t="s">
        <v>428</v>
      </c>
      <c r="H104" s="7">
        <f t="shared" si="1"/>
        <v>5158</v>
      </c>
      <c r="I104" s="7">
        <v>825.28</v>
      </c>
    </row>
    <row r="105" spans="1:9">
      <c r="A105" t="s">
        <v>1515</v>
      </c>
      <c r="B105" s="1">
        <v>42368</v>
      </c>
      <c r="C105" t="s">
        <v>7040</v>
      </c>
      <c r="D105">
        <v>1</v>
      </c>
      <c r="E105" t="s">
        <v>428</v>
      </c>
      <c r="F105" s="17" t="s">
        <v>790</v>
      </c>
      <c r="G105" t="s">
        <v>428</v>
      </c>
      <c r="H105" s="7">
        <f t="shared" si="1"/>
        <v>87500</v>
      </c>
      <c r="I105" s="7">
        <v>14000</v>
      </c>
    </row>
    <row r="106" spans="1:9">
      <c r="A106" t="s">
        <v>595</v>
      </c>
      <c r="B106" s="1">
        <v>42368</v>
      </c>
      <c r="C106" t="s">
        <v>7034</v>
      </c>
      <c r="D106">
        <v>1</v>
      </c>
      <c r="E106" t="s">
        <v>428</v>
      </c>
      <c r="F106" s="17" t="s">
        <v>790</v>
      </c>
      <c r="G106" t="s">
        <v>428</v>
      </c>
      <c r="H106" s="7">
        <f t="shared" si="1"/>
        <v>5190.25</v>
      </c>
      <c r="I106" s="7">
        <v>830.44</v>
      </c>
    </row>
    <row r="107" spans="1:9">
      <c r="A107" t="s">
        <v>597</v>
      </c>
      <c r="B107" s="1">
        <v>42368</v>
      </c>
      <c r="C107" t="s">
        <v>7035</v>
      </c>
      <c r="D107">
        <v>1</v>
      </c>
      <c r="E107" t="s">
        <v>428</v>
      </c>
      <c r="F107" s="17" t="s">
        <v>790</v>
      </c>
      <c r="G107" t="s">
        <v>428</v>
      </c>
      <c r="H107" s="7">
        <f t="shared" si="1"/>
        <v>365.9375</v>
      </c>
      <c r="I107" s="7">
        <v>58.55</v>
      </c>
    </row>
    <row r="108" spans="1:9">
      <c r="A108" t="s">
        <v>7036</v>
      </c>
      <c r="B108" s="1">
        <v>42368</v>
      </c>
      <c r="C108" t="s">
        <v>7037</v>
      </c>
      <c r="D108">
        <v>1</v>
      </c>
      <c r="E108" t="s">
        <v>428</v>
      </c>
      <c r="F108" s="17" t="s">
        <v>790</v>
      </c>
      <c r="G108" t="s">
        <v>428</v>
      </c>
      <c r="H108" s="7">
        <f t="shared" si="1"/>
        <v>4693.25</v>
      </c>
      <c r="I108" s="7">
        <v>750.92</v>
      </c>
    </row>
    <row r="109" spans="1:9">
      <c r="A109" t="s">
        <v>7038</v>
      </c>
      <c r="B109" s="1">
        <v>42368</v>
      </c>
      <c r="C109" t="s">
        <v>7039</v>
      </c>
      <c r="D109">
        <v>1</v>
      </c>
      <c r="E109" t="s">
        <v>428</v>
      </c>
      <c r="F109" s="17" t="s">
        <v>790</v>
      </c>
      <c r="G109" t="s">
        <v>428</v>
      </c>
      <c r="H109" s="7">
        <f t="shared" si="1"/>
        <v>340283.875</v>
      </c>
      <c r="I109" s="7">
        <v>54445.42</v>
      </c>
    </row>
    <row r="110" spans="1:9">
      <c r="A110" t="s">
        <v>599</v>
      </c>
      <c r="B110" s="1">
        <v>42368</v>
      </c>
      <c r="C110" t="s">
        <v>7041</v>
      </c>
      <c r="D110">
        <v>1</v>
      </c>
      <c r="E110" t="s">
        <v>428</v>
      </c>
      <c r="F110" s="17" t="s">
        <v>790</v>
      </c>
      <c r="G110" t="s">
        <v>428</v>
      </c>
      <c r="H110" s="7">
        <f t="shared" si="1"/>
        <v>358528.1875</v>
      </c>
      <c r="I110" s="7">
        <v>57364.51</v>
      </c>
    </row>
    <row r="111" spans="1:9">
      <c r="A111" t="s">
        <v>571</v>
      </c>
      <c r="B111" s="1">
        <v>42367</v>
      </c>
      <c r="C111" t="s">
        <v>7033</v>
      </c>
      <c r="D111">
        <v>1</v>
      </c>
      <c r="E111" t="s">
        <v>428</v>
      </c>
      <c r="F111" s="17" t="s">
        <v>790</v>
      </c>
      <c r="G111" t="s">
        <v>428</v>
      </c>
      <c r="H111" s="7">
        <f t="shared" si="1"/>
        <v>3900.5625</v>
      </c>
      <c r="I111" s="7">
        <v>624.09</v>
      </c>
    </row>
    <row r="112" spans="1:9">
      <c r="A112" t="s">
        <v>1477</v>
      </c>
      <c r="B112" s="1">
        <v>42360</v>
      </c>
      <c r="C112" t="s">
        <v>7027</v>
      </c>
      <c r="D112">
        <v>1</v>
      </c>
      <c r="E112" t="s">
        <v>428</v>
      </c>
      <c r="F112" s="17" t="s">
        <v>790</v>
      </c>
      <c r="G112" s="2" t="s">
        <v>428</v>
      </c>
      <c r="H112" s="7">
        <f t="shared" si="1"/>
        <v>4318.0625</v>
      </c>
      <c r="I112" s="7">
        <v>690.89</v>
      </c>
    </row>
    <row r="113" spans="1:9">
      <c r="A113" t="s">
        <v>566</v>
      </c>
      <c r="B113" s="1">
        <v>42361</v>
      </c>
      <c r="C113" t="s">
        <v>7031</v>
      </c>
      <c r="D113">
        <v>1</v>
      </c>
      <c r="E113" t="s">
        <v>428</v>
      </c>
      <c r="F113" s="17" t="s">
        <v>790</v>
      </c>
      <c r="G113" s="2" t="s">
        <v>428</v>
      </c>
      <c r="H113" s="7">
        <f t="shared" si="1"/>
        <v>11014.875</v>
      </c>
      <c r="I113" s="7">
        <v>1762.38</v>
      </c>
    </row>
    <row r="114" spans="1:9">
      <c r="A114" t="s">
        <v>2180</v>
      </c>
      <c r="B114" s="1">
        <v>42361</v>
      </c>
      <c r="C114" t="s">
        <v>7032</v>
      </c>
      <c r="D114">
        <v>1</v>
      </c>
      <c r="E114" t="s">
        <v>428</v>
      </c>
      <c r="F114" s="17" t="s">
        <v>790</v>
      </c>
      <c r="G114" s="2" t="s">
        <v>428</v>
      </c>
      <c r="H114" s="7">
        <f t="shared" si="1"/>
        <v>194132</v>
      </c>
      <c r="I114" s="7">
        <v>31061.119999999999</v>
      </c>
    </row>
    <row r="115" spans="1:9">
      <c r="A115" t="s">
        <v>1451</v>
      </c>
      <c r="B115" s="1">
        <v>42356</v>
      </c>
      <c r="C115" t="s">
        <v>7017</v>
      </c>
      <c r="D115">
        <v>1</v>
      </c>
      <c r="E115" t="s">
        <v>428</v>
      </c>
      <c r="F115" s="17" t="s">
        <v>790</v>
      </c>
      <c r="G115" s="2" t="s">
        <v>428</v>
      </c>
      <c r="H115" s="7">
        <f t="shared" si="1"/>
        <v>2266.0625</v>
      </c>
      <c r="I115" s="7">
        <v>362.57</v>
      </c>
    </row>
    <row r="116" spans="1:9">
      <c r="A116" t="s">
        <v>1370</v>
      </c>
      <c r="B116" s="1">
        <v>42346</v>
      </c>
      <c r="C116" t="s">
        <v>6973</v>
      </c>
      <c r="D116">
        <v>1</v>
      </c>
      <c r="E116" t="s">
        <v>428</v>
      </c>
      <c r="F116" s="17" t="s">
        <v>790</v>
      </c>
      <c r="G116" s="2" t="s">
        <v>428</v>
      </c>
      <c r="H116" s="7">
        <f t="shared" si="1"/>
        <v>4926.0625</v>
      </c>
      <c r="I116" s="7">
        <v>788.17</v>
      </c>
    </row>
    <row r="117" spans="1:9">
      <c r="A117" t="s">
        <v>1409</v>
      </c>
      <c r="B117" s="1">
        <v>42353</v>
      </c>
      <c r="C117" t="s">
        <v>6999</v>
      </c>
      <c r="D117">
        <v>1</v>
      </c>
      <c r="E117" t="s">
        <v>6225</v>
      </c>
      <c r="F117" s="17" t="s">
        <v>6254</v>
      </c>
      <c r="G117" t="s">
        <v>6225</v>
      </c>
      <c r="H117" s="7">
        <f t="shared" si="1"/>
        <v>6525</v>
      </c>
      <c r="I117" s="7">
        <v>1044</v>
      </c>
    </row>
    <row r="118" spans="1:9">
      <c r="A118" t="s">
        <v>1423</v>
      </c>
      <c r="B118" s="1">
        <v>42355</v>
      </c>
      <c r="C118" t="s">
        <v>7013</v>
      </c>
      <c r="D118">
        <v>1</v>
      </c>
      <c r="E118" t="s">
        <v>6225</v>
      </c>
      <c r="F118" s="2" t="s">
        <v>6254</v>
      </c>
      <c r="G118" s="2" t="s">
        <v>6225</v>
      </c>
      <c r="H118" s="7">
        <f t="shared" si="1"/>
        <v>11450</v>
      </c>
      <c r="I118" s="7">
        <v>1832</v>
      </c>
    </row>
    <row r="119" spans="1:9">
      <c r="A119" t="s">
        <v>3292</v>
      </c>
      <c r="B119" s="1">
        <v>42347</v>
      </c>
      <c r="C119" t="s">
        <v>6344</v>
      </c>
      <c r="D119">
        <v>1</v>
      </c>
      <c r="E119" t="s">
        <v>5862</v>
      </c>
      <c r="F119" t="s">
        <v>791</v>
      </c>
      <c r="G119" t="s">
        <v>3222</v>
      </c>
      <c r="H119" s="7">
        <f t="shared" si="1"/>
        <v>233308.125</v>
      </c>
      <c r="I119" s="7">
        <v>37329.300000000003</v>
      </c>
    </row>
    <row r="120" spans="1:9">
      <c r="A120" t="s">
        <v>6313</v>
      </c>
      <c r="B120" s="1">
        <v>42343</v>
      </c>
      <c r="C120" t="s">
        <v>6314</v>
      </c>
      <c r="D120">
        <v>1</v>
      </c>
      <c r="E120" t="s">
        <v>6315</v>
      </c>
      <c r="F120" t="s">
        <v>791</v>
      </c>
      <c r="G120" t="s">
        <v>3222</v>
      </c>
      <c r="H120" s="7">
        <f t="shared" si="1"/>
        <v>213304.62499999997</v>
      </c>
      <c r="I120" s="7">
        <v>34128.74</v>
      </c>
    </row>
    <row r="121" spans="1:9">
      <c r="A121" t="s">
        <v>6375</v>
      </c>
      <c r="B121" s="1">
        <v>42352</v>
      </c>
      <c r="C121" t="s">
        <v>6376</v>
      </c>
      <c r="D121">
        <v>1</v>
      </c>
      <c r="E121" t="s">
        <v>3333</v>
      </c>
      <c r="F121" t="s">
        <v>791</v>
      </c>
      <c r="G121" t="s">
        <v>3222</v>
      </c>
      <c r="H121" s="7">
        <f t="shared" si="1"/>
        <v>266828.3125</v>
      </c>
      <c r="I121" s="7">
        <v>42692.53</v>
      </c>
    </row>
    <row r="122" spans="1:9">
      <c r="A122" t="s">
        <v>3049</v>
      </c>
      <c r="B122" s="1">
        <v>42361</v>
      </c>
      <c r="C122" t="s">
        <v>6462</v>
      </c>
      <c r="D122">
        <v>1</v>
      </c>
      <c r="E122" t="s">
        <v>6383</v>
      </c>
      <c r="F122" t="s">
        <v>791</v>
      </c>
      <c r="G122" t="s">
        <v>3222</v>
      </c>
      <c r="H122" s="7">
        <f t="shared" si="1"/>
        <v>233308.125</v>
      </c>
      <c r="I122" s="7">
        <v>37329.300000000003</v>
      </c>
    </row>
    <row r="123" spans="1:9">
      <c r="A123" t="s">
        <v>1197</v>
      </c>
      <c r="B123" s="1">
        <v>42361</v>
      </c>
      <c r="C123" t="s">
        <v>6459</v>
      </c>
      <c r="D123">
        <v>1</v>
      </c>
      <c r="E123" t="s">
        <v>6460</v>
      </c>
      <c r="F123" t="s">
        <v>791</v>
      </c>
      <c r="G123" t="s">
        <v>3222</v>
      </c>
      <c r="H123" s="7">
        <f t="shared" si="1"/>
        <v>186525.875</v>
      </c>
      <c r="I123" s="7">
        <v>29844.14</v>
      </c>
    </row>
    <row r="124" spans="1:9">
      <c r="A124" t="s">
        <v>6330</v>
      </c>
      <c r="B124" s="1">
        <v>42345</v>
      </c>
      <c r="C124" t="s">
        <v>6312</v>
      </c>
      <c r="D124">
        <v>1</v>
      </c>
      <c r="E124" t="s">
        <v>6331</v>
      </c>
      <c r="F124" t="s">
        <v>791</v>
      </c>
      <c r="G124" t="s">
        <v>3222</v>
      </c>
      <c r="H124" s="7">
        <f t="shared" si="1"/>
        <v>242464.43749999997</v>
      </c>
      <c r="I124" s="7">
        <v>38794.31</v>
      </c>
    </row>
    <row r="125" spans="1:9">
      <c r="A125" t="s">
        <v>6493</v>
      </c>
      <c r="B125" s="1">
        <v>42367</v>
      </c>
      <c r="C125" t="s">
        <v>6494</v>
      </c>
      <c r="D125">
        <v>1</v>
      </c>
      <c r="E125" t="s">
        <v>2806</v>
      </c>
      <c r="F125" t="s">
        <v>791</v>
      </c>
      <c r="G125" t="s">
        <v>3222</v>
      </c>
      <c r="H125" s="7">
        <f t="shared" si="1"/>
        <v>206605.24999999997</v>
      </c>
      <c r="I125" s="7">
        <v>33056.839999999997</v>
      </c>
    </row>
    <row r="126" spans="1:9">
      <c r="A126" t="s">
        <v>6384</v>
      </c>
      <c r="B126" s="1">
        <v>42353</v>
      </c>
      <c r="C126" t="s">
        <v>6385</v>
      </c>
      <c r="D126">
        <v>1</v>
      </c>
      <c r="E126" t="s">
        <v>2806</v>
      </c>
      <c r="F126" t="s">
        <v>791</v>
      </c>
      <c r="G126" t="s">
        <v>3222</v>
      </c>
      <c r="H126" s="7">
        <f t="shared" si="1"/>
        <v>305586.1875</v>
      </c>
      <c r="I126" s="7">
        <v>48893.79</v>
      </c>
    </row>
    <row r="127" spans="1:9">
      <c r="A127" t="s">
        <v>2083</v>
      </c>
      <c r="B127" s="1">
        <v>42346</v>
      </c>
      <c r="C127" t="s">
        <v>6980</v>
      </c>
      <c r="D127">
        <v>1</v>
      </c>
      <c r="E127" t="s">
        <v>638</v>
      </c>
      <c r="F127" s="36" t="s">
        <v>795</v>
      </c>
      <c r="G127" s="2" t="s">
        <v>638</v>
      </c>
      <c r="H127" s="7">
        <f t="shared" si="1"/>
        <v>139862.125</v>
      </c>
      <c r="I127" s="7">
        <v>22377.94</v>
      </c>
    </row>
    <row r="128" spans="1:9">
      <c r="A128" t="s">
        <v>6786</v>
      </c>
      <c r="B128" s="1">
        <v>42369</v>
      </c>
      <c r="C128" t="s">
        <v>6787</v>
      </c>
      <c r="D128">
        <v>1</v>
      </c>
      <c r="E128" t="s">
        <v>1558</v>
      </c>
      <c r="F128" t="s">
        <v>1558</v>
      </c>
      <c r="G128" t="s">
        <v>7109</v>
      </c>
      <c r="H128" s="7">
        <f t="shared" si="1"/>
        <v>264.625</v>
      </c>
      <c r="I128" s="7">
        <v>42.34</v>
      </c>
    </row>
    <row r="129" spans="1:9">
      <c r="A129" t="s">
        <v>6780</v>
      </c>
      <c r="B129" s="1">
        <v>42369</v>
      </c>
      <c r="C129" t="s">
        <v>6781</v>
      </c>
      <c r="D129">
        <v>1</v>
      </c>
      <c r="E129" t="s">
        <v>1558</v>
      </c>
      <c r="F129" t="s">
        <v>1558</v>
      </c>
      <c r="G129" t="s">
        <v>7109</v>
      </c>
      <c r="H129" s="7">
        <f t="shared" si="1"/>
        <v>401.75</v>
      </c>
      <c r="I129" s="7">
        <v>64.28</v>
      </c>
    </row>
    <row r="130" spans="1:9">
      <c r="A130" t="s">
        <v>6577</v>
      </c>
      <c r="B130" s="1">
        <v>42369</v>
      </c>
      <c r="C130" t="s">
        <v>6578</v>
      </c>
      <c r="D130">
        <v>1</v>
      </c>
      <c r="E130" t="s">
        <v>3224</v>
      </c>
      <c r="F130" t="s">
        <v>3224</v>
      </c>
      <c r="G130" s="17" t="s">
        <v>3061</v>
      </c>
      <c r="H130" s="7">
        <f t="shared" si="1"/>
        <v>187.0625</v>
      </c>
      <c r="I130" s="7">
        <v>29.93</v>
      </c>
    </row>
    <row r="131" spans="1:9">
      <c r="A131" t="s">
        <v>6658</v>
      </c>
      <c r="B131" s="1">
        <v>42369</v>
      </c>
      <c r="C131" t="s">
        <v>6659</v>
      </c>
      <c r="D131">
        <v>1</v>
      </c>
      <c r="E131" t="s">
        <v>885</v>
      </c>
      <c r="F131" s="110" t="s">
        <v>885</v>
      </c>
      <c r="G131" s="110" t="s">
        <v>2251</v>
      </c>
      <c r="H131" s="7">
        <f t="shared" si="1"/>
        <v>125.81249999999999</v>
      </c>
      <c r="I131" s="7">
        <v>20.13</v>
      </c>
    </row>
    <row r="132" spans="1:9">
      <c r="A132" t="s">
        <v>6674</v>
      </c>
      <c r="B132" s="1">
        <v>42369</v>
      </c>
      <c r="C132" t="s">
        <v>6675</v>
      </c>
      <c r="D132">
        <v>1</v>
      </c>
      <c r="E132" t="s">
        <v>704</v>
      </c>
      <c r="F132" t="s">
        <v>704</v>
      </c>
      <c r="G132" s="17" t="s">
        <v>576</v>
      </c>
      <c r="H132" s="7">
        <f t="shared" si="1"/>
        <v>431.0625</v>
      </c>
      <c r="I132" s="7">
        <v>68.97</v>
      </c>
    </row>
    <row r="133" spans="1:9">
      <c r="A133" t="s">
        <v>6822</v>
      </c>
      <c r="B133" s="1">
        <v>42369</v>
      </c>
      <c r="C133" t="s">
        <v>6823</v>
      </c>
      <c r="D133">
        <v>1</v>
      </c>
      <c r="E133" t="s">
        <v>704</v>
      </c>
      <c r="F133" t="s">
        <v>704</v>
      </c>
      <c r="G133" s="17" t="s">
        <v>576</v>
      </c>
      <c r="H133" s="7">
        <f t="shared" si="1"/>
        <v>215.49999999999997</v>
      </c>
      <c r="I133" s="7">
        <v>34.479999999999997</v>
      </c>
    </row>
    <row r="134" spans="1:9">
      <c r="A134" t="s">
        <v>6565</v>
      </c>
      <c r="B134" s="1">
        <v>42369</v>
      </c>
      <c r="C134" t="s">
        <v>6566</v>
      </c>
      <c r="D134">
        <v>1</v>
      </c>
      <c r="E134" t="s">
        <v>704</v>
      </c>
      <c r="F134" t="s">
        <v>704</v>
      </c>
      <c r="G134" s="17" t="s">
        <v>576</v>
      </c>
      <c r="H134" s="7">
        <f t="shared" si="1"/>
        <v>215.49999999999997</v>
      </c>
      <c r="I134" s="7">
        <v>34.479999999999997</v>
      </c>
    </row>
    <row r="135" spans="1:9">
      <c r="A135" t="s">
        <v>6672</v>
      </c>
      <c r="B135" s="1">
        <v>42369</v>
      </c>
      <c r="C135" t="s">
        <v>6673</v>
      </c>
      <c r="D135">
        <v>1</v>
      </c>
      <c r="E135" t="s">
        <v>704</v>
      </c>
      <c r="F135" t="s">
        <v>704</v>
      </c>
      <c r="G135" s="17" t="s">
        <v>576</v>
      </c>
      <c r="H135" s="7">
        <f t="shared" si="1"/>
        <v>215.49999999999997</v>
      </c>
      <c r="I135" s="7">
        <v>34.479999999999997</v>
      </c>
    </row>
    <row r="136" spans="1:9">
      <c r="A136" t="s">
        <v>6808</v>
      </c>
      <c r="B136" s="1">
        <v>42369</v>
      </c>
      <c r="C136" t="s">
        <v>6809</v>
      </c>
      <c r="D136">
        <v>1</v>
      </c>
      <c r="E136" t="s">
        <v>704</v>
      </c>
      <c r="F136" t="s">
        <v>704</v>
      </c>
      <c r="G136" s="17" t="s">
        <v>576</v>
      </c>
      <c r="H136" s="7">
        <f t="shared" ref="H136:H199" si="2">+I136/0.16</f>
        <v>215.49999999999997</v>
      </c>
      <c r="I136" s="7">
        <v>34.479999999999997</v>
      </c>
    </row>
    <row r="137" spans="1:9">
      <c r="A137" t="s">
        <v>6804</v>
      </c>
      <c r="B137" s="1">
        <v>42369</v>
      </c>
      <c r="C137" t="s">
        <v>6805</v>
      </c>
      <c r="D137">
        <v>1</v>
      </c>
      <c r="E137" t="s">
        <v>704</v>
      </c>
      <c r="F137" t="s">
        <v>704</v>
      </c>
      <c r="G137" s="17" t="s">
        <v>576</v>
      </c>
      <c r="H137" s="7">
        <f t="shared" si="2"/>
        <v>215.49999999999997</v>
      </c>
      <c r="I137" s="7">
        <v>34.479999999999997</v>
      </c>
    </row>
    <row r="138" spans="1:9">
      <c r="A138" t="s">
        <v>6802</v>
      </c>
      <c r="B138" s="1">
        <v>42369</v>
      </c>
      <c r="C138" t="s">
        <v>6803</v>
      </c>
      <c r="D138">
        <v>1</v>
      </c>
      <c r="E138" t="s">
        <v>704</v>
      </c>
      <c r="F138" t="s">
        <v>704</v>
      </c>
      <c r="G138" s="17" t="s">
        <v>576</v>
      </c>
      <c r="H138" s="7">
        <f t="shared" si="2"/>
        <v>215.49999999999997</v>
      </c>
      <c r="I138" s="7">
        <v>34.479999999999997</v>
      </c>
    </row>
    <row r="139" spans="1:9">
      <c r="A139" t="s">
        <v>3787</v>
      </c>
      <c r="B139" s="1">
        <v>42355</v>
      </c>
      <c r="C139" t="s">
        <v>6411</v>
      </c>
      <c r="D139">
        <v>1</v>
      </c>
      <c r="E139" t="s">
        <v>6412</v>
      </c>
      <c r="F139" t="s">
        <v>797</v>
      </c>
      <c r="G139" t="s">
        <v>3669</v>
      </c>
      <c r="H139" s="7">
        <f t="shared" si="2"/>
        <v>158063.6875</v>
      </c>
      <c r="I139" s="7">
        <v>25290.19</v>
      </c>
    </row>
    <row r="140" spans="1:9">
      <c r="A140" t="s">
        <v>6415</v>
      </c>
      <c r="B140" s="1">
        <v>42355</v>
      </c>
      <c r="C140" t="s">
        <v>6416</v>
      </c>
      <c r="D140">
        <v>1</v>
      </c>
      <c r="E140" t="s">
        <v>6417</v>
      </c>
      <c r="F140" t="s">
        <v>797</v>
      </c>
      <c r="G140" t="s">
        <v>3669</v>
      </c>
      <c r="H140" s="7">
        <f t="shared" si="2"/>
        <v>243817.8125</v>
      </c>
      <c r="I140" s="7">
        <v>39010.85</v>
      </c>
    </row>
    <row r="141" spans="1:9">
      <c r="A141" t="s">
        <v>6799</v>
      </c>
      <c r="B141" s="1">
        <v>42369</v>
      </c>
      <c r="C141" t="s">
        <v>6800</v>
      </c>
      <c r="D141">
        <v>1</v>
      </c>
      <c r="E141" t="s">
        <v>6801</v>
      </c>
      <c r="F141" t="s">
        <v>6801</v>
      </c>
      <c r="G141" s="139" t="s">
        <v>7494</v>
      </c>
      <c r="H141" s="7">
        <f t="shared" si="2"/>
        <v>1066.8125</v>
      </c>
      <c r="I141" s="7">
        <v>170.69</v>
      </c>
    </row>
    <row r="142" spans="1:9">
      <c r="A142" t="s">
        <v>6594</v>
      </c>
      <c r="B142" s="1">
        <v>42369</v>
      </c>
      <c r="C142" t="s">
        <v>6595</v>
      </c>
      <c r="D142">
        <v>1</v>
      </c>
      <c r="E142" t="s">
        <v>1561</v>
      </c>
      <c r="F142" t="s">
        <v>1561</v>
      </c>
      <c r="G142" s="17" t="s">
        <v>1188</v>
      </c>
      <c r="H142" s="7">
        <f t="shared" si="2"/>
        <v>48.25</v>
      </c>
      <c r="I142" s="7">
        <v>7.72</v>
      </c>
    </row>
    <row r="143" spans="1:9">
      <c r="A143" t="s">
        <v>7098</v>
      </c>
      <c r="B143" s="1">
        <v>42359</v>
      </c>
      <c r="C143" t="s">
        <v>3545</v>
      </c>
      <c r="D143">
        <v>1</v>
      </c>
      <c r="E143" t="s">
        <v>7099</v>
      </c>
      <c r="F143" t="s">
        <v>799</v>
      </c>
      <c r="G143" t="s">
        <v>1361</v>
      </c>
      <c r="H143" s="7">
        <f t="shared" si="2"/>
        <v>1946.5625</v>
      </c>
      <c r="I143" s="7">
        <v>311.45</v>
      </c>
    </row>
    <row r="144" spans="1:9">
      <c r="A144" t="s">
        <v>527</v>
      </c>
      <c r="B144" s="1">
        <v>42355</v>
      </c>
      <c r="C144" t="s">
        <v>7012</v>
      </c>
      <c r="D144">
        <v>1</v>
      </c>
      <c r="E144" t="s">
        <v>6118</v>
      </c>
      <c r="F144" t="s">
        <v>6255</v>
      </c>
      <c r="G144" t="s">
        <v>6118</v>
      </c>
      <c r="H144" s="7">
        <f t="shared" si="2"/>
        <v>5041.375</v>
      </c>
      <c r="I144" s="7">
        <v>806.62</v>
      </c>
    </row>
    <row r="145" spans="1:11">
      <c r="A145" t="s">
        <v>191</v>
      </c>
      <c r="B145" s="1">
        <v>42361</v>
      </c>
      <c r="C145" t="s">
        <v>6461</v>
      </c>
      <c r="D145">
        <v>1</v>
      </c>
      <c r="E145" t="s">
        <v>5780</v>
      </c>
      <c r="F145" t="s">
        <v>6256</v>
      </c>
      <c r="G145" t="s">
        <v>6257</v>
      </c>
      <c r="H145" s="7">
        <f t="shared" si="2"/>
        <v>213304.62499999997</v>
      </c>
      <c r="I145" s="7">
        <v>34128.74</v>
      </c>
    </row>
    <row r="146" spans="1:11">
      <c r="A146" t="s">
        <v>2528</v>
      </c>
      <c r="B146" s="1">
        <v>42360</v>
      </c>
      <c r="C146" t="s">
        <v>6448</v>
      </c>
      <c r="D146">
        <v>1</v>
      </c>
      <c r="E146" t="s">
        <v>6449</v>
      </c>
      <c r="F146" t="s">
        <v>6256</v>
      </c>
      <c r="G146" t="s">
        <v>6257</v>
      </c>
      <c r="H146" s="7">
        <f t="shared" si="2"/>
        <v>243817.8125</v>
      </c>
      <c r="I146" s="7">
        <v>39010.85</v>
      </c>
    </row>
    <row r="147" spans="1:11">
      <c r="A147" t="s">
        <v>6814</v>
      </c>
      <c r="B147" s="1">
        <v>42369</v>
      </c>
      <c r="C147" t="s">
        <v>6815</v>
      </c>
      <c r="D147">
        <v>1</v>
      </c>
      <c r="E147" t="s">
        <v>805</v>
      </c>
      <c r="F147" t="s">
        <v>805</v>
      </c>
      <c r="G147" s="115" t="s">
        <v>2385</v>
      </c>
      <c r="H147" s="7">
        <f t="shared" si="2"/>
        <v>310.6875</v>
      </c>
      <c r="I147" s="7">
        <v>49.71</v>
      </c>
    </row>
    <row r="148" spans="1:11">
      <c r="A148" t="s">
        <v>6670</v>
      </c>
      <c r="B148" s="1">
        <v>42369</v>
      </c>
      <c r="C148" t="s">
        <v>6671</v>
      </c>
      <c r="D148">
        <v>1</v>
      </c>
      <c r="E148" t="s">
        <v>805</v>
      </c>
      <c r="F148" s="92" t="s">
        <v>805</v>
      </c>
      <c r="G148" s="115" t="s">
        <v>2385</v>
      </c>
      <c r="H148" s="7">
        <f t="shared" si="2"/>
        <v>312.5</v>
      </c>
      <c r="I148" s="7">
        <v>50</v>
      </c>
    </row>
    <row r="149" spans="1:11">
      <c r="A149" t="s">
        <v>6666</v>
      </c>
      <c r="B149" s="1">
        <v>42369</v>
      </c>
      <c r="C149" t="s">
        <v>6667</v>
      </c>
      <c r="D149">
        <v>1</v>
      </c>
      <c r="E149" t="s">
        <v>805</v>
      </c>
      <c r="F149" s="92" t="s">
        <v>805</v>
      </c>
      <c r="G149" s="115" t="s">
        <v>2385</v>
      </c>
      <c r="H149" s="7">
        <f t="shared" si="2"/>
        <v>312.5</v>
      </c>
      <c r="I149" s="7">
        <v>50</v>
      </c>
    </row>
    <row r="150" spans="1:11" s="155" customFormat="1">
      <c r="A150" s="155" t="s">
        <v>6637</v>
      </c>
      <c r="B150" s="156">
        <v>42369</v>
      </c>
      <c r="C150" s="155" t="s">
        <v>6638</v>
      </c>
      <c r="D150" s="155">
        <v>1</v>
      </c>
      <c r="E150" s="155" t="s">
        <v>6639</v>
      </c>
      <c r="F150" s="157" t="s">
        <v>722</v>
      </c>
      <c r="G150" s="158" t="s">
        <v>5693</v>
      </c>
      <c r="H150" s="7">
        <f t="shared" si="2"/>
        <v>86.187499999999986</v>
      </c>
      <c r="I150" s="159">
        <v>13.79</v>
      </c>
      <c r="J150" s="159"/>
      <c r="K150" s="159"/>
    </row>
    <row r="151" spans="1:11" s="155" customFormat="1">
      <c r="A151" s="155" t="s">
        <v>1311</v>
      </c>
      <c r="B151" s="156">
        <v>42364</v>
      </c>
      <c r="C151" s="155" t="s">
        <v>6464</v>
      </c>
      <c r="D151" s="155">
        <v>1</v>
      </c>
      <c r="E151" s="155" t="s">
        <v>5330</v>
      </c>
      <c r="F151" s="157" t="s">
        <v>722</v>
      </c>
      <c r="G151" s="158" t="s">
        <v>5693</v>
      </c>
      <c r="H151" s="7">
        <f t="shared" si="2"/>
        <v>305.1875</v>
      </c>
      <c r="I151" s="159">
        <v>48.83</v>
      </c>
      <c r="J151" s="159"/>
      <c r="K151" s="159"/>
    </row>
    <row r="152" spans="1:11" s="155" customFormat="1">
      <c r="A152" s="155" t="s">
        <v>6622</v>
      </c>
      <c r="B152" s="156">
        <v>42369</v>
      </c>
      <c r="C152" s="155" t="s">
        <v>6623</v>
      </c>
      <c r="D152" s="155">
        <v>1</v>
      </c>
      <c r="E152" s="155" t="s">
        <v>5330</v>
      </c>
      <c r="F152" s="157" t="s">
        <v>722</v>
      </c>
      <c r="G152" s="158" t="s">
        <v>5693</v>
      </c>
      <c r="H152" s="7">
        <f t="shared" si="2"/>
        <v>176.75</v>
      </c>
      <c r="I152" s="159">
        <v>28.28</v>
      </c>
      <c r="J152" s="159"/>
      <c r="K152" s="159"/>
    </row>
    <row r="153" spans="1:11" s="155" customFormat="1">
      <c r="A153" s="155" t="s">
        <v>6619</v>
      </c>
      <c r="B153" s="156">
        <v>42369</v>
      </c>
      <c r="C153" s="155" t="s">
        <v>6620</v>
      </c>
      <c r="D153" s="155">
        <v>1</v>
      </c>
      <c r="E153" s="155" t="s">
        <v>5330</v>
      </c>
      <c r="F153" s="157" t="s">
        <v>722</v>
      </c>
      <c r="G153" s="158" t="s">
        <v>5693</v>
      </c>
      <c r="H153" s="7">
        <f t="shared" si="2"/>
        <v>86.187499999999986</v>
      </c>
      <c r="I153" s="159">
        <v>13.79</v>
      </c>
      <c r="J153" s="159"/>
      <c r="K153" s="159"/>
    </row>
    <row r="154" spans="1:11" s="155" customFormat="1">
      <c r="A154" s="155" t="s">
        <v>6624</v>
      </c>
      <c r="B154" s="156">
        <v>42369</v>
      </c>
      <c r="C154" s="155" t="s">
        <v>6625</v>
      </c>
      <c r="D154" s="155">
        <v>1</v>
      </c>
      <c r="E154" s="155" t="s">
        <v>5330</v>
      </c>
      <c r="F154" s="157" t="s">
        <v>722</v>
      </c>
      <c r="G154" s="158" t="s">
        <v>5693</v>
      </c>
      <c r="H154" s="7">
        <f t="shared" si="2"/>
        <v>120.68749999999999</v>
      </c>
      <c r="I154" s="159">
        <v>19.309999999999999</v>
      </c>
      <c r="J154" s="159"/>
      <c r="K154" s="159"/>
    </row>
    <row r="155" spans="1:11" s="155" customFormat="1">
      <c r="A155" s="155" t="s">
        <v>6626</v>
      </c>
      <c r="B155" s="156">
        <v>42369</v>
      </c>
      <c r="C155" s="155" t="s">
        <v>6627</v>
      </c>
      <c r="D155" s="155">
        <v>1</v>
      </c>
      <c r="E155" s="155" t="s">
        <v>5330</v>
      </c>
      <c r="F155" s="157" t="s">
        <v>722</v>
      </c>
      <c r="G155" s="158" t="s">
        <v>5693</v>
      </c>
      <c r="H155" s="7">
        <f t="shared" si="2"/>
        <v>56.0625</v>
      </c>
      <c r="I155" s="159">
        <v>8.9700000000000006</v>
      </c>
      <c r="J155" s="159"/>
      <c r="K155" s="159"/>
    </row>
    <row r="156" spans="1:11" s="155" customFormat="1">
      <c r="A156" s="155" t="s">
        <v>6629</v>
      </c>
      <c r="B156" s="156">
        <v>42369</v>
      </c>
      <c r="C156" s="155" t="s">
        <v>6630</v>
      </c>
      <c r="D156" s="155">
        <v>1</v>
      </c>
      <c r="E156" s="155" t="s">
        <v>5330</v>
      </c>
      <c r="F156" s="157" t="s">
        <v>722</v>
      </c>
      <c r="G156" s="158" t="s">
        <v>5693</v>
      </c>
      <c r="H156" s="7">
        <f t="shared" si="2"/>
        <v>56.0625</v>
      </c>
      <c r="I156" s="159">
        <v>8.9700000000000006</v>
      </c>
      <c r="J156" s="159"/>
      <c r="K156" s="159"/>
    </row>
    <row r="157" spans="1:11" s="155" customFormat="1">
      <c r="A157" s="155" t="s">
        <v>6632</v>
      </c>
      <c r="B157" s="156">
        <v>42369</v>
      </c>
      <c r="C157" s="155" t="s">
        <v>6633</v>
      </c>
      <c r="D157" s="155">
        <v>1</v>
      </c>
      <c r="E157" s="155" t="s">
        <v>5330</v>
      </c>
      <c r="F157" s="157" t="s">
        <v>722</v>
      </c>
      <c r="G157" s="158" t="s">
        <v>5693</v>
      </c>
      <c r="H157" s="7">
        <f t="shared" si="2"/>
        <v>237.0625</v>
      </c>
      <c r="I157" s="159">
        <v>37.93</v>
      </c>
      <c r="J157" s="159"/>
      <c r="K157" s="159"/>
    </row>
    <row r="158" spans="1:11" s="155" customFormat="1">
      <c r="A158" s="155" t="s">
        <v>6635</v>
      </c>
      <c r="B158" s="156">
        <v>42369</v>
      </c>
      <c r="C158" s="155" t="s">
        <v>6636</v>
      </c>
      <c r="D158" s="155">
        <v>1</v>
      </c>
      <c r="E158" s="155" t="s">
        <v>5330</v>
      </c>
      <c r="F158" s="157" t="s">
        <v>722</v>
      </c>
      <c r="G158" s="158" t="s">
        <v>5693</v>
      </c>
      <c r="H158" s="7">
        <f t="shared" si="2"/>
        <v>56.0625</v>
      </c>
      <c r="I158" s="159">
        <v>8.9700000000000006</v>
      </c>
      <c r="J158" s="159"/>
      <c r="K158" s="159"/>
    </row>
    <row r="159" spans="1:11" s="155" customFormat="1">
      <c r="A159" s="155" t="s">
        <v>6644</v>
      </c>
      <c r="B159" s="156">
        <v>42369</v>
      </c>
      <c r="C159" s="155" t="s">
        <v>6645</v>
      </c>
      <c r="D159" s="155">
        <v>1</v>
      </c>
      <c r="E159" s="155" t="s">
        <v>5330</v>
      </c>
      <c r="F159" s="157" t="s">
        <v>722</v>
      </c>
      <c r="G159" s="158" t="s">
        <v>5693</v>
      </c>
      <c r="H159" s="7">
        <f t="shared" si="2"/>
        <v>176.75</v>
      </c>
      <c r="I159" s="159">
        <v>28.28</v>
      </c>
      <c r="J159" s="159"/>
      <c r="K159" s="159"/>
    </row>
    <row r="160" spans="1:11" s="155" customFormat="1">
      <c r="A160" s="155" t="s">
        <v>6648</v>
      </c>
      <c r="B160" s="156">
        <v>42369</v>
      </c>
      <c r="C160" s="155" t="s">
        <v>6649</v>
      </c>
      <c r="D160" s="155">
        <v>1</v>
      </c>
      <c r="E160" s="155" t="s">
        <v>5330</v>
      </c>
      <c r="F160" s="157" t="s">
        <v>722</v>
      </c>
      <c r="G160" s="158" t="s">
        <v>5693</v>
      </c>
      <c r="H160" s="7">
        <f t="shared" si="2"/>
        <v>56.0625</v>
      </c>
      <c r="I160" s="159">
        <v>8.9700000000000006</v>
      </c>
      <c r="J160" s="159"/>
      <c r="K160" s="159"/>
    </row>
    <row r="161" spans="1:11" s="155" customFormat="1">
      <c r="A161" s="155" t="s">
        <v>6650</v>
      </c>
      <c r="B161" s="156">
        <v>42369</v>
      </c>
      <c r="C161" s="155" t="s">
        <v>6651</v>
      </c>
      <c r="D161" s="155">
        <v>1</v>
      </c>
      <c r="E161" s="155" t="s">
        <v>5330</v>
      </c>
      <c r="F161" s="157" t="s">
        <v>722</v>
      </c>
      <c r="G161" s="158" t="s">
        <v>5693</v>
      </c>
      <c r="H161" s="7">
        <f t="shared" si="2"/>
        <v>176.75</v>
      </c>
      <c r="I161" s="159">
        <v>28.28</v>
      </c>
      <c r="J161" s="159"/>
      <c r="K161" s="159"/>
    </row>
    <row r="162" spans="1:11" s="155" customFormat="1">
      <c r="A162" s="155" t="s">
        <v>6652</v>
      </c>
      <c r="B162" s="156">
        <v>42369</v>
      </c>
      <c r="C162" s="155" t="s">
        <v>6653</v>
      </c>
      <c r="D162" s="155">
        <v>1</v>
      </c>
      <c r="E162" s="155" t="s">
        <v>5330</v>
      </c>
      <c r="F162" s="157" t="s">
        <v>722</v>
      </c>
      <c r="G162" s="158" t="s">
        <v>5693</v>
      </c>
      <c r="H162" s="7">
        <f t="shared" si="2"/>
        <v>176.75</v>
      </c>
      <c r="I162" s="159">
        <v>28.28</v>
      </c>
      <c r="J162" s="159"/>
      <c r="K162" s="159"/>
    </row>
    <row r="163" spans="1:11" s="155" customFormat="1">
      <c r="A163" s="155" t="s">
        <v>6654</v>
      </c>
      <c r="B163" s="156">
        <v>42369</v>
      </c>
      <c r="C163" s="155" t="s">
        <v>6655</v>
      </c>
      <c r="D163" s="155">
        <v>1</v>
      </c>
      <c r="E163" s="155" t="s">
        <v>5330</v>
      </c>
      <c r="F163" s="157" t="s">
        <v>722</v>
      </c>
      <c r="G163" s="158" t="s">
        <v>5693</v>
      </c>
      <c r="H163" s="7">
        <f t="shared" si="2"/>
        <v>56.0625</v>
      </c>
      <c r="I163" s="159">
        <v>8.9700000000000006</v>
      </c>
      <c r="J163" s="159"/>
      <c r="K163" s="159"/>
    </row>
    <row r="164" spans="1:11" s="155" customFormat="1">
      <c r="A164" s="155" t="s">
        <v>6658</v>
      </c>
      <c r="B164" s="156">
        <v>42369</v>
      </c>
      <c r="C164" s="155" t="s">
        <v>6659</v>
      </c>
      <c r="D164" s="155">
        <v>1</v>
      </c>
      <c r="E164" s="155" t="s">
        <v>5330</v>
      </c>
      <c r="F164" s="157" t="s">
        <v>722</v>
      </c>
      <c r="G164" s="158" t="s">
        <v>5693</v>
      </c>
      <c r="H164" s="7">
        <f t="shared" si="2"/>
        <v>56.0625</v>
      </c>
      <c r="I164" s="159">
        <v>8.9700000000000006</v>
      </c>
      <c r="J164" s="159"/>
      <c r="K164" s="159"/>
    </row>
    <row r="165" spans="1:11" s="155" customFormat="1">
      <c r="A165" s="155" t="s">
        <v>6660</v>
      </c>
      <c r="B165" s="156">
        <v>42369</v>
      </c>
      <c r="C165" s="155" t="s">
        <v>6661</v>
      </c>
      <c r="D165" s="155">
        <v>1</v>
      </c>
      <c r="E165" s="155" t="s">
        <v>5330</v>
      </c>
      <c r="F165" s="157" t="s">
        <v>722</v>
      </c>
      <c r="G165" s="158" t="s">
        <v>5693</v>
      </c>
      <c r="H165" s="7">
        <f t="shared" si="2"/>
        <v>56.0625</v>
      </c>
      <c r="I165" s="159">
        <v>8.9700000000000006</v>
      </c>
      <c r="J165" s="159"/>
      <c r="K165" s="159"/>
    </row>
    <row r="166" spans="1:11" s="155" customFormat="1">
      <c r="A166" s="155" t="s">
        <v>6656</v>
      </c>
      <c r="B166" s="156">
        <v>42369</v>
      </c>
      <c r="C166" s="155" t="s">
        <v>6657</v>
      </c>
      <c r="D166" s="155">
        <v>1</v>
      </c>
      <c r="E166" s="155" t="s">
        <v>5330</v>
      </c>
      <c r="F166" s="157" t="s">
        <v>722</v>
      </c>
      <c r="G166" s="158" t="s">
        <v>5693</v>
      </c>
      <c r="H166" s="7">
        <f t="shared" si="2"/>
        <v>56.0625</v>
      </c>
      <c r="I166" s="159">
        <v>8.9700000000000006</v>
      </c>
      <c r="J166" s="159"/>
      <c r="K166" s="159"/>
    </row>
    <row r="167" spans="1:11" s="155" customFormat="1">
      <c r="A167" s="155" t="s">
        <v>6557</v>
      </c>
      <c r="B167" s="156">
        <v>42369</v>
      </c>
      <c r="C167" s="155" t="s">
        <v>6558</v>
      </c>
      <c r="D167" s="155">
        <v>1</v>
      </c>
      <c r="E167" s="155" t="s">
        <v>6559</v>
      </c>
      <c r="F167" s="157" t="s">
        <v>722</v>
      </c>
      <c r="G167" s="158" t="s">
        <v>5693</v>
      </c>
      <c r="H167" s="7">
        <f t="shared" si="2"/>
        <v>56.0625</v>
      </c>
      <c r="I167" s="159">
        <v>8.9700000000000006</v>
      </c>
      <c r="J167" s="159"/>
      <c r="K167" s="159"/>
    </row>
    <row r="168" spans="1:11">
      <c r="A168" t="s">
        <v>6668</v>
      </c>
      <c r="B168" s="1">
        <v>42369</v>
      </c>
      <c r="C168" t="s">
        <v>6669</v>
      </c>
      <c r="D168">
        <v>1</v>
      </c>
      <c r="E168" t="s">
        <v>805</v>
      </c>
      <c r="F168" s="92" t="s">
        <v>805</v>
      </c>
      <c r="G168" s="115" t="s">
        <v>2385</v>
      </c>
      <c r="H168" s="7">
        <f t="shared" si="2"/>
        <v>312.5</v>
      </c>
      <c r="I168" s="7">
        <v>50</v>
      </c>
    </row>
    <row r="169" spans="1:11">
      <c r="A169" t="s">
        <v>3622</v>
      </c>
      <c r="B169" s="1">
        <v>42353</v>
      </c>
      <c r="C169" t="s">
        <v>6995</v>
      </c>
      <c r="D169">
        <v>1</v>
      </c>
      <c r="E169" t="s">
        <v>503</v>
      </c>
      <c r="F169" s="2" t="s">
        <v>806</v>
      </c>
      <c r="G169" s="2" t="s">
        <v>503</v>
      </c>
      <c r="H169" s="7">
        <f t="shared" si="2"/>
        <v>11443.375</v>
      </c>
      <c r="I169" s="7">
        <v>1830.94</v>
      </c>
    </row>
    <row r="170" spans="1:11">
      <c r="A170" t="s">
        <v>2658</v>
      </c>
      <c r="B170" s="1">
        <v>42353</v>
      </c>
      <c r="C170" t="s">
        <v>6996</v>
      </c>
      <c r="D170">
        <v>1</v>
      </c>
      <c r="E170" t="s">
        <v>433</v>
      </c>
      <c r="F170" s="2" t="s">
        <v>7227</v>
      </c>
      <c r="G170" s="2" t="s">
        <v>7228</v>
      </c>
      <c r="H170" s="7">
        <f t="shared" si="2"/>
        <v>2879.3125</v>
      </c>
      <c r="I170" s="7">
        <v>460.69</v>
      </c>
    </row>
    <row r="171" spans="1:11">
      <c r="A171" t="s">
        <v>6087</v>
      </c>
      <c r="B171" s="1">
        <v>42368</v>
      </c>
      <c r="C171" t="s">
        <v>6518</v>
      </c>
      <c r="D171">
        <v>1</v>
      </c>
      <c r="E171" t="s">
        <v>5965</v>
      </c>
      <c r="F171" t="s">
        <v>714</v>
      </c>
      <c r="G171" s="2" t="s">
        <v>715</v>
      </c>
      <c r="H171" s="7">
        <f t="shared" si="2"/>
        <v>106</v>
      </c>
      <c r="I171" s="128">
        <v>16.96</v>
      </c>
    </row>
    <row r="172" spans="1:11">
      <c r="A172" t="s">
        <v>6087</v>
      </c>
      <c r="B172" s="1">
        <v>42368</v>
      </c>
      <c r="C172" t="s">
        <v>6518</v>
      </c>
      <c r="D172">
        <v>1</v>
      </c>
      <c r="E172" t="s">
        <v>5965</v>
      </c>
      <c r="F172" t="s">
        <v>923</v>
      </c>
      <c r="G172" s="2" t="s">
        <v>924</v>
      </c>
      <c r="H172" s="7">
        <f t="shared" si="2"/>
        <v>281.0625</v>
      </c>
      <c r="I172" s="128">
        <v>44.97</v>
      </c>
    </row>
    <row r="173" spans="1:11">
      <c r="A173" t="s">
        <v>6087</v>
      </c>
      <c r="B173" s="1">
        <v>42368</v>
      </c>
      <c r="C173" t="s">
        <v>6518</v>
      </c>
      <c r="D173">
        <v>1</v>
      </c>
      <c r="E173" t="s">
        <v>5965</v>
      </c>
      <c r="F173" t="s">
        <v>923</v>
      </c>
      <c r="G173" s="2" t="s">
        <v>924</v>
      </c>
      <c r="H173" s="7">
        <f t="shared" si="2"/>
        <v>281.0625</v>
      </c>
      <c r="I173" s="128">
        <v>44.97</v>
      </c>
    </row>
    <row r="174" spans="1:11">
      <c r="A174" t="s">
        <v>6087</v>
      </c>
      <c r="B174" s="1">
        <v>42368</v>
      </c>
      <c r="C174" t="s">
        <v>6518</v>
      </c>
      <c r="D174">
        <v>1</v>
      </c>
      <c r="E174" t="s">
        <v>5965</v>
      </c>
      <c r="F174" s="2" t="s">
        <v>7224</v>
      </c>
      <c r="G174" s="2" t="s">
        <v>7225</v>
      </c>
      <c r="H174" s="7">
        <f t="shared" si="2"/>
        <v>51.749999999999993</v>
      </c>
      <c r="I174" s="128">
        <v>8.2799999999999994</v>
      </c>
    </row>
    <row r="175" spans="1:11">
      <c r="A175" t="s">
        <v>6087</v>
      </c>
      <c r="B175" s="1">
        <v>42368</v>
      </c>
      <c r="C175" t="s">
        <v>6518</v>
      </c>
      <c r="D175">
        <v>1</v>
      </c>
      <c r="E175" t="s">
        <v>5965</v>
      </c>
      <c r="F175" s="2" t="s">
        <v>7224</v>
      </c>
      <c r="G175" s="2" t="s">
        <v>7225</v>
      </c>
      <c r="H175" s="7">
        <f t="shared" si="2"/>
        <v>678</v>
      </c>
      <c r="I175" s="128">
        <v>108.48</v>
      </c>
    </row>
    <row r="176" spans="1:11">
      <c r="A176" t="s">
        <v>6087</v>
      </c>
      <c r="B176" s="1">
        <v>42368</v>
      </c>
      <c r="C176" t="s">
        <v>6518</v>
      </c>
      <c r="D176">
        <v>1</v>
      </c>
      <c r="E176" t="s">
        <v>5965</v>
      </c>
      <c r="F176" s="2" t="s">
        <v>3691</v>
      </c>
      <c r="G176" s="2" t="s">
        <v>7226</v>
      </c>
      <c r="H176" s="7">
        <f t="shared" si="2"/>
        <v>171.5</v>
      </c>
      <c r="I176" s="128">
        <v>27.44</v>
      </c>
      <c r="J176" s="7">
        <f>1569.38-H171-H172-H173-H174-H175-H176</f>
        <v>5.0000000001091394E-3</v>
      </c>
      <c r="K176" s="7">
        <f>251.1-I171-I172-I173-I174-I175-I176</f>
        <v>0</v>
      </c>
    </row>
    <row r="177" spans="1:11">
      <c r="A177" t="s">
        <v>5361</v>
      </c>
      <c r="B177" s="1">
        <v>42360</v>
      </c>
      <c r="C177" t="s">
        <v>6550</v>
      </c>
      <c r="D177">
        <v>1</v>
      </c>
      <c r="E177" t="s">
        <v>6551</v>
      </c>
      <c r="F177" t="s">
        <v>714</v>
      </c>
      <c r="G177" s="2" t="s">
        <v>715</v>
      </c>
      <c r="H177" s="7">
        <f t="shared" si="2"/>
        <v>625</v>
      </c>
      <c r="I177" s="2">
        <v>100</v>
      </c>
    </row>
    <row r="178" spans="1:11">
      <c r="A178" t="s">
        <v>5361</v>
      </c>
      <c r="B178" s="1">
        <v>42360</v>
      </c>
      <c r="C178" t="s">
        <v>6550</v>
      </c>
      <c r="D178">
        <v>1</v>
      </c>
      <c r="E178" t="s">
        <v>6551</v>
      </c>
      <c r="F178" s="36" t="s">
        <v>817</v>
      </c>
      <c r="G178" s="2" t="s">
        <v>7222</v>
      </c>
      <c r="H178" s="7">
        <f t="shared" si="2"/>
        <v>308.625</v>
      </c>
      <c r="I178" s="2">
        <v>49.38</v>
      </c>
    </row>
    <row r="179" spans="1:11" ht="14.25" customHeight="1">
      <c r="A179" t="s">
        <v>5361</v>
      </c>
      <c r="B179" s="1">
        <v>42360</v>
      </c>
      <c r="C179" t="s">
        <v>6550</v>
      </c>
      <c r="D179">
        <v>1</v>
      </c>
      <c r="E179" t="s">
        <v>6551</v>
      </c>
      <c r="F179" s="36" t="s">
        <v>716</v>
      </c>
      <c r="G179" s="2" t="s">
        <v>7223</v>
      </c>
      <c r="H179" s="7">
        <f t="shared" si="2"/>
        <v>1771.875</v>
      </c>
      <c r="I179" s="2">
        <v>283.5</v>
      </c>
      <c r="J179" s="7">
        <f>2705.5-H177-H178-H179</f>
        <v>0</v>
      </c>
      <c r="K179" s="7">
        <f>432.88-I177-I178-I179</f>
        <v>0</v>
      </c>
    </row>
    <row r="180" spans="1:11">
      <c r="A180" t="s">
        <v>6619</v>
      </c>
      <c r="B180" s="1">
        <v>42369</v>
      </c>
      <c r="C180" t="s">
        <v>6620</v>
      </c>
      <c r="D180">
        <v>1</v>
      </c>
      <c r="E180" t="s">
        <v>2235</v>
      </c>
      <c r="F180" s="110" t="s">
        <v>2235</v>
      </c>
      <c r="G180" s="111" t="s">
        <v>7110</v>
      </c>
      <c r="H180" s="7">
        <f t="shared" si="2"/>
        <v>430.31249999999994</v>
      </c>
      <c r="I180" s="7">
        <v>68.849999999999994</v>
      </c>
    </row>
    <row r="181" spans="1:11">
      <c r="A181" t="s">
        <v>6637</v>
      </c>
      <c r="B181" s="1">
        <v>42369</v>
      </c>
      <c r="C181" t="s">
        <v>6638</v>
      </c>
      <c r="D181">
        <v>1</v>
      </c>
      <c r="E181" t="s">
        <v>2235</v>
      </c>
      <c r="F181" s="110" t="s">
        <v>2235</v>
      </c>
      <c r="G181" s="111" t="s">
        <v>7110</v>
      </c>
      <c r="H181" s="7">
        <f t="shared" si="2"/>
        <v>503.24999999999994</v>
      </c>
      <c r="I181" s="7">
        <v>80.52</v>
      </c>
    </row>
    <row r="182" spans="1:11">
      <c r="A182" t="s">
        <v>6629</v>
      </c>
      <c r="B182" s="1">
        <v>42369</v>
      </c>
      <c r="C182" t="s">
        <v>6630</v>
      </c>
      <c r="D182">
        <v>1</v>
      </c>
      <c r="E182" t="s">
        <v>3898</v>
      </c>
      <c r="F182" t="s">
        <v>3898</v>
      </c>
      <c r="G182" s="17" t="s">
        <v>7112</v>
      </c>
      <c r="H182" s="7">
        <f t="shared" si="2"/>
        <v>81.0625</v>
      </c>
      <c r="I182" s="7">
        <v>12.97</v>
      </c>
    </row>
    <row r="183" spans="1:11">
      <c r="A183" t="s">
        <v>6635</v>
      </c>
      <c r="B183" s="1">
        <v>42369</v>
      </c>
      <c r="C183" t="s">
        <v>6636</v>
      </c>
      <c r="D183">
        <v>1</v>
      </c>
      <c r="E183" t="s">
        <v>3898</v>
      </c>
      <c r="F183" t="s">
        <v>3898</v>
      </c>
      <c r="G183" s="17" t="s">
        <v>7112</v>
      </c>
      <c r="H183" s="7">
        <f t="shared" si="2"/>
        <v>81</v>
      </c>
      <c r="I183" s="7">
        <v>12.96</v>
      </c>
    </row>
    <row r="184" spans="1:11">
      <c r="A184" t="s">
        <v>6629</v>
      </c>
      <c r="B184" s="1">
        <v>42369</v>
      </c>
      <c r="C184" t="s">
        <v>6630</v>
      </c>
      <c r="D184">
        <v>1</v>
      </c>
      <c r="E184" t="s">
        <v>6631</v>
      </c>
      <c r="F184" s="110" t="s">
        <v>6631</v>
      </c>
      <c r="G184" s="111" t="s">
        <v>7113</v>
      </c>
      <c r="H184" s="7">
        <f t="shared" si="2"/>
        <v>453.06249999999994</v>
      </c>
      <c r="I184" s="7">
        <v>72.489999999999995</v>
      </c>
    </row>
    <row r="185" spans="1:11">
      <c r="A185" t="s">
        <v>6637</v>
      </c>
      <c r="B185" s="1">
        <v>42369</v>
      </c>
      <c r="C185" t="s">
        <v>6638</v>
      </c>
      <c r="D185">
        <v>1</v>
      </c>
      <c r="E185" t="s">
        <v>6640</v>
      </c>
      <c r="F185" t="s">
        <v>6640</v>
      </c>
      <c r="G185" s="17" t="s">
        <v>7111</v>
      </c>
      <c r="H185" s="7">
        <f t="shared" si="2"/>
        <v>66.375</v>
      </c>
      <c r="I185" s="7">
        <v>10.62</v>
      </c>
    </row>
    <row r="186" spans="1:11">
      <c r="A186" t="s">
        <v>6619</v>
      </c>
      <c r="B186" s="1">
        <v>42369</v>
      </c>
      <c r="C186" t="s">
        <v>6620</v>
      </c>
      <c r="D186">
        <v>1</v>
      </c>
      <c r="E186" t="s">
        <v>5411</v>
      </c>
      <c r="F186" t="s">
        <v>5411</v>
      </c>
      <c r="G186" s="17" t="s">
        <v>7114</v>
      </c>
      <c r="H186" s="7">
        <f t="shared" si="2"/>
        <v>43.9375</v>
      </c>
      <c r="I186" s="7">
        <v>7.03</v>
      </c>
    </row>
    <row r="187" spans="1:11">
      <c r="A187" t="s">
        <v>6624</v>
      </c>
      <c r="B187" s="1">
        <v>42369</v>
      </c>
      <c r="C187" t="s">
        <v>6625</v>
      </c>
      <c r="D187">
        <v>1</v>
      </c>
      <c r="E187" t="s">
        <v>1626</v>
      </c>
      <c r="F187" s="110" t="s">
        <v>1626</v>
      </c>
      <c r="G187" s="111" t="s">
        <v>1627</v>
      </c>
      <c r="H187" s="7">
        <f t="shared" si="2"/>
        <v>112.0625</v>
      </c>
      <c r="I187" s="7">
        <v>17.93</v>
      </c>
    </row>
    <row r="188" spans="1:11">
      <c r="A188" t="s">
        <v>514</v>
      </c>
      <c r="B188" s="1">
        <v>42354</v>
      </c>
      <c r="C188" t="s">
        <v>7005</v>
      </c>
      <c r="D188">
        <v>1</v>
      </c>
      <c r="E188" t="s">
        <v>1476</v>
      </c>
      <c r="F188" s="36" t="s">
        <v>1570</v>
      </c>
      <c r="G188" s="2" t="s">
        <v>1476</v>
      </c>
      <c r="H188" s="7">
        <f t="shared" si="2"/>
        <v>5897.5</v>
      </c>
      <c r="I188" s="7">
        <v>943.6</v>
      </c>
    </row>
    <row r="189" spans="1:11">
      <c r="A189" t="s">
        <v>7062</v>
      </c>
      <c r="B189" s="1">
        <v>42361</v>
      </c>
      <c r="C189" t="s">
        <v>7063</v>
      </c>
      <c r="D189">
        <v>1</v>
      </c>
      <c r="E189" t="s">
        <v>1476</v>
      </c>
      <c r="F189" s="36" t="s">
        <v>1570</v>
      </c>
      <c r="G189" s="2" t="s">
        <v>1476</v>
      </c>
      <c r="H189" s="7">
        <f t="shared" si="2"/>
        <v>7719.4999999999991</v>
      </c>
      <c r="I189" s="7">
        <v>1235.1199999999999</v>
      </c>
    </row>
    <row r="190" spans="1:11">
      <c r="A190" t="s">
        <v>5118</v>
      </c>
      <c r="B190" s="1">
        <v>42360</v>
      </c>
      <c r="C190" t="s">
        <v>6447</v>
      </c>
      <c r="D190">
        <v>1</v>
      </c>
      <c r="E190" t="s">
        <v>145</v>
      </c>
      <c r="F190" t="s">
        <v>813</v>
      </c>
      <c r="G190" t="s">
        <v>3675</v>
      </c>
      <c r="H190" s="7">
        <f t="shared" si="2"/>
        <v>217499.3125</v>
      </c>
      <c r="I190" s="7">
        <v>34799.89</v>
      </c>
    </row>
    <row r="191" spans="1:11">
      <c r="A191" t="s">
        <v>3631</v>
      </c>
      <c r="B191" s="1">
        <v>42354</v>
      </c>
      <c r="C191" t="s">
        <v>7008</v>
      </c>
      <c r="D191">
        <v>1</v>
      </c>
      <c r="E191" t="s">
        <v>446</v>
      </c>
      <c r="F191" s="36" t="s">
        <v>815</v>
      </c>
      <c r="G191" s="2" t="s">
        <v>446</v>
      </c>
      <c r="H191" s="7">
        <f t="shared" si="2"/>
        <v>655</v>
      </c>
      <c r="I191" s="7">
        <v>104.8</v>
      </c>
    </row>
    <row r="192" spans="1:11">
      <c r="A192" t="s">
        <v>656</v>
      </c>
      <c r="B192" s="1">
        <v>42361</v>
      </c>
      <c r="C192" t="s">
        <v>7075</v>
      </c>
      <c r="D192">
        <v>1</v>
      </c>
      <c r="E192" t="s">
        <v>446</v>
      </c>
      <c r="F192" s="36" t="s">
        <v>815</v>
      </c>
      <c r="G192" s="2" t="s">
        <v>446</v>
      </c>
      <c r="H192" s="7">
        <f t="shared" si="2"/>
        <v>4128.0625</v>
      </c>
      <c r="I192" s="7">
        <v>660.49</v>
      </c>
    </row>
    <row r="193" spans="1:11">
      <c r="A193" t="s">
        <v>4057</v>
      </c>
      <c r="B193" s="1">
        <v>42368</v>
      </c>
      <c r="C193" t="s">
        <v>6519</v>
      </c>
      <c r="D193">
        <v>1</v>
      </c>
      <c r="E193" t="s">
        <v>6520</v>
      </c>
      <c r="F193" t="s">
        <v>813</v>
      </c>
      <c r="G193" t="s">
        <v>3675</v>
      </c>
      <c r="H193" s="7">
        <f t="shared" si="2"/>
        <v>243817.8125</v>
      </c>
      <c r="I193" s="7">
        <v>39010.85</v>
      </c>
    </row>
    <row r="194" spans="1:11">
      <c r="A194" t="s">
        <v>6381</v>
      </c>
      <c r="B194" s="1">
        <v>42353</v>
      </c>
      <c r="C194" t="s">
        <v>6382</v>
      </c>
      <c r="D194">
        <v>1</v>
      </c>
      <c r="E194" t="s">
        <v>5789</v>
      </c>
      <c r="F194" t="s">
        <v>813</v>
      </c>
      <c r="G194" t="s">
        <v>3675</v>
      </c>
      <c r="H194" s="7">
        <f t="shared" si="2"/>
        <v>393488.6875</v>
      </c>
      <c r="I194" s="7">
        <v>62958.19</v>
      </c>
    </row>
    <row r="195" spans="1:11">
      <c r="A195" t="s">
        <v>658</v>
      </c>
      <c r="B195" s="1">
        <v>42356</v>
      </c>
      <c r="C195" t="s">
        <v>7081</v>
      </c>
      <c r="D195">
        <v>1</v>
      </c>
      <c r="E195" t="s">
        <v>7082</v>
      </c>
      <c r="F195" s="36" t="s">
        <v>7115</v>
      </c>
      <c r="G195" s="2" t="s">
        <v>7082</v>
      </c>
      <c r="H195" s="7">
        <f t="shared" si="2"/>
        <v>136500</v>
      </c>
      <c r="I195" s="7">
        <v>21840</v>
      </c>
    </row>
    <row r="196" spans="1:11">
      <c r="A196" t="s">
        <v>6778</v>
      </c>
      <c r="B196" s="1">
        <v>42369</v>
      </c>
      <c r="C196" t="s">
        <v>6779</v>
      </c>
      <c r="D196">
        <v>1</v>
      </c>
      <c r="E196" t="s">
        <v>820</v>
      </c>
      <c r="F196" t="s">
        <v>820</v>
      </c>
      <c r="G196" s="17" t="s">
        <v>5704</v>
      </c>
      <c r="H196" s="7">
        <f t="shared" si="2"/>
        <v>1219</v>
      </c>
      <c r="I196" s="7">
        <v>195.04</v>
      </c>
    </row>
    <row r="197" spans="1:11">
      <c r="A197" t="s">
        <v>6776</v>
      </c>
      <c r="B197" s="1">
        <v>42369</v>
      </c>
      <c r="C197" t="s">
        <v>6777</v>
      </c>
      <c r="D197">
        <v>1</v>
      </c>
      <c r="E197" t="s">
        <v>820</v>
      </c>
      <c r="F197" t="s">
        <v>820</v>
      </c>
      <c r="G197" s="17" t="s">
        <v>5704</v>
      </c>
      <c r="H197" s="7">
        <f t="shared" si="2"/>
        <v>378.6875</v>
      </c>
      <c r="I197" s="7">
        <v>60.59</v>
      </c>
    </row>
    <row r="198" spans="1:11">
      <c r="A198" t="s">
        <v>6768</v>
      </c>
      <c r="B198" s="1">
        <v>42369</v>
      </c>
      <c r="C198" t="s">
        <v>6769</v>
      </c>
      <c r="D198">
        <v>1</v>
      </c>
      <c r="E198" t="s">
        <v>820</v>
      </c>
      <c r="F198" t="s">
        <v>820</v>
      </c>
      <c r="G198" s="17" t="s">
        <v>5704</v>
      </c>
      <c r="H198" s="7">
        <f t="shared" si="2"/>
        <v>316.9375</v>
      </c>
      <c r="I198" s="7">
        <v>50.71</v>
      </c>
    </row>
    <row r="199" spans="1:11">
      <c r="A199" t="s">
        <v>6766</v>
      </c>
      <c r="B199" s="1">
        <v>42369</v>
      </c>
      <c r="C199" t="s">
        <v>6767</v>
      </c>
      <c r="D199">
        <v>1</v>
      </c>
      <c r="E199" t="s">
        <v>820</v>
      </c>
      <c r="F199" t="s">
        <v>820</v>
      </c>
      <c r="G199" s="17" t="s">
        <v>5704</v>
      </c>
      <c r="H199" s="7">
        <f t="shared" si="2"/>
        <v>124.125</v>
      </c>
      <c r="I199" s="7">
        <v>19.86</v>
      </c>
    </row>
    <row r="200" spans="1:11">
      <c r="A200" t="s">
        <v>6592</v>
      </c>
      <c r="B200" s="1">
        <v>42369</v>
      </c>
      <c r="C200" t="s">
        <v>6593</v>
      </c>
      <c r="D200">
        <v>1</v>
      </c>
      <c r="E200" t="s">
        <v>820</v>
      </c>
      <c r="F200" t="s">
        <v>820</v>
      </c>
      <c r="G200" s="17" t="s">
        <v>5704</v>
      </c>
      <c r="H200" s="7">
        <f t="shared" ref="H200:H263" si="3">+I200/0.16</f>
        <v>473.25</v>
      </c>
      <c r="I200" s="7">
        <v>75.72</v>
      </c>
    </row>
    <row r="201" spans="1:11">
      <c r="A201" t="s">
        <v>6790</v>
      </c>
      <c r="B201" s="1">
        <v>42369</v>
      </c>
      <c r="C201" t="s">
        <v>6791</v>
      </c>
      <c r="D201">
        <v>1</v>
      </c>
      <c r="E201" t="s">
        <v>769</v>
      </c>
      <c r="F201" t="s">
        <v>769</v>
      </c>
      <c r="G201" t="s">
        <v>645</v>
      </c>
      <c r="H201" s="7">
        <f t="shared" si="3"/>
        <v>12.937499999999998</v>
      </c>
      <c r="I201" s="7">
        <v>2.0699999999999998</v>
      </c>
    </row>
    <row r="202" spans="1:11">
      <c r="A202" t="s">
        <v>6622</v>
      </c>
      <c r="B202" s="1">
        <v>42369</v>
      </c>
      <c r="C202" t="s">
        <v>6623</v>
      </c>
      <c r="D202">
        <v>1</v>
      </c>
      <c r="E202" t="s">
        <v>911</v>
      </c>
      <c r="F202" t="s">
        <v>911</v>
      </c>
      <c r="G202" s="17" t="s">
        <v>2704</v>
      </c>
      <c r="H202" s="7">
        <f t="shared" si="3"/>
        <v>81.875</v>
      </c>
      <c r="I202" s="7">
        <v>13.1</v>
      </c>
    </row>
    <row r="203" spans="1:11">
      <c r="A203" t="s">
        <v>6605</v>
      </c>
      <c r="B203" s="1">
        <v>42369</v>
      </c>
      <c r="C203" t="s">
        <v>6606</v>
      </c>
      <c r="D203">
        <v>1</v>
      </c>
      <c r="E203" t="s">
        <v>821</v>
      </c>
      <c r="F203" t="s">
        <v>821</v>
      </c>
      <c r="G203" s="17" t="s">
        <v>5707</v>
      </c>
      <c r="H203" s="7">
        <f t="shared" si="3"/>
        <v>448.25</v>
      </c>
      <c r="I203" s="7">
        <v>71.72</v>
      </c>
    </row>
    <row r="204" spans="1:11">
      <c r="A204" t="s">
        <v>649</v>
      </c>
      <c r="B204" s="1">
        <v>42361</v>
      </c>
      <c r="C204" t="s">
        <v>7070</v>
      </c>
      <c r="D204">
        <v>1</v>
      </c>
      <c r="E204" t="s">
        <v>1455</v>
      </c>
      <c r="F204" s="36" t="s">
        <v>1573</v>
      </c>
      <c r="G204" s="2" t="s">
        <v>1455</v>
      </c>
      <c r="H204" s="7">
        <f t="shared" si="3"/>
        <v>7800</v>
      </c>
      <c r="I204" s="7">
        <v>1248</v>
      </c>
    </row>
    <row r="205" spans="1:11" s="155" customFormat="1">
      <c r="A205" s="155" t="s">
        <v>450</v>
      </c>
      <c r="B205" s="156">
        <v>42346</v>
      </c>
      <c r="C205" s="155" t="s">
        <v>6964</v>
      </c>
      <c r="D205" s="155">
        <v>2</v>
      </c>
      <c r="E205" s="155" t="s">
        <v>455</v>
      </c>
      <c r="F205" s="158" t="s">
        <v>722</v>
      </c>
      <c r="G205" s="161" t="s">
        <v>455</v>
      </c>
      <c r="H205" s="7">
        <f t="shared" si="3"/>
        <v>4006.1875</v>
      </c>
      <c r="I205" s="159">
        <v>640.99</v>
      </c>
      <c r="J205" s="159"/>
      <c r="K205" s="159"/>
    </row>
    <row r="206" spans="1:11" s="155" customFormat="1">
      <c r="A206" s="155" t="s">
        <v>1416</v>
      </c>
      <c r="B206" s="156">
        <v>42354</v>
      </c>
      <c r="C206" s="155" t="s">
        <v>7007</v>
      </c>
      <c r="D206" s="155">
        <v>2</v>
      </c>
      <c r="E206" s="155" t="s">
        <v>455</v>
      </c>
      <c r="F206" s="162" t="s">
        <v>722</v>
      </c>
      <c r="G206" s="155" t="s">
        <v>455</v>
      </c>
      <c r="H206" s="7">
        <f t="shared" si="3"/>
        <v>3672.2499999999995</v>
      </c>
      <c r="I206" s="159">
        <v>587.55999999999995</v>
      </c>
      <c r="J206" s="159"/>
      <c r="K206" s="159"/>
    </row>
    <row r="207" spans="1:11" s="155" customFormat="1">
      <c r="A207" s="155" t="s">
        <v>639</v>
      </c>
      <c r="B207" s="156">
        <v>42361</v>
      </c>
      <c r="C207" s="155" t="s">
        <v>7066</v>
      </c>
      <c r="D207" s="155">
        <v>2</v>
      </c>
      <c r="E207" s="155" t="s">
        <v>455</v>
      </c>
      <c r="F207" s="158" t="s">
        <v>722</v>
      </c>
      <c r="G207" s="161" t="s">
        <v>455</v>
      </c>
      <c r="H207" s="7">
        <f t="shared" si="3"/>
        <v>13381.5625</v>
      </c>
      <c r="I207" s="159">
        <v>2141.0500000000002</v>
      </c>
      <c r="J207" s="159"/>
      <c r="K207" s="159"/>
    </row>
    <row r="208" spans="1:11">
      <c r="A208" t="s">
        <v>6552</v>
      </c>
      <c r="B208" s="1">
        <v>42369</v>
      </c>
      <c r="C208" t="s">
        <v>6553</v>
      </c>
      <c r="D208">
        <v>1</v>
      </c>
      <c r="E208" t="s">
        <v>6554</v>
      </c>
      <c r="F208" s="17" t="s">
        <v>3217</v>
      </c>
      <c r="G208" s="17" t="s">
        <v>4210</v>
      </c>
      <c r="H208" s="7">
        <f t="shared" si="3"/>
        <v>38762</v>
      </c>
      <c r="I208" s="7">
        <v>6201.92</v>
      </c>
    </row>
    <row r="209" spans="1:9">
      <c r="A209" t="s">
        <v>6555</v>
      </c>
      <c r="B209" s="1">
        <v>42367</v>
      </c>
      <c r="C209" t="s">
        <v>6556</v>
      </c>
      <c r="D209">
        <v>1</v>
      </c>
      <c r="E209" t="s">
        <v>6554</v>
      </c>
      <c r="F209" s="25" t="s">
        <v>2252</v>
      </c>
      <c r="G209" s="25" t="s">
        <v>7229</v>
      </c>
      <c r="H209" s="7">
        <f t="shared" si="3"/>
        <v>13113.9375</v>
      </c>
      <c r="I209" s="7">
        <v>2098.23</v>
      </c>
    </row>
    <row r="210" spans="1:9">
      <c r="A210" t="s">
        <v>2063</v>
      </c>
      <c r="B210" s="1">
        <v>42340</v>
      </c>
      <c r="C210" t="s">
        <v>6961</v>
      </c>
      <c r="D210">
        <v>2</v>
      </c>
      <c r="E210" t="s">
        <v>650</v>
      </c>
      <c r="F210" s="36" t="s">
        <v>827</v>
      </c>
      <c r="G210" s="2" t="s">
        <v>650</v>
      </c>
      <c r="H210" s="7">
        <f t="shared" si="3"/>
        <v>1046.5</v>
      </c>
      <c r="I210" s="7">
        <v>167.44</v>
      </c>
    </row>
    <row r="211" spans="1:9">
      <c r="A211" t="s">
        <v>479</v>
      </c>
      <c r="B211" s="1">
        <v>42346</v>
      </c>
      <c r="C211" t="s">
        <v>6975</v>
      </c>
      <c r="D211">
        <v>2</v>
      </c>
      <c r="E211" t="s">
        <v>650</v>
      </c>
      <c r="F211" s="17" t="s">
        <v>827</v>
      </c>
      <c r="G211" t="s">
        <v>650</v>
      </c>
      <c r="H211" s="7">
        <f t="shared" si="3"/>
        <v>2093</v>
      </c>
      <c r="I211" s="7">
        <v>334.88</v>
      </c>
    </row>
    <row r="212" spans="1:9">
      <c r="A212" t="s">
        <v>508</v>
      </c>
      <c r="B212" s="1">
        <v>42354</v>
      </c>
      <c r="C212" t="s">
        <v>7001</v>
      </c>
      <c r="D212">
        <v>2</v>
      </c>
      <c r="E212" t="s">
        <v>650</v>
      </c>
      <c r="F212" s="36" t="s">
        <v>827</v>
      </c>
      <c r="G212" s="2" t="s">
        <v>650</v>
      </c>
      <c r="H212" s="7">
        <f t="shared" si="3"/>
        <v>1293.25</v>
      </c>
      <c r="I212" s="7">
        <v>206.92</v>
      </c>
    </row>
    <row r="213" spans="1:9">
      <c r="A213" t="s">
        <v>621</v>
      </c>
      <c r="B213" s="1">
        <v>42361</v>
      </c>
      <c r="C213" t="s">
        <v>7053</v>
      </c>
      <c r="D213">
        <v>2</v>
      </c>
      <c r="E213" t="s">
        <v>650</v>
      </c>
      <c r="F213" s="36" t="s">
        <v>827</v>
      </c>
      <c r="G213" s="2" t="s">
        <v>650</v>
      </c>
      <c r="H213" s="7">
        <f t="shared" si="3"/>
        <v>2656.5</v>
      </c>
      <c r="I213" s="7">
        <v>425.04</v>
      </c>
    </row>
    <row r="214" spans="1:9">
      <c r="A214" t="s">
        <v>6660</v>
      </c>
      <c r="B214" s="1">
        <v>42369</v>
      </c>
      <c r="C214" t="s">
        <v>6661</v>
      </c>
      <c r="D214">
        <v>1</v>
      </c>
      <c r="E214" t="s">
        <v>6662</v>
      </c>
      <c r="F214" t="s">
        <v>6662</v>
      </c>
      <c r="G214" t="s">
        <v>7116</v>
      </c>
      <c r="H214" s="7">
        <f t="shared" si="3"/>
        <v>53.4375</v>
      </c>
      <c r="I214" s="7">
        <v>8.5500000000000007</v>
      </c>
    </row>
    <row r="215" spans="1:9">
      <c r="A215" t="s">
        <v>2580</v>
      </c>
      <c r="B215" s="1">
        <v>42341</v>
      </c>
      <c r="C215" t="s">
        <v>6945</v>
      </c>
      <c r="D215">
        <v>1</v>
      </c>
      <c r="E215" t="s">
        <v>518</v>
      </c>
      <c r="F215" s="36" t="s">
        <v>828</v>
      </c>
      <c r="G215" s="2" t="s">
        <v>518</v>
      </c>
      <c r="H215" s="7">
        <f t="shared" si="3"/>
        <v>7075.3749999999991</v>
      </c>
      <c r="I215" s="7">
        <v>1132.06</v>
      </c>
    </row>
    <row r="216" spans="1:9">
      <c r="A216" t="s">
        <v>6399</v>
      </c>
      <c r="B216" s="1">
        <v>42354</v>
      </c>
      <c r="C216" t="s">
        <v>6398</v>
      </c>
      <c r="D216">
        <v>1</v>
      </c>
      <c r="E216" t="s">
        <v>4290</v>
      </c>
      <c r="F216" t="s">
        <v>830</v>
      </c>
      <c r="G216" s="2" t="s">
        <v>7117</v>
      </c>
      <c r="H216" s="7">
        <f t="shared" si="3"/>
        <v>213304.62499999997</v>
      </c>
      <c r="I216" s="7">
        <v>34128.74</v>
      </c>
    </row>
    <row r="217" spans="1:9">
      <c r="A217" t="s">
        <v>6395</v>
      </c>
      <c r="B217" s="1">
        <v>42354</v>
      </c>
      <c r="C217" t="s">
        <v>6396</v>
      </c>
      <c r="D217">
        <v>1</v>
      </c>
      <c r="E217" t="s">
        <v>6397</v>
      </c>
      <c r="F217" t="s">
        <v>830</v>
      </c>
      <c r="G217" s="2" t="s">
        <v>7117</v>
      </c>
      <c r="H217" s="7">
        <f t="shared" si="3"/>
        <v>278610.375</v>
      </c>
      <c r="I217" s="7">
        <v>44577.66</v>
      </c>
    </row>
    <row r="218" spans="1:9">
      <c r="A218" t="s">
        <v>1394</v>
      </c>
      <c r="B218" s="1">
        <v>42352</v>
      </c>
      <c r="C218" t="s">
        <v>6991</v>
      </c>
      <c r="D218">
        <v>1</v>
      </c>
      <c r="E218" t="s">
        <v>6992</v>
      </c>
      <c r="F218" s="116" t="s">
        <v>2688</v>
      </c>
      <c r="G218" s="117" t="s">
        <v>2682</v>
      </c>
      <c r="H218" s="7">
        <f t="shared" si="3"/>
        <v>16071.437499999998</v>
      </c>
      <c r="I218" s="7">
        <v>2571.4299999999998</v>
      </c>
    </row>
    <row r="219" spans="1:9">
      <c r="A219" t="s">
        <v>6913</v>
      </c>
      <c r="B219" s="1">
        <v>42369</v>
      </c>
      <c r="C219" t="s">
        <v>4834</v>
      </c>
      <c r="D219">
        <v>1</v>
      </c>
      <c r="E219" t="s">
        <v>4835</v>
      </c>
      <c r="F219" t="s">
        <v>722</v>
      </c>
      <c r="G219" s="2" t="s">
        <v>722</v>
      </c>
      <c r="H219" s="7">
        <f t="shared" si="3"/>
        <v>1077.1875</v>
      </c>
      <c r="I219" s="7">
        <v>172.35</v>
      </c>
    </row>
    <row r="220" spans="1:9">
      <c r="A220" t="s">
        <v>6725</v>
      </c>
      <c r="B220" s="1">
        <v>42369</v>
      </c>
      <c r="C220" t="s">
        <v>6726</v>
      </c>
      <c r="D220">
        <v>1</v>
      </c>
      <c r="E220" t="s">
        <v>3413</v>
      </c>
      <c r="F220" t="s">
        <v>711</v>
      </c>
      <c r="G220" s="17" t="s">
        <v>4211</v>
      </c>
      <c r="H220" s="7">
        <f t="shared" si="3"/>
        <v>358.25</v>
      </c>
      <c r="I220" s="7">
        <v>57.32</v>
      </c>
    </row>
    <row r="221" spans="1:9">
      <c r="A221" t="s">
        <v>6727</v>
      </c>
      <c r="B221" s="1">
        <v>42369</v>
      </c>
      <c r="C221" t="s">
        <v>6728</v>
      </c>
      <c r="D221">
        <v>1</v>
      </c>
      <c r="E221" t="s">
        <v>6729</v>
      </c>
      <c r="F221" t="s">
        <v>7118</v>
      </c>
      <c r="G221" t="s">
        <v>7119</v>
      </c>
      <c r="H221" s="7">
        <f t="shared" si="3"/>
        <v>41.9375</v>
      </c>
      <c r="I221" s="7">
        <v>6.71</v>
      </c>
    </row>
    <row r="222" spans="1:9">
      <c r="A222" t="s">
        <v>6744</v>
      </c>
      <c r="B222" s="1">
        <v>42369</v>
      </c>
      <c r="C222" t="s">
        <v>6745</v>
      </c>
      <c r="D222">
        <v>1</v>
      </c>
      <c r="E222" t="s">
        <v>3491</v>
      </c>
      <c r="F222" t="s">
        <v>714</v>
      </c>
      <c r="G222" s="17" t="s">
        <v>7103</v>
      </c>
      <c r="H222" s="7">
        <f t="shared" si="3"/>
        <v>328.4375</v>
      </c>
      <c r="I222" s="7">
        <v>52.55</v>
      </c>
    </row>
    <row r="223" spans="1:9">
      <c r="A223" t="s">
        <v>6747</v>
      </c>
      <c r="B223" s="1">
        <v>42369</v>
      </c>
      <c r="C223" t="s">
        <v>6748</v>
      </c>
      <c r="D223">
        <v>1</v>
      </c>
      <c r="E223" t="s">
        <v>3491</v>
      </c>
      <c r="F223" t="s">
        <v>714</v>
      </c>
      <c r="G223" s="17" t="s">
        <v>7103</v>
      </c>
      <c r="H223" s="7">
        <f t="shared" si="3"/>
        <v>48.25</v>
      </c>
      <c r="I223" s="7">
        <v>7.72</v>
      </c>
    </row>
    <row r="224" spans="1:9">
      <c r="A224" t="s">
        <v>6749</v>
      </c>
      <c r="B224" s="1">
        <v>42369</v>
      </c>
      <c r="C224" t="s">
        <v>6750</v>
      </c>
      <c r="D224">
        <v>1</v>
      </c>
      <c r="E224" t="s">
        <v>6751</v>
      </c>
      <c r="F224" t="s">
        <v>2192</v>
      </c>
      <c r="G224" t="s">
        <v>7120</v>
      </c>
      <c r="H224" s="7">
        <f t="shared" si="3"/>
        <v>49.625</v>
      </c>
      <c r="I224" s="7">
        <v>7.94</v>
      </c>
    </row>
    <row r="225" spans="1:11">
      <c r="A225" t="s">
        <v>2778</v>
      </c>
      <c r="B225" s="1">
        <v>42340</v>
      </c>
      <c r="C225" t="s">
        <v>6302</v>
      </c>
      <c r="D225">
        <v>1</v>
      </c>
      <c r="E225" t="s">
        <v>6303</v>
      </c>
      <c r="F225" t="s">
        <v>5633</v>
      </c>
      <c r="G225" t="s">
        <v>6247</v>
      </c>
      <c r="H225" s="7">
        <f t="shared" si="3"/>
        <v>157217.125</v>
      </c>
      <c r="I225" s="7">
        <v>25154.74</v>
      </c>
      <c r="J225" s="7">
        <f>+H225-'[1]DIC 15'!$I$79</f>
        <v>-846.5625</v>
      </c>
      <c r="K225" s="7">
        <f>+I225-'[1]DIC 15'!$J$79</f>
        <v>-135.44999999999709</v>
      </c>
    </row>
    <row r="226" spans="1:11">
      <c r="A226" t="s">
        <v>6921</v>
      </c>
      <c r="B226" s="1">
        <v>42369</v>
      </c>
      <c r="C226" t="s">
        <v>6922</v>
      </c>
      <c r="D226">
        <v>1</v>
      </c>
      <c r="E226" t="s">
        <v>6923</v>
      </c>
      <c r="F226" s="17" t="s">
        <v>790</v>
      </c>
      <c r="G226" t="s">
        <v>428</v>
      </c>
      <c r="H226" s="7">
        <f t="shared" si="3"/>
        <v>1879.3125</v>
      </c>
      <c r="I226" s="7">
        <v>300.69</v>
      </c>
    </row>
    <row r="227" spans="1:11">
      <c r="A227" t="s">
        <v>2651</v>
      </c>
      <c r="B227" s="1">
        <v>42352</v>
      </c>
      <c r="C227" t="s">
        <v>6994</v>
      </c>
      <c r="D227">
        <v>1</v>
      </c>
      <c r="E227" t="s">
        <v>557</v>
      </c>
      <c r="F227" s="116" t="s">
        <v>956</v>
      </c>
      <c r="G227" s="117" t="s">
        <v>957</v>
      </c>
      <c r="H227" s="7">
        <f t="shared" si="3"/>
        <v>36890.4375</v>
      </c>
      <c r="I227" s="7">
        <v>5902.47</v>
      </c>
    </row>
    <row r="228" spans="1:11">
      <c r="A228" t="s">
        <v>6824</v>
      </c>
      <c r="B228" s="1">
        <v>42350</v>
      </c>
      <c r="C228" t="s">
        <v>5964</v>
      </c>
      <c r="D228">
        <v>1</v>
      </c>
      <c r="E228" t="s">
        <v>6825</v>
      </c>
      <c r="F228" s="28" t="s">
        <v>5648</v>
      </c>
      <c r="G228" s="105" t="s">
        <v>7121</v>
      </c>
      <c r="H228" s="7">
        <f t="shared" si="3"/>
        <v>211.1875</v>
      </c>
      <c r="I228" s="27">
        <v>33.79</v>
      </c>
      <c r="J228" s="7">
        <f>+K228/0.16</f>
        <v>3701.5625</v>
      </c>
      <c r="K228" s="7">
        <v>592.25</v>
      </c>
    </row>
    <row r="229" spans="1:11">
      <c r="A229" t="s">
        <v>6824</v>
      </c>
      <c r="B229" s="1">
        <v>42350</v>
      </c>
      <c r="C229" t="s">
        <v>5964</v>
      </c>
      <c r="D229">
        <v>1</v>
      </c>
      <c r="E229" t="s">
        <v>6825</v>
      </c>
      <c r="F229" s="2" t="s">
        <v>5381</v>
      </c>
      <c r="G229" s="105" t="s">
        <v>7102</v>
      </c>
      <c r="H229" s="7">
        <f t="shared" si="3"/>
        <v>236.1875</v>
      </c>
      <c r="I229" s="27">
        <v>37.79</v>
      </c>
    </row>
    <row r="230" spans="1:11">
      <c r="A230" t="s">
        <v>6824</v>
      </c>
      <c r="B230" s="1">
        <v>42350</v>
      </c>
      <c r="C230" t="s">
        <v>5964</v>
      </c>
      <c r="D230">
        <v>1</v>
      </c>
      <c r="E230" t="s">
        <v>6825</v>
      </c>
      <c r="F230" s="2" t="s">
        <v>5381</v>
      </c>
      <c r="G230" s="105" t="s">
        <v>7102</v>
      </c>
      <c r="H230" s="7">
        <f t="shared" si="3"/>
        <v>236.24999999999997</v>
      </c>
      <c r="I230" s="27">
        <v>37.799999999999997</v>
      </c>
    </row>
    <row r="231" spans="1:11">
      <c r="A231" t="s">
        <v>6824</v>
      </c>
      <c r="B231" s="1">
        <v>42350</v>
      </c>
      <c r="C231" t="s">
        <v>5964</v>
      </c>
      <c r="D231">
        <v>1</v>
      </c>
      <c r="E231" t="s">
        <v>6825</v>
      </c>
      <c r="F231" t="s">
        <v>6585</v>
      </c>
      <c r="G231" s="105" t="s">
        <v>5672</v>
      </c>
      <c r="H231" s="7">
        <f t="shared" si="3"/>
        <v>392.25</v>
      </c>
      <c r="I231" s="27">
        <v>62.76</v>
      </c>
    </row>
    <row r="232" spans="1:11">
      <c r="A232" t="s">
        <v>6824</v>
      </c>
      <c r="B232" s="1">
        <v>42350</v>
      </c>
      <c r="C232" t="s">
        <v>5964</v>
      </c>
      <c r="D232">
        <v>1</v>
      </c>
      <c r="E232" t="s">
        <v>6825</v>
      </c>
      <c r="F232" s="28" t="s">
        <v>1558</v>
      </c>
      <c r="G232" s="105" t="s">
        <v>7109</v>
      </c>
      <c r="H232" s="7">
        <f t="shared" si="3"/>
        <v>361.1875</v>
      </c>
      <c r="I232" s="27">
        <v>57.79</v>
      </c>
    </row>
    <row r="233" spans="1:11">
      <c r="A233" t="s">
        <v>6824</v>
      </c>
      <c r="B233" s="1">
        <v>42350</v>
      </c>
      <c r="C233" t="s">
        <v>5964</v>
      </c>
      <c r="D233">
        <v>1</v>
      </c>
      <c r="E233" t="s">
        <v>6825</v>
      </c>
      <c r="F233" s="119" t="s">
        <v>3084</v>
      </c>
      <c r="G233" s="120" t="s">
        <v>962</v>
      </c>
      <c r="H233" s="7">
        <f t="shared" si="3"/>
        <v>452.25</v>
      </c>
      <c r="I233" s="121">
        <v>72.36</v>
      </c>
    </row>
    <row r="234" spans="1:11" s="155" customFormat="1">
      <c r="A234" s="155" t="s">
        <v>6824</v>
      </c>
      <c r="B234" s="156">
        <v>42350</v>
      </c>
      <c r="C234" s="155" t="s">
        <v>5964</v>
      </c>
      <c r="D234" s="155">
        <v>1</v>
      </c>
      <c r="E234" s="155" t="s">
        <v>6825</v>
      </c>
      <c r="F234" s="157" t="s">
        <v>722</v>
      </c>
      <c r="G234" s="160" t="s">
        <v>5693</v>
      </c>
      <c r="H234" s="7">
        <f t="shared" si="3"/>
        <v>120.75</v>
      </c>
      <c r="I234" s="161">
        <v>19.32</v>
      </c>
      <c r="J234" s="159"/>
      <c r="K234" s="159"/>
    </row>
    <row r="235" spans="1:11">
      <c r="A235" t="s">
        <v>6824</v>
      </c>
      <c r="B235" s="1">
        <v>42350</v>
      </c>
      <c r="C235" t="s">
        <v>5964</v>
      </c>
      <c r="D235">
        <v>1</v>
      </c>
      <c r="E235" t="s">
        <v>6825</v>
      </c>
      <c r="F235" s="28" t="s">
        <v>7122</v>
      </c>
      <c r="G235" s="105" t="s">
        <v>7123</v>
      </c>
      <c r="H235" s="7">
        <f t="shared" si="3"/>
        <v>1196.6875</v>
      </c>
      <c r="I235" s="27">
        <v>191.47</v>
      </c>
    </row>
    <row r="236" spans="1:11">
      <c r="A236" t="s">
        <v>6824</v>
      </c>
      <c r="B236" s="1">
        <v>42350</v>
      </c>
      <c r="C236" t="s">
        <v>5964</v>
      </c>
      <c r="D236">
        <v>1</v>
      </c>
      <c r="E236" t="s">
        <v>6825</v>
      </c>
      <c r="F236" s="28" t="s">
        <v>7124</v>
      </c>
      <c r="G236" s="105" t="s">
        <v>7125</v>
      </c>
      <c r="H236" s="7">
        <f t="shared" si="3"/>
        <v>223.25</v>
      </c>
      <c r="I236" s="27">
        <v>35.72</v>
      </c>
    </row>
    <row r="237" spans="1:11">
      <c r="A237" t="s">
        <v>6824</v>
      </c>
      <c r="B237" s="1">
        <v>42350</v>
      </c>
      <c r="C237" t="s">
        <v>5964</v>
      </c>
      <c r="D237">
        <v>1</v>
      </c>
      <c r="E237" t="s">
        <v>6825</v>
      </c>
      <c r="F237" s="28" t="s">
        <v>7126</v>
      </c>
      <c r="G237" s="105" t="s">
        <v>7127</v>
      </c>
      <c r="H237" s="7">
        <f t="shared" si="3"/>
        <v>141.375</v>
      </c>
      <c r="I237" s="27">
        <v>22.62</v>
      </c>
    </row>
    <row r="238" spans="1:11">
      <c r="A238" t="s">
        <v>6824</v>
      </c>
      <c r="B238" s="1">
        <v>42350</v>
      </c>
      <c r="C238" t="s">
        <v>5964</v>
      </c>
      <c r="D238">
        <v>1</v>
      </c>
      <c r="E238" t="s">
        <v>6825</v>
      </c>
      <c r="F238" s="28" t="s">
        <v>7128</v>
      </c>
      <c r="G238" s="105" t="s">
        <v>7129</v>
      </c>
      <c r="H238" s="7">
        <f t="shared" si="3"/>
        <v>130.1875</v>
      </c>
      <c r="I238" s="27">
        <v>20.83</v>
      </c>
      <c r="J238" s="7">
        <f>3701.56-H228-H229-H230-H231-H232-H233-H234-H235-H236-H237-H238</f>
        <v>-2.5000000000545697E-3</v>
      </c>
      <c r="K238" s="7">
        <f>592.25-I228-I229-I230-I231-I232-I233-I234-I235-I236-I237-I238</f>
        <v>4.6185277824406512E-14</v>
      </c>
    </row>
    <row r="239" spans="1:11">
      <c r="A239" t="s">
        <v>6730</v>
      </c>
      <c r="B239" s="1">
        <v>42369</v>
      </c>
      <c r="C239" t="s">
        <v>6731</v>
      </c>
      <c r="D239">
        <v>1</v>
      </c>
      <c r="E239" t="s">
        <v>6732</v>
      </c>
      <c r="F239" s="28" t="s">
        <v>7130</v>
      </c>
      <c r="G239" s="105" t="s">
        <v>7131</v>
      </c>
      <c r="H239" s="7">
        <f t="shared" si="3"/>
        <v>37.0625</v>
      </c>
      <c r="I239" s="7">
        <v>5.93</v>
      </c>
    </row>
    <row r="240" spans="1:11">
      <c r="A240" t="s">
        <v>6690</v>
      </c>
      <c r="B240" s="1">
        <v>42369</v>
      </c>
      <c r="C240" t="s">
        <v>6691</v>
      </c>
      <c r="D240">
        <v>1</v>
      </c>
      <c r="E240" t="s">
        <v>3420</v>
      </c>
      <c r="F240" t="s">
        <v>759</v>
      </c>
      <c r="G240" t="s">
        <v>7132</v>
      </c>
      <c r="H240" s="7">
        <f t="shared" si="3"/>
        <v>77.5</v>
      </c>
      <c r="I240" s="7">
        <v>12.4</v>
      </c>
    </row>
    <row r="241" spans="1:12">
      <c r="A241" t="s">
        <v>6710</v>
      </c>
      <c r="B241" s="1">
        <v>42369</v>
      </c>
      <c r="C241" t="s">
        <v>6711</v>
      </c>
      <c r="D241">
        <v>1</v>
      </c>
      <c r="E241" t="s">
        <v>3420</v>
      </c>
      <c r="F241" t="s">
        <v>759</v>
      </c>
      <c r="G241" t="s">
        <v>7132</v>
      </c>
      <c r="H241" s="7">
        <f t="shared" si="3"/>
        <v>155.0625</v>
      </c>
      <c r="I241" s="7">
        <v>24.81</v>
      </c>
    </row>
    <row r="242" spans="1:12">
      <c r="A242" t="s">
        <v>7043</v>
      </c>
      <c r="B242" s="1">
        <v>42369</v>
      </c>
      <c r="C242" t="s">
        <v>7044</v>
      </c>
      <c r="D242">
        <v>1</v>
      </c>
      <c r="E242" t="s">
        <v>7045</v>
      </c>
      <c r="F242" s="122" t="s">
        <v>737</v>
      </c>
      <c r="G242" s="17" t="s">
        <v>7133</v>
      </c>
      <c r="H242" s="7">
        <f t="shared" si="3"/>
        <v>19689.375</v>
      </c>
      <c r="I242" s="7">
        <v>3150.3</v>
      </c>
    </row>
    <row r="243" spans="1:12">
      <c r="A243" t="s">
        <v>2594</v>
      </c>
      <c r="B243" s="1">
        <v>42345</v>
      </c>
      <c r="C243" t="s">
        <v>6953</v>
      </c>
      <c r="D243">
        <v>1</v>
      </c>
      <c r="E243" t="s">
        <v>1344</v>
      </c>
      <c r="F243" s="17" t="s">
        <v>808</v>
      </c>
      <c r="G243" t="s">
        <v>489</v>
      </c>
      <c r="H243" s="7">
        <f t="shared" si="3"/>
        <v>20554.25</v>
      </c>
      <c r="I243" s="7">
        <v>3288.68</v>
      </c>
    </row>
    <row r="244" spans="1:12">
      <c r="A244" t="s">
        <v>6905</v>
      </c>
      <c r="B244" s="1">
        <v>42357</v>
      </c>
      <c r="C244" t="s">
        <v>6906</v>
      </c>
      <c r="D244">
        <v>1</v>
      </c>
      <c r="E244" t="s">
        <v>6907</v>
      </c>
      <c r="F244" t="s">
        <v>7535</v>
      </c>
      <c r="G244" t="s">
        <v>7536</v>
      </c>
      <c r="H244" s="7">
        <f t="shared" si="3"/>
        <v>1219.1875</v>
      </c>
      <c r="I244" s="7">
        <v>195.07</v>
      </c>
    </row>
    <row r="245" spans="1:12">
      <c r="A245" t="s">
        <v>6905</v>
      </c>
      <c r="B245" s="1">
        <v>42357</v>
      </c>
      <c r="C245" t="s">
        <v>6906</v>
      </c>
      <c r="D245">
        <v>1</v>
      </c>
      <c r="E245" t="s">
        <v>6907</v>
      </c>
      <c r="F245" t="s">
        <v>7535</v>
      </c>
      <c r="G245" t="s">
        <v>7536</v>
      </c>
      <c r="H245" s="7">
        <f t="shared" si="3"/>
        <v>589.3125</v>
      </c>
      <c r="I245" s="7">
        <v>94.29</v>
      </c>
    </row>
    <row r="246" spans="1:12">
      <c r="A246" t="s">
        <v>6905</v>
      </c>
      <c r="B246" s="1">
        <v>42357</v>
      </c>
      <c r="C246" t="s">
        <v>6906</v>
      </c>
      <c r="D246">
        <v>1</v>
      </c>
      <c r="E246" t="s">
        <v>6907</v>
      </c>
      <c r="F246" t="s">
        <v>722</v>
      </c>
      <c r="G246" t="s">
        <v>722</v>
      </c>
      <c r="H246" s="7">
        <f t="shared" si="3"/>
        <v>88.0625</v>
      </c>
      <c r="I246" s="7">
        <v>14.09</v>
      </c>
      <c r="J246" s="7">
        <f>1896.56-H244-H245-H246</f>
        <v>-2.5000000000545697E-3</v>
      </c>
      <c r="K246" s="7">
        <f>303.45-I244-I245-I246</f>
        <v>0</v>
      </c>
    </row>
    <row r="247" spans="1:12">
      <c r="A247" t="s">
        <v>6320</v>
      </c>
      <c r="B247" s="1">
        <v>42345</v>
      </c>
      <c r="C247" t="s">
        <v>6321</v>
      </c>
      <c r="D247">
        <v>1</v>
      </c>
      <c r="E247" t="s">
        <v>6322</v>
      </c>
      <c r="F247" t="s">
        <v>791</v>
      </c>
      <c r="G247" t="s">
        <v>3222</v>
      </c>
      <c r="H247" s="7">
        <f t="shared" si="3"/>
        <v>305637</v>
      </c>
      <c r="I247" s="7">
        <v>48901.919999999998</v>
      </c>
      <c r="J247" s="7">
        <f>+H247-'[1]DIC 15'!$I$204</f>
        <v>-36751.8125</v>
      </c>
      <c r="K247" s="7">
        <f>+I247-'[1]DIC 15'!$J$204</f>
        <v>-5880.2900000000009</v>
      </c>
      <c r="L247" t="s">
        <v>960</v>
      </c>
    </row>
    <row r="248" spans="1:12">
      <c r="A248" t="s">
        <v>6332</v>
      </c>
      <c r="B248" s="1">
        <v>42345</v>
      </c>
      <c r="C248" t="s">
        <v>6333</v>
      </c>
      <c r="D248">
        <v>1</v>
      </c>
      <c r="E248" t="s">
        <v>14</v>
      </c>
      <c r="F248" t="s">
        <v>791</v>
      </c>
      <c r="G248" t="s">
        <v>3222</v>
      </c>
      <c r="H248" s="7">
        <f t="shared" si="3"/>
        <v>170516.3125</v>
      </c>
      <c r="I248" s="7">
        <v>27282.61</v>
      </c>
      <c r="J248" s="7">
        <f>+H248-'[1]DIC 15'!$I$207</f>
        <v>1360.9375</v>
      </c>
      <c r="K248" s="7">
        <f>+I248-'[1]DIC 15'!$J$207</f>
        <v>217.75</v>
      </c>
      <c r="L248" t="s">
        <v>960</v>
      </c>
    </row>
    <row r="249" spans="1:12">
      <c r="A249" t="s">
        <v>6476</v>
      </c>
      <c r="B249" s="1">
        <v>42364</v>
      </c>
      <c r="C249" t="s">
        <v>6477</v>
      </c>
      <c r="D249">
        <v>1</v>
      </c>
      <c r="E249" t="s">
        <v>4319</v>
      </c>
      <c r="F249" t="s">
        <v>791</v>
      </c>
      <c r="G249" t="s">
        <v>3222</v>
      </c>
      <c r="H249" s="7">
        <f t="shared" si="3"/>
        <v>149664.3125</v>
      </c>
      <c r="I249" s="7">
        <v>23946.29</v>
      </c>
      <c r="J249" s="7">
        <f>+H249-'[1]DIC 15'!$I$217</f>
        <v>-640.75</v>
      </c>
      <c r="K249" s="7">
        <f>+I249-'[1]DIC 15'!$J$217</f>
        <v>-102.52000000000044</v>
      </c>
      <c r="L249" t="s">
        <v>960</v>
      </c>
    </row>
    <row r="250" spans="1:12">
      <c r="A250" t="s">
        <v>6706</v>
      </c>
      <c r="B250" s="1">
        <v>42369</v>
      </c>
      <c r="C250" t="s">
        <v>6707</v>
      </c>
      <c r="D250">
        <v>1</v>
      </c>
      <c r="E250" t="s">
        <v>4054</v>
      </c>
      <c r="F250" t="s">
        <v>704</v>
      </c>
      <c r="G250" s="17" t="s">
        <v>576</v>
      </c>
      <c r="H250" s="7">
        <f t="shared" si="3"/>
        <v>258.625</v>
      </c>
      <c r="I250" s="7">
        <v>41.38</v>
      </c>
    </row>
    <row r="251" spans="1:12">
      <c r="A251" t="s">
        <v>6682</v>
      </c>
      <c r="B251" s="1">
        <v>42369</v>
      </c>
      <c r="C251" t="s">
        <v>6683</v>
      </c>
      <c r="D251">
        <v>1</v>
      </c>
      <c r="E251" t="s">
        <v>4054</v>
      </c>
      <c r="F251" t="s">
        <v>704</v>
      </c>
      <c r="G251" s="17" t="s">
        <v>576</v>
      </c>
      <c r="H251" s="7">
        <f t="shared" si="3"/>
        <v>215.49999999999997</v>
      </c>
      <c r="I251" s="7">
        <v>34.479999999999997</v>
      </c>
    </row>
    <row r="252" spans="1:12">
      <c r="A252" t="s">
        <v>6680</v>
      </c>
      <c r="B252" s="1">
        <v>42369</v>
      </c>
      <c r="C252" t="s">
        <v>6681</v>
      </c>
      <c r="D252">
        <v>1</v>
      </c>
      <c r="E252" t="s">
        <v>4054</v>
      </c>
      <c r="F252" t="s">
        <v>704</v>
      </c>
      <c r="G252" s="17" t="s">
        <v>576</v>
      </c>
      <c r="H252" s="7">
        <f t="shared" si="3"/>
        <v>689.6875</v>
      </c>
      <c r="I252" s="7">
        <v>110.35</v>
      </c>
    </row>
    <row r="253" spans="1:12">
      <c r="A253" t="s">
        <v>6678</v>
      </c>
      <c r="B253" s="1">
        <v>42369</v>
      </c>
      <c r="C253" t="s">
        <v>6679</v>
      </c>
      <c r="D253">
        <v>1</v>
      </c>
      <c r="E253" t="s">
        <v>4054</v>
      </c>
      <c r="F253" t="s">
        <v>704</v>
      </c>
      <c r="G253" t="s">
        <v>576</v>
      </c>
      <c r="H253" s="7">
        <f t="shared" si="3"/>
        <v>215.49999999999997</v>
      </c>
      <c r="I253" s="7">
        <v>34.479999999999997</v>
      </c>
    </row>
    <row r="254" spans="1:12">
      <c r="A254" t="s">
        <v>6760</v>
      </c>
      <c r="B254" s="1">
        <v>42369</v>
      </c>
      <c r="C254" t="s">
        <v>6761</v>
      </c>
      <c r="D254">
        <v>1</v>
      </c>
      <c r="E254" t="s">
        <v>4245</v>
      </c>
      <c r="F254" t="s">
        <v>1561</v>
      </c>
      <c r="G254" s="17" t="s">
        <v>1188</v>
      </c>
      <c r="H254" s="7">
        <f t="shared" si="3"/>
        <v>41.375</v>
      </c>
      <c r="I254" s="7">
        <v>6.62</v>
      </c>
    </row>
    <row r="255" spans="1:12">
      <c r="A255" t="s">
        <v>6741</v>
      </c>
      <c r="B255" s="1">
        <v>42369</v>
      </c>
      <c r="C255" t="s">
        <v>6742</v>
      </c>
      <c r="D255">
        <v>1</v>
      </c>
      <c r="E255" t="s">
        <v>6743</v>
      </c>
      <c r="F255" t="s">
        <v>2695</v>
      </c>
      <c r="G255" t="s">
        <v>2455</v>
      </c>
      <c r="H255" s="7">
        <f t="shared" si="3"/>
        <v>199.125</v>
      </c>
      <c r="I255" s="7">
        <v>31.86</v>
      </c>
    </row>
    <row r="256" spans="1:12">
      <c r="A256" t="s">
        <v>6752</v>
      </c>
      <c r="B256" s="1">
        <v>42369</v>
      </c>
      <c r="C256" t="s">
        <v>6753</v>
      </c>
      <c r="D256">
        <v>1</v>
      </c>
      <c r="E256" t="s">
        <v>6743</v>
      </c>
      <c r="F256" t="s">
        <v>2695</v>
      </c>
      <c r="G256" t="s">
        <v>2455</v>
      </c>
      <c r="H256" s="7">
        <f t="shared" si="3"/>
        <v>149.125</v>
      </c>
      <c r="I256" s="7">
        <v>23.86</v>
      </c>
    </row>
    <row r="257" spans="1:11">
      <c r="A257" t="s">
        <v>6708</v>
      </c>
      <c r="B257" s="1">
        <v>42369</v>
      </c>
      <c r="C257" t="s">
        <v>6709</v>
      </c>
      <c r="D257">
        <v>1</v>
      </c>
      <c r="E257" t="s">
        <v>3428</v>
      </c>
      <c r="F257" t="s">
        <v>804</v>
      </c>
      <c r="G257" t="s">
        <v>7134</v>
      </c>
      <c r="H257" s="7">
        <f t="shared" si="3"/>
        <v>155</v>
      </c>
      <c r="I257" s="7">
        <v>24.8</v>
      </c>
    </row>
    <row r="258" spans="1:11">
      <c r="A258" t="s">
        <v>6717</v>
      </c>
      <c r="B258" s="1">
        <v>42369</v>
      </c>
      <c r="C258" t="s">
        <v>6718</v>
      </c>
      <c r="D258">
        <v>1</v>
      </c>
      <c r="E258" t="s">
        <v>3428</v>
      </c>
      <c r="F258" t="s">
        <v>804</v>
      </c>
      <c r="G258" t="s">
        <v>7134</v>
      </c>
      <c r="H258" s="7">
        <f t="shared" si="3"/>
        <v>146</v>
      </c>
      <c r="I258" s="7">
        <v>23.36</v>
      </c>
    </row>
    <row r="259" spans="1:11" s="155" customFormat="1">
      <c r="A259" s="155" t="s">
        <v>6730</v>
      </c>
      <c r="B259" s="156">
        <v>42369</v>
      </c>
      <c r="C259" s="155" t="s">
        <v>6731</v>
      </c>
      <c r="D259" s="155">
        <v>1</v>
      </c>
      <c r="E259" s="155" t="s">
        <v>5974</v>
      </c>
      <c r="F259" s="157" t="s">
        <v>722</v>
      </c>
      <c r="G259" s="158" t="s">
        <v>5693</v>
      </c>
      <c r="H259" s="7">
        <f t="shared" si="3"/>
        <v>30.1875</v>
      </c>
      <c r="I259" s="159">
        <v>4.83</v>
      </c>
      <c r="J259" s="159"/>
      <c r="K259" s="159"/>
    </row>
    <row r="260" spans="1:11" s="155" customFormat="1">
      <c r="A260" s="155" t="s">
        <v>6744</v>
      </c>
      <c r="B260" s="156">
        <v>42369</v>
      </c>
      <c r="C260" s="155" t="s">
        <v>6745</v>
      </c>
      <c r="D260" s="155">
        <v>1</v>
      </c>
      <c r="E260" s="155" t="s">
        <v>5974</v>
      </c>
      <c r="F260" s="157" t="s">
        <v>722</v>
      </c>
      <c r="G260" s="158" t="s">
        <v>5693</v>
      </c>
      <c r="H260" s="7">
        <f t="shared" si="3"/>
        <v>176.75</v>
      </c>
      <c r="I260" s="159">
        <v>28.28</v>
      </c>
      <c r="J260" s="159"/>
      <c r="K260" s="159"/>
    </row>
    <row r="261" spans="1:11" s="155" customFormat="1">
      <c r="A261" s="155" t="s">
        <v>6747</v>
      </c>
      <c r="B261" s="156">
        <v>42369</v>
      </c>
      <c r="C261" s="155" t="s">
        <v>6748</v>
      </c>
      <c r="D261" s="155">
        <v>1</v>
      </c>
      <c r="E261" s="155" t="s">
        <v>5974</v>
      </c>
      <c r="F261" s="157" t="s">
        <v>722</v>
      </c>
      <c r="G261" s="158" t="s">
        <v>5693</v>
      </c>
      <c r="H261" s="7">
        <f t="shared" si="3"/>
        <v>56.0625</v>
      </c>
      <c r="I261" s="159">
        <v>8.9700000000000006</v>
      </c>
      <c r="J261" s="159"/>
      <c r="K261" s="159"/>
    </row>
    <row r="262" spans="1:11" s="155" customFormat="1">
      <c r="A262" s="155" t="s">
        <v>6762</v>
      </c>
      <c r="B262" s="156">
        <v>42369</v>
      </c>
      <c r="C262" s="155" t="s">
        <v>6763</v>
      </c>
      <c r="D262" s="155">
        <v>1</v>
      </c>
      <c r="E262" s="155" t="s">
        <v>5974</v>
      </c>
      <c r="F262" s="157" t="s">
        <v>722</v>
      </c>
      <c r="G262" s="158" t="s">
        <v>5693</v>
      </c>
      <c r="H262" s="7">
        <f t="shared" si="3"/>
        <v>56.0625</v>
      </c>
      <c r="I262" s="159">
        <v>8.9700000000000006</v>
      </c>
      <c r="J262" s="159"/>
      <c r="K262" s="159"/>
    </row>
    <row r="263" spans="1:11">
      <c r="A263" t="s">
        <v>4226</v>
      </c>
      <c r="B263" s="1">
        <v>42345</v>
      </c>
      <c r="C263" t="s">
        <v>1315</v>
      </c>
      <c r="D263">
        <v>1</v>
      </c>
      <c r="E263" t="s">
        <v>6319</v>
      </c>
      <c r="F263" s="17" t="s">
        <v>5329</v>
      </c>
      <c r="G263" t="s">
        <v>5682</v>
      </c>
      <c r="H263" s="7">
        <f t="shared" si="3"/>
        <v>91.375</v>
      </c>
      <c r="I263" s="2">
        <v>14.62</v>
      </c>
    </row>
    <row r="264" spans="1:11">
      <c r="A264" t="s">
        <v>4226</v>
      </c>
      <c r="B264" s="1">
        <v>42345</v>
      </c>
      <c r="C264" t="s">
        <v>1315</v>
      </c>
      <c r="D264">
        <v>1</v>
      </c>
      <c r="E264" t="s">
        <v>6319</v>
      </c>
      <c r="F264" s="17" t="s">
        <v>5365</v>
      </c>
      <c r="G264" t="s">
        <v>7135</v>
      </c>
      <c r="H264" s="7">
        <f t="shared" ref="H264:H327" si="4">+I264/0.16</f>
        <v>114.6875</v>
      </c>
      <c r="I264" s="2">
        <v>18.350000000000001</v>
      </c>
    </row>
    <row r="265" spans="1:11" s="155" customFormat="1">
      <c r="A265" s="155" t="s">
        <v>4226</v>
      </c>
      <c r="B265" s="156">
        <v>42345</v>
      </c>
      <c r="C265" s="155" t="s">
        <v>1315</v>
      </c>
      <c r="D265" s="155">
        <v>1</v>
      </c>
      <c r="E265" s="155" t="s">
        <v>6319</v>
      </c>
      <c r="F265" s="157" t="s">
        <v>722</v>
      </c>
      <c r="G265" s="155" t="s">
        <v>7136</v>
      </c>
      <c r="H265" s="7">
        <f t="shared" si="4"/>
        <v>253.43749999999997</v>
      </c>
      <c r="I265" s="161">
        <v>40.549999999999997</v>
      </c>
      <c r="J265" s="159"/>
      <c r="K265" s="159"/>
    </row>
    <row r="266" spans="1:11">
      <c r="A266" t="s">
        <v>4226</v>
      </c>
      <c r="B266" s="1">
        <v>42345</v>
      </c>
      <c r="C266" t="s">
        <v>1315</v>
      </c>
      <c r="D266">
        <v>1</v>
      </c>
      <c r="E266" t="s">
        <v>6319</v>
      </c>
      <c r="F266" s="17" t="s">
        <v>7137</v>
      </c>
      <c r="G266" t="s">
        <v>7138</v>
      </c>
      <c r="H266" s="7">
        <f t="shared" si="4"/>
        <v>655.5</v>
      </c>
      <c r="I266" s="2">
        <v>104.88</v>
      </c>
    </row>
    <row r="267" spans="1:11">
      <c r="A267" t="s">
        <v>4226</v>
      </c>
      <c r="B267" s="1">
        <v>42345</v>
      </c>
      <c r="C267" t="s">
        <v>1315</v>
      </c>
      <c r="D267">
        <v>1</v>
      </c>
      <c r="E267" t="s">
        <v>6319</v>
      </c>
      <c r="F267" s="17" t="s">
        <v>7139</v>
      </c>
      <c r="G267" t="s">
        <v>7140</v>
      </c>
      <c r="H267" s="7">
        <f t="shared" si="4"/>
        <v>276.875</v>
      </c>
      <c r="I267" s="2">
        <v>44.3</v>
      </c>
    </row>
    <row r="268" spans="1:11">
      <c r="A268" t="s">
        <v>4226</v>
      </c>
      <c r="B268" s="1">
        <v>42345</v>
      </c>
      <c r="C268" t="s">
        <v>1315</v>
      </c>
      <c r="D268">
        <v>1</v>
      </c>
      <c r="E268" t="s">
        <v>6319</v>
      </c>
      <c r="F268" s="17" t="s">
        <v>7141</v>
      </c>
      <c r="G268" t="s">
        <v>7142</v>
      </c>
      <c r="H268" s="7">
        <f t="shared" si="4"/>
        <v>284.4375</v>
      </c>
      <c r="I268" s="2">
        <v>45.51</v>
      </c>
      <c r="J268" s="7">
        <f>1676.31-H263-H264-H265-H266-H267-H268</f>
        <v>-2.5000000000545697E-3</v>
      </c>
      <c r="K268" s="7">
        <f>268.21-I263-I264-I265-I266-I267-I268</f>
        <v>0</v>
      </c>
    </row>
    <row r="269" spans="1:11">
      <c r="A269" t="s">
        <v>6316</v>
      </c>
      <c r="B269" s="1">
        <v>42345</v>
      </c>
      <c r="C269" t="s">
        <v>6317</v>
      </c>
      <c r="D269">
        <v>1</v>
      </c>
      <c r="E269" t="s">
        <v>6318</v>
      </c>
      <c r="F269" t="s">
        <v>714</v>
      </c>
      <c r="G269" s="2" t="s">
        <v>715</v>
      </c>
      <c r="H269" s="7">
        <f t="shared" si="4"/>
        <v>580.1875</v>
      </c>
      <c r="I269" s="2">
        <v>92.83</v>
      </c>
    </row>
    <row r="270" spans="1:11">
      <c r="A270" t="s">
        <v>6316</v>
      </c>
      <c r="B270" s="1">
        <v>42345</v>
      </c>
      <c r="C270" t="s">
        <v>6317</v>
      </c>
      <c r="D270">
        <v>1</v>
      </c>
      <c r="E270" t="s">
        <v>6318</v>
      </c>
      <c r="F270" s="17" t="s">
        <v>716</v>
      </c>
      <c r="G270" t="s">
        <v>717</v>
      </c>
      <c r="H270" s="7">
        <f t="shared" si="4"/>
        <v>1965.9375</v>
      </c>
      <c r="I270" s="2">
        <v>314.55</v>
      </c>
    </row>
    <row r="271" spans="1:11">
      <c r="A271" t="s">
        <v>6316</v>
      </c>
      <c r="B271" s="1">
        <v>42345</v>
      </c>
      <c r="C271" t="s">
        <v>6317</v>
      </c>
      <c r="D271">
        <v>1</v>
      </c>
      <c r="E271" t="s">
        <v>6318</v>
      </c>
      <c r="F271" s="17" t="s">
        <v>2738</v>
      </c>
      <c r="G271" t="s">
        <v>2739</v>
      </c>
      <c r="H271" s="7">
        <f t="shared" si="4"/>
        <v>83.5625</v>
      </c>
      <c r="I271" s="2">
        <v>13.37</v>
      </c>
      <c r="J271" s="7">
        <f>2629.69-H269-H270-H271</f>
        <v>2.5000000000545697E-3</v>
      </c>
      <c r="K271" s="7">
        <f>420.75-I269-I270-I271</f>
        <v>0</v>
      </c>
    </row>
    <row r="272" spans="1:11">
      <c r="A272" t="s">
        <v>6736</v>
      </c>
      <c r="B272" s="1">
        <v>42369</v>
      </c>
      <c r="C272" t="s">
        <v>6737</v>
      </c>
      <c r="D272">
        <v>1</v>
      </c>
      <c r="E272" t="s">
        <v>6738</v>
      </c>
      <c r="F272" t="s">
        <v>7143</v>
      </c>
      <c r="G272" t="s">
        <v>7144</v>
      </c>
      <c r="H272" s="7">
        <f t="shared" si="4"/>
        <v>77.3125</v>
      </c>
      <c r="I272" s="7">
        <v>12.37</v>
      </c>
    </row>
    <row r="273" spans="1:11">
      <c r="A273" t="s">
        <v>6739</v>
      </c>
      <c r="B273" s="1">
        <v>42369</v>
      </c>
      <c r="C273" t="s">
        <v>6740</v>
      </c>
      <c r="D273">
        <v>1</v>
      </c>
      <c r="E273" t="s">
        <v>6738</v>
      </c>
      <c r="F273" t="s">
        <v>7143</v>
      </c>
      <c r="G273" t="s">
        <v>7144</v>
      </c>
      <c r="H273" s="7">
        <f t="shared" si="4"/>
        <v>86.187499999999986</v>
      </c>
      <c r="I273" s="7">
        <v>13.79</v>
      </c>
    </row>
    <row r="274" spans="1:11">
      <c r="A274" t="s">
        <v>6687</v>
      </c>
      <c r="B274" s="1">
        <v>42369</v>
      </c>
      <c r="C274" t="s">
        <v>6688</v>
      </c>
      <c r="D274">
        <v>1</v>
      </c>
      <c r="E274" t="s">
        <v>6689</v>
      </c>
      <c r="F274" t="s">
        <v>840</v>
      </c>
      <c r="G274" t="s">
        <v>2425</v>
      </c>
      <c r="H274" s="7">
        <f t="shared" si="4"/>
        <v>134.5</v>
      </c>
      <c r="I274" s="7">
        <v>21.52</v>
      </c>
    </row>
    <row r="275" spans="1:11">
      <c r="A275" t="s">
        <v>2142</v>
      </c>
      <c r="B275" s="1">
        <v>42353</v>
      </c>
      <c r="C275" t="s">
        <v>6997</v>
      </c>
      <c r="D275">
        <v>1</v>
      </c>
      <c r="E275" t="s">
        <v>6998</v>
      </c>
      <c r="F275" t="s">
        <v>2210</v>
      </c>
      <c r="G275" t="s">
        <v>7539</v>
      </c>
      <c r="H275" s="7">
        <f t="shared" si="4"/>
        <v>682.9375</v>
      </c>
      <c r="I275" s="7">
        <v>109.27</v>
      </c>
    </row>
    <row r="276" spans="1:11">
      <c r="A276" t="s">
        <v>2142</v>
      </c>
      <c r="B276" s="1">
        <v>42353</v>
      </c>
      <c r="C276" t="s">
        <v>6997</v>
      </c>
      <c r="D276">
        <v>1</v>
      </c>
      <c r="E276" t="s">
        <v>6998</v>
      </c>
      <c r="F276" t="s">
        <v>2211</v>
      </c>
      <c r="G276" t="s">
        <v>7540</v>
      </c>
      <c r="H276" s="7">
        <f t="shared" si="4"/>
        <v>70.25</v>
      </c>
      <c r="I276" s="7">
        <v>11.24</v>
      </c>
      <c r="J276" s="7">
        <f>753.19-H275-H276</f>
        <v>2.5000000000545697E-3</v>
      </c>
      <c r="K276" s="7">
        <f>120.51-I275-I276</f>
        <v>0</v>
      </c>
    </row>
    <row r="277" spans="1:11">
      <c r="A277" t="s">
        <v>4115</v>
      </c>
      <c r="B277" s="1">
        <v>42345</v>
      </c>
      <c r="C277" t="s">
        <v>6951</v>
      </c>
      <c r="D277">
        <v>1</v>
      </c>
      <c r="E277" t="s">
        <v>3107</v>
      </c>
      <c r="F277" s="123" t="s">
        <v>822</v>
      </c>
      <c r="G277" s="124" t="s">
        <v>588</v>
      </c>
      <c r="H277" s="7">
        <f t="shared" si="4"/>
        <v>421</v>
      </c>
      <c r="I277" s="7">
        <v>67.36</v>
      </c>
    </row>
    <row r="278" spans="1:11">
      <c r="A278" t="s">
        <v>497</v>
      </c>
      <c r="B278" s="1">
        <v>42352</v>
      </c>
      <c r="C278" t="s">
        <v>6989</v>
      </c>
      <c r="D278">
        <v>1</v>
      </c>
      <c r="E278" t="s">
        <v>3107</v>
      </c>
      <c r="F278" s="123" t="s">
        <v>822</v>
      </c>
      <c r="G278" s="124" t="s">
        <v>588</v>
      </c>
      <c r="H278" s="7">
        <f t="shared" si="4"/>
        <v>377</v>
      </c>
      <c r="I278" s="7">
        <v>60.32</v>
      </c>
    </row>
    <row r="279" spans="1:11">
      <c r="A279" t="s">
        <v>3565</v>
      </c>
      <c r="B279" s="1">
        <v>42345</v>
      </c>
      <c r="C279" t="s">
        <v>6950</v>
      </c>
      <c r="D279">
        <v>1</v>
      </c>
      <c r="E279" t="s">
        <v>7537</v>
      </c>
      <c r="F279" t="s">
        <v>7337</v>
      </c>
      <c r="G279" t="s">
        <v>7538</v>
      </c>
      <c r="H279" s="7">
        <f t="shared" si="4"/>
        <v>163793.125</v>
      </c>
      <c r="I279" s="7">
        <v>26206.9</v>
      </c>
    </row>
    <row r="280" spans="1:11" s="133" customFormat="1">
      <c r="A280" s="133" t="s">
        <v>6924</v>
      </c>
      <c r="B280" s="134">
        <v>42369</v>
      </c>
      <c r="C280" s="133" t="s">
        <v>5528</v>
      </c>
      <c r="D280" s="133">
        <v>1</v>
      </c>
      <c r="E280" s="133" t="s">
        <v>6925</v>
      </c>
      <c r="F280" s="133" t="s">
        <v>7325</v>
      </c>
      <c r="G280" s="133" t="s">
        <v>7541</v>
      </c>
      <c r="H280" s="7">
        <f t="shared" si="4"/>
        <v>1359.3125</v>
      </c>
      <c r="I280" s="135">
        <v>217.49</v>
      </c>
      <c r="J280" s="135"/>
      <c r="K280" s="135"/>
    </row>
    <row r="281" spans="1:11">
      <c r="A281" t="s">
        <v>6722</v>
      </c>
      <c r="B281" s="1">
        <v>42369</v>
      </c>
      <c r="C281" t="s">
        <v>6723</v>
      </c>
      <c r="D281">
        <v>1</v>
      </c>
      <c r="E281" t="s">
        <v>6724</v>
      </c>
      <c r="F281" t="s">
        <v>7145</v>
      </c>
      <c r="G281" t="s">
        <v>7146</v>
      </c>
      <c r="H281" s="7">
        <f t="shared" si="4"/>
        <v>580</v>
      </c>
      <c r="I281" s="7">
        <v>92.8</v>
      </c>
    </row>
    <row r="282" spans="1:11">
      <c r="A282" t="s">
        <v>1383</v>
      </c>
      <c r="B282" s="1">
        <v>42352</v>
      </c>
      <c r="C282" t="s">
        <v>6987</v>
      </c>
      <c r="D282">
        <v>1</v>
      </c>
      <c r="E282" t="s">
        <v>3624</v>
      </c>
      <c r="F282" s="116" t="s">
        <v>829</v>
      </c>
      <c r="G282" s="117" t="s">
        <v>529</v>
      </c>
      <c r="H282" s="7">
        <f t="shared" si="4"/>
        <v>133928.5625</v>
      </c>
      <c r="I282" s="7">
        <v>21428.57</v>
      </c>
    </row>
    <row r="283" spans="1:11">
      <c r="A283" t="s">
        <v>1092</v>
      </c>
      <c r="B283" s="1">
        <v>42356</v>
      </c>
      <c r="C283">
        <v>12633</v>
      </c>
      <c r="D283">
        <v>1</v>
      </c>
      <c r="E283" t="s">
        <v>3816</v>
      </c>
      <c r="F283" t="s">
        <v>799</v>
      </c>
      <c r="G283" t="s">
        <v>0</v>
      </c>
      <c r="H283" s="7">
        <f t="shared" si="4"/>
        <v>5566.875</v>
      </c>
      <c r="I283" s="7">
        <v>890.7</v>
      </c>
    </row>
    <row r="284" spans="1:11">
      <c r="A284" t="s">
        <v>6421</v>
      </c>
      <c r="B284" s="1">
        <v>42356</v>
      </c>
      <c r="C284">
        <v>12632</v>
      </c>
      <c r="D284">
        <v>1</v>
      </c>
      <c r="E284" t="s">
        <v>4647</v>
      </c>
      <c r="F284" t="s">
        <v>799</v>
      </c>
      <c r="G284" t="s">
        <v>0</v>
      </c>
      <c r="H284" s="7">
        <f t="shared" si="4"/>
        <v>14964.4375</v>
      </c>
      <c r="I284" s="7">
        <v>2394.31</v>
      </c>
    </row>
    <row r="285" spans="1:11">
      <c r="A285" t="s">
        <v>6701</v>
      </c>
      <c r="B285" s="1">
        <v>42369</v>
      </c>
      <c r="C285" t="s">
        <v>6702</v>
      </c>
      <c r="D285">
        <v>1</v>
      </c>
      <c r="E285" t="s">
        <v>3403</v>
      </c>
      <c r="F285" t="s">
        <v>837</v>
      </c>
      <c r="G285" s="17" t="s">
        <v>5734</v>
      </c>
      <c r="H285" s="7">
        <f t="shared" si="4"/>
        <v>121.12499999999999</v>
      </c>
      <c r="I285" s="7">
        <v>19.38</v>
      </c>
    </row>
    <row r="286" spans="1:11">
      <c r="A286" t="s">
        <v>6712</v>
      </c>
      <c r="B286" s="1">
        <v>42369</v>
      </c>
      <c r="C286" t="s">
        <v>6713</v>
      </c>
      <c r="D286">
        <v>1</v>
      </c>
      <c r="E286" t="s">
        <v>6714</v>
      </c>
      <c r="F286" t="s">
        <v>768</v>
      </c>
      <c r="G286" t="s">
        <v>283</v>
      </c>
      <c r="H286" s="7">
        <f t="shared" si="4"/>
        <v>498.125</v>
      </c>
      <c r="I286" s="7">
        <v>79.7</v>
      </c>
    </row>
    <row r="287" spans="1:11">
      <c r="A287" t="s">
        <v>6715</v>
      </c>
      <c r="B287" s="1">
        <v>42369</v>
      </c>
      <c r="C287" t="s">
        <v>6716</v>
      </c>
      <c r="D287">
        <v>1</v>
      </c>
      <c r="E287" t="s">
        <v>6714</v>
      </c>
      <c r="F287" t="s">
        <v>768</v>
      </c>
      <c r="G287" t="s">
        <v>283</v>
      </c>
      <c r="H287" s="7">
        <f t="shared" si="4"/>
        <v>30.5</v>
      </c>
      <c r="I287" s="7">
        <v>4.88</v>
      </c>
    </row>
    <row r="288" spans="1:11">
      <c r="A288" t="s">
        <v>7086</v>
      </c>
      <c r="B288" s="1">
        <v>42360</v>
      </c>
      <c r="C288" t="s">
        <v>7087</v>
      </c>
      <c r="D288">
        <v>1</v>
      </c>
      <c r="E288" t="s">
        <v>7088</v>
      </c>
      <c r="F288" s="36" t="s">
        <v>843</v>
      </c>
      <c r="G288" s="36" t="s">
        <v>470</v>
      </c>
      <c r="H288" s="7">
        <f t="shared" si="4"/>
        <v>5447</v>
      </c>
      <c r="I288" s="7">
        <v>871.52</v>
      </c>
    </row>
    <row r="289" spans="1:12">
      <c r="A289" t="s">
        <v>1385</v>
      </c>
      <c r="B289" s="1">
        <v>42352</v>
      </c>
      <c r="C289" t="s">
        <v>6988</v>
      </c>
      <c r="D289">
        <v>1</v>
      </c>
      <c r="E289" t="s">
        <v>3621</v>
      </c>
      <c r="F289" s="92" t="s">
        <v>845</v>
      </c>
      <c r="G289" s="124" t="s">
        <v>532</v>
      </c>
      <c r="H289" s="7">
        <f t="shared" si="4"/>
        <v>133928.5625</v>
      </c>
      <c r="I289" s="7">
        <v>21428.57</v>
      </c>
    </row>
    <row r="290" spans="1:12">
      <c r="A290" t="s">
        <v>6695</v>
      </c>
      <c r="B290" s="1">
        <v>42369</v>
      </c>
      <c r="C290" t="s">
        <v>6696</v>
      </c>
      <c r="D290">
        <v>1</v>
      </c>
      <c r="E290" t="s">
        <v>4247</v>
      </c>
      <c r="F290" t="s">
        <v>847</v>
      </c>
      <c r="G290" s="17" t="s">
        <v>5738</v>
      </c>
      <c r="H290" s="7">
        <f t="shared" si="4"/>
        <v>648.9375</v>
      </c>
      <c r="I290" s="7">
        <v>103.83</v>
      </c>
    </row>
    <row r="291" spans="1:12">
      <c r="A291" t="s">
        <v>6692</v>
      </c>
      <c r="B291" s="1">
        <v>42367</v>
      </c>
      <c r="C291" t="s">
        <v>6693</v>
      </c>
      <c r="D291">
        <v>1</v>
      </c>
      <c r="E291" t="s">
        <v>6694</v>
      </c>
      <c r="F291" t="s">
        <v>769</v>
      </c>
      <c r="G291" s="17" t="s">
        <v>645</v>
      </c>
      <c r="H291" s="7">
        <f t="shared" si="4"/>
        <v>64.625</v>
      </c>
      <c r="I291" s="7">
        <v>10.34</v>
      </c>
    </row>
    <row r="292" spans="1:12">
      <c r="A292" t="s">
        <v>6697</v>
      </c>
      <c r="B292" s="1">
        <v>42369</v>
      </c>
      <c r="C292" t="s">
        <v>6698</v>
      </c>
      <c r="D292">
        <v>1</v>
      </c>
      <c r="E292" t="s">
        <v>6694</v>
      </c>
      <c r="F292" t="s">
        <v>769</v>
      </c>
      <c r="G292" s="17" t="s">
        <v>645</v>
      </c>
      <c r="H292" s="7">
        <f t="shared" si="4"/>
        <v>142.25</v>
      </c>
      <c r="I292" s="7">
        <v>22.76</v>
      </c>
    </row>
    <row r="293" spans="1:12">
      <c r="A293" t="s">
        <v>6826</v>
      </c>
      <c r="B293" s="1">
        <v>42345</v>
      </c>
      <c r="C293" t="s">
        <v>6827</v>
      </c>
      <c r="D293">
        <v>1</v>
      </c>
      <c r="E293" t="s">
        <v>7100</v>
      </c>
      <c r="F293" s="127" t="s">
        <v>2751</v>
      </c>
      <c r="G293" s="127" t="s">
        <v>5728</v>
      </c>
      <c r="H293" s="7">
        <f t="shared" si="4"/>
        <v>641250.375</v>
      </c>
      <c r="I293" s="7">
        <v>102600.06</v>
      </c>
    </row>
    <row r="294" spans="1:12">
      <c r="A294" t="s">
        <v>6323</v>
      </c>
      <c r="B294" s="1">
        <v>42345</v>
      </c>
      <c r="C294" t="s">
        <v>6324</v>
      </c>
      <c r="D294">
        <v>1</v>
      </c>
      <c r="E294" t="s">
        <v>6325</v>
      </c>
      <c r="F294" t="s">
        <v>854</v>
      </c>
      <c r="G294" t="s">
        <v>6265</v>
      </c>
      <c r="H294" s="7">
        <f t="shared" si="4"/>
        <v>140769.875</v>
      </c>
      <c r="I294" s="7">
        <v>22523.18</v>
      </c>
      <c r="J294" s="7">
        <f>+H294-'[1]DIC 15'!$I$480</f>
        <v>-1000.6875</v>
      </c>
      <c r="K294" s="7">
        <f>+I294-'[1]DIC 15'!$J$480</f>
        <v>-160.11000000000058</v>
      </c>
      <c r="L294" t="s">
        <v>960</v>
      </c>
    </row>
    <row r="295" spans="1:12">
      <c r="A295" t="s">
        <v>3287</v>
      </c>
      <c r="B295" s="1">
        <v>42347</v>
      </c>
      <c r="C295" t="s">
        <v>6342</v>
      </c>
      <c r="D295">
        <v>1</v>
      </c>
      <c r="E295" t="s">
        <v>6325</v>
      </c>
      <c r="F295" t="s">
        <v>854</v>
      </c>
      <c r="G295" t="s">
        <v>6265</v>
      </c>
      <c r="H295" s="7">
        <f t="shared" si="4"/>
        <v>278109.6875</v>
      </c>
      <c r="I295" s="7">
        <v>44497.55</v>
      </c>
      <c r="J295" s="7">
        <f>+H295-'[1]DIC 15'!$I$481</f>
        <v>-4635.3125</v>
      </c>
      <c r="K295" s="7">
        <f>+I295-'[1]DIC 15'!$J$481</f>
        <v>-741.64999999999418</v>
      </c>
      <c r="L295" t="s">
        <v>960</v>
      </c>
    </row>
    <row r="296" spans="1:12">
      <c r="A296" t="s">
        <v>6733</v>
      </c>
      <c r="B296" s="1">
        <v>42369</v>
      </c>
      <c r="C296" t="s">
        <v>6734</v>
      </c>
      <c r="D296">
        <v>1</v>
      </c>
      <c r="E296" t="s">
        <v>6735</v>
      </c>
      <c r="F296" t="s">
        <v>7147</v>
      </c>
      <c r="G296" t="s">
        <v>7148</v>
      </c>
      <c r="H296" s="7">
        <f t="shared" si="4"/>
        <v>844.81249999999989</v>
      </c>
      <c r="I296" s="7">
        <v>135.16999999999999</v>
      </c>
    </row>
    <row r="297" spans="1:12">
      <c r="A297" t="s">
        <v>6754</v>
      </c>
      <c r="B297" s="1">
        <v>42369</v>
      </c>
      <c r="C297" t="s">
        <v>6755</v>
      </c>
      <c r="D297">
        <v>1</v>
      </c>
      <c r="E297" t="s">
        <v>6756</v>
      </c>
      <c r="F297" t="s">
        <v>7149</v>
      </c>
      <c r="G297" t="s">
        <v>7150</v>
      </c>
      <c r="H297" s="7">
        <f t="shared" si="4"/>
        <v>136.1875</v>
      </c>
      <c r="I297" s="7">
        <v>21.79</v>
      </c>
    </row>
    <row r="298" spans="1:12">
      <c r="A298" t="s">
        <v>458</v>
      </c>
      <c r="B298" s="1">
        <v>42340</v>
      </c>
      <c r="C298" t="s">
        <v>6969</v>
      </c>
      <c r="D298">
        <v>1</v>
      </c>
      <c r="E298" t="s">
        <v>1461</v>
      </c>
      <c r="F298" s="125" t="s">
        <v>1648</v>
      </c>
      <c r="G298" s="126" t="s">
        <v>1649</v>
      </c>
      <c r="H298" s="7">
        <f t="shared" si="4"/>
        <v>1587</v>
      </c>
      <c r="I298" s="7">
        <v>253.92</v>
      </c>
    </row>
    <row r="299" spans="1:12">
      <c r="A299" t="s">
        <v>2084</v>
      </c>
      <c r="B299" s="1">
        <v>42346</v>
      </c>
      <c r="C299" t="s">
        <v>6981</v>
      </c>
      <c r="D299">
        <v>1</v>
      </c>
      <c r="E299" t="s">
        <v>1461</v>
      </c>
      <c r="F299" s="111" t="s">
        <v>1648</v>
      </c>
      <c r="G299" s="110" t="s">
        <v>1649</v>
      </c>
      <c r="H299" s="7">
        <f t="shared" si="4"/>
        <v>718.875</v>
      </c>
      <c r="I299" s="7">
        <v>115.02</v>
      </c>
    </row>
    <row r="300" spans="1:12">
      <c r="A300" t="s">
        <v>7076</v>
      </c>
      <c r="B300" s="1">
        <v>42361</v>
      </c>
      <c r="C300" t="s">
        <v>7077</v>
      </c>
      <c r="D300">
        <v>1</v>
      </c>
      <c r="E300" t="s">
        <v>1461</v>
      </c>
      <c r="F300" s="111" t="s">
        <v>1648</v>
      </c>
      <c r="G300" s="110" t="s">
        <v>1649</v>
      </c>
      <c r="H300" s="7">
        <f t="shared" si="4"/>
        <v>1814.8125</v>
      </c>
      <c r="I300" s="7">
        <v>290.37</v>
      </c>
    </row>
    <row r="301" spans="1:12">
      <c r="A301" t="s">
        <v>6910</v>
      </c>
      <c r="B301" s="1">
        <v>42369</v>
      </c>
      <c r="C301" t="s">
        <v>6911</v>
      </c>
      <c r="D301">
        <v>1</v>
      </c>
      <c r="E301" t="s">
        <v>6912</v>
      </c>
      <c r="F301" t="s">
        <v>7542</v>
      </c>
      <c r="G301" t="s">
        <v>7543</v>
      </c>
      <c r="H301" s="7">
        <f t="shared" si="4"/>
        <v>16904.8125</v>
      </c>
      <c r="I301" s="7">
        <v>2704.77</v>
      </c>
    </row>
    <row r="302" spans="1:12">
      <c r="A302" t="s">
        <v>3633</v>
      </c>
      <c r="B302" s="1">
        <v>42354</v>
      </c>
      <c r="C302" t="s">
        <v>7009</v>
      </c>
      <c r="D302">
        <v>1</v>
      </c>
      <c r="E302" t="s">
        <v>452</v>
      </c>
      <c r="F302" s="111" t="s">
        <v>863</v>
      </c>
      <c r="G302" s="110" t="s">
        <v>967</v>
      </c>
      <c r="H302" s="7">
        <f t="shared" si="4"/>
        <v>20493.0625</v>
      </c>
      <c r="I302" s="7">
        <v>3278.89</v>
      </c>
    </row>
    <row r="303" spans="1:12">
      <c r="A303" t="s">
        <v>6744</v>
      </c>
      <c r="B303" s="1">
        <v>42369</v>
      </c>
      <c r="C303" t="s">
        <v>6745</v>
      </c>
      <c r="D303">
        <v>1</v>
      </c>
      <c r="E303" t="s">
        <v>6746</v>
      </c>
      <c r="F303" t="s">
        <v>2724</v>
      </c>
      <c r="G303" t="s">
        <v>7151</v>
      </c>
      <c r="H303" s="7">
        <f t="shared" si="4"/>
        <v>377.4375</v>
      </c>
      <c r="I303" s="7">
        <v>60.39</v>
      </c>
    </row>
    <row r="304" spans="1:12">
      <c r="A304" t="s">
        <v>5301</v>
      </c>
      <c r="B304" s="1">
        <v>42369</v>
      </c>
      <c r="C304" t="s">
        <v>6540</v>
      </c>
      <c r="D304">
        <v>1</v>
      </c>
      <c r="E304" t="s">
        <v>107</v>
      </c>
      <c r="F304" s="127" t="s">
        <v>2751</v>
      </c>
      <c r="G304" s="127" t="s">
        <v>5728</v>
      </c>
      <c r="H304" s="7">
        <f t="shared" si="4"/>
        <v>331013.25</v>
      </c>
      <c r="I304" s="7">
        <v>52962.12</v>
      </c>
      <c r="J304" s="7">
        <f>+H304-'[1]DIC 15'!$I$703</f>
        <v>48578.5625</v>
      </c>
      <c r="K304" s="7">
        <f>+I304-'[1]DIC 15'!$J$703</f>
        <v>7772.57</v>
      </c>
      <c r="L304" t="s">
        <v>960</v>
      </c>
    </row>
    <row r="305" spans="1:12">
      <c r="A305" t="s">
        <v>6744</v>
      </c>
      <c r="B305" s="1">
        <v>42369</v>
      </c>
      <c r="C305" t="s">
        <v>6745</v>
      </c>
      <c r="D305">
        <v>1</v>
      </c>
      <c r="E305" t="s">
        <v>5427</v>
      </c>
      <c r="F305" t="s">
        <v>935</v>
      </c>
      <c r="G305" s="17" t="s">
        <v>936</v>
      </c>
      <c r="H305" s="7">
        <f t="shared" si="4"/>
        <v>86.187499999999986</v>
      </c>
      <c r="I305" s="7">
        <v>13.79</v>
      </c>
    </row>
    <row r="306" spans="1:12">
      <c r="A306" t="s">
        <v>6703</v>
      </c>
      <c r="B306" s="1">
        <v>42369</v>
      </c>
      <c r="C306" t="s">
        <v>6704</v>
      </c>
      <c r="D306">
        <v>1</v>
      </c>
      <c r="E306" t="s">
        <v>6705</v>
      </c>
      <c r="F306" t="s">
        <v>4366</v>
      </c>
      <c r="G306" t="s">
        <v>7152</v>
      </c>
      <c r="H306" s="7">
        <f t="shared" si="4"/>
        <v>106.875</v>
      </c>
      <c r="I306" s="7">
        <v>17.100000000000001</v>
      </c>
    </row>
    <row r="307" spans="1:12">
      <c r="A307" t="s">
        <v>6719</v>
      </c>
      <c r="B307" s="1">
        <v>42369</v>
      </c>
      <c r="C307" t="s">
        <v>6720</v>
      </c>
      <c r="D307">
        <v>1</v>
      </c>
      <c r="E307" t="s">
        <v>6721</v>
      </c>
      <c r="F307" t="s">
        <v>7153</v>
      </c>
      <c r="G307" t="s">
        <v>7154</v>
      </c>
      <c r="H307" s="7">
        <f t="shared" si="4"/>
        <v>300</v>
      </c>
      <c r="I307" s="7">
        <v>48</v>
      </c>
    </row>
    <row r="308" spans="1:12">
      <c r="A308" t="s">
        <v>6407</v>
      </c>
      <c r="B308" s="1">
        <v>42355</v>
      </c>
      <c r="C308" t="s">
        <v>6408</v>
      </c>
      <c r="D308">
        <v>1</v>
      </c>
      <c r="E308" t="s">
        <v>6409</v>
      </c>
      <c r="F308" t="s">
        <v>951</v>
      </c>
      <c r="G308" s="2" t="s">
        <v>7155</v>
      </c>
      <c r="H308" s="7">
        <f t="shared" si="4"/>
        <v>149614.5625</v>
      </c>
      <c r="I308" s="7">
        <v>23938.33</v>
      </c>
      <c r="J308" s="7">
        <f>+H308-'[1]DIC 15'!$I$716</f>
        <v>-612.9375</v>
      </c>
      <c r="K308" s="7">
        <f>+I308-'[1]DIC 15'!$J$716</f>
        <v>-98.069999999999709</v>
      </c>
      <c r="L308" t="s">
        <v>960</v>
      </c>
    </row>
    <row r="309" spans="1:12">
      <c r="A309" t="s">
        <v>6684</v>
      </c>
      <c r="B309" s="1">
        <v>42369</v>
      </c>
      <c r="C309" t="s">
        <v>6685</v>
      </c>
      <c r="D309">
        <v>1</v>
      </c>
      <c r="E309" t="s">
        <v>6686</v>
      </c>
      <c r="F309" t="s">
        <v>802</v>
      </c>
      <c r="G309" t="s">
        <v>2483</v>
      </c>
      <c r="H309" s="7">
        <f t="shared" si="4"/>
        <v>310.375</v>
      </c>
      <c r="I309" s="7">
        <v>49.66</v>
      </c>
    </row>
    <row r="310" spans="1:12">
      <c r="A310" t="s">
        <v>6832</v>
      </c>
      <c r="B310" s="1">
        <v>42369</v>
      </c>
      <c r="C310" t="s">
        <v>6833</v>
      </c>
      <c r="D310">
        <v>1</v>
      </c>
      <c r="E310" t="s">
        <v>6834</v>
      </c>
      <c r="F310" t="s">
        <v>923</v>
      </c>
      <c r="G310" s="105" t="s">
        <v>924</v>
      </c>
      <c r="H310" s="7">
        <f t="shared" si="4"/>
        <v>281.0625</v>
      </c>
      <c r="I310" s="118">
        <v>44.97</v>
      </c>
    </row>
    <row r="311" spans="1:12">
      <c r="A311" t="s">
        <v>6832</v>
      </c>
      <c r="B311" s="1">
        <v>42369</v>
      </c>
      <c r="C311" t="s">
        <v>6833</v>
      </c>
      <c r="D311">
        <v>1</v>
      </c>
      <c r="E311" t="s">
        <v>6834</v>
      </c>
      <c r="F311" t="s">
        <v>714</v>
      </c>
      <c r="G311" s="105" t="s">
        <v>7103</v>
      </c>
      <c r="H311" s="7">
        <f t="shared" si="4"/>
        <v>57.75</v>
      </c>
      <c r="I311" s="27">
        <v>9.24</v>
      </c>
    </row>
    <row r="312" spans="1:12">
      <c r="A312" t="s">
        <v>6832</v>
      </c>
      <c r="B312" s="1">
        <v>42369</v>
      </c>
      <c r="C312" t="s">
        <v>6833</v>
      </c>
      <c r="D312">
        <v>1</v>
      </c>
      <c r="E312" t="s">
        <v>6834</v>
      </c>
      <c r="F312" s="2" t="s">
        <v>5381</v>
      </c>
      <c r="G312" s="105" t="s">
        <v>7102</v>
      </c>
      <c r="H312" s="7">
        <f t="shared" si="4"/>
        <v>118.12499999999999</v>
      </c>
      <c r="I312" s="27">
        <v>18.899999999999999</v>
      </c>
    </row>
    <row r="313" spans="1:12">
      <c r="A313" t="s">
        <v>6832</v>
      </c>
      <c r="B313" s="1">
        <v>42369</v>
      </c>
      <c r="C313" t="s">
        <v>6833</v>
      </c>
      <c r="D313">
        <v>1</v>
      </c>
      <c r="E313" t="s">
        <v>6834</v>
      </c>
      <c r="F313" s="119" t="s">
        <v>3084</v>
      </c>
      <c r="G313" s="120" t="s">
        <v>7171</v>
      </c>
      <c r="H313" s="7">
        <f t="shared" si="4"/>
        <v>419.37499999999994</v>
      </c>
      <c r="I313" s="121">
        <v>67.099999999999994</v>
      </c>
    </row>
    <row r="314" spans="1:12" s="155" customFormat="1">
      <c r="A314" s="155" t="s">
        <v>6832</v>
      </c>
      <c r="B314" s="156">
        <v>42369</v>
      </c>
      <c r="C314" s="155" t="s">
        <v>6833</v>
      </c>
      <c r="D314" s="155">
        <v>1</v>
      </c>
      <c r="E314" s="155" t="s">
        <v>6834</v>
      </c>
      <c r="F314" s="157" t="s">
        <v>722</v>
      </c>
      <c r="G314" s="160" t="s">
        <v>5693</v>
      </c>
      <c r="H314" s="7">
        <f t="shared" si="4"/>
        <v>116.375</v>
      </c>
      <c r="I314" s="161">
        <v>18.62</v>
      </c>
      <c r="J314" s="159"/>
      <c r="K314" s="159"/>
    </row>
    <row r="315" spans="1:12">
      <c r="A315" t="s">
        <v>6832</v>
      </c>
      <c r="B315" s="1">
        <v>42369</v>
      </c>
      <c r="C315" t="s">
        <v>6833</v>
      </c>
      <c r="D315">
        <v>1</v>
      </c>
      <c r="E315" t="s">
        <v>6834</v>
      </c>
      <c r="F315" s="28" t="s">
        <v>935</v>
      </c>
      <c r="G315" s="105" t="s">
        <v>936</v>
      </c>
      <c r="H315" s="7">
        <f t="shared" si="4"/>
        <v>86.187499999999986</v>
      </c>
      <c r="I315" s="27">
        <v>13.79</v>
      </c>
      <c r="J315" s="7">
        <f>1078.88-H310-H311-H312-H313-H314-H315</f>
        <v>5.0000000001801936E-3</v>
      </c>
      <c r="K315" s="7">
        <f>172.62-I310-I311-I312-I313-I314-I315</f>
        <v>2.4868995751603507E-14</v>
      </c>
    </row>
    <row r="316" spans="1:12">
      <c r="A316" t="s">
        <v>6844</v>
      </c>
      <c r="B316" s="1">
        <v>42369</v>
      </c>
      <c r="C316" t="s">
        <v>6845</v>
      </c>
      <c r="D316">
        <v>1</v>
      </c>
      <c r="E316" t="s">
        <v>6834</v>
      </c>
      <c r="F316" s="91" t="s">
        <v>6274</v>
      </c>
      <c r="G316" s="105" t="s">
        <v>7218</v>
      </c>
      <c r="H316" s="7">
        <f t="shared" si="4"/>
        <v>765.5625</v>
      </c>
      <c r="I316" s="27">
        <v>122.49</v>
      </c>
    </row>
    <row r="317" spans="1:12">
      <c r="A317" t="s">
        <v>6844</v>
      </c>
      <c r="B317" s="1">
        <v>42369</v>
      </c>
      <c r="C317" t="s">
        <v>6845</v>
      </c>
      <c r="D317">
        <v>1</v>
      </c>
      <c r="E317" t="s">
        <v>6834</v>
      </c>
      <c r="F317" s="28" t="s">
        <v>7219</v>
      </c>
      <c r="G317" s="105" t="s">
        <v>7220</v>
      </c>
      <c r="H317" s="7">
        <f t="shared" si="4"/>
        <v>86.187499999999986</v>
      </c>
      <c r="I317" s="27">
        <v>13.79</v>
      </c>
    </row>
    <row r="318" spans="1:12" s="155" customFormat="1">
      <c r="A318" s="155" t="s">
        <v>6844</v>
      </c>
      <c r="B318" s="156">
        <v>42369</v>
      </c>
      <c r="C318" s="155" t="s">
        <v>6845</v>
      </c>
      <c r="D318" s="155">
        <v>1</v>
      </c>
      <c r="E318" s="155" t="s">
        <v>6834</v>
      </c>
      <c r="F318" s="157" t="s">
        <v>722</v>
      </c>
      <c r="G318" s="160" t="s">
        <v>5693</v>
      </c>
      <c r="H318" s="7">
        <f t="shared" si="4"/>
        <v>439.625</v>
      </c>
      <c r="I318" s="161">
        <v>70.34</v>
      </c>
      <c r="J318" s="159"/>
      <c r="K318" s="159"/>
    </row>
    <row r="319" spans="1:12">
      <c r="A319" t="s">
        <v>6844</v>
      </c>
      <c r="B319" s="1">
        <v>42369</v>
      </c>
      <c r="C319" t="s">
        <v>6845</v>
      </c>
      <c r="D319">
        <v>1</v>
      </c>
      <c r="E319" t="s">
        <v>6834</v>
      </c>
      <c r="F319" s="28" t="s">
        <v>911</v>
      </c>
      <c r="G319" s="105" t="s">
        <v>2704</v>
      </c>
      <c r="H319" s="7">
        <f t="shared" si="4"/>
        <v>106.06249999999999</v>
      </c>
      <c r="I319" s="27">
        <v>16.97</v>
      </c>
    </row>
    <row r="320" spans="1:12">
      <c r="A320" t="s">
        <v>6844</v>
      </c>
      <c r="B320" s="1">
        <v>42369</v>
      </c>
      <c r="C320" t="s">
        <v>6845</v>
      </c>
      <c r="D320">
        <v>1</v>
      </c>
      <c r="E320" t="s">
        <v>6834</v>
      </c>
      <c r="F320" s="119" t="s">
        <v>3455</v>
      </c>
      <c r="G320" s="120" t="s">
        <v>7221</v>
      </c>
      <c r="H320" s="7">
        <f t="shared" si="4"/>
        <v>453.125</v>
      </c>
      <c r="I320" s="121">
        <v>72.5</v>
      </c>
    </row>
    <row r="321" spans="1:11">
      <c r="A321" t="s">
        <v>6844</v>
      </c>
      <c r="B321" s="1">
        <v>42369</v>
      </c>
      <c r="C321" t="s">
        <v>6845</v>
      </c>
      <c r="D321">
        <v>1</v>
      </c>
      <c r="E321" t="s">
        <v>6834</v>
      </c>
      <c r="F321" s="119" t="s">
        <v>780</v>
      </c>
      <c r="G321" s="120" t="s">
        <v>781</v>
      </c>
      <c r="H321" s="7">
        <f t="shared" si="4"/>
        <v>335.625</v>
      </c>
      <c r="I321" s="121">
        <v>53.7</v>
      </c>
      <c r="J321" s="7">
        <f>2186.19-H316-H317-H318-H319-H320-H321</f>
        <v>2.5000000000545697E-3</v>
      </c>
      <c r="K321" s="7">
        <f>349.79-I316-I317-I318-I319-I320-I321</f>
        <v>0</v>
      </c>
    </row>
    <row r="322" spans="1:11">
      <c r="A322" t="s">
        <v>6757</v>
      </c>
      <c r="B322" s="1">
        <v>42369</v>
      </c>
      <c r="C322" t="s">
        <v>6758</v>
      </c>
      <c r="D322">
        <v>1</v>
      </c>
      <c r="E322" t="s">
        <v>6759</v>
      </c>
      <c r="F322" t="s">
        <v>1645</v>
      </c>
      <c r="G322" t="s">
        <v>1441</v>
      </c>
      <c r="H322" s="7">
        <f t="shared" si="4"/>
        <v>575</v>
      </c>
      <c r="I322" s="7">
        <v>92</v>
      </c>
    </row>
    <row r="323" spans="1:11">
      <c r="A323" t="s">
        <v>6794</v>
      </c>
      <c r="B323" s="1">
        <v>42369</v>
      </c>
      <c r="C323" t="s">
        <v>6795</v>
      </c>
      <c r="D323">
        <v>1</v>
      </c>
      <c r="E323" t="s">
        <v>700</v>
      </c>
      <c r="F323" t="s">
        <v>700</v>
      </c>
      <c r="G323" s="17" t="s">
        <v>2499</v>
      </c>
      <c r="H323" s="7">
        <f t="shared" si="4"/>
        <v>86.0625</v>
      </c>
      <c r="I323" s="7">
        <v>13.77</v>
      </c>
    </row>
    <row r="324" spans="1:11">
      <c r="A324" t="s">
        <v>6772</v>
      </c>
      <c r="B324" s="1">
        <v>42369</v>
      </c>
      <c r="C324" t="s">
        <v>6773</v>
      </c>
      <c r="D324">
        <v>1</v>
      </c>
      <c r="E324" t="s">
        <v>700</v>
      </c>
      <c r="F324" t="s">
        <v>700</v>
      </c>
      <c r="G324" s="17" t="s">
        <v>2499</v>
      </c>
      <c r="H324" s="7">
        <f t="shared" si="4"/>
        <v>275.625</v>
      </c>
      <c r="I324" s="7">
        <v>44.1</v>
      </c>
    </row>
    <row r="325" spans="1:11">
      <c r="A325" t="s">
        <v>6581</v>
      </c>
      <c r="B325" s="1">
        <v>42369</v>
      </c>
      <c r="C325" t="s">
        <v>6582</v>
      </c>
      <c r="D325">
        <v>1</v>
      </c>
      <c r="E325" t="s">
        <v>700</v>
      </c>
      <c r="F325" t="s">
        <v>700</v>
      </c>
      <c r="G325" s="17" t="s">
        <v>2499</v>
      </c>
      <c r="H325" s="7">
        <f t="shared" si="4"/>
        <v>134.5</v>
      </c>
      <c r="I325" s="7">
        <v>21.52</v>
      </c>
    </row>
    <row r="326" spans="1:11">
      <c r="A326" t="s">
        <v>6615</v>
      </c>
      <c r="B326" s="1">
        <v>42369</v>
      </c>
      <c r="C326" t="s">
        <v>6616</v>
      </c>
      <c r="D326">
        <v>1</v>
      </c>
      <c r="E326" t="s">
        <v>700</v>
      </c>
      <c r="F326" t="s">
        <v>700</v>
      </c>
      <c r="G326" s="17" t="s">
        <v>2499</v>
      </c>
      <c r="H326" s="7">
        <f t="shared" si="4"/>
        <v>283.75</v>
      </c>
      <c r="I326" s="7">
        <v>45.4</v>
      </c>
    </row>
    <row r="327" spans="1:11">
      <c r="A327" t="s">
        <v>1487</v>
      </c>
      <c r="B327" s="1">
        <v>42361</v>
      </c>
      <c r="C327" t="s">
        <v>7030</v>
      </c>
      <c r="D327">
        <v>1</v>
      </c>
      <c r="E327" t="s">
        <v>520</v>
      </c>
      <c r="F327" s="17" t="s">
        <v>834</v>
      </c>
      <c r="G327" t="s">
        <v>520</v>
      </c>
      <c r="H327" s="7">
        <f t="shared" si="4"/>
        <v>58626</v>
      </c>
      <c r="I327" s="7">
        <v>9380.16</v>
      </c>
    </row>
    <row r="328" spans="1:11">
      <c r="A328" t="s">
        <v>512</v>
      </c>
      <c r="B328" s="1">
        <v>42354</v>
      </c>
      <c r="C328" t="s">
        <v>7003</v>
      </c>
      <c r="D328">
        <v>2</v>
      </c>
      <c r="E328" t="s">
        <v>472</v>
      </c>
      <c r="F328" s="36" t="s">
        <v>836</v>
      </c>
      <c r="G328" s="2" t="s">
        <v>472</v>
      </c>
      <c r="H328" s="7">
        <f t="shared" ref="H328:H391" si="5">+I328/0.16</f>
        <v>6429.625</v>
      </c>
      <c r="I328" s="7">
        <v>1028.74</v>
      </c>
    </row>
    <row r="329" spans="1:11">
      <c r="A329" t="s">
        <v>6816</v>
      </c>
      <c r="B329" s="1">
        <v>42369</v>
      </c>
      <c r="C329" t="s">
        <v>6817</v>
      </c>
      <c r="D329">
        <v>1</v>
      </c>
      <c r="E329" t="s">
        <v>766</v>
      </c>
      <c r="F329" t="s">
        <v>766</v>
      </c>
      <c r="G329" s="139" t="s">
        <v>7495</v>
      </c>
      <c r="H329" s="7">
        <f t="shared" si="5"/>
        <v>172.4375</v>
      </c>
      <c r="I329" s="7">
        <v>27.59</v>
      </c>
    </row>
    <row r="330" spans="1:11">
      <c r="A330" t="s">
        <v>6563</v>
      </c>
      <c r="B330" s="1">
        <v>42369</v>
      </c>
      <c r="C330" t="s">
        <v>6564</v>
      </c>
      <c r="D330">
        <v>1</v>
      </c>
      <c r="E330" t="s">
        <v>766</v>
      </c>
      <c r="F330" t="s">
        <v>766</v>
      </c>
      <c r="G330" s="139" t="s">
        <v>7495</v>
      </c>
      <c r="H330" s="7">
        <f t="shared" si="5"/>
        <v>155.1875</v>
      </c>
      <c r="I330" s="7">
        <v>24.83</v>
      </c>
    </row>
    <row r="331" spans="1:11">
      <c r="A331" t="s">
        <v>6567</v>
      </c>
      <c r="B331" s="1">
        <v>42369</v>
      </c>
      <c r="C331" t="s">
        <v>6568</v>
      </c>
      <c r="D331">
        <v>1</v>
      </c>
      <c r="E331" t="s">
        <v>766</v>
      </c>
      <c r="F331" t="s">
        <v>766</v>
      </c>
      <c r="G331" s="139" t="s">
        <v>7495</v>
      </c>
      <c r="H331" s="7">
        <f t="shared" si="5"/>
        <v>155.1875</v>
      </c>
      <c r="I331" s="7">
        <v>24.83</v>
      </c>
    </row>
    <row r="332" spans="1:11">
      <c r="A332" t="s">
        <v>6806</v>
      </c>
      <c r="B332" s="1">
        <v>42369</v>
      </c>
      <c r="C332" t="s">
        <v>6807</v>
      </c>
      <c r="D332">
        <v>1</v>
      </c>
      <c r="E332" t="s">
        <v>766</v>
      </c>
      <c r="F332" t="s">
        <v>766</v>
      </c>
      <c r="G332" s="139" t="s">
        <v>7495</v>
      </c>
      <c r="H332" s="7">
        <f t="shared" si="5"/>
        <v>159.5</v>
      </c>
      <c r="I332" s="7">
        <v>25.52</v>
      </c>
    </row>
    <row r="333" spans="1:11">
      <c r="A333" t="s">
        <v>6663</v>
      </c>
      <c r="B333" s="1">
        <v>42369</v>
      </c>
      <c r="C333" t="s">
        <v>6664</v>
      </c>
      <c r="D333">
        <v>1</v>
      </c>
      <c r="E333" t="s">
        <v>6665</v>
      </c>
      <c r="F333" t="s">
        <v>6665</v>
      </c>
      <c r="G333" s="139" t="s">
        <v>7496</v>
      </c>
      <c r="H333" s="7">
        <f t="shared" si="5"/>
        <v>400</v>
      </c>
      <c r="I333" s="7">
        <v>64</v>
      </c>
    </row>
    <row r="334" spans="1:11">
      <c r="A334" t="s">
        <v>6820</v>
      </c>
      <c r="B334" s="1">
        <v>42369</v>
      </c>
      <c r="C334" t="s">
        <v>6821</v>
      </c>
      <c r="D334">
        <v>1</v>
      </c>
      <c r="E334" t="s">
        <v>6665</v>
      </c>
      <c r="F334" t="s">
        <v>6665</v>
      </c>
      <c r="G334" s="139" t="s">
        <v>7496</v>
      </c>
      <c r="H334" s="7">
        <f t="shared" si="5"/>
        <v>260</v>
      </c>
      <c r="I334" s="7">
        <v>41.6</v>
      </c>
    </row>
    <row r="335" spans="1:11">
      <c r="A335" t="s">
        <v>2055</v>
      </c>
      <c r="B335" s="1">
        <v>42346</v>
      </c>
      <c r="C335" t="s">
        <v>6958</v>
      </c>
      <c r="D335">
        <v>1</v>
      </c>
      <c r="E335" t="s">
        <v>2157</v>
      </c>
      <c r="F335" s="17" t="s">
        <v>2216</v>
      </c>
      <c r="G335" t="s">
        <v>2157</v>
      </c>
      <c r="H335" s="7">
        <f t="shared" si="5"/>
        <v>7890.125</v>
      </c>
      <c r="I335" s="7">
        <v>1262.42</v>
      </c>
    </row>
    <row r="336" spans="1:11">
      <c r="A336" t="s">
        <v>4526</v>
      </c>
      <c r="B336" s="1">
        <v>42340</v>
      </c>
      <c r="C336" t="s">
        <v>6968</v>
      </c>
      <c r="D336">
        <v>1</v>
      </c>
      <c r="E336" t="s">
        <v>467</v>
      </c>
      <c r="F336" s="36" t="s">
        <v>838</v>
      </c>
      <c r="G336" s="2" t="s">
        <v>467</v>
      </c>
      <c r="H336" s="7">
        <f t="shared" si="5"/>
        <v>4732.875</v>
      </c>
      <c r="I336" s="7">
        <v>757.26</v>
      </c>
    </row>
    <row r="337" spans="1:11">
      <c r="A337" t="s">
        <v>6573</v>
      </c>
      <c r="B337" s="1">
        <v>42369</v>
      </c>
      <c r="C337" t="s">
        <v>6574</v>
      </c>
      <c r="D337">
        <v>1</v>
      </c>
      <c r="E337" t="s">
        <v>837</v>
      </c>
      <c r="F337" t="s">
        <v>837</v>
      </c>
      <c r="G337" s="17" t="s">
        <v>5734</v>
      </c>
      <c r="H337" s="7">
        <f t="shared" si="5"/>
        <v>529.25</v>
      </c>
      <c r="I337" s="7">
        <v>84.68</v>
      </c>
    </row>
    <row r="338" spans="1:11" s="137" customFormat="1">
      <c r="A338" s="137" t="s">
        <v>6934</v>
      </c>
      <c r="B338" s="172">
        <v>42369</v>
      </c>
      <c r="C338" s="137" t="s">
        <v>1522</v>
      </c>
      <c r="D338" s="137">
        <v>1</v>
      </c>
      <c r="E338" s="137" t="s">
        <v>768</v>
      </c>
      <c r="F338" s="137" t="s">
        <v>768</v>
      </c>
      <c r="G338" s="173" t="s">
        <v>283</v>
      </c>
      <c r="H338" s="174">
        <f t="shared" si="5"/>
        <v>-618</v>
      </c>
      <c r="I338" s="174">
        <f>-264.56+165.68</f>
        <v>-98.88</v>
      </c>
      <c r="J338" s="174"/>
      <c r="K338" s="174"/>
    </row>
    <row r="339" spans="1:11">
      <c r="A339" t="s">
        <v>6607</v>
      </c>
      <c r="B339" s="1">
        <v>42369</v>
      </c>
      <c r="C339" t="s">
        <v>6608</v>
      </c>
      <c r="D339">
        <v>1</v>
      </c>
      <c r="E339" t="s">
        <v>768</v>
      </c>
      <c r="F339" t="s">
        <v>768</v>
      </c>
      <c r="G339" s="17" t="s">
        <v>283</v>
      </c>
      <c r="H339" s="7">
        <f t="shared" si="5"/>
        <v>89.375</v>
      </c>
      <c r="I339" s="7">
        <v>14.3</v>
      </c>
    </row>
    <row r="340" spans="1:11">
      <c r="A340" t="s">
        <v>2076</v>
      </c>
      <c r="B340" s="1">
        <v>42346</v>
      </c>
      <c r="C340" t="s">
        <v>6976</v>
      </c>
      <c r="D340">
        <v>1</v>
      </c>
      <c r="E340" t="s">
        <v>470</v>
      </c>
      <c r="F340" s="36" t="s">
        <v>843</v>
      </c>
      <c r="G340" s="2" t="s">
        <v>470</v>
      </c>
      <c r="H340" s="7">
        <f t="shared" si="5"/>
        <v>1507.25</v>
      </c>
      <c r="I340" s="7">
        <v>241.16</v>
      </c>
    </row>
    <row r="341" spans="1:11">
      <c r="A341" t="s">
        <v>646</v>
      </c>
      <c r="B341" s="1">
        <v>42361</v>
      </c>
      <c r="C341" t="s">
        <v>7069</v>
      </c>
      <c r="D341">
        <v>1</v>
      </c>
      <c r="E341" t="s">
        <v>470</v>
      </c>
      <c r="F341" s="36" t="s">
        <v>843</v>
      </c>
      <c r="G341" s="2" t="s">
        <v>470</v>
      </c>
      <c r="H341" s="7">
        <f t="shared" si="5"/>
        <v>4290</v>
      </c>
      <c r="I341" s="7">
        <v>686.4</v>
      </c>
    </row>
    <row r="342" spans="1:11">
      <c r="A342" t="s">
        <v>456</v>
      </c>
      <c r="B342" s="1">
        <v>42340</v>
      </c>
      <c r="C342" t="s">
        <v>6967</v>
      </c>
      <c r="D342">
        <v>2</v>
      </c>
      <c r="E342" t="s">
        <v>665</v>
      </c>
      <c r="F342" s="17" t="s">
        <v>844</v>
      </c>
      <c r="G342" t="s">
        <v>665</v>
      </c>
      <c r="H342" s="7">
        <f t="shared" si="5"/>
        <v>900</v>
      </c>
      <c r="I342" s="7">
        <v>144</v>
      </c>
    </row>
    <row r="343" spans="1:11">
      <c r="A343" t="s">
        <v>640</v>
      </c>
      <c r="B343" s="1">
        <v>42361</v>
      </c>
      <c r="C343" t="s">
        <v>7067</v>
      </c>
      <c r="D343">
        <v>2</v>
      </c>
      <c r="E343" t="s">
        <v>665</v>
      </c>
      <c r="F343" s="36" t="s">
        <v>844</v>
      </c>
      <c r="G343" s="2" t="s">
        <v>665</v>
      </c>
      <c r="H343" s="7">
        <f t="shared" si="5"/>
        <v>900</v>
      </c>
      <c r="I343" s="7">
        <v>144</v>
      </c>
    </row>
    <row r="344" spans="1:11">
      <c r="A344" t="s">
        <v>1467</v>
      </c>
      <c r="B344" s="1">
        <v>42359</v>
      </c>
      <c r="C344" t="s">
        <v>7022</v>
      </c>
      <c r="D344">
        <v>1</v>
      </c>
      <c r="E344" t="s">
        <v>7023</v>
      </c>
      <c r="F344" s="36" t="s">
        <v>5652</v>
      </c>
      <c r="G344" s="2" t="s">
        <v>7023</v>
      </c>
      <c r="H344" s="7">
        <f t="shared" si="5"/>
        <v>2500</v>
      </c>
      <c r="I344" s="7">
        <v>400</v>
      </c>
    </row>
    <row r="345" spans="1:11">
      <c r="A345" t="s">
        <v>6569</v>
      </c>
      <c r="B345" s="1">
        <v>42369</v>
      </c>
      <c r="C345" t="s">
        <v>6570</v>
      </c>
      <c r="D345">
        <v>1</v>
      </c>
      <c r="E345" t="s">
        <v>847</v>
      </c>
      <c r="F345" t="s">
        <v>847</v>
      </c>
      <c r="G345" s="17" t="s">
        <v>5738</v>
      </c>
      <c r="H345" s="7">
        <f t="shared" si="5"/>
        <v>72.4375</v>
      </c>
      <c r="I345" s="7">
        <v>11.59</v>
      </c>
    </row>
    <row r="346" spans="1:11">
      <c r="A346" t="s">
        <v>6571</v>
      </c>
      <c r="B346" s="1">
        <v>42369</v>
      </c>
      <c r="C346" t="s">
        <v>6572</v>
      </c>
      <c r="D346">
        <v>1</v>
      </c>
      <c r="E346" t="s">
        <v>847</v>
      </c>
      <c r="F346" t="s">
        <v>847</v>
      </c>
      <c r="G346" s="17" t="s">
        <v>5738</v>
      </c>
      <c r="H346" s="7">
        <f t="shared" si="5"/>
        <v>222.37499999999997</v>
      </c>
      <c r="I346" s="7">
        <v>35.58</v>
      </c>
    </row>
    <row r="347" spans="1:11">
      <c r="A347" t="s">
        <v>6603</v>
      </c>
      <c r="B347" s="1">
        <v>42369</v>
      </c>
      <c r="C347" t="s">
        <v>6604</v>
      </c>
      <c r="D347">
        <v>1</v>
      </c>
      <c r="E347" t="s">
        <v>847</v>
      </c>
      <c r="F347" t="s">
        <v>847</v>
      </c>
      <c r="G347" s="17" t="s">
        <v>5738</v>
      </c>
      <c r="H347" s="7">
        <f t="shared" si="5"/>
        <v>490.125</v>
      </c>
      <c r="I347" s="7">
        <v>78.42</v>
      </c>
    </row>
    <row r="348" spans="1:11">
      <c r="A348" t="s">
        <v>6613</v>
      </c>
      <c r="B348" s="1">
        <v>42369</v>
      </c>
      <c r="C348" t="s">
        <v>6614</v>
      </c>
      <c r="D348">
        <v>1</v>
      </c>
      <c r="E348" t="s">
        <v>847</v>
      </c>
      <c r="F348" t="s">
        <v>847</v>
      </c>
      <c r="G348" s="17" t="s">
        <v>5738</v>
      </c>
      <c r="H348" s="7">
        <f t="shared" si="5"/>
        <v>51.749999999999993</v>
      </c>
      <c r="I348" s="7">
        <v>8.2799999999999994</v>
      </c>
    </row>
    <row r="349" spans="1:11">
      <c r="A349" t="s">
        <v>460</v>
      </c>
      <c r="B349" s="1">
        <v>42340</v>
      </c>
      <c r="C349" t="s">
        <v>6970</v>
      </c>
      <c r="D349">
        <v>2</v>
      </c>
      <c r="E349" t="s">
        <v>449</v>
      </c>
      <c r="F349" s="17" t="s">
        <v>848</v>
      </c>
      <c r="G349" t="s">
        <v>449</v>
      </c>
      <c r="H349" s="7">
        <f t="shared" si="5"/>
        <v>7000</v>
      </c>
      <c r="I349" s="7">
        <v>1120</v>
      </c>
    </row>
    <row r="350" spans="1:11">
      <c r="A350" t="s">
        <v>2632</v>
      </c>
      <c r="B350" s="1">
        <v>42346</v>
      </c>
      <c r="C350" t="s">
        <v>6978</v>
      </c>
      <c r="D350">
        <v>2</v>
      </c>
      <c r="E350" t="s">
        <v>449</v>
      </c>
      <c r="F350" s="36" t="s">
        <v>848</v>
      </c>
      <c r="G350" s="2" t="s">
        <v>449</v>
      </c>
      <c r="H350" s="7">
        <f t="shared" si="5"/>
        <v>8300</v>
      </c>
      <c r="I350" s="7">
        <v>1328</v>
      </c>
    </row>
    <row r="351" spans="1:11">
      <c r="A351" t="s">
        <v>515</v>
      </c>
      <c r="B351" s="1">
        <v>42354</v>
      </c>
      <c r="C351" t="s">
        <v>7006</v>
      </c>
      <c r="D351">
        <v>2</v>
      </c>
      <c r="E351" t="s">
        <v>449</v>
      </c>
      <c r="F351" s="17" t="s">
        <v>848</v>
      </c>
      <c r="G351" t="s">
        <v>449</v>
      </c>
      <c r="H351" s="7">
        <f t="shared" si="5"/>
        <v>7100</v>
      </c>
      <c r="I351" s="7">
        <v>1136</v>
      </c>
    </row>
    <row r="352" spans="1:11">
      <c r="A352" t="s">
        <v>651</v>
      </c>
      <c r="B352" s="1">
        <v>42361</v>
      </c>
      <c r="C352" t="s">
        <v>7071</v>
      </c>
      <c r="D352">
        <v>1</v>
      </c>
      <c r="E352" t="s">
        <v>449</v>
      </c>
      <c r="F352" s="36" t="s">
        <v>848</v>
      </c>
      <c r="G352" s="2" t="s">
        <v>449</v>
      </c>
      <c r="H352" s="7">
        <f t="shared" si="5"/>
        <v>13000</v>
      </c>
      <c r="I352" s="7">
        <v>2080</v>
      </c>
    </row>
    <row r="353" spans="1:9">
      <c r="A353" t="s">
        <v>654</v>
      </c>
      <c r="B353" s="1">
        <v>42361</v>
      </c>
      <c r="C353" t="s">
        <v>7072</v>
      </c>
      <c r="D353">
        <v>2</v>
      </c>
      <c r="E353" t="s">
        <v>449</v>
      </c>
      <c r="F353" s="36" t="s">
        <v>848</v>
      </c>
      <c r="G353" s="2" t="s">
        <v>449</v>
      </c>
      <c r="H353" s="7">
        <f t="shared" si="5"/>
        <v>23180</v>
      </c>
      <c r="I353" s="7">
        <v>3708.8</v>
      </c>
    </row>
    <row r="354" spans="1:9">
      <c r="A354" t="s">
        <v>6933</v>
      </c>
      <c r="B354" s="1">
        <v>42369</v>
      </c>
      <c r="C354" t="s">
        <v>1522</v>
      </c>
      <c r="D354">
        <v>1</v>
      </c>
      <c r="E354" t="s">
        <v>769</v>
      </c>
      <c r="F354" t="s">
        <v>769</v>
      </c>
      <c r="G354" s="17" t="s">
        <v>645</v>
      </c>
      <c r="H354" s="7">
        <f t="shared" si="5"/>
        <v>-121.875</v>
      </c>
      <c r="I354" s="7">
        <v>-19.5</v>
      </c>
    </row>
    <row r="355" spans="1:9">
      <c r="A355" t="s">
        <v>6936</v>
      </c>
      <c r="B355" s="1">
        <v>42369</v>
      </c>
      <c r="C355" t="s">
        <v>1522</v>
      </c>
      <c r="D355">
        <v>1</v>
      </c>
      <c r="E355" t="s">
        <v>769</v>
      </c>
      <c r="F355" t="s">
        <v>769</v>
      </c>
      <c r="G355" s="17" t="s">
        <v>645</v>
      </c>
      <c r="H355" s="7">
        <f t="shared" si="5"/>
        <v>-143.3125</v>
      </c>
      <c r="I355" s="7">
        <v>-22.93</v>
      </c>
    </row>
    <row r="356" spans="1:9">
      <c r="A356" t="s">
        <v>6792</v>
      </c>
      <c r="B356" s="1">
        <v>42369</v>
      </c>
      <c r="C356" t="s">
        <v>6793</v>
      </c>
      <c r="D356">
        <v>1</v>
      </c>
      <c r="E356" t="s">
        <v>769</v>
      </c>
      <c r="F356" t="s">
        <v>769</v>
      </c>
      <c r="G356" s="17" t="s">
        <v>645</v>
      </c>
      <c r="H356" s="7">
        <f t="shared" si="5"/>
        <v>231.875</v>
      </c>
      <c r="I356" s="7">
        <v>37.1</v>
      </c>
    </row>
    <row r="357" spans="1:9">
      <c r="A357" t="s">
        <v>6788</v>
      </c>
      <c r="B357" s="1">
        <v>42369</v>
      </c>
      <c r="C357" t="s">
        <v>6789</v>
      </c>
      <c r="D357">
        <v>1</v>
      </c>
      <c r="E357" t="s">
        <v>769</v>
      </c>
      <c r="F357" t="s">
        <v>769</v>
      </c>
      <c r="G357" s="17" t="s">
        <v>645</v>
      </c>
      <c r="H357" s="7">
        <f t="shared" si="5"/>
        <v>38.8125</v>
      </c>
      <c r="I357" s="7">
        <v>6.21</v>
      </c>
    </row>
    <row r="358" spans="1:9">
      <c r="A358" t="s">
        <v>6617</v>
      </c>
      <c r="B358" s="1">
        <v>42369</v>
      </c>
      <c r="C358" t="s">
        <v>6618</v>
      </c>
      <c r="D358">
        <v>1</v>
      </c>
      <c r="E358" t="s">
        <v>769</v>
      </c>
      <c r="F358" t="s">
        <v>769</v>
      </c>
      <c r="G358" s="17" t="s">
        <v>645</v>
      </c>
      <c r="H358" s="7">
        <f t="shared" si="5"/>
        <v>472.87499999999994</v>
      </c>
      <c r="I358" s="7">
        <v>75.66</v>
      </c>
    </row>
    <row r="359" spans="1:9">
      <c r="A359" t="s">
        <v>6626</v>
      </c>
      <c r="B359" s="1">
        <v>42369</v>
      </c>
      <c r="C359" t="s">
        <v>6627</v>
      </c>
      <c r="D359">
        <v>1</v>
      </c>
      <c r="E359" t="s">
        <v>6628</v>
      </c>
      <c r="F359" t="s">
        <v>6628</v>
      </c>
      <c r="G359" s="17" t="s">
        <v>7156</v>
      </c>
      <c r="H359" s="7">
        <f t="shared" si="5"/>
        <v>140.5</v>
      </c>
      <c r="I359" s="7">
        <v>22.48</v>
      </c>
    </row>
    <row r="360" spans="1:9">
      <c r="A360" t="s">
        <v>521</v>
      </c>
      <c r="B360" s="1">
        <v>42354</v>
      </c>
      <c r="C360" t="s">
        <v>7010</v>
      </c>
      <c r="D360">
        <v>1</v>
      </c>
      <c r="E360" t="s">
        <v>645</v>
      </c>
      <c r="F360" t="s">
        <v>769</v>
      </c>
      <c r="G360" s="2" t="s">
        <v>645</v>
      </c>
      <c r="H360" s="7">
        <f t="shared" si="5"/>
        <v>931.68749999999989</v>
      </c>
      <c r="I360" s="7">
        <v>149.07</v>
      </c>
    </row>
    <row r="361" spans="1:9">
      <c r="A361" t="s">
        <v>7073</v>
      </c>
      <c r="B361" s="1">
        <v>42361</v>
      </c>
      <c r="C361" t="s">
        <v>7074</v>
      </c>
      <c r="D361">
        <v>1</v>
      </c>
      <c r="E361" t="s">
        <v>645</v>
      </c>
      <c r="F361" t="s">
        <v>769</v>
      </c>
      <c r="G361" s="2" t="s">
        <v>645</v>
      </c>
      <c r="H361" s="7">
        <f t="shared" si="5"/>
        <v>7981.8749999999991</v>
      </c>
      <c r="I361" s="7">
        <v>1277.0999999999999</v>
      </c>
    </row>
    <row r="362" spans="1:9">
      <c r="A362" t="s">
        <v>6637</v>
      </c>
      <c r="B362" s="1">
        <v>42369</v>
      </c>
      <c r="C362" t="s">
        <v>6638</v>
      </c>
      <c r="D362">
        <v>1</v>
      </c>
      <c r="E362" t="s">
        <v>915</v>
      </c>
      <c r="F362" t="s">
        <v>915</v>
      </c>
      <c r="G362" s="17" t="s">
        <v>916</v>
      </c>
      <c r="H362" s="7">
        <f t="shared" si="5"/>
        <v>693.9375</v>
      </c>
      <c r="I362" s="7">
        <v>111.03</v>
      </c>
    </row>
    <row r="363" spans="1:9">
      <c r="A363" t="s">
        <v>6309</v>
      </c>
      <c r="B363" s="1">
        <v>42341</v>
      </c>
      <c r="C363" t="s">
        <v>6310</v>
      </c>
      <c r="D363">
        <v>1</v>
      </c>
      <c r="E363" t="s">
        <v>6311</v>
      </c>
      <c r="F363" t="s">
        <v>965</v>
      </c>
      <c r="G363" t="s">
        <v>6264</v>
      </c>
      <c r="H363" s="7">
        <f t="shared" si="5"/>
        <v>166527.5</v>
      </c>
      <c r="I363" s="7">
        <v>26644.400000000001</v>
      </c>
    </row>
    <row r="364" spans="1:9">
      <c r="A364" t="s">
        <v>6372</v>
      </c>
      <c r="B364" s="1">
        <v>42352</v>
      </c>
      <c r="C364" t="s">
        <v>6373</v>
      </c>
      <c r="D364">
        <v>1</v>
      </c>
      <c r="E364" t="s">
        <v>6374</v>
      </c>
      <c r="F364" t="s">
        <v>849</v>
      </c>
      <c r="G364" t="s">
        <v>6263</v>
      </c>
      <c r="H364" s="7">
        <f t="shared" si="5"/>
        <v>141770.5625</v>
      </c>
      <c r="I364" s="7">
        <v>22683.29</v>
      </c>
    </row>
    <row r="365" spans="1:9">
      <c r="A365" t="s">
        <v>5236</v>
      </c>
      <c r="B365" s="1">
        <v>42369</v>
      </c>
      <c r="C365" t="s">
        <v>6527</v>
      </c>
      <c r="D365">
        <v>1</v>
      </c>
      <c r="E365" t="s">
        <v>74</v>
      </c>
      <c r="F365" t="s">
        <v>849</v>
      </c>
      <c r="G365" t="s">
        <v>6263</v>
      </c>
      <c r="H365" s="7">
        <f t="shared" si="5"/>
        <v>141770.5625</v>
      </c>
      <c r="I365" s="7">
        <v>22683.29</v>
      </c>
    </row>
    <row r="366" spans="1:9">
      <c r="A366" t="s">
        <v>6300</v>
      </c>
      <c r="B366" s="1">
        <v>42340</v>
      </c>
      <c r="C366" t="s">
        <v>6301</v>
      </c>
      <c r="D366">
        <v>1</v>
      </c>
      <c r="E366" t="s">
        <v>1737</v>
      </c>
      <c r="F366" t="s">
        <v>849</v>
      </c>
      <c r="G366" t="s">
        <v>6263</v>
      </c>
      <c r="H366" s="7">
        <f t="shared" si="5"/>
        <v>248110.37500000003</v>
      </c>
      <c r="I366" s="7">
        <v>39697.660000000003</v>
      </c>
    </row>
    <row r="367" spans="1:9">
      <c r="A367" t="s">
        <v>6345</v>
      </c>
      <c r="B367" s="1">
        <v>42347</v>
      </c>
      <c r="C367" t="s">
        <v>6343</v>
      </c>
      <c r="D367">
        <v>1</v>
      </c>
      <c r="E367" t="s">
        <v>6263</v>
      </c>
      <c r="F367" t="s">
        <v>849</v>
      </c>
      <c r="G367" t="s">
        <v>6263</v>
      </c>
      <c r="H367" s="7">
        <f t="shared" si="5"/>
        <v>233308.125</v>
      </c>
      <c r="I367" s="7">
        <v>37329.300000000003</v>
      </c>
    </row>
    <row r="368" spans="1:9">
      <c r="A368" t="s">
        <v>6841</v>
      </c>
      <c r="B368" s="1">
        <v>42369</v>
      </c>
      <c r="C368" t="s">
        <v>6842</v>
      </c>
      <c r="D368">
        <v>1</v>
      </c>
      <c r="E368" t="s">
        <v>6843</v>
      </c>
      <c r="F368" s="28" t="s">
        <v>2192</v>
      </c>
      <c r="G368" s="105" t="s">
        <v>7120</v>
      </c>
      <c r="H368" s="7">
        <f t="shared" si="5"/>
        <v>49.625</v>
      </c>
      <c r="I368" s="7">
        <v>7.94</v>
      </c>
    </row>
    <row r="369" spans="1:9">
      <c r="A369" t="s">
        <v>6619</v>
      </c>
      <c r="B369" s="1">
        <v>42369</v>
      </c>
      <c r="C369" t="s">
        <v>6620</v>
      </c>
      <c r="D369">
        <v>1</v>
      </c>
      <c r="E369" t="s">
        <v>6621</v>
      </c>
      <c r="F369" t="s">
        <v>6621</v>
      </c>
      <c r="G369" s="17" t="s">
        <v>7157</v>
      </c>
      <c r="H369" s="7">
        <f t="shared" si="5"/>
        <v>251.62499999999997</v>
      </c>
      <c r="I369" s="7">
        <v>40.26</v>
      </c>
    </row>
    <row r="370" spans="1:9">
      <c r="A370" t="s">
        <v>6782</v>
      </c>
      <c r="B370" s="1">
        <v>42369</v>
      </c>
      <c r="C370" t="s">
        <v>6783</v>
      </c>
      <c r="D370">
        <v>1</v>
      </c>
      <c r="E370" t="s">
        <v>1594</v>
      </c>
      <c r="F370" t="s">
        <v>1594</v>
      </c>
      <c r="G370" s="17" t="s">
        <v>1152</v>
      </c>
      <c r="H370" s="7">
        <f t="shared" si="5"/>
        <v>210.3125</v>
      </c>
      <c r="I370" s="7">
        <v>33.65</v>
      </c>
    </row>
    <row r="371" spans="1:9">
      <c r="A371" t="s">
        <v>6774</v>
      </c>
      <c r="B371" s="1">
        <v>42369</v>
      </c>
      <c r="C371" t="s">
        <v>6775</v>
      </c>
      <c r="D371">
        <v>1</v>
      </c>
      <c r="E371" t="s">
        <v>1594</v>
      </c>
      <c r="F371" t="s">
        <v>1594</v>
      </c>
      <c r="G371" s="17" t="s">
        <v>1152</v>
      </c>
      <c r="H371" s="7">
        <f t="shared" si="5"/>
        <v>210.3125</v>
      </c>
      <c r="I371" s="7">
        <v>33.65</v>
      </c>
    </row>
    <row r="372" spans="1:9">
      <c r="A372" t="s">
        <v>6770</v>
      </c>
      <c r="B372" s="1">
        <v>42369</v>
      </c>
      <c r="C372" t="s">
        <v>6771</v>
      </c>
      <c r="D372">
        <v>1</v>
      </c>
      <c r="E372" t="s">
        <v>1594</v>
      </c>
      <c r="F372" t="s">
        <v>1594</v>
      </c>
      <c r="G372" s="17" t="s">
        <v>1152</v>
      </c>
      <c r="H372" s="7">
        <f t="shared" si="5"/>
        <v>105.18749999999999</v>
      </c>
      <c r="I372" s="7">
        <v>16.829999999999998</v>
      </c>
    </row>
    <row r="373" spans="1:9">
      <c r="A373" t="s">
        <v>6590</v>
      </c>
      <c r="B373" s="1">
        <v>42369</v>
      </c>
      <c r="C373" t="s">
        <v>6591</v>
      </c>
      <c r="D373">
        <v>1</v>
      </c>
      <c r="E373" t="s">
        <v>1594</v>
      </c>
      <c r="F373" t="s">
        <v>1594</v>
      </c>
      <c r="G373" s="17" t="s">
        <v>1152</v>
      </c>
      <c r="H373" s="7">
        <f t="shared" si="5"/>
        <v>409.0625</v>
      </c>
      <c r="I373" s="7">
        <v>65.45</v>
      </c>
    </row>
    <row r="374" spans="1:9">
      <c r="A374" t="s">
        <v>1311</v>
      </c>
      <c r="B374" s="1">
        <v>42364</v>
      </c>
      <c r="C374" t="s">
        <v>6464</v>
      </c>
      <c r="D374">
        <v>1</v>
      </c>
      <c r="E374" t="s">
        <v>6465</v>
      </c>
      <c r="F374" t="s">
        <v>6465</v>
      </c>
      <c r="G374" s="139" t="s">
        <v>7497</v>
      </c>
      <c r="H374" s="7">
        <f t="shared" si="5"/>
        <v>792.75</v>
      </c>
      <c r="I374" s="7">
        <v>126.84</v>
      </c>
    </row>
    <row r="375" spans="1:9">
      <c r="A375" t="s">
        <v>1311</v>
      </c>
      <c r="B375" s="1">
        <v>42364</v>
      </c>
      <c r="C375" t="s">
        <v>6464</v>
      </c>
      <c r="D375">
        <v>1</v>
      </c>
      <c r="E375" t="s">
        <v>1612</v>
      </c>
      <c r="F375" s="2" t="s">
        <v>1612</v>
      </c>
      <c r="G375" s="105" t="s">
        <v>1613</v>
      </c>
      <c r="H375" s="7">
        <f t="shared" si="5"/>
        <v>209.68749999999997</v>
      </c>
      <c r="I375" s="7">
        <v>33.549999999999997</v>
      </c>
    </row>
    <row r="376" spans="1:9">
      <c r="A376" t="s">
        <v>6928</v>
      </c>
      <c r="B376" s="1">
        <v>42369</v>
      </c>
      <c r="C376" t="s">
        <v>6929</v>
      </c>
      <c r="D376">
        <v>1</v>
      </c>
      <c r="E376" t="s">
        <v>6930</v>
      </c>
      <c r="F376" t="s">
        <v>6930</v>
      </c>
      <c r="G376" s="17" t="s">
        <v>7338</v>
      </c>
      <c r="H376" s="7">
        <f t="shared" si="5"/>
        <v>86</v>
      </c>
      <c r="I376" s="7">
        <v>13.76</v>
      </c>
    </row>
    <row r="377" spans="1:9">
      <c r="A377" t="s">
        <v>1469</v>
      </c>
      <c r="B377" s="1">
        <v>42359</v>
      </c>
      <c r="C377" t="s">
        <v>7024</v>
      </c>
      <c r="D377">
        <v>2</v>
      </c>
      <c r="E377" t="s">
        <v>4170</v>
      </c>
      <c r="F377" s="17" t="s">
        <v>4218</v>
      </c>
      <c r="G377" t="s">
        <v>4170</v>
      </c>
      <c r="H377" s="7">
        <f t="shared" si="5"/>
        <v>10995</v>
      </c>
      <c r="I377" s="7">
        <v>1759.2</v>
      </c>
    </row>
    <row r="378" spans="1:9">
      <c r="A378" t="s">
        <v>2666</v>
      </c>
      <c r="B378" s="1">
        <v>42354</v>
      </c>
      <c r="C378" t="s">
        <v>7004</v>
      </c>
      <c r="D378">
        <v>2</v>
      </c>
      <c r="E378" t="s">
        <v>4170</v>
      </c>
      <c r="F378" s="17" t="s">
        <v>4218</v>
      </c>
      <c r="G378" t="s">
        <v>4170</v>
      </c>
      <c r="H378" s="7">
        <f t="shared" si="5"/>
        <v>4795</v>
      </c>
      <c r="I378" s="7">
        <v>767.2</v>
      </c>
    </row>
    <row r="379" spans="1:9">
      <c r="A379" t="s">
        <v>643</v>
      </c>
      <c r="B379" s="1">
        <v>42361</v>
      </c>
      <c r="C379" t="s">
        <v>7068</v>
      </c>
      <c r="D379">
        <v>2</v>
      </c>
      <c r="E379" t="s">
        <v>4170</v>
      </c>
      <c r="F379" s="36" t="s">
        <v>4218</v>
      </c>
      <c r="G379" s="2" t="s">
        <v>4170</v>
      </c>
      <c r="H379" s="7">
        <f t="shared" si="5"/>
        <v>10995</v>
      </c>
      <c r="I379" s="7">
        <v>1759.2</v>
      </c>
    </row>
    <row r="380" spans="1:9">
      <c r="A380" t="s">
        <v>6557</v>
      </c>
      <c r="B380" s="1">
        <v>42369</v>
      </c>
      <c r="C380" t="s">
        <v>6558</v>
      </c>
      <c r="D380">
        <v>1</v>
      </c>
      <c r="E380" t="s">
        <v>5377</v>
      </c>
      <c r="F380" t="s">
        <v>5377</v>
      </c>
      <c r="G380" s="17" t="s">
        <v>7158</v>
      </c>
      <c r="H380" s="7">
        <f t="shared" si="5"/>
        <v>389.625</v>
      </c>
      <c r="I380" s="7">
        <v>62.34</v>
      </c>
    </row>
    <row r="381" spans="1:9">
      <c r="A381" t="s">
        <v>6619</v>
      </c>
      <c r="B381" s="1">
        <v>42369</v>
      </c>
      <c r="C381" t="s">
        <v>6620</v>
      </c>
      <c r="D381">
        <v>1</v>
      </c>
      <c r="E381" t="s">
        <v>5377</v>
      </c>
      <c r="F381" t="s">
        <v>5377</v>
      </c>
      <c r="G381" s="17" t="s">
        <v>7158</v>
      </c>
      <c r="H381" s="7">
        <f t="shared" si="5"/>
        <v>218.125</v>
      </c>
      <c r="I381" s="7">
        <v>34.9</v>
      </c>
    </row>
    <row r="382" spans="1:9">
      <c r="A382" t="s">
        <v>6626</v>
      </c>
      <c r="B382" s="1">
        <v>42369</v>
      </c>
      <c r="C382" t="s">
        <v>6627</v>
      </c>
      <c r="D382">
        <v>1</v>
      </c>
      <c r="E382" t="s">
        <v>5377</v>
      </c>
      <c r="F382" t="s">
        <v>5377</v>
      </c>
      <c r="G382" s="17" t="s">
        <v>7158</v>
      </c>
      <c r="H382" s="7">
        <f t="shared" si="5"/>
        <v>389.625</v>
      </c>
      <c r="I382" s="7">
        <v>62.34</v>
      </c>
    </row>
    <row r="383" spans="1:9">
      <c r="A383" t="s">
        <v>6629</v>
      </c>
      <c r="B383" s="1">
        <v>42369</v>
      </c>
      <c r="C383" t="s">
        <v>6630</v>
      </c>
      <c r="D383">
        <v>1</v>
      </c>
      <c r="E383" t="s">
        <v>5377</v>
      </c>
      <c r="F383" t="s">
        <v>5377</v>
      </c>
      <c r="G383" s="17" t="s">
        <v>7158</v>
      </c>
      <c r="H383" s="7">
        <f t="shared" si="5"/>
        <v>389.625</v>
      </c>
      <c r="I383" s="7">
        <v>62.34</v>
      </c>
    </row>
    <row r="384" spans="1:9">
      <c r="A384" t="s">
        <v>6635</v>
      </c>
      <c r="B384" s="1">
        <v>42369</v>
      </c>
      <c r="C384" t="s">
        <v>6636</v>
      </c>
      <c r="D384">
        <v>1</v>
      </c>
      <c r="E384" t="s">
        <v>5377</v>
      </c>
      <c r="F384" t="s">
        <v>5377</v>
      </c>
      <c r="G384" s="17" t="s">
        <v>7158</v>
      </c>
      <c r="H384" s="7">
        <f t="shared" si="5"/>
        <v>389.625</v>
      </c>
      <c r="I384" s="7">
        <v>62.34</v>
      </c>
    </row>
    <row r="385" spans="1:9">
      <c r="A385" t="s">
        <v>6637</v>
      </c>
      <c r="B385" s="1">
        <v>42369</v>
      </c>
      <c r="C385" t="s">
        <v>6638</v>
      </c>
      <c r="D385">
        <v>1</v>
      </c>
      <c r="E385" t="s">
        <v>5377</v>
      </c>
      <c r="F385" t="s">
        <v>5377</v>
      </c>
      <c r="G385" s="17" t="s">
        <v>7158</v>
      </c>
      <c r="H385" s="7">
        <f t="shared" si="5"/>
        <v>218.125</v>
      </c>
      <c r="I385" s="7">
        <v>34.9</v>
      </c>
    </row>
    <row r="386" spans="1:9">
      <c r="A386" t="s">
        <v>6648</v>
      </c>
      <c r="B386" s="1">
        <v>42369</v>
      </c>
      <c r="C386" t="s">
        <v>6649</v>
      </c>
      <c r="D386">
        <v>1</v>
      </c>
      <c r="E386" t="s">
        <v>5377</v>
      </c>
      <c r="F386" t="s">
        <v>5377</v>
      </c>
      <c r="G386" s="17" t="s">
        <v>7158</v>
      </c>
      <c r="H386" s="7">
        <f t="shared" si="5"/>
        <v>218.125</v>
      </c>
      <c r="I386" s="7">
        <v>34.9</v>
      </c>
    </row>
    <row r="387" spans="1:9">
      <c r="A387" t="s">
        <v>6654</v>
      </c>
      <c r="B387" s="1">
        <v>42369</v>
      </c>
      <c r="C387" t="s">
        <v>6655</v>
      </c>
      <c r="D387">
        <v>1</v>
      </c>
      <c r="E387" t="s">
        <v>5377</v>
      </c>
      <c r="F387" t="s">
        <v>5377</v>
      </c>
      <c r="G387" s="17" t="s">
        <v>7158</v>
      </c>
      <c r="H387" s="7">
        <f t="shared" si="5"/>
        <v>218.125</v>
      </c>
      <c r="I387" s="7">
        <v>34.9</v>
      </c>
    </row>
    <row r="388" spans="1:9">
      <c r="A388" t="s">
        <v>6660</v>
      </c>
      <c r="B388" s="1">
        <v>42369</v>
      </c>
      <c r="C388" t="s">
        <v>6661</v>
      </c>
      <c r="D388">
        <v>1</v>
      </c>
      <c r="E388" t="s">
        <v>5377</v>
      </c>
      <c r="F388" t="s">
        <v>5377</v>
      </c>
      <c r="G388" s="17" t="s">
        <v>7158</v>
      </c>
      <c r="H388" s="7">
        <f t="shared" si="5"/>
        <v>218.125</v>
      </c>
      <c r="I388" s="7">
        <v>34.9</v>
      </c>
    </row>
    <row r="389" spans="1:9">
      <c r="A389" t="s">
        <v>6810</v>
      </c>
      <c r="B389" s="1">
        <v>42369</v>
      </c>
      <c r="C389" t="s">
        <v>6811</v>
      </c>
      <c r="D389">
        <v>1</v>
      </c>
      <c r="E389" t="s">
        <v>860</v>
      </c>
      <c r="F389" t="s">
        <v>860</v>
      </c>
      <c r="G389" s="139" t="s">
        <v>474</v>
      </c>
      <c r="H389" s="7">
        <f t="shared" si="5"/>
        <v>43.125</v>
      </c>
      <c r="I389" s="7">
        <v>6.9</v>
      </c>
    </row>
    <row r="390" spans="1:9">
      <c r="A390" t="s">
        <v>6601</v>
      </c>
      <c r="B390" s="1">
        <v>42369</v>
      </c>
      <c r="C390" t="s">
        <v>6602</v>
      </c>
      <c r="D390">
        <v>1</v>
      </c>
      <c r="E390" t="s">
        <v>857</v>
      </c>
      <c r="F390" t="s">
        <v>857</v>
      </c>
      <c r="G390" s="17" t="s">
        <v>7159</v>
      </c>
      <c r="H390" s="7">
        <f t="shared" si="5"/>
        <v>121.5625</v>
      </c>
      <c r="I390" s="7">
        <v>19.45</v>
      </c>
    </row>
    <row r="391" spans="1:9">
      <c r="A391" t="s">
        <v>2620</v>
      </c>
      <c r="B391" s="1">
        <v>42340</v>
      </c>
      <c r="C391" t="s">
        <v>6966</v>
      </c>
      <c r="D391">
        <v>2</v>
      </c>
      <c r="E391" t="s">
        <v>457</v>
      </c>
      <c r="F391" s="36" t="s">
        <v>858</v>
      </c>
      <c r="G391" s="2" t="s">
        <v>457</v>
      </c>
      <c r="H391" s="7">
        <f t="shared" si="5"/>
        <v>4000</v>
      </c>
      <c r="I391" s="7">
        <v>640</v>
      </c>
    </row>
    <row r="392" spans="1:9">
      <c r="A392" t="s">
        <v>2081</v>
      </c>
      <c r="B392" s="1">
        <v>42346</v>
      </c>
      <c r="C392" t="s">
        <v>6979</v>
      </c>
      <c r="D392">
        <v>2</v>
      </c>
      <c r="E392" t="s">
        <v>457</v>
      </c>
      <c r="F392" s="17" t="s">
        <v>858</v>
      </c>
      <c r="G392" t="s">
        <v>457</v>
      </c>
      <c r="H392" s="7">
        <f t="shared" ref="H392:H454" si="6">+I392/0.16</f>
        <v>22400</v>
      </c>
      <c r="I392" s="7">
        <v>3584</v>
      </c>
    </row>
    <row r="393" spans="1:9">
      <c r="A393" t="s">
        <v>633</v>
      </c>
      <c r="B393" s="1">
        <v>42361</v>
      </c>
      <c r="C393" t="s">
        <v>7059</v>
      </c>
      <c r="D393">
        <v>1</v>
      </c>
      <c r="E393" t="s">
        <v>457</v>
      </c>
      <c r="F393" s="36" t="s">
        <v>858</v>
      </c>
      <c r="G393" s="2" t="s">
        <v>457</v>
      </c>
      <c r="H393" s="7">
        <f t="shared" si="6"/>
        <v>4800</v>
      </c>
      <c r="I393" s="7">
        <v>768</v>
      </c>
    </row>
    <row r="394" spans="1:9">
      <c r="A394" t="s">
        <v>7060</v>
      </c>
      <c r="B394" s="1">
        <v>42361</v>
      </c>
      <c r="C394" t="s">
        <v>7061</v>
      </c>
      <c r="D394">
        <v>2</v>
      </c>
      <c r="E394" t="s">
        <v>457</v>
      </c>
      <c r="F394" s="36" t="s">
        <v>858</v>
      </c>
      <c r="G394" s="2" t="s">
        <v>457</v>
      </c>
      <c r="H394" s="7">
        <f t="shared" si="6"/>
        <v>10500</v>
      </c>
      <c r="I394" s="7">
        <v>1680</v>
      </c>
    </row>
    <row r="395" spans="1:9">
      <c r="A395" t="s">
        <v>6764</v>
      </c>
      <c r="B395" s="1">
        <v>42369</v>
      </c>
      <c r="C395" t="s">
        <v>6765</v>
      </c>
      <c r="D395">
        <v>1</v>
      </c>
      <c r="E395" t="s">
        <v>706</v>
      </c>
      <c r="F395" t="s">
        <v>706</v>
      </c>
      <c r="G395" t="s">
        <v>7160</v>
      </c>
      <c r="H395" s="7">
        <f t="shared" si="6"/>
        <v>70.6875</v>
      </c>
      <c r="I395" s="7">
        <v>11.31</v>
      </c>
    </row>
    <row r="396" spans="1:9">
      <c r="A396" t="s">
        <v>1356</v>
      </c>
      <c r="B396" s="1">
        <v>42346</v>
      </c>
      <c r="C396" t="s">
        <v>6956</v>
      </c>
      <c r="D396">
        <v>1</v>
      </c>
      <c r="E396" t="s">
        <v>6957</v>
      </c>
      <c r="F396" s="36" t="s">
        <v>7161</v>
      </c>
      <c r="G396" s="2" t="s">
        <v>6957</v>
      </c>
      <c r="H396" s="7">
        <f t="shared" si="6"/>
        <v>1800</v>
      </c>
      <c r="I396" s="7">
        <v>288</v>
      </c>
    </row>
    <row r="397" spans="1:9">
      <c r="A397" t="s">
        <v>6632</v>
      </c>
      <c r="B397" s="1">
        <v>42369</v>
      </c>
      <c r="C397" t="s">
        <v>6633</v>
      </c>
      <c r="D397">
        <v>1</v>
      </c>
      <c r="E397" t="s">
        <v>6634</v>
      </c>
      <c r="F397" t="s">
        <v>6634</v>
      </c>
      <c r="G397" s="17" t="s">
        <v>7217</v>
      </c>
      <c r="H397" s="7">
        <f t="shared" si="6"/>
        <v>77.5625</v>
      </c>
      <c r="I397" s="7">
        <v>12.41</v>
      </c>
    </row>
    <row r="398" spans="1:9">
      <c r="A398" t="s">
        <v>6619</v>
      </c>
      <c r="B398" s="1">
        <v>42369</v>
      </c>
      <c r="C398" t="s">
        <v>6620</v>
      </c>
      <c r="D398">
        <v>1</v>
      </c>
      <c r="E398" t="s">
        <v>929</v>
      </c>
      <c r="F398" t="s">
        <v>929</v>
      </c>
      <c r="G398" s="17" t="s">
        <v>7162</v>
      </c>
      <c r="H398" s="7">
        <f t="shared" si="6"/>
        <v>69</v>
      </c>
      <c r="I398" s="7">
        <v>11.04</v>
      </c>
    </row>
    <row r="399" spans="1:9">
      <c r="A399" t="s">
        <v>6648</v>
      </c>
      <c r="B399" s="1">
        <v>42369</v>
      </c>
      <c r="C399" t="s">
        <v>6649</v>
      </c>
      <c r="D399">
        <v>1</v>
      </c>
      <c r="E399" t="s">
        <v>929</v>
      </c>
      <c r="F399" t="s">
        <v>929</v>
      </c>
      <c r="G399" s="17" t="s">
        <v>7162</v>
      </c>
      <c r="H399" s="7">
        <f t="shared" si="6"/>
        <v>69</v>
      </c>
      <c r="I399" s="7">
        <v>11.04</v>
      </c>
    </row>
    <row r="400" spans="1:9">
      <c r="A400" t="s">
        <v>6654</v>
      </c>
      <c r="B400" s="1">
        <v>42369</v>
      </c>
      <c r="C400" t="s">
        <v>6655</v>
      </c>
      <c r="D400">
        <v>1</v>
      </c>
      <c r="E400" t="s">
        <v>929</v>
      </c>
      <c r="F400" t="s">
        <v>929</v>
      </c>
      <c r="G400" t="s">
        <v>7162</v>
      </c>
      <c r="H400" s="7">
        <f t="shared" si="6"/>
        <v>69</v>
      </c>
      <c r="I400" s="7">
        <v>11.04</v>
      </c>
    </row>
    <row r="401" spans="1:9">
      <c r="A401" t="s">
        <v>6656</v>
      </c>
      <c r="B401" s="1">
        <v>42369</v>
      </c>
      <c r="C401" t="s">
        <v>6657</v>
      </c>
      <c r="D401">
        <v>1</v>
      </c>
      <c r="E401" t="s">
        <v>929</v>
      </c>
      <c r="F401" s="2" t="s">
        <v>929</v>
      </c>
      <c r="G401" t="s">
        <v>7162</v>
      </c>
      <c r="H401" s="7">
        <f t="shared" si="6"/>
        <v>103.4375</v>
      </c>
      <c r="I401" s="7">
        <v>16.55</v>
      </c>
    </row>
    <row r="402" spans="1:9">
      <c r="A402" t="s">
        <v>442</v>
      </c>
      <c r="B402" s="1">
        <v>42340</v>
      </c>
      <c r="C402" t="s">
        <v>6960</v>
      </c>
      <c r="D402">
        <v>2</v>
      </c>
      <c r="E402" t="s">
        <v>474</v>
      </c>
      <c r="F402" s="36" t="s">
        <v>860</v>
      </c>
      <c r="G402" s="2" t="s">
        <v>474</v>
      </c>
      <c r="H402" s="7">
        <f t="shared" si="6"/>
        <v>3000</v>
      </c>
      <c r="I402" s="7">
        <v>480</v>
      </c>
    </row>
    <row r="403" spans="1:9">
      <c r="A403" t="s">
        <v>1368</v>
      </c>
      <c r="B403" s="1">
        <v>42346</v>
      </c>
      <c r="C403" t="s">
        <v>6972</v>
      </c>
      <c r="D403">
        <v>2</v>
      </c>
      <c r="E403" t="s">
        <v>474</v>
      </c>
      <c r="F403" s="36" t="s">
        <v>860</v>
      </c>
      <c r="G403" s="2" t="s">
        <v>474</v>
      </c>
      <c r="H403" s="7">
        <f t="shared" si="6"/>
        <v>300</v>
      </c>
      <c r="I403" s="7">
        <v>48</v>
      </c>
    </row>
    <row r="404" spans="1:9">
      <c r="A404" t="s">
        <v>1521</v>
      </c>
      <c r="B404" s="1">
        <v>42361</v>
      </c>
      <c r="C404" t="s">
        <v>7050</v>
      </c>
      <c r="D404">
        <v>2</v>
      </c>
      <c r="E404" t="s">
        <v>474</v>
      </c>
      <c r="F404" s="36" t="s">
        <v>860</v>
      </c>
      <c r="G404" s="2" t="s">
        <v>474</v>
      </c>
      <c r="H404" s="7">
        <f t="shared" si="6"/>
        <v>6600</v>
      </c>
      <c r="I404" s="7">
        <v>1056</v>
      </c>
    </row>
    <row r="405" spans="1:9">
      <c r="A405" t="s">
        <v>6699</v>
      </c>
      <c r="B405" s="1">
        <v>42369</v>
      </c>
      <c r="C405" t="s">
        <v>6700</v>
      </c>
      <c r="D405">
        <v>1</v>
      </c>
      <c r="E405" t="s">
        <v>4448</v>
      </c>
      <c r="F405" t="s">
        <v>4448</v>
      </c>
      <c r="G405" t="s">
        <v>7163</v>
      </c>
      <c r="H405" s="7">
        <f t="shared" si="6"/>
        <v>235</v>
      </c>
      <c r="I405" s="7">
        <v>37.6</v>
      </c>
    </row>
    <row r="406" spans="1:9">
      <c r="A406" t="s">
        <v>6812</v>
      </c>
      <c r="B406" s="1">
        <v>42369</v>
      </c>
      <c r="C406" t="s">
        <v>6813</v>
      </c>
      <c r="D406">
        <v>1</v>
      </c>
      <c r="E406" t="s">
        <v>2222</v>
      </c>
      <c r="F406" t="s">
        <v>2222</v>
      </c>
      <c r="G406" s="139" t="s">
        <v>3708</v>
      </c>
      <c r="H406" s="7">
        <f t="shared" si="6"/>
        <v>1200</v>
      </c>
      <c r="I406" s="7">
        <v>192</v>
      </c>
    </row>
    <row r="407" spans="1:9">
      <c r="A407" t="s">
        <v>6361</v>
      </c>
      <c r="B407" s="1">
        <v>42349</v>
      </c>
      <c r="C407" t="s">
        <v>6362</v>
      </c>
      <c r="D407">
        <v>1</v>
      </c>
      <c r="E407" t="s">
        <v>6363</v>
      </c>
      <c r="F407" t="s">
        <v>1600</v>
      </c>
      <c r="G407" t="s">
        <v>6283</v>
      </c>
      <c r="H407" s="7">
        <f t="shared" si="6"/>
        <v>158063.6875</v>
      </c>
      <c r="I407" s="7">
        <v>25290.19</v>
      </c>
    </row>
    <row r="408" spans="1:9">
      <c r="A408" t="s">
        <v>6413</v>
      </c>
      <c r="B408" s="1">
        <v>42355</v>
      </c>
      <c r="C408" t="s">
        <v>6410</v>
      </c>
      <c r="D408">
        <v>1</v>
      </c>
      <c r="E408" t="s">
        <v>6414</v>
      </c>
      <c r="F408" t="s">
        <v>1600</v>
      </c>
      <c r="G408" t="s">
        <v>6283</v>
      </c>
      <c r="H408" s="7">
        <f t="shared" si="6"/>
        <v>170465.6875</v>
      </c>
      <c r="I408" s="7">
        <v>27274.51</v>
      </c>
    </row>
    <row r="409" spans="1:9">
      <c r="A409" t="s">
        <v>6660</v>
      </c>
      <c r="B409" s="1">
        <v>42369</v>
      </c>
      <c r="C409" t="s">
        <v>6661</v>
      </c>
      <c r="D409">
        <v>1</v>
      </c>
      <c r="E409" t="s">
        <v>5655</v>
      </c>
      <c r="F409" s="126" t="s">
        <v>5655</v>
      </c>
      <c r="G409" s="126" t="s">
        <v>5656</v>
      </c>
      <c r="H409" s="7">
        <f t="shared" si="6"/>
        <v>626</v>
      </c>
      <c r="I409" s="7">
        <v>100.16</v>
      </c>
    </row>
    <row r="410" spans="1:9">
      <c r="A410" t="s">
        <v>631</v>
      </c>
      <c r="B410" s="1">
        <v>42361</v>
      </c>
      <c r="C410" t="s">
        <v>7058</v>
      </c>
      <c r="D410">
        <v>1</v>
      </c>
      <c r="E410" t="s">
        <v>2660</v>
      </c>
      <c r="F410" s="36" t="s">
        <v>2701</v>
      </c>
      <c r="G410" s="2" t="s">
        <v>2660</v>
      </c>
      <c r="H410" s="7">
        <f t="shared" si="6"/>
        <v>2402</v>
      </c>
      <c r="I410" s="7">
        <v>384.32</v>
      </c>
    </row>
    <row r="411" spans="1:9">
      <c r="A411" t="s">
        <v>453</v>
      </c>
      <c r="B411" s="1">
        <v>42340</v>
      </c>
      <c r="C411" t="s">
        <v>6965</v>
      </c>
      <c r="D411">
        <v>1</v>
      </c>
      <c r="E411" t="s">
        <v>967</v>
      </c>
      <c r="F411" s="125" t="s">
        <v>863</v>
      </c>
      <c r="G411" s="126" t="s">
        <v>967</v>
      </c>
      <c r="H411" s="7">
        <f t="shared" si="6"/>
        <v>18706.0625</v>
      </c>
      <c r="I411" s="7">
        <v>2992.97</v>
      </c>
    </row>
    <row r="412" spans="1:9">
      <c r="A412" t="s">
        <v>7064</v>
      </c>
      <c r="B412" s="1">
        <v>42361</v>
      </c>
      <c r="C412" t="s">
        <v>7065</v>
      </c>
      <c r="D412">
        <v>1</v>
      </c>
      <c r="E412" t="s">
        <v>967</v>
      </c>
      <c r="F412" s="110" t="s">
        <v>863</v>
      </c>
      <c r="G412" s="126" t="s">
        <v>967</v>
      </c>
      <c r="H412" s="7">
        <f t="shared" si="6"/>
        <v>61599.6875</v>
      </c>
      <c r="I412" s="7">
        <v>9855.9500000000007</v>
      </c>
    </row>
    <row r="413" spans="1:9">
      <c r="A413" t="s">
        <v>6654</v>
      </c>
      <c r="B413" s="1">
        <v>42369</v>
      </c>
      <c r="C413" t="s">
        <v>6655</v>
      </c>
      <c r="D413">
        <v>1</v>
      </c>
      <c r="E413" t="s">
        <v>1617</v>
      </c>
      <c r="F413" s="110" t="s">
        <v>1617</v>
      </c>
      <c r="G413" s="110" t="s">
        <v>1618</v>
      </c>
      <c r="H413" s="7">
        <f t="shared" si="6"/>
        <v>83.875</v>
      </c>
      <c r="I413" s="7">
        <v>13.42</v>
      </c>
    </row>
    <row r="414" spans="1:9">
      <c r="A414" t="s">
        <v>6654</v>
      </c>
      <c r="B414" s="1">
        <v>42369</v>
      </c>
      <c r="C414" t="s">
        <v>6655</v>
      </c>
      <c r="D414">
        <v>1</v>
      </c>
      <c r="E414" t="s">
        <v>1617</v>
      </c>
      <c r="F414" s="110" t="s">
        <v>1617</v>
      </c>
      <c r="G414" s="110" t="s">
        <v>1618</v>
      </c>
      <c r="H414" s="7">
        <f t="shared" si="6"/>
        <v>335.5</v>
      </c>
      <c r="I414" s="7">
        <v>53.68</v>
      </c>
    </row>
    <row r="415" spans="1:9">
      <c r="A415" t="s">
        <v>6644</v>
      </c>
      <c r="B415" s="1">
        <v>42369</v>
      </c>
      <c r="C415" t="s">
        <v>6645</v>
      </c>
      <c r="D415">
        <v>1</v>
      </c>
      <c r="E415" t="s">
        <v>2724</v>
      </c>
      <c r="F415" s="110" t="s">
        <v>2724</v>
      </c>
      <c r="G415" s="111" t="s">
        <v>7164</v>
      </c>
      <c r="H415" s="7">
        <f t="shared" si="6"/>
        <v>503.24999999999994</v>
      </c>
      <c r="I415" s="7">
        <v>80.52</v>
      </c>
    </row>
    <row r="416" spans="1:9">
      <c r="A416" t="s">
        <v>1392</v>
      </c>
      <c r="B416" s="1">
        <v>42352</v>
      </c>
      <c r="C416" t="s">
        <v>6990</v>
      </c>
      <c r="D416">
        <v>1</v>
      </c>
      <c r="E416" t="s">
        <v>6127</v>
      </c>
      <c r="F416" s="17" t="s">
        <v>6267</v>
      </c>
      <c r="G416" t="s">
        <v>6127</v>
      </c>
      <c r="H416" s="7">
        <f t="shared" si="6"/>
        <v>1934.4999999999998</v>
      </c>
      <c r="I416" s="7">
        <v>309.52</v>
      </c>
    </row>
    <row r="417" spans="1:9">
      <c r="A417" t="s">
        <v>6652</v>
      </c>
      <c r="B417" s="1">
        <v>42369</v>
      </c>
      <c r="C417" t="s">
        <v>6653</v>
      </c>
      <c r="D417">
        <v>1</v>
      </c>
      <c r="E417" t="s">
        <v>2233</v>
      </c>
      <c r="F417" s="110" t="s">
        <v>2233</v>
      </c>
      <c r="G417" s="110" t="s">
        <v>2234</v>
      </c>
      <c r="H417" s="7">
        <f t="shared" si="6"/>
        <v>629.0625</v>
      </c>
      <c r="I417" s="7">
        <v>100.65</v>
      </c>
    </row>
    <row r="418" spans="1:9">
      <c r="A418" t="s">
        <v>439</v>
      </c>
      <c r="B418" s="1">
        <v>42340</v>
      </c>
      <c r="C418" t="s">
        <v>6959</v>
      </c>
      <c r="D418">
        <v>1</v>
      </c>
      <c r="E418" t="s">
        <v>3613</v>
      </c>
      <c r="F418" s="36" t="s">
        <v>3709</v>
      </c>
      <c r="G418" s="2" t="s">
        <v>3613</v>
      </c>
      <c r="H418" s="7">
        <f t="shared" si="6"/>
        <v>1543.5</v>
      </c>
      <c r="I418" s="7">
        <v>246.96</v>
      </c>
    </row>
    <row r="419" spans="1:9">
      <c r="A419" t="s">
        <v>6656</v>
      </c>
      <c r="B419" s="1">
        <v>42369</v>
      </c>
      <c r="C419" t="s">
        <v>6657</v>
      </c>
      <c r="D419">
        <v>1</v>
      </c>
      <c r="E419" t="s">
        <v>778</v>
      </c>
      <c r="F419" s="110" t="s">
        <v>778</v>
      </c>
      <c r="G419" s="110" t="s">
        <v>779</v>
      </c>
      <c r="H419" s="7">
        <f t="shared" si="6"/>
        <v>251.75</v>
      </c>
      <c r="I419" s="7">
        <v>40.28</v>
      </c>
    </row>
    <row r="420" spans="1:9">
      <c r="A420" t="s">
        <v>6937</v>
      </c>
      <c r="B420" s="1">
        <v>42369</v>
      </c>
      <c r="C420" t="s">
        <v>6938</v>
      </c>
      <c r="D420">
        <v>1</v>
      </c>
      <c r="E420" t="s">
        <v>780</v>
      </c>
      <c r="F420" s="111" t="s">
        <v>780</v>
      </c>
      <c r="G420" s="111" t="s">
        <v>781</v>
      </c>
      <c r="H420" s="7">
        <f t="shared" si="6"/>
        <v>341.4375</v>
      </c>
      <c r="I420" s="7">
        <v>54.63</v>
      </c>
    </row>
    <row r="421" spans="1:9">
      <c r="A421" t="s">
        <v>6622</v>
      </c>
      <c r="B421" s="1">
        <v>42369</v>
      </c>
      <c r="C421" t="s">
        <v>6623</v>
      </c>
      <c r="D421">
        <v>1</v>
      </c>
      <c r="E421" t="s">
        <v>780</v>
      </c>
      <c r="F421" s="111" t="s">
        <v>780</v>
      </c>
      <c r="G421" s="111" t="s">
        <v>781</v>
      </c>
      <c r="H421" s="7">
        <f t="shared" si="6"/>
        <v>341.4375</v>
      </c>
      <c r="I421" s="7">
        <v>54.63</v>
      </c>
    </row>
    <row r="422" spans="1:9">
      <c r="A422" t="s">
        <v>6648</v>
      </c>
      <c r="B422" s="1">
        <v>42369</v>
      </c>
      <c r="C422" t="s">
        <v>6649</v>
      </c>
      <c r="D422">
        <v>1</v>
      </c>
      <c r="E422" t="s">
        <v>2239</v>
      </c>
      <c r="F422" s="110" t="s">
        <v>2239</v>
      </c>
      <c r="G422" s="111" t="s">
        <v>7216</v>
      </c>
      <c r="H422" s="7">
        <f t="shared" si="6"/>
        <v>293.5625</v>
      </c>
      <c r="I422" s="7">
        <v>46.97</v>
      </c>
    </row>
    <row r="423" spans="1:9">
      <c r="A423" t="s">
        <v>6660</v>
      </c>
      <c r="B423" s="1">
        <v>42369</v>
      </c>
      <c r="C423" t="s">
        <v>6661</v>
      </c>
      <c r="D423">
        <v>1</v>
      </c>
      <c r="E423" t="s">
        <v>2239</v>
      </c>
      <c r="F423" s="110" t="s">
        <v>2239</v>
      </c>
      <c r="G423" s="110" t="s">
        <v>7165</v>
      </c>
      <c r="H423" s="7">
        <f t="shared" si="6"/>
        <v>251.62499999999997</v>
      </c>
      <c r="I423" s="7">
        <v>40.26</v>
      </c>
    </row>
    <row r="424" spans="1:9">
      <c r="A424" t="s">
        <v>6557</v>
      </c>
      <c r="B424" s="1">
        <v>42369</v>
      </c>
      <c r="C424" t="s">
        <v>6558</v>
      </c>
      <c r="D424">
        <v>1</v>
      </c>
      <c r="E424" t="s">
        <v>931</v>
      </c>
      <c r="F424" s="110" t="s">
        <v>931</v>
      </c>
      <c r="G424" s="111" t="s">
        <v>932</v>
      </c>
      <c r="H424" s="7">
        <f t="shared" si="6"/>
        <v>865</v>
      </c>
      <c r="I424" s="7">
        <v>138.4</v>
      </c>
    </row>
    <row r="425" spans="1:9">
      <c r="A425" t="s">
        <v>6635</v>
      </c>
      <c r="B425" s="1">
        <v>42369</v>
      </c>
      <c r="C425" t="s">
        <v>6636</v>
      </c>
      <c r="D425">
        <v>1</v>
      </c>
      <c r="E425" t="s">
        <v>931</v>
      </c>
      <c r="F425" t="s">
        <v>931</v>
      </c>
      <c r="G425" s="17" t="s">
        <v>932</v>
      </c>
      <c r="H425" s="7">
        <f t="shared" si="6"/>
        <v>512.1875</v>
      </c>
      <c r="I425" s="7">
        <v>81.95</v>
      </c>
    </row>
    <row r="426" spans="1:9">
      <c r="A426" t="s">
        <v>6557</v>
      </c>
      <c r="B426" s="1">
        <v>42369</v>
      </c>
      <c r="C426" t="s">
        <v>6558</v>
      </c>
      <c r="D426">
        <v>1</v>
      </c>
      <c r="E426" t="s">
        <v>6560</v>
      </c>
      <c r="F426" t="s">
        <v>6560</v>
      </c>
      <c r="G426" s="17" t="s">
        <v>7166</v>
      </c>
      <c r="H426" s="7">
        <f t="shared" si="6"/>
        <v>222.3125</v>
      </c>
      <c r="I426" s="7">
        <v>35.57</v>
      </c>
    </row>
    <row r="427" spans="1:9">
      <c r="A427" t="s">
        <v>6629</v>
      </c>
      <c r="B427" s="1">
        <v>42369</v>
      </c>
      <c r="C427" t="s">
        <v>6630</v>
      </c>
      <c r="D427">
        <v>1</v>
      </c>
      <c r="E427" t="s">
        <v>6560</v>
      </c>
      <c r="F427" t="s">
        <v>6560</v>
      </c>
      <c r="G427" s="17" t="s">
        <v>7166</v>
      </c>
      <c r="H427" s="7">
        <f t="shared" si="6"/>
        <v>222.3125</v>
      </c>
      <c r="I427" s="7">
        <v>35.57</v>
      </c>
    </row>
    <row r="428" spans="1:9">
      <c r="A428" t="s">
        <v>6635</v>
      </c>
      <c r="B428" s="1">
        <v>42369</v>
      </c>
      <c r="C428" t="s">
        <v>6636</v>
      </c>
      <c r="D428">
        <v>1</v>
      </c>
      <c r="E428" t="s">
        <v>6560</v>
      </c>
      <c r="F428" t="s">
        <v>6560</v>
      </c>
      <c r="G428" s="17" t="s">
        <v>7166</v>
      </c>
      <c r="H428" s="7">
        <f t="shared" si="6"/>
        <v>222.3125</v>
      </c>
      <c r="I428" s="7">
        <v>35.57</v>
      </c>
    </row>
    <row r="429" spans="1:9">
      <c r="A429" t="s">
        <v>3608</v>
      </c>
      <c r="B429" s="1">
        <v>42352</v>
      </c>
      <c r="C429" t="s">
        <v>6993</v>
      </c>
      <c r="D429">
        <v>1</v>
      </c>
      <c r="E429" t="s">
        <v>436</v>
      </c>
      <c r="F429" s="36" t="s">
        <v>868</v>
      </c>
      <c r="G429" s="2" t="s">
        <v>436</v>
      </c>
      <c r="H429" s="7">
        <f t="shared" si="6"/>
        <v>6445</v>
      </c>
      <c r="I429" s="7">
        <v>1031.2</v>
      </c>
    </row>
    <row r="430" spans="1:9">
      <c r="A430" t="s">
        <v>1481</v>
      </c>
      <c r="B430" s="1">
        <v>42360</v>
      </c>
      <c r="C430" t="s">
        <v>7028</v>
      </c>
      <c r="D430">
        <v>1</v>
      </c>
      <c r="E430" t="s">
        <v>436</v>
      </c>
      <c r="F430" s="36" t="s">
        <v>868</v>
      </c>
      <c r="G430" s="2" t="s">
        <v>436</v>
      </c>
      <c r="H430" s="7">
        <f t="shared" si="6"/>
        <v>10966.625</v>
      </c>
      <c r="I430" s="7">
        <v>1754.66</v>
      </c>
    </row>
    <row r="431" spans="1:9">
      <c r="A431" t="s">
        <v>6637</v>
      </c>
      <c r="B431" s="1">
        <v>42369</v>
      </c>
      <c r="C431" t="s">
        <v>6638</v>
      </c>
      <c r="D431">
        <v>1</v>
      </c>
      <c r="E431" t="s">
        <v>947</v>
      </c>
      <c r="F431" t="s">
        <v>947</v>
      </c>
      <c r="G431" s="17" t="s">
        <v>948</v>
      </c>
      <c r="H431" s="7">
        <f t="shared" si="6"/>
        <v>284.5</v>
      </c>
      <c r="I431" s="7">
        <v>45.52</v>
      </c>
    </row>
    <row r="432" spans="1:9">
      <c r="A432" t="s">
        <v>6336</v>
      </c>
      <c r="B432" s="1">
        <v>42346</v>
      </c>
      <c r="C432" t="s">
        <v>6337</v>
      </c>
      <c r="D432">
        <v>1</v>
      </c>
      <c r="E432" t="s">
        <v>6338</v>
      </c>
      <c r="F432" t="s">
        <v>1606</v>
      </c>
      <c r="G432" t="s">
        <v>3693</v>
      </c>
      <c r="H432" s="7">
        <f t="shared" si="6"/>
        <v>166527.5</v>
      </c>
      <c r="I432" s="7">
        <v>26644.400000000001</v>
      </c>
    </row>
    <row r="433" spans="1:9">
      <c r="A433" t="s">
        <v>1470</v>
      </c>
      <c r="B433" s="1">
        <v>42359</v>
      </c>
      <c r="C433" t="s">
        <v>7025</v>
      </c>
      <c r="D433">
        <v>1</v>
      </c>
      <c r="E433" t="s">
        <v>7026</v>
      </c>
      <c r="F433" s="17" t="s">
        <v>873</v>
      </c>
      <c r="G433" s="2" t="s">
        <v>7026</v>
      </c>
      <c r="H433" s="7">
        <f t="shared" si="6"/>
        <v>314.6875</v>
      </c>
      <c r="I433" s="7">
        <v>50.35</v>
      </c>
    </row>
    <row r="434" spans="1:9">
      <c r="A434" t="s">
        <v>1925</v>
      </c>
      <c r="B434" s="1">
        <v>42366</v>
      </c>
      <c r="C434" t="s">
        <v>6488</v>
      </c>
      <c r="D434">
        <v>1</v>
      </c>
      <c r="E434" t="s">
        <v>5132</v>
      </c>
      <c r="F434" t="s">
        <v>1606</v>
      </c>
      <c r="G434" t="s">
        <v>3693</v>
      </c>
      <c r="H434" s="7">
        <f t="shared" si="6"/>
        <v>170465.6875</v>
      </c>
      <c r="I434" s="7">
        <v>27274.51</v>
      </c>
    </row>
    <row r="435" spans="1:9">
      <c r="A435" t="s">
        <v>2514</v>
      </c>
      <c r="B435" s="1">
        <v>42360</v>
      </c>
      <c r="C435" t="s">
        <v>6443</v>
      </c>
      <c r="D435">
        <v>1</v>
      </c>
      <c r="E435" t="s">
        <v>2865</v>
      </c>
      <c r="F435" t="s">
        <v>1606</v>
      </c>
      <c r="G435" t="s">
        <v>3693</v>
      </c>
      <c r="H435" s="7">
        <f t="shared" si="6"/>
        <v>186526.06249999997</v>
      </c>
      <c r="I435" s="7">
        <v>29844.17</v>
      </c>
    </row>
    <row r="436" spans="1:9">
      <c r="A436" t="s">
        <v>6514</v>
      </c>
      <c r="B436" s="1">
        <v>42367</v>
      </c>
      <c r="C436" t="s">
        <v>6515</v>
      </c>
      <c r="D436">
        <v>1</v>
      </c>
      <c r="E436" t="s">
        <v>2865</v>
      </c>
      <c r="F436" t="s">
        <v>1606</v>
      </c>
      <c r="G436" t="s">
        <v>3693</v>
      </c>
      <c r="H436" s="7">
        <f t="shared" si="6"/>
        <v>157753.375</v>
      </c>
      <c r="I436" s="7">
        <v>25240.54</v>
      </c>
    </row>
    <row r="437" spans="1:9">
      <c r="A437" t="s">
        <v>6390</v>
      </c>
      <c r="B437" s="1">
        <v>42354</v>
      </c>
      <c r="C437" t="s">
        <v>6391</v>
      </c>
      <c r="D437">
        <v>1</v>
      </c>
      <c r="E437" t="s">
        <v>56</v>
      </c>
      <c r="F437" t="s">
        <v>1606</v>
      </c>
      <c r="G437" t="s">
        <v>3693</v>
      </c>
      <c r="H437" s="7">
        <f t="shared" si="6"/>
        <v>186526.06249999997</v>
      </c>
      <c r="I437" s="7">
        <v>29844.17</v>
      </c>
    </row>
    <row r="438" spans="1:9">
      <c r="A438" t="s">
        <v>6298</v>
      </c>
      <c r="B438" s="1">
        <v>42340</v>
      </c>
      <c r="C438" t="s">
        <v>6299</v>
      </c>
      <c r="D438">
        <v>1</v>
      </c>
      <c r="E438" t="s">
        <v>0</v>
      </c>
      <c r="F438" s="127" t="s">
        <v>2751</v>
      </c>
      <c r="G438" s="127" t="s">
        <v>5728</v>
      </c>
      <c r="H438" s="7">
        <f t="shared" si="6"/>
        <v>243507.4375</v>
      </c>
      <c r="I438" s="7">
        <v>38961.19</v>
      </c>
    </row>
    <row r="439" spans="1:9">
      <c r="A439" t="s">
        <v>6307</v>
      </c>
      <c r="B439" s="1">
        <v>42341</v>
      </c>
      <c r="C439" t="s">
        <v>6308</v>
      </c>
      <c r="D439">
        <v>1</v>
      </c>
      <c r="E439" t="s">
        <v>0</v>
      </c>
      <c r="F439" s="127" t="s">
        <v>2751</v>
      </c>
      <c r="G439" s="127" t="s">
        <v>5728</v>
      </c>
      <c r="H439" s="7">
        <f t="shared" si="6"/>
        <v>243507.4375</v>
      </c>
      <c r="I439" s="7">
        <v>38961.19</v>
      </c>
    </row>
    <row r="440" spans="1:9">
      <c r="A440" t="s">
        <v>6326</v>
      </c>
      <c r="B440" s="1">
        <v>42345</v>
      </c>
      <c r="C440" t="s">
        <v>6327</v>
      </c>
      <c r="D440">
        <v>1</v>
      </c>
      <c r="E440" t="s">
        <v>0</v>
      </c>
      <c r="F440" s="127" t="s">
        <v>2751</v>
      </c>
      <c r="G440" s="127" t="s">
        <v>5728</v>
      </c>
      <c r="H440" s="7">
        <f t="shared" si="6"/>
        <v>184905.375</v>
      </c>
      <c r="I440" s="7">
        <v>29584.86</v>
      </c>
    </row>
    <row r="441" spans="1:9">
      <c r="A441" t="s">
        <v>6328</v>
      </c>
      <c r="B441" s="1">
        <v>42345</v>
      </c>
      <c r="C441" t="s">
        <v>6329</v>
      </c>
      <c r="D441">
        <v>1</v>
      </c>
      <c r="E441" t="s">
        <v>0</v>
      </c>
      <c r="F441" s="127" t="s">
        <v>2751</v>
      </c>
      <c r="G441" s="127" t="s">
        <v>5728</v>
      </c>
      <c r="H441" s="7">
        <f t="shared" si="6"/>
        <v>243507.4375</v>
      </c>
      <c r="I441" s="7">
        <v>38961.19</v>
      </c>
    </row>
    <row r="442" spans="1:9">
      <c r="A442" t="s">
        <v>5827</v>
      </c>
      <c r="B442" s="1">
        <v>42349</v>
      </c>
      <c r="C442" t="s">
        <v>6353</v>
      </c>
      <c r="D442">
        <v>1</v>
      </c>
      <c r="E442" t="s">
        <v>0</v>
      </c>
      <c r="F442" s="127" t="s">
        <v>2751</v>
      </c>
      <c r="G442" s="127" t="s">
        <v>5728</v>
      </c>
      <c r="H442" s="7">
        <f t="shared" si="6"/>
        <v>282434.6875</v>
      </c>
      <c r="I442" s="7">
        <v>45189.55</v>
      </c>
    </row>
    <row r="443" spans="1:9">
      <c r="A443" t="s">
        <v>4633</v>
      </c>
      <c r="B443" s="1">
        <v>42348</v>
      </c>
      <c r="C443" t="s">
        <v>6352</v>
      </c>
      <c r="D443">
        <v>1</v>
      </c>
      <c r="E443" t="s">
        <v>0</v>
      </c>
      <c r="F443" s="127" t="s">
        <v>2751</v>
      </c>
      <c r="G443" s="127" t="s">
        <v>5728</v>
      </c>
      <c r="H443" s="7">
        <f t="shared" si="6"/>
        <v>398817.5</v>
      </c>
      <c r="I443" s="7">
        <v>63810.8</v>
      </c>
    </row>
    <row r="444" spans="1:9">
      <c r="A444" t="s">
        <v>6350</v>
      </c>
      <c r="B444" s="1">
        <v>42348</v>
      </c>
      <c r="C444" t="s">
        <v>6349</v>
      </c>
      <c r="D444">
        <v>1</v>
      </c>
      <c r="E444" t="s">
        <v>0</v>
      </c>
      <c r="F444" s="127" t="s">
        <v>2751</v>
      </c>
      <c r="G444" s="127" t="s">
        <v>5728</v>
      </c>
      <c r="H444" s="7">
        <f t="shared" si="6"/>
        <v>457432.25</v>
      </c>
      <c r="I444" s="7">
        <v>73189.16</v>
      </c>
    </row>
    <row r="445" spans="1:9">
      <c r="A445" t="s">
        <v>50</v>
      </c>
      <c r="B445" s="1">
        <v>42346</v>
      </c>
      <c r="C445" t="s">
        <v>6339</v>
      </c>
      <c r="D445">
        <v>1</v>
      </c>
      <c r="E445" t="s">
        <v>0</v>
      </c>
      <c r="F445" s="127" t="s">
        <v>2751</v>
      </c>
      <c r="G445" s="127" t="s">
        <v>5728</v>
      </c>
      <c r="H445" s="7">
        <f t="shared" si="6"/>
        <v>186215.6875</v>
      </c>
      <c r="I445" s="7">
        <v>29794.51</v>
      </c>
    </row>
    <row r="446" spans="1:9">
      <c r="A446" t="s">
        <v>6340</v>
      </c>
      <c r="B446" s="1">
        <v>42347</v>
      </c>
      <c r="C446" t="s">
        <v>6341</v>
      </c>
      <c r="D446">
        <v>1</v>
      </c>
      <c r="E446" t="s">
        <v>0</v>
      </c>
      <c r="F446" s="127" t="s">
        <v>2751</v>
      </c>
      <c r="G446" s="127" t="s">
        <v>5728</v>
      </c>
      <c r="H446" s="7">
        <f t="shared" si="6"/>
        <v>329435.625</v>
      </c>
      <c r="I446" s="7">
        <v>52709.7</v>
      </c>
    </row>
    <row r="447" spans="1:9">
      <c r="A447" t="s">
        <v>6347</v>
      </c>
      <c r="B447" s="1">
        <v>42347</v>
      </c>
      <c r="C447" t="s">
        <v>6348</v>
      </c>
      <c r="D447">
        <v>1</v>
      </c>
      <c r="E447" t="s">
        <v>0</v>
      </c>
      <c r="F447" s="127" t="s">
        <v>2751</v>
      </c>
      <c r="G447" s="127" t="s">
        <v>5728</v>
      </c>
      <c r="H447" s="7">
        <f t="shared" si="6"/>
        <v>171570.5625</v>
      </c>
      <c r="I447" s="7">
        <v>27451.29</v>
      </c>
    </row>
    <row r="448" spans="1:9">
      <c r="A448" t="s">
        <v>1690</v>
      </c>
      <c r="B448" s="1">
        <v>42348</v>
      </c>
      <c r="C448" t="s">
        <v>6351</v>
      </c>
      <c r="D448">
        <v>1</v>
      </c>
      <c r="E448" t="s">
        <v>0</v>
      </c>
      <c r="F448" s="127" t="s">
        <v>2751</v>
      </c>
      <c r="G448" s="127" t="s">
        <v>5728</v>
      </c>
      <c r="H448" s="7">
        <f t="shared" si="6"/>
        <v>157753.375</v>
      </c>
      <c r="I448" s="7">
        <v>25240.54</v>
      </c>
    </row>
    <row r="449" spans="1:9">
      <c r="A449" t="s">
        <v>5829</v>
      </c>
      <c r="B449" s="1">
        <v>42349</v>
      </c>
      <c r="C449" t="s">
        <v>6354</v>
      </c>
      <c r="D449">
        <v>1</v>
      </c>
      <c r="E449" t="s">
        <v>0</v>
      </c>
      <c r="F449" s="127" t="s">
        <v>2751</v>
      </c>
      <c r="G449" s="127" t="s">
        <v>5728</v>
      </c>
      <c r="H449" s="7">
        <f t="shared" si="6"/>
        <v>171570.5625</v>
      </c>
      <c r="I449" s="7">
        <v>27451.29</v>
      </c>
    </row>
    <row r="450" spans="1:9">
      <c r="A450" t="s">
        <v>6358</v>
      </c>
      <c r="B450" s="1">
        <v>42349</v>
      </c>
      <c r="C450" t="s">
        <v>6359</v>
      </c>
      <c r="D450">
        <v>1</v>
      </c>
      <c r="E450" t="s">
        <v>0</v>
      </c>
      <c r="F450" s="127" t="s">
        <v>2751</v>
      </c>
      <c r="G450" s="127" t="s">
        <v>5728</v>
      </c>
      <c r="H450" s="7">
        <f t="shared" si="6"/>
        <v>250699.5625</v>
      </c>
      <c r="I450" s="7">
        <v>40111.93</v>
      </c>
    </row>
    <row r="451" spans="1:9">
      <c r="A451" t="s">
        <v>5017</v>
      </c>
      <c r="B451" s="1">
        <v>42349</v>
      </c>
      <c r="C451" t="s">
        <v>6360</v>
      </c>
      <c r="D451">
        <v>1</v>
      </c>
      <c r="E451" t="s">
        <v>0</v>
      </c>
      <c r="F451" s="127" t="s">
        <v>2751</v>
      </c>
      <c r="G451" s="127" t="s">
        <v>5728</v>
      </c>
      <c r="H451" s="7">
        <f t="shared" si="6"/>
        <v>157753.375</v>
      </c>
      <c r="I451" s="7">
        <v>25240.54</v>
      </c>
    </row>
    <row r="452" spans="1:9">
      <c r="A452" t="s">
        <v>6368</v>
      </c>
      <c r="B452" s="1">
        <v>42350</v>
      </c>
      <c r="C452" t="s">
        <v>6369</v>
      </c>
      <c r="D452">
        <v>1</v>
      </c>
      <c r="E452" t="s">
        <v>0</v>
      </c>
      <c r="F452" s="127" t="s">
        <v>2751</v>
      </c>
      <c r="G452" s="127" t="s">
        <v>5728</v>
      </c>
      <c r="H452" s="7">
        <f t="shared" si="6"/>
        <v>149994.75</v>
      </c>
      <c r="I452" s="7">
        <v>23999.16</v>
      </c>
    </row>
    <row r="453" spans="1:9">
      <c r="A453" t="s">
        <v>6370</v>
      </c>
      <c r="B453" s="1">
        <v>42350</v>
      </c>
      <c r="C453" t="s">
        <v>6371</v>
      </c>
      <c r="D453">
        <v>1</v>
      </c>
      <c r="E453" t="s">
        <v>0</v>
      </c>
      <c r="F453" s="127" t="s">
        <v>2751</v>
      </c>
      <c r="G453" s="127" t="s">
        <v>5728</v>
      </c>
      <c r="H453" s="7">
        <f t="shared" si="6"/>
        <v>184905.375</v>
      </c>
      <c r="I453" s="7">
        <v>29584.86</v>
      </c>
    </row>
    <row r="454" spans="1:9">
      <c r="A454" t="s">
        <v>6379</v>
      </c>
      <c r="B454" s="1">
        <v>42352</v>
      </c>
      <c r="C454" t="s">
        <v>6380</v>
      </c>
      <c r="D454">
        <v>1</v>
      </c>
      <c r="E454" t="s">
        <v>0</v>
      </c>
      <c r="F454" s="127" t="s">
        <v>2751</v>
      </c>
      <c r="G454" s="127" t="s">
        <v>5728</v>
      </c>
      <c r="H454" s="7">
        <f t="shared" si="6"/>
        <v>243507.4375</v>
      </c>
      <c r="I454" s="7">
        <v>38961.19</v>
      </c>
    </row>
    <row r="455" spans="1:9">
      <c r="A455" t="s">
        <v>6386</v>
      </c>
      <c r="B455" s="1">
        <v>42353</v>
      </c>
      <c r="C455" t="s">
        <v>6387</v>
      </c>
      <c r="D455">
        <v>1</v>
      </c>
      <c r="E455" t="s">
        <v>0</v>
      </c>
      <c r="F455" s="127" t="s">
        <v>2751</v>
      </c>
      <c r="G455" s="127" t="s">
        <v>5728</v>
      </c>
      <c r="H455" s="7">
        <f t="shared" ref="H455:H518" si="7">+I455/0.16</f>
        <v>333013.25</v>
      </c>
      <c r="I455" s="7">
        <v>53282.12</v>
      </c>
    </row>
    <row r="456" spans="1:9">
      <c r="A456" t="s">
        <v>6388</v>
      </c>
      <c r="B456" s="1">
        <v>42353</v>
      </c>
      <c r="C456" t="s">
        <v>6389</v>
      </c>
      <c r="D456">
        <v>1</v>
      </c>
      <c r="E456" t="s">
        <v>0</v>
      </c>
      <c r="F456" s="127" t="s">
        <v>2751</v>
      </c>
      <c r="G456" s="127" t="s">
        <v>5728</v>
      </c>
      <c r="H456" s="7">
        <f t="shared" si="7"/>
        <v>333013.25</v>
      </c>
      <c r="I456" s="7">
        <v>53282.12</v>
      </c>
    </row>
    <row r="457" spans="1:9">
      <c r="A457" t="s">
        <v>134</v>
      </c>
      <c r="B457" s="1">
        <v>42355</v>
      </c>
      <c r="C457" t="s">
        <v>6404</v>
      </c>
      <c r="D457">
        <v>1</v>
      </c>
      <c r="E457" t="s">
        <v>0</v>
      </c>
      <c r="F457" s="127" t="s">
        <v>2751</v>
      </c>
      <c r="G457" s="127" t="s">
        <v>5728</v>
      </c>
      <c r="H457" s="7">
        <f t="shared" si="7"/>
        <v>398817.5</v>
      </c>
      <c r="I457" s="7">
        <v>63810.8</v>
      </c>
    </row>
    <row r="458" spans="1:9">
      <c r="A458" t="s">
        <v>6405</v>
      </c>
      <c r="B458" s="1">
        <v>42355</v>
      </c>
      <c r="C458" t="s">
        <v>6406</v>
      </c>
      <c r="D458">
        <v>1</v>
      </c>
      <c r="E458" t="s">
        <v>0</v>
      </c>
      <c r="F458" s="127" t="s">
        <v>2751</v>
      </c>
      <c r="G458" s="127" t="s">
        <v>5728</v>
      </c>
      <c r="H458" s="7">
        <f t="shared" si="7"/>
        <v>149303.375</v>
      </c>
      <c r="I458" s="7">
        <v>23888.54</v>
      </c>
    </row>
    <row r="459" spans="1:9">
      <c r="A459" t="s">
        <v>6418</v>
      </c>
      <c r="B459" s="1">
        <v>42355</v>
      </c>
      <c r="C459" t="s">
        <v>6419</v>
      </c>
      <c r="D459">
        <v>1</v>
      </c>
      <c r="E459" t="s">
        <v>0</v>
      </c>
      <c r="F459" s="127" t="s">
        <v>2751</v>
      </c>
      <c r="G459" s="127" t="s">
        <v>5728</v>
      </c>
      <c r="H459" s="7">
        <f t="shared" si="7"/>
        <v>171570.5625</v>
      </c>
      <c r="I459" s="7">
        <v>27451.29</v>
      </c>
    </row>
    <row r="460" spans="1:9">
      <c r="A460" t="s">
        <v>2868</v>
      </c>
      <c r="B460" s="1">
        <v>42355</v>
      </c>
      <c r="C460" t="s">
        <v>6420</v>
      </c>
      <c r="D460">
        <v>1</v>
      </c>
      <c r="E460" t="s">
        <v>0</v>
      </c>
      <c r="F460" s="127" t="s">
        <v>2751</v>
      </c>
      <c r="G460" s="127" t="s">
        <v>5728</v>
      </c>
      <c r="H460" s="7">
        <f t="shared" si="7"/>
        <v>156906.8125</v>
      </c>
      <c r="I460" s="7">
        <v>25105.09</v>
      </c>
    </row>
    <row r="461" spans="1:9">
      <c r="A461" t="s">
        <v>6424</v>
      </c>
      <c r="B461" s="1">
        <v>42356</v>
      </c>
      <c r="C461" t="s">
        <v>6425</v>
      </c>
      <c r="D461">
        <v>1</v>
      </c>
      <c r="E461" t="s">
        <v>0</v>
      </c>
      <c r="F461" s="127" t="s">
        <v>2751</v>
      </c>
      <c r="G461" s="127" t="s">
        <v>5728</v>
      </c>
      <c r="H461" s="7">
        <f t="shared" si="7"/>
        <v>166217.125</v>
      </c>
      <c r="I461" s="7">
        <v>26594.74</v>
      </c>
    </row>
    <row r="462" spans="1:9">
      <c r="A462" t="s">
        <v>6427</v>
      </c>
      <c r="B462" s="1">
        <v>42356</v>
      </c>
      <c r="C462" t="s">
        <v>6428</v>
      </c>
      <c r="D462">
        <v>1</v>
      </c>
      <c r="E462" t="s">
        <v>0</v>
      </c>
      <c r="F462" s="127" t="s">
        <v>2751</v>
      </c>
      <c r="G462" s="127" t="s">
        <v>5728</v>
      </c>
      <c r="H462" s="7">
        <f t="shared" si="7"/>
        <v>243507.4375</v>
      </c>
      <c r="I462" s="7">
        <v>38961.19</v>
      </c>
    </row>
    <row r="463" spans="1:9">
      <c r="A463" t="s">
        <v>6429</v>
      </c>
      <c r="B463" s="1">
        <v>42357</v>
      </c>
      <c r="C463" t="s">
        <v>6430</v>
      </c>
      <c r="D463">
        <v>1</v>
      </c>
      <c r="E463" t="s">
        <v>0</v>
      </c>
      <c r="F463" s="127" t="s">
        <v>2751</v>
      </c>
      <c r="G463" s="127" t="s">
        <v>5728</v>
      </c>
      <c r="H463" s="7">
        <f t="shared" si="7"/>
        <v>195364.5625</v>
      </c>
      <c r="I463" s="7">
        <v>31258.33</v>
      </c>
    </row>
    <row r="464" spans="1:9">
      <c r="A464" t="s">
        <v>6434</v>
      </c>
      <c r="B464" s="1">
        <v>42357</v>
      </c>
      <c r="C464" t="s">
        <v>6433</v>
      </c>
      <c r="D464">
        <v>1</v>
      </c>
      <c r="E464" t="s">
        <v>0</v>
      </c>
      <c r="F464" s="127" t="s">
        <v>2751</v>
      </c>
      <c r="G464" s="127" t="s">
        <v>5728</v>
      </c>
      <c r="H464" s="7">
        <f t="shared" si="7"/>
        <v>206294.9375</v>
      </c>
      <c r="I464" s="7">
        <v>33007.19</v>
      </c>
    </row>
    <row r="465" spans="1:9">
      <c r="A465" t="s">
        <v>6431</v>
      </c>
      <c r="B465" s="1">
        <v>42357</v>
      </c>
      <c r="C465" t="s">
        <v>6432</v>
      </c>
      <c r="D465">
        <v>1</v>
      </c>
      <c r="E465" t="s">
        <v>0</v>
      </c>
      <c r="F465" s="127" t="s">
        <v>2751</v>
      </c>
      <c r="G465" s="127" t="s">
        <v>5728</v>
      </c>
      <c r="H465" s="7">
        <f t="shared" si="7"/>
        <v>195368.875</v>
      </c>
      <c r="I465" s="7">
        <v>31259.02</v>
      </c>
    </row>
    <row r="466" spans="1:9">
      <c r="A466" t="s">
        <v>5067</v>
      </c>
      <c r="B466" s="1">
        <v>42357</v>
      </c>
      <c r="C466" t="s">
        <v>6435</v>
      </c>
      <c r="D466">
        <v>1</v>
      </c>
      <c r="E466" t="s">
        <v>0</v>
      </c>
      <c r="F466" s="127" t="s">
        <v>2751</v>
      </c>
      <c r="G466" s="127" t="s">
        <v>5728</v>
      </c>
      <c r="H466" s="7">
        <f t="shared" si="7"/>
        <v>195364.5625</v>
      </c>
      <c r="I466" s="7">
        <v>31258.33</v>
      </c>
    </row>
    <row r="467" spans="1:9">
      <c r="A467" t="s">
        <v>6438</v>
      </c>
      <c r="B467" s="1">
        <v>42359</v>
      </c>
      <c r="C467" t="s">
        <v>6439</v>
      </c>
      <c r="D467">
        <v>1</v>
      </c>
      <c r="E467" t="s">
        <v>0</v>
      </c>
      <c r="F467" s="127" t="s">
        <v>2751</v>
      </c>
      <c r="G467" s="127" t="s">
        <v>5728</v>
      </c>
      <c r="H467" s="7">
        <f t="shared" si="7"/>
        <v>243507.125</v>
      </c>
      <c r="I467" s="7">
        <v>38961.14</v>
      </c>
    </row>
    <row r="468" spans="1:9">
      <c r="A468" t="s">
        <v>1775</v>
      </c>
      <c r="B468" s="1">
        <v>42359</v>
      </c>
      <c r="C468" t="s">
        <v>6440</v>
      </c>
      <c r="D468">
        <v>1</v>
      </c>
      <c r="E468" t="s">
        <v>0</v>
      </c>
      <c r="F468" s="127" t="s">
        <v>2751</v>
      </c>
      <c r="G468" s="127" t="s">
        <v>5728</v>
      </c>
      <c r="H468" s="7">
        <f t="shared" si="7"/>
        <v>243507.125</v>
      </c>
      <c r="I468" s="7">
        <v>38961.14</v>
      </c>
    </row>
    <row r="469" spans="1:9">
      <c r="A469" t="s">
        <v>6436</v>
      </c>
      <c r="B469" s="1">
        <v>42359</v>
      </c>
      <c r="C469" t="s">
        <v>6437</v>
      </c>
      <c r="D469">
        <v>1</v>
      </c>
      <c r="E469" t="s">
        <v>0</v>
      </c>
      <c r="F469" s="127" t="s">
        <v>2751</v>
      </c>
      <c r="G469" s="127" t="s">
        <v>5728</v>
      </c>
      <c r="H469" s="7">
        <f t="shared" si="7"/>
        <v>243507.4375</v>
      </c>
      <c r="I469" s="7">
        <v>38961.19</v>
      </c>
    </row>
    <row r="470" spans="1:9">
      <c r="A470" t="s">
        <v>6510</v>
      </c>
      <c r="B470" s="1">
        <v>42367</v>
      </c>
      <c r="C470" t="s">
        <v>6511</v>
      </c>
      <c r="D470">
        <v>1</v>
      </c>
      <c r="E470" t="s">
        <v>0</v>
      </c>
      <c r="F470" s="127" t="s">
        <v>2751</v>
      </c>
      <c r="G470" s="127" t="s">
        <v>5728</v>
      </c>
      <c r="H470" s="7">
        <f t="shared" si="7"/>
        <v>195364.5625</v>
      </c>
      <c r="I470" s="7">
        <v>31258.33</v>
      </c>
    </row>
    <row r="471" spans="1:9">
      <c r="A471" t="s">
        <v>1777</v>
      </c>
      <c r="B471" s="1">
        <v>42359</v>
      </c>
      <c r="C471" t="s">
        <v>6441</v>
      </c>
      <c r="D471">
        <v>1</v>
      </c>
      <c r="E471" t="s">
        <v>0</v>
      </c>
      <c r="F471" s="127" t="s">
        <v>2751</v>
      </c>
      <c r="G471" s="127" t="s">
        <v>5728</v>
      </c>
      <c r="H471" s="7">
        <f t="shared" si="7"/>
        <v>243507.125</v>
      </c>
      <c r="I471" s="7">
        <v>38961.14</v>
      </c>
    </row>
    <row r="472" spans="1:9">
      <c r="A472" t="s">
        <v>1191</v>
      </c>
      <c r="B472" s="1">
        <v>42361</v>
      </c>
      <c r="C472" t="s">
        <v>6458</v>
      </c>
      <c r="D472">
        <v>1</v>
      </c>
      <c r="E472" t="s">
        <v>0</v>
      </c>
      <c r="F472" s="127" t="s">
        <v>2751</v>
      </c>
      <c r="G472" s="127" t="s">
        <v>5728</v>
      </c>
      <c r="H472" s="7">
        <f t="shared" si="7"/>
        <v>232997.75</v>
      </c>
      <c r="I472" s="7">
        <v>37279.64</v>
      </c>
    </row>
    <row r="473" spans="1:9">
      <c r="A473" t="s">
        <v>1178</v>
      </c>
      <c r="B473" s="1">
        <v>42361</v>
      </c>
      <c r="C473" t="s">
        <v>6457</v>
      </c>
      <c r="D473">
        <v>1</v>
      </c>
      <c r="E473" t="s">
        <v>0</v>
      </c>
      <c r="F473" s="127" t="s">
        <v>2751</v>
      </c>
      <c r="G473" s="127" t="s">
        <v>5728</v>
      </c>
      <c r="H473" s="7">
        <f t="shared" si="7"/>
        <v>232997.75</v>
      </c>
      <c r="I473" s="7">
        <v>37279.64</v>
      </c>
    </row>
    <row r="474" spans="1:9">
      <c r="A474" t="s">
        <v>1801</v>
      </c>
      <c r="B474" s="1">
        <v>42359</v>
      </c>
      <c r="C474" t="s">
        <v>6442</v>
      </c>
      <c r="D474">
        <v>1</v>
      </c>
      <c r="E474" t="s">
        <v>0</v>
      </c>
      <c r="F474" s="127" t="s">
        <v>2751</v>
      </c>
      <c r="G474" s="127" t="s">
        <v>5728</v>
      </c>
      <c r="H474" s="7">
        <f t="shared" si="7"/>
        <v>166217.125</v>
      </c>
      <c r="I474" s="7">
        <v>26594.74</v>
      </c>
    </row>
    <row r="475" spans="1:9">
      <c r="A475" t="s">
        <v>2552</v>
      </c>
      <c r="B475" s="1">
        <v>42360</v>
      </c>
      <c r="C475" t="s">
        <v>6450</v>
      </c>
      <c r="D475">
        <v>1</v>
      </c>
      <c r="E475" t="s">
        <v>0</v>
      </c>
      <c r="F475" s="127" t="s">
        <v>2751</v>
      </c>
      <c r="G475" s="127" t="s">
        <v>5728</v>
      </c>
      <c r="H475" s="7">
        <f t="shared" si="7"/>
        <v>282434.6875</v>
      </c>
      <c r="I475" s="7">
        <v>45189.55</v>
      </c>
    </row>
    <row r="476" spans="1:9">
      <c r="A476" t="s">
        <v>6451</v>
      </c>
      <c r="B476" s="1">
        <v>42360</v>
      </c>
      <c r="C476" t="s">
        <v>6452</v>
      </c>
      <c r="D476">
        <v>1</v>
      </c>
      <c r="E476" t="s">
        <v>0</v>
      </c>
      <c r="F476" s="127" t="s">
        <v>2751</v>
      </c>
      <c r="G476" s="127" t="s">
        <v>5728</v>
      </c>
      <c r="H476" s="7">
        <f t="shared" si="7"/>
        <v>392056.375</v>
      </c>
      <c r="I476" s="7">
        <v>62729.02</v>
      </c>
    </row>
    <row r="477" spans="1:9">
      <c r="A477" t="s">
        <v>6453</v>
      </c>
      <c r="B477" s="1">
        <v>42360</v>
      </c>
      <c r="C477" t="s">
        <v>6454</v>
      </c>
      <c r="D477">
        <v>1</v>
      </c>
      <c r="E477" t="s">
        <v>0</v>
      </c>
      <c r="F477" s="127" t="s">
        <v>2751</v>
      </c>
      <c r="G477" s="127" t="s">
        <v>5728</v>
      </c>
      <c r="H477" s="7">
        <f t="shared" si="7"/>
        <v>243507.4375</v>
      </c>
      <c r="I477" s="7">
        <v>38961.19</v>
      </c>
    </row>
    <row r="478" spans="1:9">
      <c r="A478" t="s">
        <v>1137</v>
      </c>
      <c r="B478" s="1">
        <v>42360</v>
      </c>
      <c r="C478" t="s">
        <v>6455</v>
      </c>
      <c r="D478">
        <v>1</v>
      </c>
      <c r="E478" t="s">
        <v>0</v>
      </c>
      <c r="F478" s="127" t="s">
        <v>2751</v>
      </c>
      <c r="G478" s="127" t="s">
        <v>5728</v>
      </c>
      <c r="H478" s="7">
        <f t="shared" si="7"/>
        <v>158063.6875</v>
      </c>
      <c r="I478" s="7">
        <v>25290.19</v>
      </c>
    </row>
    <row r="479" spans="1:9">
      <c r="A479" t="s">
        <v>2946</v>
      </c>
      <c r="B479" s="1">
        <v>42361</v>
      </c>
      <c r="C479" t="s">
        <v>6456</v>
      </c>
      <c r="D479">
        <v>1</v>
      </c>
      <c r="E479" t="s">
        <v>0</v>
      </c>
      <c r="F479" s="127" t="s">
        <v>2751</v>
      </c>
      <c r="G479" s="127" t="s">
        <v>5728</v>
      </c>
      <c r="H479" s="7">
        <f t="shared" si="7"/>
        <v>304774.125</v>
      </c>
      <c r="I479" s="7">
        <v>48763.86</v>
      </c>
    </row>
    <row r="480" spans="1:9">
      <c r="A480" t="s">
        <v>4317</v>
      </c>
      <c r="B480" s="1">
        <v>42361</v>
      </c>
      <c r="C480" t="s">
        <v>6463</v>
      </c>
      <c r="D480">
        <v>1</v>
      </c>
      <c r="E480" t="s">
        <v>0</v>
      </c>
      <c r="F480" s="127" t="s">
        <v>2751</v>
      </c>
      <c r="G480" s="127" t="s">
        <v>5728</v>
      </c>
      <c r="H480" s="7">
        <f t="shared" si="7"/>
        <v>157753.375</v>
      </c>
      <c r="I480" s="7">
        <v>25240.54</v>
      </c>
    </row>
    <row r="481" spans="1:9">
      <c r="A481" t="s">
        <v>4702</v>
      </c>
      <c r="B481" s="1">
        <v>42364</v>
      </c>
      <c r="C481" t="s">
        <v>6466</v>
      </c>
      <c r="D481">
        <v>1</v>
      </c>
      <c r="E481" t="s">
        <v>0</v>
      </c>
      <c r="F481" s="127" t="s">
        <v>2751</v>
      </c>
      <c r="G481" s="127" t="s">
        <v>5728</v>
      </c>
      <c r="H481" s="7">
        <f t="shared" si="7"/>
        <v>171570.5625</v>
      </c>
      <c r="I481" s="7">
        <v>27451.29</v>
      </c>
    </row>
    <row r="482" spans="1:9">
      <c r="A482" t="s">
        <v>6467</v>
      </c>
      <c r="B482" s="1">
        <v>42364</v>
      </c>
      <c r="C482" t="s">
        <v>6468</v>
      </c>
      <c r="D482">
        <v>1</v>
      </c>
      <c r="E482" t="s">
        <v>0</v>
      </c>
      <c r="F482" s="127" t="s">
        <v>2751</v>
      </c>
      <c r="G482" s="127" t="s">
        <v>5728</v>
      </c>
      <c r="H482" s="7">
        <f t="shared" si="7"/>
        <v>392056.375</v>
      </c>
      <c r="I482" s="7">
        <v>62729.02</v>
      </c>
    </row>
    <row r="483" spans="1:9">
      <c r="A483" t="s">
        <v>1314</v>
      </c>
      <c r="B483" s="1">
        <v>42364</v>
      </c>
      <c r="C483" t="s">
        <v>6469</v>
      </c>
      <c r="D483">
        <v>1</v>
      </c>
      <c r="E483" t="s">
        <v>0</v>
      </c>
      <c r="F483" s="127" t="s">
        <v>2751</v>
      </c>
      <c r="G483" s="127" t="s">
        <v>5728</v>
      </c>
      <c r="H483" s="7">
        <f t="shared" si="7"/>
        <v>166217.125</v>
      </c>
      <c r="I483" s="7">
        <v>26594.74</v>
      </c>
    </row>
    <row r="484" spans="1:9">
      <c r="A484" t="s">
        <v>6472</v>
      </c>
      <c r="B484" s="1">
        <v>42364</v>
      </c>
      <c r="C484" t="s">
        <v>6473</v>
      </c>
      <c r="D484">
        <v>1</v>
      </c>
      <c r="E484" t="s">
        <v>0</v>
      </c>
      <c r="F484" s="127" t="s">
        <v>2751</v>
      </c>
      <c r="G484" s="127" t="s">
        <v>5728</v>
      </c>
      <c r="H484" s="7">
        <f t="shared" si="7"/>
        <v>329127</v>
      </c>
      <c r="I484" s="7">
        <v>52660.32</v>
      </c>
    </row>
    <row r="485" spans="1:9">
      <c r="A485" t="s">
        <v>3854</v>
      </c>
      <c r="B485" s="1">
        <v>42364</v>
      </c>
      <c r="C485" t="s">
        <v>6478</v>
      </c>
      <c r="D485">
        <v>1</v>
      </c>
      <c r="E485" t="s">
        <v>0</v>
      </c>
      <c r="F485" s="127" t="s">
        <v>2751</v>
      </c>
      <c r="G485" s="127" t="s">
        <v>5728</v>
      </c>
      <c r="H485" s="7">
        <f t="shared" si="7"/>
        <v>171570.5625</v>
      </c>
      <c r="I485" s="7">
        <v>27451.29</v>
      </c>
    </row>
    <row r="486" spans="1:9">
      <c r="A486" t="s">
        <v>6479</v>
      </c>
      <c r="B486" s="1">
        <v>42366</v>
      </c>
      <c r="C486" t="s">
        <v>6480</v>
      </c>
      <c r="D486">
        <v>1</v>
      </c>
      <c r="E486" t="s">
        <v>0</v>
      </c>
      <c r="F486" s="127" t="s">
        <v>2751</v>
      </c>
      <c r="G486" s="127" t="s">
        <v>5728</v>
      </c>
      <c r="H486" s="7">
        <f t="shared" si="7"/>
        <v>186215.6875</v>
      </c>
      <c r="I486" s="7">
        <v>29794.51</v>
      </c>
    </row>
    <row r="487" spans="1:9">
      <c r="A487" t="s">
        <v>6481</v>
      </c>
      <c r="B487" s="1">
        <v>42366</v>
      </c>
      <c r="C487" t="s">
        <v>6482</v>
      </c>
      <c r="D487">
        <v>1</v>
      </c>
      <c r="E487" t="s">
        <v>0</v>
      </c>
      <c r="F487" s="127" t="s">
        <v>2751</v>
      </c>
      <c r="G487" s="127" t="s">
        <v>5728</v>
      </c>
      <c r="H487" s="7">
        <f t="shared" si="7"/>
        <v>186215.6875</v>
      </c>
      <c r="I487" s="7">
        <v>29794.51</v>
      </c>
    </row>
    <row r="488" spans="1:9">
      <c r="A488" t="s">
        <v>4360</v>
      </c>
      <c r="B488" s="1">
        <v>42366</v>
      </c>
      <c r="C488" t="s">
        <v>6483</v>
      </c>
      <c r="D488">
        <v>1</v>
      </c>
      <c r="E488" t="s">
        <v>0</v>
      </c>
      <c r="F488" s="127" t="s">
        <v>2751</v>
      </c>
      <c r="G488" s="127" t="s">
        <v>5728</v>
      </c>
      <c r="H488" s="7">
        <f t="shared" si="7"/>
        <v>186215.6875</v>
      </c>
      <c r="I488" s="7">
        <v>29794.51</v>
      </c>
    </row>
    <row r="489" spans="1:9">
      <c r="A489" t="s">
        <v>4364</v>
      </c>
      <c r="B489" s="1">
        <v>42366</v>
      </c>
      <c r="C489" t="s">
        <v>6484</v>
      </c>
      <c r="D489">
        <v>1</v>
      </c>
      <c r="E489" t="s">
        <v>0</v>
      </c>
      <c r="F489" s="127" t="s">
        <v>2751</v>
      </c>
      <c r="G489" s="127" t="s">
        <v>5728</v>
      </c>
      <c r="H489" s="7">
        <f t="shared" si="7"/>
        <v>186215.6875</v>
      </c>
      <c r="I489" s="7">
        <v>29794.51</v>
      </c>
    </row>
    <row r="490" spans="1:9">
      <c r="A490" t="s">
        <v>3401</v>
      </c>
      <c r="B490" s="1">
        <v>42366</v>
      </c>
      <c r="C490" t="s">
        <v>6487</v>
      </c>
      <c r="D490">
        <v>1</v>
      </c>
      <c r="E490" t="s">
        <v>0</v>
      </c>
      <c r="F490" s="127" t="s">
        <v>2751</v>
      </c>
      <c r="G490" s="127" t="s">
        <v>5728</v>
      </c>
      <c r="H490" s="7">
        <f t="shared" si="7"/>
        <v>392056.375</v>
      </c>
      <c r="I490" s="7">
        <v>62729.02</v>
      </c>
    </row>
    <row r="491" spans="1:9">
      <c r="A491" t="s">
        <v>1942</v>
      </c>
      <c r="B491" s="1">
        <v>42366</v>
      </c>
      <c r="C491" t="s">
        <v>6492</v>
      </c>
      <c r="D491">
        <v>1</v>
      </c>
      <c r="E491" t="s">
        <v>0</v>
      </c>
      <c r="F491" s="127" t="s">
        <v>2751</v>
      </c>
      <c r="G491" s="127" t="s">
        <v>5728</v>
      </c>
      <c r="H491" s="7">
        <f t="shared" si="7"/>
        <v>329127</v>
      </c>
      <c r="I491" s="7">
        <v>52660.32</v>
      </c>
    </row>
    <row r="492" spans="1:9">
      <c r="A492" t="s">
        <v>3532</v>
      </c>
      <c r="B492" s="1">
        <v>42367</v>
      </c>
      <c r="C492" t="s">
        <v>6495</v>
      </c>
      <c r="D492">
        <v>1</v>
      </c>
      <c r="E492" t="s">
        <v>0</v>
      </c>
      <c r="F492" s="127" t="s">
        <v>2751</v>
      </c>
      <c r="G492" s="127" t="s">
        <v>5728</v>
      </c>
      <c r="H492" s="7">
        <f t="shared" si="7"/>
        <v>171570.5625</v>
      </c>
      <c r="I492" s="7">
        <v>27451.29</v>
      </c>
    </row>
    <row r="493" spans="1:9">
      <c r="A493" t="s">
        <v>5963</v>
      </c>
      <c r="B493" s="1">
        <v>42367</v>
      </c>
      <c r="C493" t="s">
        <v>6507</v>
      </c>
      <c r="D493">
        <v>1</v>
      </c>
      <c r="E493" t="s">
        <v>0</v>
      </c>
      <c r="F493" s="127" t="s">
        <v>2751</v>
      </c>
      <c r="G493" s="127" t="s">
        <v>5728</v>
      </c>
      <c r="H493" s="7">
        <f t="shared" si="7"/>
        <v>304774.125</v>
      </c>
      <c r="I493" s="7">
        <v>48763.86</v>
      </c>
    </row>
    <row r="494" spans="1:9">
      <c r="A494" t="s">
        <v>6505</v>
      </c>
      <c r="B494" s="1">
        <v>42367</v>
      </c>
      <c r="C494" t="s">
        <v>6506</v>
      </c>
      <c r="D494">
        <v>1</v>
      </c>
      <c r="E494" t="s">
        <v>0</v>
      </c>
      <c r="F494" s="127" t="s">
        <v>2751</v>
      </c>
      <c r="G494" s="127" t="s">
        <v>5728</v>
      </c>
      <c r="H494" s="7">
        <f t="shared" si="7"/>
        <v>333013.25</v>
      </c>
      <c r="I494" s="7">
        <v>53282.12</v>
      </c>
    </row>
    <row r="495" spans="1:9">
      <c r="A495" t="s">
        <v>6503</v>
      </c>
      <c r="B495" s="1">
        <v>42367</v>
      </c>
      <c r="C495" t="s">
        <v>6504</v>
      </c>
      <c r="D495">
        <v>1</v>
      </c>
      <c r="E495" t="s">
        <v>0</v>
      </c>
      <c r="F495" s="127" t="s">
        <v>2751</v>
      </c>
      <c r="G495" s="127" t="s">
        <v>5728</v>
      </c>
      <c r="H495" s="7">
        <f t="shared" si="7"/>
        <v>189207.5625</v>
      </c>
      <c r="I495" s="7">
        <v>30273.21</v>
      </c>
    </row>
    <row r="496" spans="1:9">
      <c r="A496" t="s">
        <v>6512</v>
      </c>
      <c r="B496" s="1">
        <v>42367</v>
      </c>
      <c r="C496" t="s">
        <v>6513</v>
      </c>
      <c r="D496">
        <v>1</v>
      </c>
      <c r="E496" t="s">
        <v>0</v>
      </c>
      <c r="F496" s="127" t="s">
        <v>2751</v>
      </c>
      <c r="G496" s="127" t="s">
        <v>5728</v>
      </c>
      <c r="H496" s="7">
        <f t="shared" si="7"/>
        <v>357590.9375</v>
      </c>
      <c r="I496" s="7">
        <v>57214.55</v>
      </c>
    </row>
    <row r="497" spans="1:9">
      <c r="A497" t="s">
        <v>4718</v>
      </c>
      <c r="B497" s="1">
        <v>42367</v>
      </c>
      <c r="C497" t="s">
        <v>6502</v>
      </c>
      <c r="D497">
        <v>1</v>
      </c>
      <c r="E497" t="s">
        <v>0</v>
      </c>
      <c r="F497" s="127" t="s">
        <v>2751</v>
      </c>
      <c r="G497" s="127" t="s">
        <v>5728</v>
      </c>
      <c r="H497" s="7">
        <f t="shared" si="7"/>
        <v>282434.6875</v>
      </c>
      <c r="I497" s="7">
        <v>45189.55</v>
      </c>
    </row>
    <row r="498" spans="1:9">
      <c r="A498" t="s">
        <v>4788</v>
      </c>
      <c r="B498" s="1">
        <v>42368</v>
      </c>
      <c r="C498" t="s">
        <v>6521</v>
      </c>
      <c r="D498">
        <v>1</v>
      </c>
      <c r="E498" t="s">
        <v>0</v>
      </c>
      <c r="F498" s="127" t="s">
        <v>2751</v>
      </c>
      <c r="G498" s="127" t="s">
        <v>5728</v>
      </c>
      <c r="H498" s="7">
        <f t="shared" si="7"/>
        <v>170155.3125</v>
      </c>
      <c r="I498" s="7">
        <v>27224.85</v>
      </c>
    </row>
    <row r="499" spans="1:9">
      <c r="A499" t="s">
        <v>5206</v>
      </c>
      <c r="B499" s="1">
        <v>42368</v>
      </c>
      <c r="C499" t="s">
        <v>6524</v>
      </c>
      <c r="D499">
        <v>1</v>
      </c>
      <c r="E499" t="s">
        <v>0</v>
      </c>
      <c r="F499" s="127" t="s">
        <v>2751</v>
      </c>
      <c r="G499" s="127" t="s">
        <v>5728</v>
      </c>
      <c r="H499" s="7">
        <f t="shared" si="7"/>
        <v>141460.25</v>
      </c>
      <c r="I499" s="7">
        <v>22633.64</v>
      </c>
    </row>
    <row r="500" spans="1:9">
      <c r="A500" t="s">
        <v>6526</v>
      </c>
      <c r="B500" s="1">
        <v>42368</v>
      </c>
      <c r="C500" t="s">
        <v>6525</v>
      </c>
      <c r="D500">
        <v>1</v>
      </c>
      <c r="E500" t="s">
        <v>0</v>
      </c>
      <c r="F500" s="127" t="s">
        <v>2751</v>
      </c>
      <c r="G500" s="127" t="s">
        <v>5728</v>
      </c>
      <c r="H500" s="7">
        <f t="shared" si="7"/>
        <v>282434.6875</v>
      </c>
      <c r="I500" s="7">
        <v>45189.55</v>
      </c>
    </row>
    <row r="501" spans="1:9">
      <c r="A501" t="s">
        <v>412</v>
      </c>
      <c r="B501" s="1">
        <v>42369</v>
      </c>
      <c r="C501" t="s">
        <v>6528</v>
      </c>
      <c r="D501">
        <v>1</v>
      </c>
      <c r="E501" t="s">
        <v>0</v>
      </c>
      <c r="F501" s="127" t="s">
        <v>2751</v>
      </c>
      <c r="G501" s="127" t="s">
        <v>5728</v>
      </c>
      <c r="H501" s="7">
        <f t="shared" si="7"/>
        <v>194887.3125</v>
      </c>
      <c r="I501" s="7">
        <v>31181.97</v>
      </c>
    </row>
    <row r="502" spans="1:9">
      <c r="A502" t="s">
        <v>5283</v>
      </c>
      <c r="B502" s="1">
        <v>42369</v>
      </c>
      <c r="C502" t="s">
        <v>6529</v>
      </c>
      <c r="D502">
        <v>1</v>
      </c>
      <c r="E502" t="s">
        <v>0</v>
      </c>
      <c r="F502" s="127" t="s">
        <v>2751</v>
      </c>
      <c r="G502" s="127" t="s">
        <v>5728</v>
      </c>
      <c r="H502" s="7">
        <f t="shared" si="7"/>
        <v>149070.5625</v>
      </c>
      <c r="I502" s="7">
        <v>23851.29</v>
      </c>
    </row>
    <row r="503" spans="1:9">
      <c r="A503" t="s">
        <v>5285</v>
      </c>
      <c r="B503" s="1">
        <v>42369</v>
      </c>
      <c r="C503" t="s">
        <v>6530</v>
      </c>
      <c r="D503">
        <v>1</v>
      </c>
      <c r="E503" t="s">
        <v>0</v>
      </c>
      <c r="F503" s="127" t="s">
        <v>2751</v>
      </c>
      <c r="G503" s="127" t="s">
        <v>5728</v>
      </c>
      <c r="H503" s="7">
        <f t="shared" si="7"/>
        <v>149070.5625</v>
      </c>
      <c r="I503" s="7">
        <v>23851.29</v>
      </c>
    </row>
    <row r="504" spans="1:9">
      <c r="A504" t="s">
        <v>5287</v>
      </c>
      <c r="B504" s="1">
        <v>42369</v>
      </c>
      <c r="C504" t="s">
        <v>6531</v>
      </c>
      <c r="D504">
        <v>1</v>
      </c>
      <c r="E504" t="s">
        <v>0</v>
      </c>
      <c r="F504" s="127" t="s">
        <v>2751</v>
      </c>
      <c r="G504" s="127" t="s">
        <v>5728</v>
      </c>
      <c r="H504" s="7">
        <f t="shared" si="7"/>
        <v>318009</v>
      </c>
      <c r="I504" s="7">
        <v>50881.440000000002</v>
      </c>
    </row>
    <row r="505" spans="1:9">
      <c r="A505" t="s">
        <v>5289</v>
      </c>
      <c r="B505" s="1">
        <v>42369</v>
      </c>
      <c r="C505" t="s">
        <v>6532</v>
      </c>
      <c r="D505">
        <v>1</v>
      </c>
      <c r="E505" t="s">
        <v>0</v>
      </c>
      <c r="F505" s="127" t="s">
        <v>2751</v>
      </c>
      <c r="G505" s="127" t="s">
        <v>5728</v>
      </c>
      <c r="H505" s="7">
        <f t="shared" si="7"/>
        <v>318009</v>
      </c>
      <c r="I505" s="7">
        <v>50881.440000000002</v>
      </c>
    </row>
    <row r="506" spans="1:9">
      <c r="A506" t="s">
        <v>5291</v>
      </c>
      <c r="B506" s="1">
        <v>42369</v>
      </c>
      <c r="C506" t="s">
        <v>6533</v>
      </c>
      <c r="D506">
        <v>1</v>
      </c>
      <c r="E506" t="s">
        <v>0</v>
      </c>
      <c r="F506" s="127" t="s">
        <v>2751</v>
      </c>
      <c r="G506" s="127" t="s">
        <v>5728</v>
      </c>
      <c r="H506" s="7">
        <f t="shared" si="7"/>
        <v>245993.125</v>
      </c>
      <c r="I506" s="7">
        <v>39358.9</v>
      </c>
    </row>
    <row r="507" spans="1:9">
      <c r="A507" t="s">
        <v>5295</v>
      </c>
      <c r="B507" s="1">
        <v>42369</v>
      </c>
      <c r="C507" t="s">
        <v>6535</v>
      </c>
      <c r="D507">
        <v>1</v>
      </c>
      <c r="E507" t="s">
        <v>0</v>
      </c>
      <c r="F507" s="127" t="s">
        <v>2751</v>
      </c>
      <c r="G507" s="127" t="s">
        <v>5728</v>
      </c>
      <c r="H507" s="7">
        <f t="shared" si="7"/>
        <v>304774.125</v>
      </c>
      <c r="I507" s="7">
        <v>48763.86</v>
      </c>
    </row>
    <row r="508" spans="1:9">
      <c r="A508" t="s">
        <v>5297</v>
      </c>
      <c r="B508" s="1">
        <v>42369</v>
      </c>
      <c r="C508" t="s">
        <v>6536</v>
      </c>
      <c r="D508">
        <v>1</v>
      </c>
      <c r="E508" t="s">
        <v>0</v>
      </c>
      <c r="F508" s="127" t="s">
        <v>2751</v>
      </c>
      <c r="G508" s="127" t="s">
        <v>5728</v>
      </c>
      <c r="H508" s="7">
        <f t="shared" si="7"/>
        <v>156906.8125</v>
      </c>
      <c r="I508" s="7">
        <v>25105.09</v>
      </c>
    </row>
    <row r="509" spans="1:9">
      <c r="A509" t="s">
        <v>5293</v>
      </c>
      <c r="B509" s="1">
        <v>42369</v>
      </c>
      <c r="C509" t="s">
        <v>6534</v>
      </c>
      <c r="D509">
        <v>1</v>
      </c>
      <c r="E509" t="s">
        <v>0</v>
      </c>
      <c r="F509" s="127" t="s">
        <v>2751</v>
      </c>
      <c r="G509" s="127" t="s">
        <v>5728</v>
      </c>
      <c r="H509" s="7">
        <f t="shared" si="7"/>
        <v>171570.5625</v>
      </c>
      <c r="I509" s="7">
        <v>27451.29</v>
      </c>
    </row>
    <row r="510" spans="1:9">
      <c r="A510" t="s">
        <v>6537</v>
      </c>
      <c r="B510" s="1">
        <v>42369</v>
      </c>
      <c r="C510" t="s">
        <v>6538</v>
      </c>
      <c r="D510">
        <v>1</v>
      </c>
      <c r="E510" t="s">
        <v>0</v>
      </c>
      <c r="F510" s="127" t="s">
        <v>2751</v>
      </c>
      <c r="G510" s="127" t="s">
        <v>5728</v>
      </c>
      <c r="H510" s="7">
        <f t="shared" si="7"/>
        <v>304774.125</v>
      </c>
      <c r="I510" s="7">
        <v>48763.86</v>
      </c>
    </row>
    <row r="511" spans="1:9">
      <c r="A511" t="s">
        <v>5299</v>
      </c>
      <c r="B511" s="1">
        <v>42369</v>
      </c>
      <c r="C511" t="s">
        <v>6539</v>
      </c>
      <c r="D511">
        <v>1</v>
      </c>
      <c r="E511" t="s">
        <v>0</v>
      </c>
      <c r="F511" s="127" t="s">
        <v>2751</v>
      </c>
      <c r="G511" s="127" t="s">
        <v>5728</v>
      </c>
      <c r="H511" s="7">
        <f t="shared" si="7"/>
        <v>282434.6875</v>
      </c>
      <c r="I511" s="7">
        <v>45189.55</v>
      </c>
    </row>
    <row r="512" spans="1:9">
      <c r="A512" t="s">
        <v>5891</v>
      </c>
      <c r="B512" s="1">
        <v>42356</v>
      </c>
      <c r="C512" t="s">
        <v>6426</v>
      </c>
      <c r="D512">
        <v>1</v>
      </c>
      <c r="E512" t="s">
        <v>0</v>
      </c>
      <c r="F512" s="127" t="s">
        <v>2751</v>
      </c>
      <c r="G512" s="127" t="s">
        <v>5728</v>
      </c>
      <c r="H512" s="7">
        <f t="shared" si="7"/>
        <v>-207008.6875</v>
      </c>
      <c r="I512" s="7">
        <v>-33121.39</v>
      </c>
    </row>
    <row r="513" spans="1:9">
      <c r="A513" t="s">
        <v>2359</v>
      </c>
      <c r="B513" s="1">
        <v>42356</v>
      </c>
      <c r="C513" t="s">
        <v>6426</v>
      </c>
      <c r="D513">
        <v>1</v>
      </c>
      <c r="E513" t="s">
        <v>0</v>
      </c>
      <c r="F513" s="127" t="s">
        <v>2751</v>
      </c>
      <c r="G513" s="127" t="s">
        <v>5728</v>
      </c>
      <c r="H513" s="7">
        <f t="shared" si="7"/>
        <v>206698.4375</v>
      </c>
      <c r="I513" s="7">
        <v>33071.75</v>
      </c>
    </row>
    <row r="514" spans="1:9">
      <c r="A514" t="s">
        <v>6541</v>
      </c>
      <c r="B514" s="1">
        <v>42369</v>
      </c>
      <c r="C514" t="s">
        <v>6542</v>
      </c>
      <c r="D514">
        <v>1</v>
      </c>
      <c r="E514" t="s">
        <v>0</v>
      </c>
      <c r="F514" s="127" t="s">
        <v>2751</v>
      </c>
      <c r="G514" s="127" t="s">
        <v>5728</v>
      </c>
      <c r="H514" s="7">
        <f t="shared" si="7"/>
        <v>195197.625</v>
      </c>
      <c r="I514" s="7">
        <v>31231.62</v>
      </c>
    </row>
    <row r="515" spans="1:9">
      <c r="A515" t="s">
        <v>6543</v>
      </c>
      <c r="B515" s="1">
        <v>42369</v>
      </c>
      <c r="C515" t="s">
        <v>6544</v>
      </c>
      <c r="D515">
        <v>1</v>
      </c>
      <c r="E515" t="s">
        <v>0</v>
      </c>
      <c r="F515" s="127" t="s">
        <v>2751</v>
      </c>
      <c r="G515" s="127" t="s">
        <v>5728</v>
      </c>
      <c r="H515" s="7">
        <f t="shared" si="7"/>
        <v>398817.5</v>
      </c>
      <c r="I515" s="7">
        <v>63810.8</v>
      </c>
    </row>
    <row r="516" spans="1:9">
      <c r="A516" t="s">
        <v>61</v>
      </c>
      <c r="B516" s="1">
        <v>42347</v>
      </c>
      <c r="C516" t="s">
        <v>6346</v>
      </c>
      <c r="D516">
        <v>1</v>
      </c>
      <c r="E516" t="s">
        <v>0</v>
      </c>
      <c r="F516" s="127" t="s">
        <v>2751</v>
      </c>
      <c r="G516" s="127" t="s">
        <v>5728</v>
      </c>
      <c r="H516" s="7">
        <f t="shared" si="7"/>
        <v>264708.3125</v>
      </c>
      <c r="I516" s="7">
        <v>42353.33</v>
      </c>
    </row>
    <row r="517" spans="1:9">
      <c r="A517" t="s">
        <v>6377</v>
      </c>
      <c r="B517" s="1">
        <v>42352</v>
      </c>
      <c r="C517" t="s">
        <v>6378</v>
      </c>
      <c r="D517">
        <v>1</v>
      </c>
      <c r="E517" t="s">
        <v>0</v>
      </c>
      <c r="F517" s="127" t="s">
        <v>2751</v>
      </c>
      <c r="G517" s="127" t="s">
        <v>5728</v>
      </c>
      <c r="H517" s="7">
        <f t="shared" si="7"/>
        <v>178707.6875</v>
      </c>
      <c r="I517" s="7">
        <v>28593.23</v>
      </c>
    </row>
    <row r="518" spans="1:9">
      <c r="A518" t="s">
        <v>6400</v>
      </c>
      <c r="B518" s="1">
        <v>42355</v>
      </c>
      <c r="C518" t="s">
        <v>6401</v>
      </c>
      <c r="D518">
        <v>1</v>
      </c>
      <c r="E518" t="s">
        <v>0</v>
      </c>
      <c r="F518" s="127" t="s">
        <v>2751</v>
      </c>
      <c r="G518" s="127" t="s">
        <v>5728</v>
      </c>
      <c r="H518" s="7">
        <f t="shared" si="7"/>
        <v>318008.875</v>
      </c>
      <c r="I518" s="7">
        <v>50881.42</v>
      </c>
    </row>
    <row r="519" spans="1:9">
      <c r="A519" t="s">
        <v>6402</v>
      </c>
      <c r="B519" s="1">
        <v>42355</v>
      </c>
      <c r="C519" t="s">
        <v>6403</v>
      </c>
      <c r="D519">
        <v>1</v>
      </c>
      <c r="E519" t="s">
        <v>0</v>
      </c>
      <c r="F519" s="127" t="s">
        <v>2751</v>
      </c>
      <c r="G519" s="127" t="s">
        <v>5728</v>
      </c>
      <c r="H519" s="7">
        <f t="shared" ref="H519:H582" si="8">+I519/0.16</f>
        <v>169552.5</v>
      </c>
      <c r="I519" s="7">
        <v>27128.400000000001</v>
      </c>
    </row>
    <row r="520" spans="1:9">
      <c r="A520" t="s">
        <v>6422</v>
      </c>
      <c r="B520" s="1">
        <v>42356</v>
      </c>
      <c r="C520" t="s">
        <v>6423</v>
      </c>
      <c r="D520">
        <v>1</v>
      </c>
      <c r="E520" t="s">
        <v>0</v>
      </c>
      <c r="F520" s="127" t="s">
        <v>2751</v>
      </c>
      <c r="G520" s="127" t="s">
        <v>5728</v>
      </c>
      <c r="H520" s="7">
        <f t="shared" si="8"/>
        <v>243507.4375</v>
      </c>
      <c r="I520" s="7">
        <v>38961.19</v>
      </c>
    </row>
    <row r="521" spans="1:9">
      <c r="A521" t="s">
        <v>221</v>
      </c>
      <c r="B521" s="1">
        <v>42366</v>
      </c>
      <c r="C521" t="s">
        <v>6491</v>
      </c>
      <c r="D521">
        <v>1</v>
      </c>
      <c r="E521" t="s">
        <v>0</v>
      </c>
      <c r="F521" s="127" t="s">
        <v>2751</v>
      </c>
      <c r="G521" s="127" t="s">
        <v>5728</v>
      </c>
      <c r="H521" s="7">
        <f t="shared" si="8"/>
        <v>177397.3125</v>
      </c>
      <c r="I521" s="7">
        <v>28383.57</v>
      </c>
    </row>
    <row r="522" spans="1:9">
      <c r="A522" t="s">
        <v>3544</v>
      </c>
      <c r="B522" s="1">
        <v>42367</v>
      </c>
      <c r="C522" t="s">
        <v>6496</v>
      </c>
      <c r="D522">
        <v>1</v>
      </c>
      <c r="E522" t="s">
        <v>0</v>
      </c>
      <c r="F522" s="127" t="s">
        <v>2751</v>
      </c>
      <c r="G522" s="127" t="s">
        <v>5728</v>
      </c>
      <c r="H522" s="7">
        <f t="shared" si="8"/>
        <v>318009</v>
      </c>
      <c r="I522" s="7">
        <v>50881.440000000002</v>
      </c>
    </row>
    <row r="523" spans="1:9">
      <c r="A523" t="s">
        <v>5182</v>
      </c>
      <c r="B523" s="1">
        <v>42367</v>
      </c>
      <c r="C523" t="s">
        <v>6497</v>
      </c>
      <c r="D523">
        <v>1</v>
      </c>
      <c r="E523" t="s">
        <v>0</v>
      </c>
      <c r="F523" s="127" t="s">
        <v>2751</v>
      </c>
      <c r="G523" s="127" t="s">
        <v>5728</v>
      </c>
      <c r="H523" s="7">
        <f t="shared" si="8"/>
        <v>177397.3125</v>
      </c>
      <c r="I523" s="7">
        <v>28383.57</v>
      </c>
    </row>
    <row r="524" spans="1:9">
      <c r="A524" t="s">
        <v>6500</v>
      </c>
      <c r="B524" s="1">
        <v>42367</v>
      </c>
      <c r="C524" t="s">
        <v>6501</v>
      </c>
      <c r="D524">
        <v>1</v>
      </c>
      <c r="E524" t="s">
        <v>0</v>
      </c>
      <c r="F524" s="127" t="s">
        <v>2751</v>
      </c>
      <c r="G524" s="127" t="s">
        <v>5728</v>
      </c>
      <c r="H524" s="7">
        <f t="shared" si="8"/>
        <v>318009</v>
      </c>
      <c r="I524" s="7">
        <v>50881.440000000002</v>
      </c>
    </row>
    <row r="525" spans="1:9">
      <c r="A525" t="s">
        <v>6498</v>
      </c>
      <c r="B525" s="1">
        <v>42367</v>
      </c>
      <c r="C525" t="s">
        <v>6499</v>
      </c>
      <c r="D525">
        <v>1</v>
      </c>
      <c r="E525" t="s">
        <v>0</v>
      </c>
      <c r="F525" s="127" t="s">
        <v>2751</v>
      </c>
      <c r="G525" s="127" t="s">
        <v>5728</v>
      </c>
      <c r="H525" s="7">
        <f t="shared" si="8"/>
        <v>318009</v>
      </c>
      <c r="I525" s="7">
        <v>50881.440000000002</v>
      </c>
    </row>
    <row r="526" spans="1:9">
      <c r="A526" t="s">
        <v>3552</v>
      </c>
      <c r="B526" s="1">
        <v>42339</v>
      </c>
      <c r="C526" t="s">
        <v>6942</v>
      </c>
      <c r="D526">
        <v>1</v>
      </c>
      <c r="E526" t="s">
        <v>1361</v>
      </c>
      <c r="F526" t="s">
        <v>799</v>
      </c>
      <c r="G526" t="s">
        <v>1361</v>
      </c>
      <c r="H526" s="7">
        <f t="shared" si="8"/>
        <v>6500</v>
      </c>
      <c r="I526" s="7">
        <v>1040</v>
      </c>
    </row>
    <row r="527" spans="1:9">
      <c r="A527" t="s">
        <v>539</v>
      </c>
      <c r="B527" s="1">
        <v>42356</v>
      </c>
      <c r="C527" t="s">
        <v>7014</v>
      </c>
      <c r="D527">
        <v>1</v>
      </c>
      <c r="E527" t="s">
        <v>1361</v>
      </c>
      <c r="F527" t="s">
        <v>799</v>
      </c>
      <c r="G527" s="2" t="s">
        <v>1361</v>
      </c>
      <c r="H527" s="7">
        <f t="shared" si="8"/>
        <v>14964.125000000002</v>
      </c>
      <c r="I527" s="7">
        <v>2394.2600000000002</v>
      </c>
    </row>
    <row r="528" spans="1:9">
      <c r="A528" t="s">
        <v>1434</v>
      </c>
      <c r="B528" s="1">
        <v>42356</v>
      </c>
      <c r="C528" t="s">
        <v>7015</v>
      </c>
      <c r="D528">
        <v>1</v>
      </c>
      <c r="E528" t="s">
        <v>1361</v>
      </c>
      <c r="F528" t="s">
        <v>799</v>
      </c>
      <c r="G528" s="2" t="s">
        <v>1361</v>
      </c>
      <c r="H528" s="7">
        <f t="shared" si="8"/>
        <v>5566.9375</v>
      </c>
      <c r="I528" s="7">
        <v>890.71</v>
      </c>
    </row>
    <row r="529" spans="1:9">
      <c r="A529" t="s">
        <v>7079</v>
      </c>
      <c r="B529" s="1">
        <v>42368</v>
      </c>
      <c r="C529" t="s">
        <v>7080</v>
      </c>
      <c r="D529">
        <v>1</v>
      </c>
      <c r="E529" t="s">
        <v>1361</v>
      </c>
      <c r="F529" t="s">
        <v>799</v>
      </c>
      <c r="G529" t="s">
        <v>1361</v>
      </c>
      <c r="H529" s="7">
        <f t="shared" si="8"/>
        <v>206897.5625</v>
      </c>
      <c r="I529" s="7">
        <v>33103.61</v>
      </c>
    </row>
    <row r="530" spans="1:9">
      <c r="A530" t="s">
        <v>608</v>
      </c>
      <c r="B530" s="1">
        <v>42369</v>
      </c>
      <c r="C530" t="s">
        <v>7042</v>
      </c>
      <c r="D530">
        <v>1</v>
      </c>
      <c r="E530" t="s">
        <v>1361</v>
      </c>
      <c r="F530" t="s">
        <v>799</v>
      </c>
      <c r="G530" t="s">
        <v>1361</v>
      </c>
      <c r="H530" s="7">
        <f t="shared" si="8"/>
        <v>6500</v>
      </c>
      <c r="I530" s="7">
        <v>1040</v>
      </c>
    </row>
    <row r="531" spans="1:9">
      <c r="A531" t="s">
        <v>6935</v>
      </c>
      <c r="B531" s="1">
        <v>42369</v>
      </c>
      <c r="C531" t="s">
        <v>1522</v>
      </c>
      <c r="D531">
        <v>1</v>
      </c>
      <c r="E531" t="s">
        <v>878</v>
      </c>
      <c r="F531" t="s">
        <v>878</v>
      </c>
      <c r="G531" s="17" t="s">
        <v>414</v>
      </c>
      <c r="H531" s="7">
        <f t="shared" si="8"/>
        <v>-380</v>
      </c>
      <c r="I531" s="7">
        <v>-60.8</v>
      </c>
    </row>
    <row r="532" spans="1:9">
      <c r="A532" t="s">
        <v>6599</v>
      </c>
      <c r="B532" s="1">
        <v>42369</v>
      </c>
      <c r="C532" t="s">
        <v>6600</v>
      </c>
      <c r="D532">
        <v>1</v>
      </c>
      <c r="E532" t="s">
        <v>878</v>
      </c>
      <c r="F532" t="s">
        <v>878</v>
      </c>
      <c r="G532" s="17" t="s">
        <v>414</v>
      </c>
      <c r="H532" s="7">
        <f t="shared" si="8"/>
        <v>608</v>
      </c>
      <c r="I532" s="7">
        <v>97.28</v>
      </c>
    </row>
    <row r="533" spans="1:9">
      <c r="A533" t="s">
        <v>628</v>
      </c>
      <c r="B533" s="1">
        <v>42361</v>
      </c>
      <c r="C533" t="s">
        <v>7056</v>
      </c>
      <c r="D533">
        <v>1</v>
      </c>
      <c r="E533" t="s">
        <v>7057</v>
      </c>
      <c r="F533" s="17" t="s">
        <v>7167</v>
      </c>
      <c r="G533" t="s">
        <v>7057</v>
      </c>
      <c r="H533" s="7">
        <f t="shared" si="8"/>
        <v>27700</v>
      </c>
      <c r="I533" s="7">
        <v>4432</v>
      </c>
    </row>
    <row r="534" spans="1:9">
      <c r="A534" t="s">
        <v>6644</v>
      </c>
      <c r="B534" s="1">
        <v>42369</v>
      </c>
      <c r="C534" t="s">
        <v>6645</v>
      </c>
      <c r="D534">
        <v>1</v>
      </c>
      <c r="E534" t="s">
        <v>935</v>
      </c>
      <c r="F534" t="s">
        <v>935</v>
      </c>
      <c r="G534" s="17" t="s">
        <v>936</v>
      </c>
      <c r="H534" s="7">
        <f t="shared" si="8"/>
        <v>86.187499999999986</v>
      </c>
      <c r="I534" s="7">
        <v>13.79</v>
      </c>
    </row>
    <row r="535" spans="1:9">
      <c r="A535" t="s">
        <v>6650</v>
      </c>
      <c r="B535" s="1">
        <v>42369</v>
      </c>
      <c r="C535" t="s">
        <v>6651</v>
      </c>
      <c r="D535">
        <v>1</v>
      </c>
      <c r="E535" t="s">
        <v>935</v>
      </c>
      <c r="F535" t="s">
        <v>935</v>
      </c>
      <c r="G535" s="17" t="s">
        <v>936</v>
      </c>
      <c r="H535" s="7">
        <f t="shared" si="8"/>
        <v>86.187499999999986</v>
      </c>
      <c r="I535" s="7">
        <v>13.79</v>
      </c>
    </row>
    <row r="536" spans="1:9">
      <c r="A536" t="s">
        <v>6652</v>
      </c>
      <c r="B536" s="1">
        <v>42369</v>
      </c>
      <c r="C536" t="s">
        <v>6653</v>
      </c>
      <c r="D536">
        <v>1</v>
      </c>
      <c r="E536" t="s">
        <v>935</v>
      </c>
      <c r="F536" t="s">
        <v>935</v>
      </c>
      <c r="G536" s="17" t="s">
        <v>936</v>
      </c>
      <c r="H536" s="7">
        <f t="shared" si="8"/>
        <v>86.187499999999986</v>
      </c>
      <c r="I536" s="7">
        <v>13.79</v>
      </c>
    </row>
    <row r="537" spans="1:9">
      <c r="A537" t="s">
        <v>6646</v>
      </c>
      <c r="B537" s="1">
        <v>42369</v>
      </c>
      <c r="C537" t="s">
        <v>6647</v>
      </c>
      <c r="D537">
        <v>1</v>
      </c>
      <c r="E537" t="s">
        <v>1643</v>
      </c>
      <c r="F537" t="s">
        <v>1643</v>
      </c>
      <c r="G537" s="17" t="s">
        <v>3713</v>
      </c>
      <c r="H537" s="7">
        <f t="shared" si="8"/>
        <v>51.749999999999993</v>
      </c>
      <c r="I537" s="7">
        <v>8.2799999999999994</v>
      </c>
    </row>
    <row r="538" spans="1:9">
      <c r="A538" t="s">
        <v>3904</v>
      </c>
      <c r="B538" s="1">
        <v>42367</v>
      </c>
      <c r="C538" t="s">
        <v>6516</v>
      </c>
      <c r="D538">
        <v>1</v>
      </c>
      <c r="E538" t="s">
        <v>6517</v>
      </c>
      <c r="F538" t="s">
        <v>6270</v>
      </c>
      <c r="G538" t="s">
        <v>6271</v>
      </c>
      <c r="H538" s="7">
        <f t="shared" si="8"/>
        <v>250699.5625</v>
      </c>
      <c r="I538" s="7">
        <v>40111.93</v>
      </c>
    </row>
    <row r="539" spans="1:9">
      <c r="A539" t="s">
        <v>4789</v>
      </c>
      <c r="B539" s="1">
        <v>42368</v>
      </c>
      <c r="C539" t="s">
        <v>6522</v>
      </c>
      <c r="D539">
        <v>1</v>
      </c>
      <c r="E539" t="s">
        <v>6523</v>
      </c>
      <c r="F539" t="s">
        <v>951</v>
      </c>
      <c r="G539" s="2" t="s">
        <v>7155</v>
      </c>
      <c r="H539" s="7">
        <f t="shared" si="8"/>
        <v>170465.6875</v>
      </c>
      <c r="I539" s="7">
        <v>27274.51</v>
      </c>
    </row>
    <row r="540" spans="1:9">
      <c r="A540" t="s">
        <v>447</v>
      </c>
      <c r="B540" s="1">
        <v>42340</v>
      </c>
      <c r="C540" t="s">
        <v>6962</v>
      </c>
      <c r="D540">
        <v>1</v>
      </c>
      <c r="E540" t="s">
        <v>6963</v>
      </c>
      <c r="F540" s="17" t="s">
        <v>7168</v>
      </c>
      <c r="G540" t="s">
        <v>6963</v>
      </c>
      <c r="H540" s="7">
        <f t="shared" si="8"/>
        <v>2250</v>
      </c>
      <c r="I540" s="7">
        <v>360</v>
      </c>
    </row>
    <row r="541" spans="1:9">
      <c r="A541" t="s">
        <v>6575</v>
      </c>
      <c r="B541" s="1">
        <v>42369</v>
      </c>
      <c r="C541" t="s">
        <v>6576</v>
      </c>
      <c r="D541">
        <v>1</v>
      </c>
      <c r="E541" t="s">
        <v>802</v>
      </c>
      <c r="F541" t="s">
        <v>802</v>
      </c>
      <c r="G541" s="17" t="s">
        <v>2483</v>
      </c>
      <c r="H541" s="7">
        <f t="shared" si="8"/>
        <v>310.375</v>
      </c>
      <c r="I541" s="7">
        <v>49.66</v>
      </c>
    </row>
    <row r="542" spans="1:9">
      <c r="A542" t="s">
        <v>6586</v>
      </c>
      <c r="B542" s="1">
        <v>42369</v>
      </c>
      <c r="C542" t="s">
        <v>6587</v>
      </c>
      <c r="D542">
        <v>1</v>
      </c>
      <c r="E542" t="s">
        <v>802</v>
      </c>
      <c r="F542" t="s">
        <v>802</v>
      </c>
      <c r="G542" s="17" t="s">
        <v>2483</v>
      </c>
      <c r="H542" s="7">
        <f t="shared" si="8"/>
        <v>310.375</v>
      </c>
      <c r="I542" s="7">
        <v>49.66</v>
      </c>
    </row>
    <row r="543" spans="1:9">
      <c r="A543" t="s">
        <v>6632</v>
      </c>
      <c r="B543" s="1">
        <v>42369</v>
      </c>
      <c r="C543" t="s">
        <v>6633</v>
      </c>
      <c r="D543">
        <v>1</v>
      </c>
      <c r="E543" t="s">
        <v>1614</v>
      </c>
      <c r="F543" t="s">
        <v>1614</v>
      </c>
      <c r="G543" s="17" t="s">
        <v>1615</v>
      </c>
      <c r="H543" s="7">
        <f t="shared" si="8"/>
        <v>461.3125</v>
      </c>
      <c r="I543" s="7">
        <v>73.81</v>
      </c>
    </row>
    <row r="544" spans="1:9">
      <c r="A544" t="s">
        <v>6796</v>
      </c>
      <c r="B544" s="1">
        <v>42369</v>
      </c>
      <c r="C544">
        <v>12272</v>
      </c>
      <c r="D544">
        <v>1</v>
      </c>
      <c r="E544" t="s">
        <v>6598</v>
      </c>
      <c r="F544" t="s">
        <v>6598</v>
      </c>
      <c r="G544" t="s">
        <v>7169</v>
      </c>
      <c r="H544" s="7">
        <f t="shared" si="8"/>
        <v>54.312499999999993</v>
      </c>
      <c r="I544" s="7">
        <v>8.69</v>
      </c>
    </row>
    <row r="545" spans="1:12">
      <c r="A545" t="s">
        <v>6797</v>
      </c>
      <c r="B545" s="1">
        <v>42369</v>
      </c>
      <c r="C545" t="s">
        <v>6798</v>
      </c>
      <c r="D545">
        <v>1</v>
      </c>
      <c r="E545" t="s">
        <v>6598</v>
      </c>
      <c r="F545" t="s">
        <v>6598</v>
      </c>
      <c r="G545" t="s">
        <v>7169</v>
      </c>
      <c r="H545" s="7">
        <f t="shared" si="8"/>
        <v>44.8125</v>
      </c>
      <c r="I545" s="7">
        <v>7.17</v>
      </c>
    </row>
    <row r="546" spans="1:12">
      <c r="A546" t="s">
        <v>6596</v>
      </c>
      <c r="B546" s="1">
        <v>42369</v>
      </c>
      <c r="C546" t="s">
        <v>6597</v>
      </c>
      <c r="D546">
        <v>1</v>
      </c>
      <c r="E546" t="s">
        <v>6598</v>
      </c>
      <c r="F546" t="s">
        <v>6598</v>
      </c>
      <c r="G546" s="17" t="s">
        <v>7169</v>
      </c>
      <c r="H546" s="7">
        <f t="shared" si="8"/>
        <v>39.625</v>
      </c>
      <c r="I546" s="7">
        <v>6.34</v>
      </c>
    </row>
    <row r="547" spans="1:12">
      <c r="A547" t="s">
        <v>6637</v>
      </c>
      <c r="B547" s="1">
        <v>42369</v>
      </c>
      <c r="C547" t="s">
        <v>6638</v>
      </c>
      <c r="D547">
        <v>1</v>
      </c>
      <c r="E547" t="s">
        <v>6641</v>
      </c>
      <c r="F547" t="s">
        <v>6641</v>
      </c>
      <c r="G547" s="17" t="s">
        <v>7170</v>
      </c>
      <c r="H547" s="7">
        <f t="shared" si="8"/>
        <v>50.875</v>
      </c>
      <c r="I547" s="7">
        <v>8.14</v>
      </c>
    </row>
    <row r="548" spans="1:12">
      <c r="A548" t="s">
        <v>6660</v>
      </c>
      <c r="B548" s="1">
        <v>42369</v>
      </c>
      <c r="C548" t="s">
        <v>6661</v>
      </c>
      <c r="D548">
        <v>1</v>
      </c>
      <c r="E548" t="s">
        <v>6641</v>
      </c>
      <c r="F548" t="s">
        <v>6641</v>
      </c>
      <c r="G548" t="s">
        <v>7170</v>
      </c>
      <c r="H548" s="7">
        <f t="shared" si="8"/>
        <v>62.0625</v>
      </c>
      <c r="I548" s="7">
        <v>9.93</v>
      </c>
    </row>
    <row r="549" spans="1:12" s="155" customFormat="1">
      <c r="A549" s="155" t="s">
        <v>6642</v>
      </c>
      <c r="B549" s="156">
        <v>42369</v>
      </c>
      <c r="C549" s="155" t="s">
        <v>6643</v>
      </c>
      <c r="D549" s="155">
        <v>1</v>
      </c>
      <c r="E549" s="155" t="s">
        <v>1315</v>
      </c>
      <c r="F549" s="157" t="s">
        <v>722</v>
      </c>
      <c r="G549" s="158" t="s">
        <v>5693</v>
      </c>
      <c r="H549" s="7">
        <f t="shared" si="8"/>
        <v>56.0625</v>
      </c>
      <c r="I549" s="159">
        <v>8.9700000000000006</v>
      </c>
      <c r="J549" s="159"/>
      <c r="K549" s="159"/>
    </row>
    <row r="550" spans="1:12">
      <c r="A550" t="s">
        <v>6889</v>
      </c>
      <c r="B550" s="1">
        <v>42369</v>
      </c>
      <c r="C550" t="s">
        <v>6890</v>
      </c>
      <c r="D550">
        <v>1</v>
      </c>
      <c r="E550" t="s">
        <v>1315</v>
      </c>
      <c r="F550" s="28" t="s">
        <v>2241</v>
      </c>
      <c r="G550" s="105" t="s">
        <v>2710</v>
      </c>
      <c r="H550" s="7">
        <f t="shared" si="8"/>
        <v>110.31249999999999</v>
      </c>
      <c r="I550" s="27">
        <v>17.649999999999999</v>
      </c>
    </row>
    <row r="551" spans="1:12">
      <c r="A551" t="s">
        <v>6889</v>
      </c>
      <c r="B551" s="1">
        <v>42369</v>
      </c>
      <c r="C551" t="s">
        <v>6890</v>
      </c>
      <c r="D551">
        <v>1</v>
      </c>
      <c r="E551" t="s">
        <v>1315</v>
      </c>
      <c r="F551" t="s">
        <v>923</v>
      </c>
      <c r="G551" s="105" t="s">
        <v>924</v>
      </c>
      <c r="H551" s="7">
        <f t="shared" si="8"/>
        <v>271.5625</v>
      </c>
      <c r="I551" s="27">
        <v>43.45</v>
      </c>
    </row>
    <row r="552" spans="1:12">
      <c r="A552" t="s">
        <v>6889</v>
      </c>
      <c r="B552" s="1">
        <v>42369</v>
      </c>
      <c r="C552" t="s">
        <v>6890</v>
      </c>
      <c r="D552">
        <v>1</v>
      </c>
      <c r="E552" t="s">
        <v>1315</v>
      </c>
      <c r="F552" s="2" t="s">
        <v>5381</v>
      </c>
      <c r="G552" s="105" t="s">
        <v>7102</v>
      </c>
      <c r="H552" s="7">
        <f t="shared" si="8"/>
        <v>118.12499999999999</v>
      </c>
      <c r="I552" s="27">
        <v>18.899999999999999</v>
      </c>
    </row>
    <row r="553" spans="1:12">
      <c r="A553" t="s">
        <v>6889</v>
      </c>
      <c r="B553" s="1">
        <v>42369</v>
      </c>
      <c r="C553" t="s">
        <v>6890</v>
      </c>
      <c r="D553">
        <v>1</v>
      </c>
      <c r="E553" t="s">
        <v>1315</v>
      </c>
      <c r="F553" s="119" t="s">
        <v>3084</v>
      </c>
      <c r="G553" s="105" t="s">
        <v>7171</v>
      </c>
      <c r="H553" s="7">
        <f t="shared" si="8"/>
        <v>342.5625</v>
      </c>
      <c r="I553" s="27">
        <v>54.81</v>
      </c>
    </row>
    <row r="554" spans="1:12" s="155" customFormat="1">
      <c r="A554" s="155" t="s">
        <v>6889</v>
      </c>
      <c r="B554" s="156">
        <v>42369</v>
      </c>
      <c r="C554" s="155" t="s">
        <v>6890</v>
      </c>
      <c r="D554" s="155">
        <v>1</v>
      </c>
      <c r="E554" s="155" t="s">
        <v>1315</v>
      </c>
      <c r="F554" s="157" t="s">
        <v>722</v>
      </c>
      <c r="G554" s="160" t="s">
        <v>5693</v>
      </c>
      <c r="H554" s="7">
        <f t="shared" si="8"/>
        <v>116.375</v>
      </c>
      <c r="I554" s="161">
        <v>18.62</v>
      </c>
      <c r="J554" s="159">
        <f>958.94-H550-H551-H552-H553-H554</f>
        <v>2.5000000000545697E-3</v>
      </c>
      <c r="K554" s="159">
        <f>153.43-I550-I551-I552-I553-I554</f>
        <v>0</v>
      </c>
    </row>
    <row r="555" spans="1:12" s="155" customFormat="1">
      <c r="A555" s="155" t="s">
        <v>6891</v>
      </c>
      <c r="B555" s="156">
        <v>42369</v>
      </c>
      <c r="C555" s="155" t="s">
        <v>6892</v>
      </c>
      <c r="D555" s="155">
        <v>1</v>
      </c>
      <c r="E555" s="155" t="s">
        <v>1315</v>
      </c>
      <c r="F555" s="157" t="s">
        <v>722</v>
      </c>
      <c r="G555" s="160" t="s">
        <v>5693</v>
      </c>
      <c r="H555" s="7">
        <f t="shared" si="8"/>
        <v>56.0625</v>
      </c>
      <c r="I555" s="159">
        <v>8.9700000000000006</v>
      </c>
      <c r="J555" s="159"/>
      <c r="K555" s="159"/>
    </row>
    <row r="556" spans="1:12">
      <c r="A556" t="s">
        <v>6893</v>
      </c>
      <c r="B556" s="1">
        <v>42369</v>
      </c>
      <c r="C556" t="s">
        <v>6894</v>
      </c>
      <c r="D556">
        <v>1</v>
      </c>
      <c r="E556" t="s">
        <v>1315</v>
      </c>
      <c r="F556" t="s">
        <v>714</v>
      </c>
      <c r="G556" s="105" t="s">
        <v>715</v>
      </c>
      <c r="H556" s="7">
        <f t="shared" si="8"/>
        <v>322.4375</v>
      </c>
      <c r="I556" s="7">
        <v>51.59</v>
      </c>
    </row>
    <row r="557" spans="1:12">
      <c r="A557" t="s">
        <v>6893</v>
      </c>
      <c r="B557" s="1">
        <v>42369</v>
      </c>
      <c r="C557" t="s">
        <v>6894</v>
      </c>
      <c r="D557">
        <v>1</v>
      </c>
      <c r="E557" t="s">
        <v>1315</v>
      </c>
      <c r="F557" s="28" t="s">
        <v>2724</v>
      </c>
      <c r="G557" s="105" t="s">
        <v>7164</v>
      </c>
      <c r="H557" s="7">
        <f t="shared" si="8"/>
        <v>419.37499999999994</v>
      </c>
      <c r="I557" s="7">
        <v>67.099999999999994</v>
      </c>
    </row>
    <row r="558" spans="1:12">
      <c r="A558" t="s">
        <v>6893</v>
      </c>
      <c r="B558" s="1">
        <v>42369</v>
      </c>
      <c r="C558" t="s">
        <v>6894</v>
      </c>
      <c r="D558">
        <v>1</v>
      </c>
      <c r="E558" t="s">
        <v>1315</v>
      </c>
      <c r="F558" s="28" t="s">
        <v>935</v>
      </c>
      <c r="G558" s="105" t="s">
        <v>936</v>
      </c>
      <c r="H558" s="7">
        <f t="shared" si="8"/>
        <v>86.187499999999986</v>
      </c>
      <c r="I558" s="7">
        <v>13.79</v>
      </c>
    </row>
    <row r="559" spans="1:12">
      <c r="A559" t="s">
        <v>6893</v>
      </c>
      <c r="B559" s="1">
        <v>42369</v>
      </c>
      <c r="C559" t="s">
        <v>6894</v>
      </c>
      <c r="D559">
        <v>1</v>
      </c>
      <c r="E559" t="s">
        <v>1315</v>
      </c>
      <c r="F559" t="s">
        <v>722</v>
      </c>
      <c r="G559" s="145" t="s">
        <v>722</v>
      </c>
      <c r="H559" s="7">
        <f t="shared" si="8"/>
        <v>176.74999999999997</v>
      </c>
      <c r="I559" s="146">
        <f>32.8-4.52</f>
        <v>28.279999999999998</v>
      </c>
      <c r="J559" s="7">
        <f>1004.75-H556-H557-H558-H559</f>
        <v>0</v>
      </c>
      <c r="K559" s="7">
        <f>160.76-I556-I557-I558-I559</f>
        <v>0</v>
      </c>
      <c r="L559" t="s">
        <v>960</v>
      </c>
    </row>
    <row r="560" spans="1:12">
      <c r="A560" t="s">
        <v>6895</v>
      </c>
      <c r="B560" s="1">
        <v>42369</v>
      </c>
      <c r="C560" t="s">
        <v>6896</v>
      </c>
      <c r="D560">
        <v>1</v>
      </c>
      <c r="E560" t="s">
        <v>1315</v>
      </c>
      <c r="F560" t="s">
        <v>714</v>
      </c>
      <c r="G560" s="105" t="s">
        <v>7103</v>
      </c>
      <c r="H560" s="7">
        <f t="shared" si="8"/>
        <v>206.875</v>
      </c>
      <c r="I560" s="27">
        <v>33.1</v>
      </c>
    </row>
    <row r="561" spans="1:12" s="155" customFormat="1">
      <c r="A561" s="155" t="s">
        <v>6895</v>
      </c>
      <c r="B561" s="156">
        <v>42369</v>
      </c>
      <c r="C561" s="155" t="s">
        <v>6896</v>
      </c>
      <c r="D561" s="155">
        <v>1</v>
      </c>
      <c r="E561" s="155" t="s">
        <v>1315</v>
      </c>
      <c r="F561" s="157" t="s">
        <v>722</v>
      </c>
      <c r="G561" s="160" t="s">
        <v>5693</v>
      </c>
      <c r="H561" s="7">
        <f t="shared" si="8"/>
        <v>176.75</v>
      </c>
      <c r="I561" s="161">
        <v>28.28</v>
      </c>
      <c r="J561" s="159"/>
      <c r="K561" s="159"/>
    </row>
    <row r="562" spans="1:12">
      <c r="A562" t="s">
        <v>6895</v>
      </c>
      <c r="B562" s="1">
        <v>42369</v>
      </c>
      <c r="C562" t="s">
        <v>6896</v>
      </c>
      <c r="D562">
        <v>1</v>
      </c>
      <c r="E562" t="s">
        <v>1315</v>
      </c>
      <c r="F562" s="28" t="s">
        <v>911</v>
      </c>
      <c r="G562" s="105" t="s">
        <v>2704</v>
      </c>
      <c r="H562" s="7">
        <f t="shared" si="8"/>
        <v>51.749999999999993</v>
      </c>
      <c r="I562" s="27">
        <v>8.2799999999999994</v>
      </c>
    </row>
    <row r="563" spans="1:12">
      <c r="A563" t="s">
        <v>6895</v>
      </c>
      <c r="B563" s="1">
        <v>42369</v>
      </c>
      <c r="C563" t="s">
        <v>6896</v>
      </c>
      <c r="D563">
        <v>1</v>
      </c>
      <c r="E563" t="s">
        <v>1315</v>
      </c>
      <c r="F563" s="28" t="s">
        <v>7172</v>
      </c>
      <c r="G563" s="105" t="s">
        <v>7173</v>
      </c>
      <c r="H563" s="7">
        <f t="shared" si="8"/>
        <v>293.5625</v>
      </c>
      <c r="I563" s="27">
        <v>46.97</v>
      </c>
      <c r="J563" s="7">
        <f>728.94-H560-H561-H562-H563</f>
        <v>2.5000000000545697E-3</v>
      </c>
      <c r="K563" s="7">
        <f>116.63-I560-I561-I562-I563</f>
        <v>0</v>
      </c>
    </row>
    <row r="564" spans="1:12">
      <c r="A564" t="s">
        <v>6899</v>
      </c>
      <c r="B564" s="1">
        <v>42369</v>
      </c>
      <c r="C564" t="s">
        <v>6900</v>
      </c>
      <c r="D564">
        <v>1</v>
      </c>
      <c r="E564" t="s">
        <v>1315</v>
      </c>
      <c r="F564" t="s">
        <v>714</v>
      </c>
      <c r="G564" s="105" t="s">
        <v>7103</v>
      </c>
      <c r="H564" s="7">
        <f t="shared" si="8"/>
        <v>56.0625</v>
      </c>
      <c r="I564" s="7">
        <v>8.9700000000000006</v>
      </c>
      <c r="J564" s="7">
        <f>+H564-'[1]DIC 15'!$I$72</f>
        <v>-1.6875</v>
      </c>
      <c r="K564" s="7">
        <f>+I564-'[1]DIC 15'!$J$72</f>
        <v>-0.26999999999999957</v>
      </c>
      <c r="L564" t="s">
        <v>960</v>
      </c>
    </row>
    <row r="565" spans="1:12" s="155" customFormat="1">
      <c r="A565" s="155" t="s">
        <v>6901</v>
      </c>
      <c r="B565" s="156">
        <v>42369</v>
      </c>
      <c r="C565" s="155" t="s">
        <v>6902</v>
      </c>
      <c r="D565" s="155">
        <v>1</v>
      </c>
      <c r="E565" s="155" t="s">
        <v>1315</v>
      </c>
      <c r="F565" s="157" t="s">
        <v>722</v>
      </c>
      <c r="G565" s="160" t="s">
        <v>5693</v>
      </c>
      <c r="H565" s="7">
        <f t="shared" si="8"/>
        <v>113.8125</v>
      </c>
      <c r="I565" s="159">
        <v>18.21</v>
      </c>
      <c r="J565" s="159">
        <f>+H565-'[1]DIC 15'!$I$291</f>
        <v>57.75</v>
      </c>
      <c r="K565" s="159">
        <f>+I565-'[1]DIC 15'!$J$291</f>
        <v>9.24</v>
      </c>
      <c r="L565" s="155" t="s">
        <v>960</v>
      </c>
    </row>
    <row r="566" spans="1:12">
      <c r="A566" t="s">
        <v>6903</v>
      </c>
      <c r="B566" s="1">
        <v>42369</v>
      </c>
      <c r="C566" t="s">
        <v>6904</v>
      </c>
      <c r="D566">
        <v>1</v>
      </c>
      <c r="E566" t="s">
        <v>1315</v>
      </c>
      <c r="F566" t="s">
        <v>714</v>
      </c>
      <c r="G566" s="105" t="s">
        <v>7103</v>
      </c>
      <c r="H566" s="7">
        <f t="shared" si="8"/>
        <v>322.4375</v>
      </c>
      <c r="I566" s="27">
        <v>51.59</v>
      </c>
    </row>
    <row r="567" spans="1:12">
      <c r="A567" t="s">
        <v>6903</v>
      </c>
      <c r="B567" s="1">
        <v>42369</v>
      </c>
      <c r="C567" t="s">
        <v>6904</v>
      </c>
      <c r="D567">
        <v>1</v>
      </c>
      <c r="E567" t="s">
        <v>1315</v>
      </c>
      <c r="F567" s="119" t="s">
        <v>3945</v>
      </c>
      <c r="G567" s="120" t="s">
        <v>7174</v>
      </c>
      <c r="H567" s="7">
        <f t="shared" si="8"/>
        <v>461.4375</v>
      </c>
      <c r="I567" s="27">
        <v>73.83</v>
      </c>
    </row>
    <row r="568" spans="1:12" s="155" customFormat="1">
      <c r="A568" s="155" t="s">
        <v>6903</v>
      </c>
      <c r="B568" s="156">
        <v>42369</v>
      </c>
      <c r="C568" s="155" t="s">
        <v>6904</v>
      </c>
      <c r="D568" s="155">
        <v>1</v>
      </c>
      <c r="E568" s="155" t="s">
        <v>1315</v>
      </c>
      <c r="F568" s="157" t="s">
        <v>722</v>
      </c>
      <c r="G568" s="160" t="s">
        <v>5693</v>
      </c>
      <c r="H568" s="7">
        <f t="shared" si="8"/>
        <v>176.75</v>
      </c>
      <c r="I568" s="161">
        <v>28.28</v>
      </c>
      <c r="J568" s="159"/>
      <c r="K568" s="159"/>
    </row>
    <row r="569" spans="1:12">
      <c r="A569" t="s">
        <v>6903</v>
      </c>
      <c r="B569" s="1">
        <v>42369</v>
      </c>
      <c r="C569" t="s">
        <v>6904</v>
      </c>
      <c r="D569">
        <v>1</v>
      </c>
      <c r="E569" t="s">
        <v>1315</v>
      </c>
      <c r="F569" s="28" t="s">
        <v>935</v>
      </c>
      <c r="G569" s="105" t="s">
        <v>936</v>
      </c>
      <c r="H569" s="7">
        <f t="shared" si="8"/>
        <v>86.187499999999986</v>
      </c>
      <c r="I569" s="27">
        <v>13.79</v>
      </c>
      <c r="J569" s="7">
        <f>1046.81-H566-H567-H568-H569</f>
        <v>-2.5000000000403588E-3</v>
      </c>
      <c r="K569" s="7">
        <f>167.49-I566-I567-I568-I569</f>
        <v>0</v>
      </c>
    </row>
    <row r="570" spans="1:12">
      <c r="A570" t="s">
        <v>6897</v>
      </c>
      <c r="B570" s="1">
        <v>42369</v>
      </c>
      <c r="C570" t="s">
        <v>6898</v>
      </c>
      <c r="D570">
        <v>1</v>
      </c>
      <c r="E570" t="s">
        <v>1315</v>
      </c>
      <c r="F570" t="s">
        <v>714</v>
      </c>
      <c r="G570" s="105" t="s">
        <v>715</v>
      </c>
      <c r="H570" s="7">
        <f t="shared" si="8"/>
        <v>322.4375</v>
      </c>
      <c r="I570" s="27">
        <v>51.59</v>
      </c>
    </row>
    <row r="571" spans="1:12">
      <c r="A571" t="s">
        <v>6897</v>
      </c>
      <c r="B571" s="1">
        <v>42369</v>
      </c>
      <c r="C571" t="s">
        <v>6898</v>
      </c>
      <c r="D571">
        <v>1</v>
      </c>
      <c r="E571" t="s">
        <v>1315</v>
      </c>
      <c r="F571" s="28" t="s">
        <v>3945</v>
      </c>
      <c r="G571" s="105" t="s">
        <v>7174</v>
      </c>
      <c r="H571" s="7">
        <f t="shared" si="8"/>
        <v>377.5</v>
      </c>
      <c r="I571" s="118">
        <v>60.4</v>
      </c>
    </row>
    <row r="572" spans="1:12" s="155" customFormat="1">
      <c r="A572" s="155" t="s">
        <v>6897</v>
      </c>
      <c r="B572" s="156">
        <v>42369</v>
      </c>
      <c r="C572" s="155" t="s">
        <v>6898</v>
      </c>
      <c r="D572" s="155">
        <v>1</v>
      </c>
      <c r="E572" s="155" t="s">
        <v>1315</v>
      </c>
      <c r="F572" s="157" t="s">
        <v>722</v>
      </c>
      <c r="G572" s="160" t="s">
        <v>5693</v>
      </c>
      <c r="H572" s="7">
        <f t="shared" si="8"/>
        <v>176.75</v>
      </c>
      <c r="I572" s="161">
        <v>28.28</v>
      </c>
      <c r="J572" s="159"/>
      <c r="K572" s="159"/>
    </row>
    <row r="573" spans="1:12">
      <c r="A573" t="s">
        <v>6897</v>
      </c>
      <c r="B573" s="1">
        <v>42369</v>
      </c>
      <c r="C573" t="s">
        <v>6898</v>
      </c>
      <c r="D573">
        <v>1</v>
      </c>
      <c r="E573" t="s">
        <v>1315</v>
      </c>
      <c r="F573" s="28" t="s">
        <v>935</v>
      </c>
      <c r="G573" s="105" t="s">
        <v>936</v>
      </c>
      <c r="H573" s="7">
        <f t="shared" si="8"/>
        <v>86.187499999999986</v>
      </c>
      <c r="I573" s="27">
        <v>13.79</v>
      </c>
      <c r="J573" s="7">
        <f>962.88-H570-H571-H572-H573</f>
        <v>5.0000000000096634E-3</v>
      </c>
      <c r="K573" s="7">
        <f>154.06-I570-I571-I572-I573</f>
        <v>0</v>
      </c>
    </row>
    <row r="574" spans="1:12" s="155" customFormat="1">
      <c r="A574" s="155" t="s">
        <v>6828</v>
      </c>
      <c r="B574" s="156">
        <v>42369</v>
      </c>
      <c r="C574" s="155" t="s">
        <v>6829</v>
      </c>
      <c r="D574" s="155">
        <v>1</v>
      </c>
      <c r="E574" s="155" t="s">
        <v>1315</v>
      </c>
      <c r="F574" s="157" t="s">
        <v>722</v>
      </c>
      <c r="G574" s="160" t="s">
        <v>5693</v>
      </c>
      <c r="H574" s="7">
        <f t="shared" si="8"/>
        <v>30.1875</v>
      </c>
      <c r="I574" s="161">
        <v>4.83</v>
      </c>
      <c r="J574" s="159"/>
      <c r="K574" s="159"/>
    </row>
    <row r="575" spans="1:12">
      <c r="A575" t="s">
        <v>6828</v>
      </c>
      <c r="B575" s="1">
        <v>42369</v>
      </c>
      <c r="C575" t="s">
        <v>6829</v>
      </c>
      <c r="D575">
        <v>1</v>
      </c>
      <c r="E575" t="s">
        <v>1315</v>
      </c>
      <c r="F575" s="28" t="s">
        <v>929</v>
      </c>
      <c r="G575" s="105" t="s">
        <v>2709</v>
      </c>
      <c r="H575" s="7">
        <f t="shared" si="8"/>
        <v>69</v>
      </c>
      <c r="I575" s="27">
        <v>11.04</v>
      </c>
    </row>
    <row r="576" spans="1:12">
      <c r="A576" t="s">
        <v>6828</v>
      </c>
      <c r="B576" s="1">
        <v>42369</v>
      </c>
      <c r="C576" t="s">
        <v>6829</v>
      </c>
      <c r="D576">
        <v>1</v>
      </c>
      <c r="E576" t="s">
        <v>1315</v>
      </c>
      <c r="F576" s="28" t="s">
        <v>7175</v>
      </c>
      <c r="G576" s="105" t="s">
        <v>7176</v>
      </c>
      <c r="H576" s="7">
        <f t="shared" si="8"/>
        <v>52.375000000000007</v>
      </c>
      <c r="I576" s="27">
        <v>8.3800000000000008</v>
      </c>
    </row>
    <row r="577" spans="1:11">
      <c r="A577" t="s">
        <v>6828</v>
      </c>
      <c r="B577" s="1">
        <v>42369</v>
      </c>
      <c r="C577" t="s">
        <v>6829</v>
      </c>
      <c r="D577">
        <v>1</v>
      </c>
      <c r="E577" t="s">
        <v>1315</v>
      </c>
      <c r="F577" s="28" t="s">
        <v>7130</v>
      </c>
      <c r="G577" s="105" t="s">
        <v>7131</v>
      </c>
      <c r="H577" s="7">
        <f t="shared" si="8"/>
        <v>37.0625</v>
      </c>
      <c r="I577" s="27">
        <v>5.93</v>
      </c>
      <c r="J577" s="7">
        <f>188.63-H574-H575-H576-H577</f>
        <v>4.9999999999883471E-3</v>
      </c>
      <c r="K577" s="7">
        <f>30.18-I574-I575-I576-I577</f>
        <v>0</v>
      </c>
    </row>
    <row r="578" spans="1:11">
      <c r="A578" t="s">
        <v>6830</v>
      </c>
      <c r="B578" s="1">
        <v>42369</v>
      </c>
      <c r="C578" t="s">
        <v>6831</v>
      </c>
      <c r="D578">
        <v>1</v>
      </c>
      <c r="E578" t="s">
        <v>1315</v>
      </c>
      <c r="F578" t="s">
        <v>745</v>
      </c>
      <c r="G578" s="105" t="s">
        <v>746</v>
      </c>
      <c r="H578" s="7">
        <f t="shared" si="8"/>
        <v>87.9375</v>
      </c>
      <c r="I578" s="27">
        <v>14.07</v>
      </c>
    </row>
    <row r="579" spans="1:11" s="155" customFormat="1">
      <c r="A579" s="155" t="s">
        <v>6830</v>
      </c>
      <c r="B579" s="156">
        <v>42369</v>
      </c>
      <c r="C579" s="155" t="s">
        <v>6831</v>
      </c>
      <c r="D579" s="155">
        <v>1</v>
      </c>
      <c r="E579" s="155" t="s">
        <v>1315</v>
      </c>
      <c r="F579" s="157" t="s">
        <v>722</v>
      </c>
      <c r="G579" s="160" t="s">
        <v>5693</v>
      </c>
      <c r="H579" s="7">
        <f t="shared" si="8"/>
        <v>176.75</v>
      </c>
      <c r="I579" s="161">
        <v>28.28</v>
      </c>
      <c r="J579" s="159">
        <f>264.69-H578-H579</f>
        <v>2.4999999999977263E-3</v>
      </c>
      <c r="K579" s="159">
        <f>42.35-I578-I579</f>
        <v>0</v>
      </c>
    </row>
    <row r="580" spans="1:11">
      <c r="A580" t="s">
        <v>6835</v>
      </c>
      <c r="B580" s="1">
        <v>42369</v>
      </c>
      <c r="C580" t="s">
        <v>6836</v>
      </c>
      <c r="D580">
        <v>1</v>
      </c>
      <c r="E580" t="s">
        <v>1315</v>
      </c>
      <c r="F580" t="s">
        <v>714</v>
      </c>
      <c r="G580" s="105" t="s">
        <v>7103</v>
      </c>
      <c r="H580" s="7">
        <f t="shared" si="8"/>
        <v>315.5</v>
      </c>
      <c r="I580" s="27">
        <v>50.48</v>
      </c>
    </row>
    <row r="581" spans="1:11" s="155" customFormat="1">
      <c r="A581" s="155" t="s">
        <v>6835</v>
      </c>
      <c r="B581" s="156">
        <v>42369</v>
      </c>
      <c r="C581" s="155" t="s">
        <v>6836</v>
      </c>
      <c r="D581" s="155">
        <v>1</v>
      </c>
      <c r="E581" s="155" t="s">
        <v>1315</v>
      </c>
      <c r="F581" s="157" t="s">
        <v>722</v>
      </c>
      <c r="G581" s="160" t="s">
        <v>5693</v>
      </c>
      <c r="H581" s="7">
        <f t="shared" si="8"/>
        <v>47.4375</v>
      </c>
      <c r="I581" s="161">
        <v>7.59</v>
      </c>
      <c r="J581" s="159"/>
      <c r="K581" s="159"/>
    </row>
    <row r="582" spans="1:11">
      <c r="A582" t="s">
        <v>6835</v>
      </c>
      <c r="B582" s="1">
        <v>42369</v>
      </c>
      <c r="C582" t="s">
        <v>6836</v>
      </c>
      <c r="D582">
        <v>1</v>
      </c>
      <c r="E582" t="s">
        <v>1315</v>
      </c>
      <c r="F582" s="119" t="s">
        <v>1632</v>
      </c>
      <c r="G582" s="120" t="s">
        <v>1633</v>
      </c>
      <c r="H582" s="7">
        <f t="shared" si="8"/>
        <v>419.37499999999994</v>
      </c>
      <c r="I582" s="121">
        <v>67.099999999999994</v>
      </c>
      <c r="J582" s="7">
        <f>782.31-H580-H581-H582</f>
        <v>-2.4999999999977263E-3</v>
      </c>
      <c r="K582" s="7">
        <f>125.17-I580-I581-I582</f>
        <v>0</v>
      </c>
    </row>
    <row r="583" spans="1:11">
      <c r="A583" t="s">
        <v>6837</v>
      </c>
      <c r="B583" s="1">
        <v>42369</v>
      </c>
      <c r="C583" t="s">
        <v>6838</v>
      </c>
      <c r="D583">
        <v>1</v>
      </c>
      <c r="E583" t="s">
        <v>1315</v>
      </c>
      <c r="F583" s="28" t="s">
        <v>7130</v>
      </c>
      <c r="G583" s="105" t="s">
        <v>7131</v>
      </c>
      <c r="H583" s="7">
        <f t="shared" ref="H583:H646" si="9">+I583/0.16</f>
        <v>37.0625</v>
      </c>
      <c r="I583" s="27">
        <v>5.93</v>
      </c>
    </row>
    <row r="584" spans="1:11" s="155" customFormat="1">
      <c r="A584" s="155" t="s">
        <v>6837</v>
      </c>
      <c r="B584" s="156">
        <v>42369</v>
      </c>
      <c r="C584" s="155" t="s">
        <v>6838</v>
      </c>
      <c r="D584" s="155">
        <v>1</v>
      </c>
      <c r="E584" s="155" t="s">
        <v>1315</v>
      </c>
      <c r="F584" s="157" t="s">
        <v>722</v>
      </c>
      <c r="G584" s="160" t="s">
        <v>5693</v>
      </c>
      <c r="H584" s="7">
        <f t="shared" si="9"/>
        <v>30.1875</v>
      </c>
      <c r="I584" s="161">
        <v>4.83</v>
      </c>
      <c r="J584" s="159"/>
      <c r="K584" s="159"/>
    </row>
    <row r="585" spans="1:11">
      <c r="A585" t="s">
        <v>6837</v>
      </c>
      <c r="B585" s="1">
        <v>42369</v>
      </c>
      <c r="C585" t="s">
        <v>6838</v>
      </c>
      <c r="D585">
        <v>1</v>
      </c>
      <c r="E585" t="s">
        <v>1315</v>
      </c>
      <c r="F585" s="119" t="s">
        <v>778</v>
      </c>
      <c r="G585" s="120" t="s">
        <v>779</v>
      </c>
      <c r="H585" s="7">
        <f t="shared" si="9"/>
        <v>251.75</v>
      </c>
      <c r="I585" s="121">
        <v>40.28</v>
      </c>
      <c r="J585" s="7">
        <f>319-H583-H584-H585</f>
        <v>0</v>
      </c>
      <c r="K585" s="7">
        <f>51.04-I583-I584-I585</f>
        <v>0</v>
      </c>
    </row>
    <row r="586" spans="1:11">
      <c r="A586" t="s">
        <v>6839</v>
      </c>
      <c r="B586" s="1">
        <v>42369</v>
      </c>
      <c r="C586" t="s">
        <v>6840</v>
      </c>
      <c r="D586">
        <v>1</v>
      </c>
      <c r="E586" t="s">
        <v>1315</v>
      </c>
      <c r="F586" t="s">
        <v>714</v>
      </c>
      <c r="G586" s="105" t="s">
        <v>7213</v>
      </c>
      <c r="H586" s="7">
        <f t="shared" si="9"/>
        <v>58.625000000000007</v>
      </c>
      <c r="I586" s="27">
        <v>9.3800000000000008</v>
      </c>
    </row>
    <row r="587" spans="1:11">
      <c r="A587" t="s">
        <v>6839</v>
      </c>
      <c r="B587" s="1">
        <v>42369</v>
      </c>
      <c r="C587" t="s">
        <v>6840</v>
      </c>
      <c r="D587">
        <v>1</v>
      </c>
      <c r="E587" t="s">
        <v>1315</v>
      </c>
      <c r="F587" s="28" t="s">
        <v>5354</v>
      </c>
      <c r="G587" s="105" t="s">
        <v>7214</v>
      </c>
      <c r="H587" s="7">
        <f t="shared" si="9"/>
        <v>62.124999999999993</v>
      </c>
      <c r="I587" s="27">
        <v>9.94</v>
      </c>
    </row>
    <row r="588" spans="1:11" s="155" customFormat="1">
      <c r="A588" s="155" t="s">
        <v>6839</v>
      </c>
      <c r="B588" s="156">
        <v>42369</v>
      </c>
      <c r="C588" s="155" t="s">
        <v>6840</v>
      </c>
      <c r="D588" s="155">
        <v>1</v>
      </c>
      <c r="E588" s="155" t="s">
        <v>1315</v>
      </c>
      <c r="F588" s="157" t="s">
        <v>722</v>
      </c>
      <c r="G588" s="160" t="s">
        <v>5693</v>
      </c>
      <c r="H588" s="7">
        <f t="shared" si="9"/>
        <v>56.0625</v>
      </c>
      <c r="I588" s="161">
        <v>8.9700000000000006</v>
      </c>
      <c r="J588" s="159"/>
      <c r="K588" s="159"/>
    </row>
    <row r="589" spans="1:11">
      <c r="A589" t="s">
        <v>6839</v>
      </c>
      <c r="B589" s="1">
        <v>42369</v>
      </c>
      <c r="C589" t="s">
        <v>6840</v>
      </c>
      <c r="D589">
        <v>1</v>
      </c>
      <c r="E589" t="s">
        <v>1315</v>
      </c>
      <c r="F589" s="28" t="s">
        <v>764</v>
      </c>
      <c r="G589" s="105" t="s">
        <v>765</v>
      </c>
      <c r="H589" s="7">
        <f t="shared" si="9"/>
        <v>226.75</v>
      </c>
      <c r="I589" s="27">
        <v>36.28</v>
      </c>
    </row>
    <row r="590" spans="1:11">
      <c r="A590" t="s">
        <v>6839</v>
      </c>
      <c r="B590" s="1">
        <v>42369</v>
      </c>
      <c r="C590" t="s">
        <v>6840</v>
      </c>
      <c r="D590">
        <v>1</v>
      </c>
      <c r="E590" t="s">
        <v>1315</v>
      </c>
      <c r="F590" s="28" t="s">
        <v>2231</v>
      </c>
      <c r="G590" s="105" t="s">
        <v>2232</v>
      </c>
      <c r="H590" s="7">
        <f t="shared" si="9"/>
        <v>411.875</v>
      </c>
      <c r="I590" s="27">
        <v>65.900000000000006</v>
      </c>
    </row>
    <row r="591" spans="1:11">
      <c r="A591" t="s">
        <v>6839</v>
      </c>
      <c r="B591" s="1">
        <v>42369</v>
      </c>
      <c r="C591" t="s">
        <v>6840</v>
      </c>
      <c r="D591">
        <v>1</v>
      </c>
      <c r="E591" t="s">
        <v>1315</v>
      </c>
      <c r="F591" s="28" t="s">
        <v>939</v>
      </c>
      <c r="G591" s="105" t="s">
        <v>7215</v>
      </c>
      <c r="H591" s="7">
        <f t="shared" si="9"/>
        <v>77.5625</v>
      </c>
      <c r="I591" s="27">
        <v>12.41</v>
      </c>
      <c r="J591" s="7">
        <f>893-H586-H587-H588-H589-H590-H591</f>
        <v>0</v>
      </c>
      <c r="K591" s="7">
        <f>142.88-I586-I587-I588-I589-I590-I591</f>
        <v>0</v>
      </c>
    </row>
    <row r="592" spans="1:11">
      <c r="A592" t="s">
        <v>6846</v>
      </c>
      <c r="B592" s="1">
        <v>42369</v>
      </c>
      <c r="C592" t="s">
        <v>6847</v>
      </c>
      <c r="D592">
        <v>1</v>
      </c>
      <c r="E592" t="s">
        <v>1315</v>
      </c>
      <c r="F592" t="s">
        <v>714</v>
      </c>
      <c r="G592" s="105" t="s">
        <v>715</v>
      </c>
      <c r="H592" s="7">
        <f t="shared" si="9"/>
        <v>159.5</v>
      </c>
      <c r="I592" s="27">
        <v>25.52</v>
      </c>
    </row>
    <row r="593" spans="1:11">
      <c r="A593" t="s">
        <v>6846</v>
      </c>
      <c r="B593" s="1">
        <v>42369</v>
      </c>
      <c r="C593" t="s">
        <v>6847</v>
      </c>
      <c r="D593">
        <v>1</v>
      </c>
      <c r="E593" t="s">
        <v>1315</v>
      </c>
      <c r="F593" s="28" t="s">
        <v>6275</v>
      </c>
      <c r="G593" s="105" t="s">
        <v>7177</v>
      </c>
      <c r="H593" s="7">
        <f t="shared" si="9"/>
        <v>150.875</v>
      </c>
      <c r="I593" s="27">
        <v>24.14</v>
      </c>
    </row>
    <row r="594" spans="1:11">
      <c r="A594" t="s">
        <v>6846</v>
      </c>
      <c r="B594" s="1">
        <v>42369</v>
      </c>
      <c r="C594" t="s">
        <v>6847</v>
      </c>
      <c r="D594">
        <v>1</v>
      </c>
      <c r="E594" t="s">
        <v>1315</v>
      </c>
      <c r="F594" s="28" t="s">
        <v>6280</v>
      </c>
      <c r="G594" s="105" t="s">
        <v>7178</v>
      </c>
      <c r="H594" s="7">
        <f t="shared" si="9"/>
        <v>341.4375</v>
      </c>
      <c r="I594" s="27">
        <v>54.63</v>
      </c>
    </row>
    <row r="595" spans="1:11">
      <c r="A595" t="s">
        <v>6846</v>
      </c>
      <c r="B595" s="1">
        <v>42369</v>
      </c>
      <c r="C595" t="s">
        <v>6847</v>
      </c>
      <c r="D595">
        <v>1</v>
      </c>
      <c r="E595" t="s">
        <v>1315</v>
      </c>
      <c r="F595" s="28" t="s">
        <v>7179</v>
      </c>
      <c r="G595" s="105" t="s">
        <v>7180</v>
      </c>
      <c r="H595" s="7">
        <f t="shared" si="9"/>
        <v>40</v>
      </c>
      <c r="I595" s="27">
        <v>6.4</v>
      </c>
      <c r="J595" s="7">
        <f>691.81-H592-H593-H594-H595</f>
        <v>-2.5000000000545697E-3</v>
      </c>
      <c r="K595" s="7">
        <f>110.69-I592-I593-I594-I595</f>
        <v>0</v>
      </c>
    </row>
    <row r="596" spans="1:11">
      <c r="A596" t="s">
        <v>6848</v>
      </c>
      <c r="B596" s="1">
        <v>42369</v>
      </c>
      <c r="C596" t="s">
        <v>6849</v>
      </c>
      <c r="D596">
        <v>1</v>
      </c>
      <c r="E596" t="s">
        <v>1315</v>
      </c>
      <c r="F596" s="28" t="s">
        <v>2241</v>
      </c>
      <c r="G596" s="105" t="s">
        <v>2710</v>
      </c>
      <c r="H596" s="7">
        <f t="shared" si="9"/>
        <v>105.18749999999999</v>
      </c>
      <c r="I596" s="27">
        <v>16.829999999999998</v>
      </c>
    </row>
    <row r="597" spans="1:11">
      <c r="A597" t="s">
        <v>6848</v>
      </c>
      <c r="B597" s="1">
        <v>42369</v>
      </c>
      <c r="C597" t="s">
        <v>6849</v>
      </c>
      <c r="D597">
        <v>1</v>
      </c>
      <c r="E597" t="s">
        <v>1315</v>
      </c>
      <c r="F597" s="28" t="s">
        <v>7181</v>
      </c>
      <c r="G597" s="105" t="s">
        <v>7182</v>
      </c>
      <c r="H597" s="7">
        <f t="shared" si="9"/>
        <v>69.8125</v>
      </c>
      <c r="I597" s="27">
        <v>11.17</v>
      </c>
    </row>
    <row r="598" spans="1:11">
      <c r="A598" t="s">
        <v>6848</v>
      </c>
      <c r="B598" s="1">
        <v>42369</v>
      </c>
      <c r="C598" t="s">
        <v>6849</v>
      </c>
      <c r="D598">
        <v>1</v>
      </c>
      <c r="E598" t="s">
        <v>1315</v>
      </c>
      <c r="F598" s="28" t="s">
        <v>5430</v>
      </c>
      <c r="G598" s="105" t="s">
        <v>7183</v>
      </c>
      <c r="H598" s="7">
        <f t="shared" si="9"/>
        <v>18.965517241379313</v>
      </c>
      <c r="I598" s="27">
        <v>3.0344827586206904</v>
      </c>
    </row>
    <row r="599" spans="1:11">
      <c r="A599" t="s">
        <v>6848</v>
      </c>
      <c r="B599" s="1">
        <v>42369</v>
      </c>
      <c r="C599" t="s">
        <v>6849</v>
      </c>
      <c r="D599">
        <v>1</v>
      </c>
      <c r="E599" t="s">
        <v>1315</v>
      </c>
      <c r="F599" s="28" t="s">
        <v>7184</v>
      </c>
      <c r="G599" s="105" t="s">
        <v>7185</v>
      </c>
      <c r="H599" s="7">
        <f t="shared" si="9"/>
        <v>29.312500000000004</v>
      </c>
      <c r="I599" s="27">
        <v>4.6900000000000004</v>
      </c>
    </row>
    <row r="600" spans="1:11">
      <c r="A600" t="s">
        <v>6848</v>
      </c>
      <c r="B600" s="1">
        <v>42369</v>
      </c>
      <c r="C600" t="s">
        <v>6849</v>
      </c>
      <c r="D600">
        <v>1</v>
      </c>
      <c r="E600" t="s">
        <v>1315</v>
      </c>
      <c r="F600" s="119" t="s">
        <v>7186</v>
      </c>
      <c r="G600" s="120" t="s">
        <v>7187</v>
      </c>
      <c r="H600" s="7">
        <f t="shared" si="9"/>
        <v>288.1875</v>
      </c>
      <c r="I600" s="121">
        <v>46.11</v>
      </c>
    </row>
    <row r="601" spans="1:11" s="155" customFormat="1">
      <c r="A601" s="155" t="s">
        <v>6848</v>
      </c>
      <c r="B601" s="156">
        <v>42369</v>
      </c>
      <c r="C601" s="155" t="s">
        <v>6849</v>
      </c>
      <c r="D601" s="155">
        <v>1</v>
      </c>
      <c r="E601" s="155" t="s">
        <v>1315</v>
      </c>
      <c r="F601" s="157" t="s">
        <v>722</v>
      </c>
      <c r="G601" s="160" t="s">
        <v>5693</v>
      </c>
      <c r="H601" s="7">
        <f t="shared" si="9"/>
        <v>426.75</v>
      </c>
      <c r="I601" s="161">
        <v>68.28</v>
      </c>
      <c r="J601" s="159"/>
      <c r="K601" s="159"/>
    </row>
    <row r="602" spans="1:11">
      <c r="A602" t="s">
        <v>6848</v>
      </c>
      <c r="B602" s="1">
        <v>42369</v>
      </c>
      <c r="C602" t="s">
        <v>6849</v>
      </c>
      <c r="D602">
        <v>1</v>
      </c>
      <c r="E602" t="s">
        <v>1315</v>
      </c>
      <c r="F602" s="28" t="s">
        <v>1636</v>
      </c>
      <c r="G602" s="105" t="s">
        <v>1637</v>
      </c>
      <c r="H602" s="7">
        <f t="shared" si="9"/>
        <v>94.8125</v>
      </c>
      <c r="I602" s="27">
        <v>15.17</v>
      </c>
    </row>
    <row r="603" spans="1:11">
      <c r="A603" t="s">
        <v>6848</v>
      </c>
      <c r="B603" s="1">
        <v>42369</v>
      </c>
      <c r="C603" t="s">
        <v>6849</v>
      </c>
      <c r="D603">
        <v>1</v>
      </c>
      <c r="E603" t="s">
        <v>1315</v>
      </c>
      <c r="F603" s="28" t="s">
        <v>6093</v>
      </c>
      <c r="G603" s="105" t="s">
        <v>5737</v>
      </c>
      <c r="H603" s="7">
        <f t="shared" si="9"/>
        <v>49.125</v>
      </c>
      <c r="I603" s="27">
        <v>7.86</v>
      </c>
    </row>
    <row r="604" spans="1:11">
      <c r="A604" t="s">
        <v>6848</v>
      </c>
      <c r="B604" s="1">
        <v>42369</v>
      </c>
      <c r="C604" t="s">
        <v>6849</v>
      </c>
      <c r="D604">
        <v>1</v>
      </c>
      <c r="E604" t="s">
        <v>1315</v>
      </c>
      <c r="F604" s="28" t="s">
        <v>7188</v>
      </c>
      <c r="G604" s="105" t="s">
        <v>7189</v>
      </c>
      <c r="H604" s="7">
        <f t="shared" si="9"/>
        <v>403.3125</v>
      </c>
      <c r="I604" s="27">
        <v>64.53</v>
      </c>
    </row>
    <row r="605" spans="1:11">
      <c r="A605" t="s">
        <v>6848</v>
      </c>
      <c r="B605" s="1">
        <v>42369</v>
      </c>
      <c r="C605" t="s">
        <v>6849</v>
      </c>
      <c r="D605">
        <v>1</v>
      </c>
      <c r="E605" t="s">
        <v>1315</v>
      </c>
      <c r="F605" s="119" t="s">
        <v>3232</v>
      </c>
      <c r="G605" s="120" t="s">
        <v>7190</v>
      </c>
      <c r="H605" s="7">
        <f t="shared" si="9"/>
        <v>453.24999999999994</v>
      </c>
      <c r="I605" s="121">
        <v>72.52</v>
      </c>
    </row>
    <row r="606" spans="1:11">
      <c r="A606" t="s">
        <v>6848</v>
      </c>
      <c r="B606" s="1">
        <v>42369</v>
      </c>
      <c r="C606" t="s">
        <v>6849</v>
      </c>
      <c r="D606">
        <v>1</v>
      </c>
      <c r="E606" t="s">
        <v>1315</v>
      </c>
      <c r="F606" s="28" t="s">
        <v>915</v>
      </c>
      <c r="G606" s="105" t="s">
        <v>916</v>
      </c>
      <c r="H606" s="7">
        <f t="shared" si="9"/>
        <v>1470.6875</v>
      </c>
      <c r="I606" s="27">
        <v>235.31</v>
      </c>
    </row>
    <row r="607" spans="1:11">
      <c r="A607" t="s">
        <v>6848</v>
      </c>
      <c r="B607" s="1">
        <v>42369</v>
      </c>
      <c r="C607" t="s">
        <v>6849</v>
      </c>
      <c r="D607">
        <v>1</v>
      </c>
      <c r="E607" t="s">
        <v>1315</v>
      </c>
      <c r="F607" s="28" t="s">
        <v>7191</v>
      </c>
      <c r="G607" s="105" t="s">
        <v>7192</v>
      </c>
      <c r="H607" s="7">
        <f t="shared" si="9"/>
        <v>409.5625</v>
      </c>
      <c r="I607" s="27">
        <v>65.53</v>
      </c>
    </row>
    <row r="608" spans="1:11">
      <c r="A608" t="s">
        <v>6848</v>
      </c>
      <c r="B608" s="1">
        <v>42369</v>
      </c>
      <c r="C608" t="s">
        <v>6849</v>
      </c>
      <c r="D608">
        <v>1</v>
      </c>
      <c r="E608" t="s">
        <v>1315</v>
      </c>
      <c r="F608" s="119" t="s">
        <v>1617</v>
      </c>
      <c r="G608" s="120" t="s">
        <v>7193</v>
      </c>
      <c r="H608" s="7">
        <f t="shared" si="9"/>
        <v>437.24999999999994</v>
      </c>
      <c r="I608" s="121">
        <v>69.959999999999994</v>
      </c>
    </row>
    <row r="609" spans="1:11">
      <c r="A609" t="s">
        <v>6848</v>
      </c>
      <c r="B609" s="1">
        <v>42369</v>
      </c>
      <c r="C609" t="s">
        <v>6849</v>
      </c>
      <c r="D609">
        <v>1</v>
      </c>
      <c r="E609" t="s">
        <v>1315</v>
      </c>
      <c r="F609" s="28" t="s">
        <v>921</v>
      </c>
      <c r="G609" s="105" t="s">
        <v>7194</v>
      </c>
      <c r="H609" s="7">
        <f t="shared" si="9"/>
        <v>209.5625</v>
      </c>
      <c r="I609" s="27">
        <v>33.53</v>
      </c>
    </row>
    <row r="610" spans="1:11">
      <c r="A610" t="s">
        <v>6848</v>
      </c>
      <c r="B610" s="1">
        <v>42369</v>
      </c>
      <c r="C610" t="s">
        <v>6849</v>
      </c>
      <c r="D610">
        <v>1</v>
      </c>
      <c r="E610" t="s">
        <v>1315</v>
      </c>
      <c r="F610" s="28" t="s">
        <v>7195</v>
      </c>
      <c r="G610" s="105" t="s">
        <v>7196</v>
      </c>
      <c r="H610" s="7">
        <f t="shared" si="9"/>
        <v>406.87499999999994</v>
      </c>
      <c r="I610" s="27">
        <v>65.099999999999994</v>
      </c>
      <c r="J610" s="7">
        <f>4872.63-H596-H597-H598-H599-H600-H601-H602-H603-H604-H605-H606-H607-H608-H609-H610</f>
        <v>-2.3017241379363895E-2</v>
      </c>
      <c r="K610" s="7">
        <f>779.62-I596-I597-I598-I599-I600-I601-I602-I603-I604-I605-I606-I607-I608-I609-I610</f>
        <v>-4.4827586206537262E-3</v>
      </c>
    </row>
    <row r="611" spans="1:11">
      <c r="A611" t="s">
        <v>6850</v>
      </c>
      <c r="B611" s="1">
        <v>42369</v>
      </c>
      <c r="C611" t="s">
        <v>6851</v>
      </c>
      <c r="D611">
        <v>1</v>
      </c>
      <c r="E611" t="s">
        <v>1315</v>
      </c>
      <c r="F611" t="s">
        <v>714</v>
      </c>
      <c r="G611" s="105" t="s">
        <v>715</v>
      </c>
      <c r="H611" s="7">
        <f t="shared" si="9"/>
        <v>243.125</v>
      </c>
      <c r="I611" s="27">
        <v>38.9</v>
      </c>
    </row>
    <row r="612" spans="1:11">
      <c r="A612" t="s">
        <v>6850</v>
      </c>
      <c r="B612" s="1">
        <v>42369</v>
      </c>
      <c r="C612" t="s">
        <v>6851</v>
      </c>
      <c r="D612">
        <v>1</v>
      </c>
      <c r="E612" t="s">
        <v>1315</v>
      </c>
      <c r="F612" s="28" t="s">
        <v>2761</v>
      </c>
      <c r="G612" s="105" t="s">
        <v>2762</v>
      </c>
      <c r="H612" s="7">
        <f t="shared" si="9"/>
        <v>432.74999999999994</v>
      </c>
      <c r="I612" s="27">
        <v>69.239999999999995</v>
      </c>
    </row>
    <row r="613" spans="1:11">
      <c r="A613" t="s">
        <v>6850</v>
      </c>
      <c r="B613" s="1">
        <v>42369</v>
      </c>
      <c r="C613" t="s">
        <v>6851</v>
      </c>
      <c r="D613">
        <v>1</v>
      </c>
      <c r="E613" t="s">
        <v>1315</v>
      </c>
      <c r="F613" s="28" t="s">
        <v>5365</v>
      </c>
      <c r="G613" s="105" t="s">
        <v>5678</v>
      </c>
      <c r="H613" s="7">
        <f t="shared" si="9"/>
        <v>166.37499999999997</v>
      </c>
      <c r="I613" s="27">
        <v>26.619999999999997</v>
      </c>
    </row>
    <row r="614" spans="1:11" s="155" customFormat="1">
      <c r="A614" s="155" t="s">
        <v>6850</v>
      </c>
      <c r="B614" s="156">
        <v>42369</v>
      </c>
      <c r="C614" s="155" t="s">
        <v>6851</v>
      </c>
      <c r="D614" s="155">
        <v>1</v>
      </c>
      <c r="E614" s="155" t="s">
        <v>1315</v>
      </c>
      <c r="F614" s="157" t="s">
        <v>722</v>
      </c>
      <c r="G614" s="160" t="s">
        <v>5693</v>
      </c>
      <c r="H614" s="7">
        <f t="shared" si="9"/>
        <v>116.375</v>
      </c>
      <c r="I614" s="161">
        <v>18.62</v>
      </c>
      <c r="J614" s="159"/>
      <c r="K614" s="159"/>
    </row>
    <row r="615" spans="1:11">
      <c r="A615" t="s">
        <v>6850</v>
      </c>
      <c r="B615" s="1">
        <v>42369</v>
      </c>
      <c r="C615" t="s">
        <v>6851</v>
      </c>
      <c r="D615">
        <v>1</v>
      </c>
      <c r="E615" t="s">
        <v>1315</v>
      </c>
      <c r="F615" s="28" t="s">
        <v>762</v>
      </c>
      <c r="G615" s="105" t="s">
        <v>763</v>
      </c>
      <c r="H615" s="7">
        <f t="shared" si="9"/>
        <v>85.3125</v>
      </c>
      <c r="I615" s="27">
        <v>13.65</v>
      </c>
      <c r="J615" s="7">
        <f>1043.94-H611-H612-H613-H614-H615</f>
        <v>2.5000000001398348E-3</v>
      </c>
      <c r="K615" s="7">
        <f>167.03-I611-I612-I613-I614-I615</f>
        <v>0</v>
      </c>
    </row>
    <row r="616" spans="1:11">
      <c r="A616" t="s">
        <v>6852</v>
      </c>
      <c r="B616" s="1">
        <v>42369</v>
      </c>
      <c r="C616" t="s">
        <v>6853</v>
      </c>
      <c r="D616">
        <v>1</v>
      </c>
      <c r="E616" t="s">
        <v>1315</v>
      </c>
      <c r="F616" t="s">
        <v>714</v>
      </c>
      <c r="G616" s="105" t="s">
        <v>715</v>
      </c>
      <c r="H616" s="7">
        <f t="shared" si="9"/>
        <v>48.25</v>
      </c>
      <c r="I616" s="27">
        <v>7.72</v>
      </c>
    </row>
    <row r="617" spans="1:11">
      <c r="A617" t="s">
        <v>6852</v>
      </c>
      <c r="B617" s="1">
        <v>42369</v>
      </c>
      <c r="C617" t="s">
        <v>6853</v>
      </c>
      <c r="D617">
        <v>1</v>
      </c>
      <c r="E617" t="s">
        <v>1315</v>
      </c>
      <c r="F617" s="28" t="s">
        <v>7130</v>
      </c>
      <c r="G617" s="105" t="s">
        <v>7199</v>
      </c>
      <c r="H617" s="7">
        <f t="shared" si="9"/>
        <v>55.1875</v>
      </c>
      <c r="I617" s="27">
        <v>8.83</v>
      </c>
    </row>
    <row r="618" spans="1:11" s="155" customFormat="1">
      <c r="A618" s="155" t="s">
        <v>6852</v>
      </c>
      <c r="B618" s="156">
        <v>42369</v>
      </c>
      <c r="C618" s="155" t="s">
        <v>6853</v>
      </c>
      <c r="D618" s="155">
        <v>1</v>
      </c>
      <c r="E618" s="155" t="s">
        <v>1315</v>
      </c>
      <c r="F618" s="157" t="s">
        <v>722</v>
      </c>
      <c r="G618" s="160" t="s">
        <v>5693</v>
      </c>
      <c r="H618" s="7">
        <f t="shared" si="9"/>
        <v>30.1875</v>
      </c>
      <c r="I618" s="161">
        <v>4.83</v>
      </c>
      <c r="J618" s="159"/>
      <c r="K618" s="159"/>
    </row>
    <row r="619" spans="1:11">
      <c r="A619" t="s">
        <v>6852</v>
      </c>
      <c r="B619" s="1">
        <v>42369</v>
      </c>
      <c r="C619" t="s">
        <v>6853</v>
      </c>
      <c r="D619">
        <v>1</v>
      </c>
      <c r="E619" t="s">
        <v>1315</v>
      </c>
      <c r="F619" s="28" t="s">
        <v>5411</v>
      </c>
      <c r="G619" s="105" t="s">
        <v>7114</v>
      </c>
      <c r="H619" s="7">
        <f t="shared" si="9"/>
        <v>34.5</v>
      </c>
      <c r="I619" s="27">
        <v>5.52</v>
      </c>
    </row>
    <row r="620" spans="1:11">
      <c r="A620" t="s">
        <v>6852</v>
      </c>
      <c r="B620" s="1">
        <v>42369</v>
      </c>
      <c r="C620" t="s">
        <v>6853</v>
      </c>
      <c r="D620">
        <v>1</v>
      </c>
      <c r="E620" t="s">
        <v>1315</v>
      </c>
      <c r="F620" s="28" t="s">
        <v>6662</v>
      </c>
      <c r="G620" s="105" t="s">
        <v>5709</v>
      </c>
      <c r="H620" s="7">
        <f t="shared" si="9"/>
        <v>102.5625</v>
      </c>
      <c r="I620" s="27">
        <v>16.41</v>
      </c>
    </row>
    <row r="621" spans="1:11">
      <c r="A621" t="s">
        <v>6852</v>
      </c>
      <c r="B621" s="1">
        <v>42369</v>
      </c>
      <c r="C621" t="s">
        <v>6853</v>
      </c>
      <c r="D621">
        <v>1</v>
      </c>
      <c r="E621" t="s">
        <v>1315</v>
      </c>
      <c r="F621" s="28" t="s">
        <v>6641</v>
      </c>
      <c r="G621" s="105" t="s">
        <v>7211</v>
      </c>
      <c r="H621" s="7">
        <f t="shared" si="9"/>
        <v>43.9375</v>
      </c>
      <c r="I621" s="27">
        <v>7.03</v>
      </c>
    </row>
    <row r="622" spans="1:11">
      <c r="A622" t="s">
        <v>6852</v>
      </c>
      <c r="B622" s="1">
        <v>42369</v>
      </c>
      <c r="C622" t="s">
        <v>6853</v>
      </c>
      <c r="D622">
        <v>1</v>
      </c>
      <c r="E622" t="s">
        <v>1315</v>
      </c>
      <c r="F622" s="119" t="s">
        <v>6621</v>
      </c>
      <c r="G622" s="120" t="s">
        <v>7157</v>
      </c>
      <c r="H622" s="7">
        <f t="shared" si="9"/>
        <v>335.625</v>
      </c>
      <c r="I622" s="121">
        <v>53.7</v>
      </c>
    </row>
    <row r="623" spans="1:11">
      <c r="A623" t="s">
        <v>6852</v>
      </c>
      <c r="B623" s="1">
        <v>42369</v>
      </c>
      <c r="C623" t="s">
        <v>6853</v>
      </c>
      <c r="D623">
        <v>1</v>
      </c>
      <c r="E623" t="s">
        <v>1315</v>
      </c>
      <c r="F623" t="s">
        <v>915</v>
      </c>
      <c r="G623" s="105" t="s">
        <v>916</v>
      </c>
      <c r="H623" s="7">
        <f t="shared" si="9"/>
        <v>746.5625</v>
      </c>
      <c r="I623">
        <v>119.45</v>
      </c>
    </row>
    <row r="624" spans="1:11">
      <c r="A624" t="s">
        <v>6852</v>
      </c>
      <c r="B624" s="1">
        <v>42369</v>
      </c>
      <c r="C624" t="s">
        <v>6853</v>
      </c>
      <c r="D624">
        <v>1</v>
      </c>
      <c r="E624" t="s">
        <v>1315</v>
      </c>
      <c r="F624" s="28" t="s">
        <v>5377</v>
      </c>
      <c r="G624" s="105" t="s">
        <v>7158</v>
      </c>
      <c r="H624" s="7">
        <f t="shared" si="9"/>
        <v>218.125</v>
      </c>
      <c r="I624" s="27">
        <v>34.9</v>
      </c>
    </row>
    <row r="625" spans="1:11">
      <c r="A625" t="s">
        <v>6852</v>
      </c>
      <c r="B625" s="1">
        <v>42369</v>
      </c>
      <c r="C625" t="s">
        <v>6853</v>
      </c>
      <c r="D625">
        <v>1</v>
      </c>
      <c r="E625" t="s">
        <v>1315</v>
      </c>
      <c r="F625" s="28" t="s">
        <v>945</v>
      </c>
      <c r="G625" s="105" t="s">
        <v>7212</v>
      </c>
      <c r="H625" s="7">
        <f t="shared" si="9"/>
        <v>455.31249999999994</v>
      </c>
      <c r="I625" s="27">
        <v>72.849999999999994</v>
      </c>
      <c r="J625" s="7">
        <f>2070.25-H616-H617-H618-H619-H620-H621-H622-H623-H624-H625</f>
        <v>0</v>
      </c>
      <c r="K625" s="7">
        <f>331.24-I616-I617-I618-I619-I620-I621-I622-I623-I624-I625</f>
        <v>0</v>
      </c>
    </row>
    <row r="626" spans="1:11">
      <c r="A626" t="s">
        <v>6854</v>
      </c>
      <c r="B626" s="1">
        <v>42369</v>
      </c>
      <c r="C626" t="s">
        <v>6855</v>
      </c>
      <c r="D626">
        <v>1</v>
      </c>
      <c r="E626" t="s">
        <v>1315</v>
      </c>
      <c r="F626" t="s">
        <v>714</v>
      </c>
      <c r="G626" s="105" t="s">
        <v>715</v>
      </c>
      <c r="H626" s="7">
        <f t="shared" si="9"/>
        <v>206.875</v>
      </c>
      <c r="I626" s="27">
        <v>33.1</v>
      </c>
    </row>
    <row r="627" spans="1:11" s="155" customFormat="1">
      <c r="A627" s="155" t="s">
        <v>6854</v>
      </c>
      <c r="B627" s="156">
        <v>42369</v>
      </c>
      <c r="C627" s="155" t="s">
        <v>6855</v>
      </c>
      <c r="D627" s="155">
        <v>1</v>
      </c>
      <c r="E627" s="155" t="s">
        <v>1315</v>
      </c>
      <c r="F627" s="157" t="s">
        <v>722</v>
      </c>
      <c r="G627" s="160" t="s">
        <v>5693</v>
      </c>
      <c r="H627" s="7">
        <f t="shared" si="9"/>
        <v>176.75</v>
      </c>
      <c r="I627" s="161">
        <v>28.28</v>
      </c>
      <c r="J627" s="159"/>
      <c r="K627" s="159"/>
    </row>
    <row r="628" spans="1:11">
      <c r="A628" t="s">
        <v>6854</v>
      </c>
      <c r="B628" s="1">
        <v>42369</v>
      </c>
      <c r="C628" t="s">
        <v>6855</v>
      </c>
      <c r="D628">
        <v>1</v>
      </c>
      <c r="E628" t="s">
        <v>1315</v>
      </c>
      <c r="F628" s="28" t="s">
        <v>911</v>
      </c>
      <c r="G628" s="105" t="s">
        <v>2704</v>
      </c>
      <c r="H628" s="7">
        <f t="shared" si="9"/>
        <v>51.749999999999993</v>
      </c>
      <c r="I628" s="27">
        <v>8.2799999999999994</v>
      </c>
    </row>
    <row r="629" spans="1:11">
      <c r="A629" t="s">
        <v>6854</v>
      </c>
      <c r="B629" s="1">
        <v>42369</v>
      </c>
      <c r="C629" t="s">
        <v>6855</v>
      </c>
      <c r="D629">
        <v>1</v>
      </c>
      <c r="E629" t="s">
        <v>1315</v>
      </c>
      <c r="F629" s="119" t="s">
        <v>780</v>
      </c>
      <c r="G629" s="120" t="s">
        <v>781</v>
      </c>
      <c r="H629" s="7">
        <f t="shared" si="9"/>
        <v>335.5625</v>
      </c>
      <c r="I629" s="121">
        <v>53.69</v>
      </c>
      <c r="J629" s="7">
        <f>770.94-H626-H627-H628-H629</f>
        <v>2.5000000000545697E-3</v>
      </c>
      <c r="K629" s="7">
        <f>123.35-I626-I627-I628-I629</f>
        <v>0</v>
      </c>
    </row>
    <row r="630" spans="1:11">
      <c r="A630" t="s">
        <v>6856</v>
      </c>
      <c r="B630" s="1">
        <v>42369</v>
      </c>
      <c r="C630" t="s">
        <v>6857</v>
      </c>
      <c r="D630">
        <v>1</v>
      </c>
      <c r="E630" t="s">
        <v>1315</v>
      </c>
      <c r="F630" t="s">
        <v>714</v>
      </c>
      <c r="G630" s="105" t="s">
        <v>715</v>
      </c>
      <c r="H630" s="7">
        <f t="shared" si="9"/>
        <v>243.125</v>
      </c>
      <c r="I630" s="27">
        <v>38.9</v>
      </c>
    </row>
    <row r="631" spans="1:11" s="155" customFormat="1">
      <c r="A631" s="155" t="s">
        <v>6856</v>
      </c>
      <c r="B631" s="156">
        <v>42369</v>
      </c>
      <c r="C631" s="155" t="s">
        <v>6857</v>
      </c>
      <c r="D631" s="155">
        <v>1</v>
      </c>
      <c r="E631" s="155" t="s">
        <v>1315</v>
      </c>
      <c r="F631" s="157" t="s">
        <v>722</v>
      </c>
      <c r="G631" s="160" t="s">
        <v>5693</v>
      </c>
      <c r="H631" s="7">
        <f t="shared" si="9"/>
        <v>176.75</v>
      </c>
      <c r="I631" s="161">
        <v>28.28</v>
      </c>
      <c r="J631" s="159"/>
      <c r="K631" s="159"/>
    </row>
    <row r="632" spans="1:11">
      <c r="A632" t="s">
        <v>6856</v>
      </c>
      <c r="B632" s="1">
        <v>42369</v>
      </c>
      <c r="C632" t="s">
        <v>6857</v>
      </c>
      <c r="D632">
        <v>1</v>
      </c>
      <c r="E632" t="s">
        <v>1315</v>
      </c>
      <c r="F632" s="28" t="s">
        <v>2724</v>
      </c>
      <c r="G632" s="105" t="s">
        <v>7164</v>
      </c>
      <c r="H632" s="7">
        <f t="shared" si="9"/>
        <v>341.5</v>
      </c>
      <c r="I632" s="27">
        <v>54.64</v>
      </c>
    </row>
    <row r="633" spans="1:11">
      <c r="A633" t="s">
        <v>6856</v>
      </c>
      <c r="B633" s="1">
        <v>42369</v>
      </c>
      <c r="C633" t="s">
        <v>6857</v>
      </c>
      <c r="D633">
        <v>1</v>
      </c>
      <c r="E633" t="s">
        <v>1315</v>
      </c>
      <c r="F633" s="28" t="s">
        <v>935</v>
      </c>
      <c r="G633" s="105" t="s">
        <v>936</v>
      </c>
      <c r="H633" s="7">
        <f t="shared" si="9"/>
        <v>86.187499999999986</v>
      </c>
      <c r="I633" s="27">
        <v>13.79</v>
      </c>
      <c r="J633" s="7">
        <f>847.56-H630-H631-H632-H633</f>
        <v>-2.5000000000403588E-3</v>
      </c>
      <c r="K633" s="7">
        <f>135.61-I630-I631-I632-I633</f>
        <v>0</v>
      </c>
    </row>
    <row r="634" spans="1:11">
      <c r="A634" t="s">
        <v>6858</v>
      </c>
      <c r="B634" s="1">
        <v>42369</v>
      </c>
      <c r="C634" t="s">
        <v>6859</v>
      </c>
      <c r="D634">
        <v>1</v>
      </c>
      <c r="E634" t="s">
        <v>1315</v>
      </c>
      <c r="F634" t="s">
        <v>923</v>
      </c>
      <c r="G634" s="105" t="s">
        <v>924</v>
      </c>
      <c r="H634" s="7">
        <f t="shared" si="9"/>
        <v>497.4375</v>
      </c>
      <c r="I634" s="27">
        <v>79.59</v>
      </c>
    </row>
    <row r="635" spans="1:11">
      <c r="A635" t="s">
        <v>6858</v>
      </c>
      <c r="B635" s="1">
        <v>42369</v>
      </c>
      <c r="C635" t="s">
        <v>6859</v>
      </c>
      <c r="D635">
        <v>1</v>
      </c>
      <c r="E635" t="s">
        <v>1315</v>
      </c>
      <c r="F635" s="28" t="s">
        <v>7130</v>
      </c>
      <c r="G635" s="105" t="s">
        <v>7131</v>
      </c>
      <c r="H635" s="7">
        <f t="shared" si="9"/>
        <v>55.1875</v>
      </c>
      <c r="I635" s="27">
        <v>8.83</v>
      </c>
    </row>
    <row r="636" spans="1:11" s="155" customFormat="1">
      <c r="A636" s="155" t="s">
        <v>6858</v>
      </c>
      <c r="B636" s="156">
        <v>42369</v>
      </c>
      <c r="C636" s="155" t="s">
        <v>6859</v>
      </c>
      <c r="D636" s="155">
        <v>1</v>
      </c>
      <c r="E636" s="155" t="s">
        <v>1315</v>
      </c>
      <c r="F636" s="157" t="s">
        <v>722</v>
      </c>
      <c r="G636" s="160" t="s">
        <v>5693</v>
      </c>
      <c r="H636" s="7">
        <f t="shared" si="9"/>
        <v>30.1875</v>
      </c>
      <c r="I636" s="161">
        <v>4.83</v>
      </c>
      <c r="J636" s="159"/>
      <c r="K636" s="159"/>
    </row>
    <row r="637" spans="1:11">
      <c r="A637" t="s">
        <v>6858</v>
      </c>
      <c r="B637" s="1">
        <v>42369</v>
      </c>
      <c r="C637" t="s">
        <v>6859</v>
      </c>
      <c r="D637">
        <v>1</v>
      </c>
      <c r="E637" t="s">
        <v>1315</v>
      </c>
      <c r="F637" s="28" t="s">
        <v>5659</v>
      </c>
      <c r="G637" s="105" t="s">
        <v>7208</v>
      </c>
      <c r="H637" s="7">
        <f t="shared" si="9"/>
        <v>73.25</v>
      </c>
      <c r="I637" s="27">
        <v>11.72</v>
      </c>
    </row>
    <row r="638" spans="1:11">
      <c r="A638" t="s">
        <v>6858</v>
      </c>
      <c r="B638" s="1">
        <v>42369</v>
      </c>
      <c r="C638" t="s">
        <v>6859</v>
      </c>
      <c r="D638">
        <v>1</v>
      </c>
      <c r="E638" t="s">
        <v>1315</v>
      </c>
      <c r="F638" s="119" t="s">
        <v>7209</v>
      </c>
      <c r="G638" s="120" t="s">
        <v>7210</v>
      </c>
      <c r="H638" s="7">
        <f t="shared" si="9"/>
        <v>671.1875</v>
      </c>
      <c r="I638" s="121">
        <v>107.39</v>
      </c>
    </row>
    <row r="639" spans="1:11">
      <c r="A639" t="s">
        <v>6858</v>
      </c>
      <c r="B639" s="1">
        <v>42369</v>
      </c>
      <c r="C639" t="s">
        <v>6859</v>
      </c>
      <c r="D639">
        <v>1</v>
      </c>
      <c r="E639" t="s">
        <v>1315</v>
      </c>
      <c r="F639" s="28" t="s">
        <v>5377</v>
      </c>
      <c r="G639" s="105" t="s">
        <v>7158</v>
      </c>
      <c r="H639" s="7">
        <f t="shared" si="9"/>
        <v>218.125</v>
      </c>
      <c r="I639" s="27">
        <v>34.9</v>
      </c>
      <c r="J639" s="7">
        <f>1545.38-H634-H635-H636-H637-H638-H639</f>
        <v>5.0000000001091394E-3</v>
      </c>
      <c r="K639" s="7">
        <f>247.26-I634-I635-I636-I637-I638-I639</f>
        <v>0</v>
      </c>
    </row>
    <row r="640" spans="1:11">
      <c r="A640" t="s">
        <v>6860</v>
      </c>
      <c r="B640" s="1">
        <v>42369</v>
      </c>
      <c r="C640" t="s">
        <v>6861</v>
      </c>
      <c r="D640">
        <v>1</v>
      </c>
      <c r="E640" t="s">
        <v>1315</v>
      </c>
      <c r="F640" t="s">
        <v>714</v>
      </c>
      <c r="G640" s="105" t="s">
        <v>715</v>
      </c>
      <c r="H640" s="7">
        <f t="shared" si="9"/>
        <v>206.875</v>
      </c>
      <c r="I640" s="27">
        <v>33.1</v>
      </c>
    </row>
    <row r="641" spans="1:11" s="155" customFormat="1">
      <c r="A641" s="155" t="s">
        <v>6860</v>
      </c>
      <c r="B641" s="156">
        <v>42369</v>
      </c>
      <c r="C641" s="155" t="s">
        <v>6861</v>
      </c>
      <c r="D641" s="155">
        <v>1</v>
      </c>
      <c r="E641" s="155" t="s">
        <v>1315</v>
      </c>
      <c r="F641" s="157" t="s">
        <v>722</v>
      </c>
      <c r="G641" s="160" t="s">
        <v>5693</v>
      </c>
      <c r="H641" s="7">
        <f t="shared" si="9"/>
        <v>176.75</v>
      </c>
      <c r="I641" s="161">
        <v>28.28</v>
      </c>
      <c r="J641" s="159"/>
      <c r="K641" s="159"/>
    </row>
    <row r="642" spans="1:11">
      <c r="A642" t="s">
        <v>6860</v>
      </c>
      <c r="B642" s="1">
        <v>42369</v>
      </c>
      <c r="C642" t="s">
        <v>6861</v>
      </c>
      <c r="D642">
        <v>1</v>
      </c>
      <c r="E642" t="s">
        <v>1315</v>
      </c>
      <c r="F642" s="28" t="s">
        <v>911</v>
      </c>
      <c r="G642" s="105" t="s">
        <v>2704</v>
      </c>
      <c r="H642" s="7">
        <f t="shared" si="9"/>
        <v>68.9375</v>
      </c>
      <c r="I642" s="27">
        <v>11.03</v>
      </c>
    </row>
    <row r="643" spans="1:11">
      <c r="A643" t="s">
        <v>6860</v>
      </c>
      <c r="B643" s="1">
        <v>42369</v>
      </c>
      <c r="C643" t="s">
        <v>6861</v>
      </c>
      <c r="D643">
        <v>1</v>
      </c>
      <c r="E643" t="s">
        <v>1315</v>
      </c>
      <c r="F643" s="119" t="s">
        <v>780</v>
      </c>
      <c r="G643" s="120" t="s">
        <v>781</v>
      </c>
      <c r="H643" s="7">
        <f t="shared" si="9"/>
        <v>341.4375</v>
      </c>
      <c r="I643" s="121">
        <v>54.63</v>
      </c>
      <c r="J643" s="7">
        <f>794-H640-H641-H642-H643</f>
        <v>0</v>
      </c>
      <c r="K643" s="7">
        <f>127.04-I640-I641-I642-I643</f>
        <v>0</v>
      </c>
    </row>
    <row r="644" spans="1:11">
      <c r="A644" t="s">
        <v>6862</v>
      </c>
      <c r="B644" s="1">
        <v>42369</v>
      </c>
      <c r="C644" t="s">
        <v>6863</v>
      </c>
      <c r="D644">
        <v>1</v>
      </c>
      <c r="E644" t="s">
        <v>1315</v>
      </c>
      <c r="F644" t="s">
        <v>714</v>
      </c>
      <c r="G644" s="105" t="s">
        <v>7103</v>
      </c>
      <c r="H644" s="7">
        <f t="shared" si="9"/>
        <v>322.4375</v>
      </c>
      <c r="I644" s="27">
        <v>51.59</v>
      </c>
    </row>
    <row r="645" spans="1:11" s="155" customFormat="1">
      <c r="A645" s="155" t="s">
        <v>6862</v>
      </c>
      <c r="B645" s="156">
        <v>42369</v>
      </c>
      <c r="C645" s="155" t="s">
        <v>6863</v>
      </c>
      <c r="D645" s="155">
        <v>1</v>
      </c>
      <c r="E645" s="155" t="s">
        <v>1315</v>
      </c>
      <c r="F645" s="157" t="s">
        <v>722</v>
      </c>
      <c r="G645" s="160" t="s">
        <v>5693</v>
      </c>
      <c r="H645" s="7">
        <f t="shared" si="9"/>
        <v>176.75</v>
      </c>
      <c r="I645" s="161">
        <v>28.28</v>
      </c>
      <c r="J645" s="159"/>
      <c r="K645" s="159"/>
    </row>
    <row r="646" spans="1:11">
      <c r="A646" t="s">
        <v>6862</v>
      </c>
      <c r="B646" s="1">
        <v>42369</v>
      </c>
      <c r="C646" t="s">
        <v>6863</v>
      </c>
      <c r="D646">
        <v>1</v>
      </c>
      <c r="E646" t="s">
        <v>1315</v>
      </c>
      <c r="F646" s="28" t="s">
        <v>911</v>
      </c>
      <c r="G646" s="105" t="s">
        <v>2704</v>
      </c>
      <c r="H646" s="7">
        <f t="shared" si="9"/>
        <v>83.625</v>
      </c>
      <c r="I646" s="27">
        <v>13.38</v>
      </c>
    </row>
    <row r="647" spans="1:11">
      <c r="A647" t="s">
        <v>6862</v>
      </c>
      <c r="B647" s="1">
        <v>42369</v>
      </c>
      <c r="C647" t="s">
        <v>6863</v>
      </c>
      <c r="D647">
        <v>1</v>
      </c>
      <c r="E647" t="s">
        <v>1315</v>
      </c>
      <c r="F647" s="28" t="s">
        <v>7197</v>
      </c>
      <c r="G647" s="105" t="s">
        <v>7198</v>
      </c>
      <c r="H647" s="7">
        <f t="shared" ref="H647:H710" si="10">+I647/0.16</f>
        <v>377.375</v>
      </c>
      <c r="I647" s="27">
        <v>60.38</v>
      </c>
      <c r="J647" s="7">
        <f>960.19-H644-H645-H646-H647</f>
        <v>2.5000000000545697E-3</v>
      </c>
      <c r="K647" s="7">
        <f>153.63-I644-I645-I646-I647</f>
        <v>0</v>
      </c>
    </row>
    <row r="648" spans="1:11" s="155" customFormat="1">
      <c r="A648" s="155" t="s">
        <v>6864</v>
      </c>
      <c r="B648" s="156">
        <v>42369</v>
      </c>
      <c r="C648" s="155" t="s">
        <v>6865</v>
      </c>
      <c r="D648" s="155">
        <v>1</v>
      </c>
      <c r="E648" s="155" t="s">
        <v>1315</v>
      </c>
      <c r="F648" s="157" t="s">
        <v>722</v>
      </c>
      <c r="G648" s="160" t="s">
        <v>5693</v>
      </c>
      <c r="H648" s="7">
        <f t="shared" si="10"/>
        <v>176.75</v>
      </c>
      <c r="I648" s="161">
        <v>28.28</v>
      </c>
      <c r="J648" s="159"/>
      <c r="K648" s="159"/>
    </row>
    <row r="649" spans="1:11">
      <c r="A649" t="s">
        <v>6864</v>
      </c>
      <c r="B649" s="1">
        <v>42369</v>
      </c>
      <c r="C649" t="s">
        <v>6865</v>
      </c>
      <c r="D649">
        <v>1</v>
      </c>
      <c r="E649" t="s">
        <v>1315</v>
      </c>
      <c r="F649" s="28" t="s">
        <v>911</v>
      </c>
      <c r="G649" s="105" t="s">
        <v>2704</v>
      </c>
      <c r="H649" s="7">
        <f t="shared" si="10"/>
        <v>60.375</v>
      </c>
      <c r="I649" s="27">
        <v>9.66</v>
      </c>
    </row>
    <row r="650" spans="1:11">
      <c r="A650" t="s">
        <v>6864</v>
      </c>
      <c r="B650" s="1">
        <v>42369</v>
      </c>
      <c r="C650" t="s">
        <v>6865</v>
      </c>
      <c r="D650">
        <v>1</v>
      </c>
      <c r="E650" t="s">
        <v>1315</v>
      </c>
      <c r="F650" s="28" t="s">
        <v>2734</v>
      </c>
      <c r="G650" s="105" t="s">
        <v>2735</v>
      </c>
      <c r="H650" s="7">
        <f t="shared" si="10"/>
        <v>40.375</v>
      </c>
      <c r="I650" s="27">
        <v>6.46</v>
      </c>
    </row>
    <row r="651" spans="1:11">
      <c r="A651" t="s">
        <v>6864</v>
      </c>
      <c r="B651" s="1">
        <v>42369</v>
      </c>
      <c r="C651" t="s">
        <v>6865</v>
      </c>
      <c r="D651">
        <v>1</v>
      </c>
      <c r="E651" t="s">
        <v>1315</v>
      </c>
      <c r="F651" s="28" t="s">
        <v>7139</v>
      </c>
      <c r="G651" s="105" t="s">
        <v>7140</v>
      </c>
      <c r="H651" s="7">
        <f t="shared" si="10"/>
        <v>41.9375</v>
      </c>
      <c r="I651" s="27">
        <v>6.71</v>
      </c>
      <c r="J651" s="7">
        <f>319.44-H648-H649-H650-H651</f>
        <v>2.4999999999977263E-3</v>
      </c>
      <c r="K651" s="7">
        <f>51.11-I648-I649-I650-I651</f>
        <v>0</v>
      </c>
    </row>
    <row r="652" spans="1:11">
      <c r="A652" t="s">
        <v>6866</v>
      </c>
      <c r="B652" s="1">
        <v>42369</v>
      </c>
      <c r="C652" t="s">
        <v>6867</v>
      </c>
      <c r="D652">
        <v>1</v>
      </c>
      <c r="E652" t="s">
        <v>1315</v>
      </c>
      <c r="F652" s="28" t="s">
        <v>3945</v>
      </c>
      <c r="G652" s="105" t="s">
        <v>7174</v>
      </c>
      <c r="H652" s="7">
        <f t="shared" si="10"/>
        <v>344.75</v>
      </c>
      <c r="I652" s="27">
        <v>55.160000000000004</v>
      </c>
    </row>
    <row r="653" spans="1:11" s="155" customFormat="1">
      <c r="A653" s="155" t="s">
        <v>6866</v>
      </c>
      <c r="B653" s="156">
        <v>42369</v>
      </c>
      <c r="C653" s="155" t="s">
        <v>6867</v>
      </c>
      <c r="D653" s="155">
        <v>1</v>
      </c>
      <c r="E653" s="155" t="s">
        <v>1315</v>
      </c>
      <c r="F653" s="157" t="s">
        <v>722</v>
      </c>
      <c r="G653" s="160" t="s">
        <v>5693</v>
      </c>
      <c r="H653" s="7">
        <f t="shared" si="10"/>
        <v>176.75</v>
      </c>
      <c r="I653" s="161">
        <v>28.28</v>
      </c>
      <c r="J653" s="159"/>
      <c r="K653" s="159"/>
    </row>
    <row r="654" spans="1:11">
      <c r="A654" t="s">
        <v>6866</v>
      </c>
      <c r="B654" s="1">
        <v>42369</v>
      </c>
      <c r="C654" t="s">
        <v>6867</v>
      </c>
      <c r="D654">
        <v>1</v>
      </c>
      <c r="E654" t="s">
        <v>1315</v>
      </c>
      <c r="F654" s="28" t="s">
        <v>911</v>
      </c>
      <c r="G654" s="105" t="s">
        <v>2704</v>
      </c>
      <c r="H654" s="7">
        <f t="shared" si="10"/>
        <v>51.749999999999993</v>
      </c>
      <c r="I654" s="27">
        <v>8.2799999999999994</v>
      </c>
      <c r="J654" s="7">
        <f>573.25-H652-H653-H654</f>
        <v>0</v>
      </c>
      <c r="K654" s="7">
        <f>91.72-I652-I653-I654</f>
        <v>0</v>
      </c>
    </row>
    <row r="655" spans="1:11">
      <c r="A655" t="s">
        <v>6868</v>
      </c>
      <c r="B655" s="1">
        <v>42369</v>
      </c>
      <c r="C655" t="s">
        <v>6869</v>
      </c>
      <c r="D655">
        <v>1</v>
      </c>
      <c r="E655" t="s">
        <v>1315</v>
      </c>
      <c r="F655" t="s">
        <v>714</v>
      </c>
      <c r="G655" s="105" t="s">
        <v>715</v>
      </c>
      <c r="H655" s="7">
        <f t="shared" si="10"/>
        <v>396.5625</v>
      </c>
      <c r="I655" s="27">
        <v>63.45</v>
      </c>
    </row>
    <row r="656" spans="1:11">
      <c r="A656" t="s">
        <v>6868</v>
      </c>
      <c r="B656" s="1">
        <v>42369</v>
      </c>
      <c r="C656" t="s">
        <v>6869</v>
      </c>
      <c r="D656">
        <v>1</v>
      </c>
      <c r="E656" t="s">
        <v>1315</v>
      </c>
      <c r="F656" s="28" t="s">
        <v>7130</v>
      </c>
      <c r="G656" s="105" t="s">
        <v>7199</v>
      </c>
      <c r="H656" s="7">
        <f t="shared" si="10"/>
        <v>92.25</v>
      </c>
      <c r="I656" s="27">
        <v>14.76</v>
      </c>
    </row>
    <row r="657" spans="1:12">
      <c r="A657" t="s">
        <v>6868</v>
      </c>
      <c r="B657" s="1">
        <v>42369</v>
      </c>
      <c r="C657" t="s">
        <v>6869</v>
      </c>
      <c r="D657">
        <v>1</v>
      </c>
      <c r="E657" t="s">
        <v>1315</v>
      </c>
      <c r="F657" s="28" t="s">
        <v>3503</v>
      </c>
      <c r="G657" s="105" t="s">
        <v>950</v>
      </c>
      <c r="H657" s="7">
        <f t="shared" si="10"/>
        <v>87.9375</v>
      </c>
      <c r="I657" s="27">
        <v>14.07</v>
      </c>
    </row>
    <row r="658" spans="1:12" s="155" customFormat="1">
      <c r="A658" s="155" t="s">
        <v>6868</v>
      </c>
      <c r="B658" s="156">
        <v>42369</v>
      </c>
      <c r="C658" s="155" t="s">
        <v>6869</v>
      </c>
      <c r="D658" s="155">
        <v>1</v>
      </c>
      <c r="E658" s="155" t="s">
        <v>1315</v>
      </c>
      <c r="F658" s="157" t="s">
        <v>722</v>
      </c>
      <c r="G658" s="160" t="s">
        <v>5693</v>
      </c>
      <c r="H658" s="7">
        <f t="shared" si="10"/>
        <v>30.1875</v>
      </c>
      <c r="I658" s="161">
        <v>4.83</v>
      </c>
      <c r="J658" s="159"/>
      <c r="K658" s="159"/>
    </row>
    <row r="659" spans="1:12">
      <c r="A659" t="s">
        <v>6868</v>
      </c>
      <c r="B659" s="1">
        <v>42369</v>
      </c>
      <c r="C659" t="s">
        <v>6869</v>
      </c>
      <c r="D659">
        <v>1</v>
      </c>
      <c r="E659" t="s">
        <v>1315</v>
      </c>
      <c r="F659" s="28" t="s">
        <v>5377</v>
      </c>
      <c r="G659" s="105" t="s">
        <v>7158</v>
      </c>
      <c r="H659" s="7">
        <f t="shared" si="10"/>
        <v>389.62499999999994</v>
      </c>
      <c r="I659" s="27">
        <v>62.339999999999989</v>
      </c>
    </row>
    <row r="660" spans="1:12">
      <c r="A660" t="s">
        <v>6868</v>
      </c>
      <c r="B660" s="1">
        <v>42369</v>
      </c>
      <c r="C660" t="s">
        <v>6869</v>
      </c>
      <c r="D660">
        <v>1</v>
      </c>
      <c r="E660" t="s">
        <v>1315</v>
      </c>
      <c r="F660" s="119" t="s">
        <v>3235</v>
      </c>
      <c r="G660" s="120" t="s">
        <v>3031</v>
      </c>
      <c r="H660" s="7">
        <f t="shared" si="10"/>
        <v>503.24999999999994</v>
      </c>
      <c r="I660" s="121">
        <v>80.52</v>
      </c>
      <c r="J660" s="7">
        <f>1499.81-H655-H656-H657-H658-H659-H660</f>
        <v>-2.4999999999408828E-3</v>
      </c>
      <c r="K660" s="7">
        <f>239.97-I655-I656-I657-I658-I659-I660</f>
        <v>0</v>
      </c>
    </row>
    <row r="661" spans="1:12">
      <c r="A661" t="s">
        <v>6870</v>
      </c>
      <c r="B661" s="1">
        <v>42369</v>
      </c>
      <c r="C661" t="s">
        <v>6871</v>
      </c>
      <c r="D661">
        <v>1</v>
      </c>
      <c r="E661" t="s">
        <v>1315</v>
      </c>
      <c r="F661" t="s">
        <v>714</v>
      </c>
      <c r="G661" s="105" t="s">
        <v>7103</v>
      </c>
      <c r="H661" s="7">
        <f t="shared" si="10"/>
        <v>48.25</v>
      </c>
      <c r="I661" s="7">
        <v>7.72</v>
      </c>
    </row>
    <row r="662" spans="1:12">
      <c r="A662" t="s">
        <v>6870</v>
      </c>
      <c r="B662" s="1">
        <v>42369</v>
      </c>
      <c r="C662" t="s">
        <v>6871</v>
      </c>
      <c r="D662">
        <v>1</v>
      </c>
      <c r="E662" t="s">
        <v>1315</v>
      </c>
      <c r="F662" s="119" t="s">
        <v>3084</v>
      </c>
      <c r="G662" s="105" t="s">
        <v>7171</v>
      </c>
      <c r="H662" s="7">
        <f t="shared" si="10"/>
        <v>377.4375</v>
      </c>
      <c r="I662" s="7">
        <v>60.39</v>
      </c>
    </row>
    <row r="663" spans="1:12">
      <c r="A663" t="s">
        <v>6870</v>
      </c>
      <c r="B663" s="1">
        <v>42369</v>
      </c>
      <c r="C663" t="s">
        <v>6871</v>
      </c>
      <c r="D663">
        <v>1</v>
      </c>
      <c r="E663" t="s">
        <v>1315</v>
      </c>
      <c r="F663" t="s">
        <v>745</v>
      </c>
      <c r="G663" s="105" t="s">
        <v>746</v>
      </c>
      <c r="H663" s="7">
        <f t="shared" si="10"/>
        <v>94.8125</v>
      </c>
      <c r="I663" s="7">
        <v>15.17</v>
      </c>
    </row>
    <row r="664" spans="1:12">
      <c r="A664" t="s">
        <v>6870</v>
      </c>
      <c r="B664" s="1">
        <v>42369</v>
      </c>
      <c r="C664" t="s">
        <v>6871</v>
      </c>
      <c r="D664">
        <v>1</v>
      </c>
      <c r="E664" t="s">
        <v>1315</v>
      </c>
      <c r="F664" t="s">
        <v>722</v>
      </c>
      <c r="G664" s="105" t="s">
        <v>722</v>
      </c>
      <c r="H664" s="7">
        <f t="shared" si="10"/>
        <v>463</v>
      </c>
      <c r="I664" s="7">
        <f>77.06-2.98</f>
        <v>74.08</v>
      </c>
      <c r="J664" s="7">
        <f>983.5-H661-H662-H663-H664</f>
        <v>0</v>
      </c>
      <c r="K664" s="7">
        <f>157.36-I661-I662-I663-I664</f>
        <v>0</v>
      </c>
      <c r="L664" t="s">
        <v>960</v>
      </c>
    </row>
    <row r="665" spans="1:12">
      <c r="A665" t="s">
        <v>6872</v>
      </c>
      <c r="B665" s="1">
        <v>42369</v>
      </c>
      <c r="C665" t="s">
        <v>6873</v>
      </c>
      <c r="D665">
        <v>1</v>
      </c>
      <c r="E665" t="s">
        <v>1315</v>
      </c>
      <c r="F665" s="2" t="s">
        <v>5381</v>
      </c>
      <c r="G665" s="105" t="s">
        <v>7102</v>
      </c>
      <c r="H665" s="7">
        <f t="shared" si="10"/>
        <v>265.5</v>
      </c>
      <c r="I665" s="27">
        <v>42.48</v>
      </c>
    </row>
    <row r="666" spans="1:12">
      <c r="A666" t="s">
        <v>6872</v>
      </c>
      <c r="B666" s="1">
        <v>42369</v>
      </c>
      <c r="C666" t="s">
        <v>6873</v>
      </c>
      <c r="D666">
        <v>1</v>
      </c>
      <c r="E666" t="s">
        <v>1315</v>
      </c>
      <c r="F666" s="28" t="s">
        <v>895</v>
      </c>
      <c r="G666" s="105" t="s">
        <v>7107</v>
      </c>
      <c r="H666" s="7">
        <f t="shared" si="10"/>
        <v>116.375</v>
      </c>
      <c r="I666" s="27">
        <v>18.62</v>
      </c>
    </row>
    <row r="667" spans="1:12">
      <c r="A667" t="s">
        <v>6872</v>
      </c>
      <c r="B667" s="1">
        <v>42369</v>
      </c>
      <c r="C667" t="s">
        <v>6873</v>
      </c>
      <c r="D667">
        <v>1</v>
      </c>
      <c r="E667" t="s">
        <v>1315</v>
      </c>
      <c r="F667" s="28" t="s">
        <v>925</v>
      </c>
      <c r="G667" s="105" t="s">
        <v>926</v>
      </c>
      <c r="H667" s="7">
        <f t="shared" si="10"/>
        <v>251.62499999999997</v>
      </c>
      <c r="I667" s="27">
        <v>40.26</v>
      </c>
    </row>
    <row r="668" spans="1:12" s="155" customFormat="1">
      <c r="A668" s="155" t="s">
        <v>6872</v>
      </c>
      <c r="B668" s="156">
        <v>42369</v>
      </c>
      <c r="C668" s="155" t="s">
        <v>6873</v>
      </c>
      <c r="D668" s="155">
        <v>1</v>
      </c>
      <c r="E668" s="155" t="s">
        <v>1315</v>
      </c>
      <c r="F668" s="157" t="s">
        <v>722</v>
      </c>
      <c r="G668" s="160" t="s">
        <v>5693</v>
      </c>
      <c r="H668" s="7">
        <f t="shared" si="10"/>
        <v>305.1875</v>
      </c>
      <c r="I668" s="161">
        <v>48.83</v>
      </c>
      <c r="J668" s="159"/>
      <c r="K668" s="159"/>
    </row>
    <row r="669" spans="1:12">
      <c r="A669" t="s">
        <v>6872</v>
      </c>
      <c r="B669" s="1">
        <v>42369</v>
      </c>
      <c r="C669" t="s">
        <v>6873</v>
      </c>
      <c r="D669">
        <v>1</v>
      </c>
      <c r="E669" t="s">
        <v>1315</v>
      </c>
      <c r="F669" s="28" t="s">
        <v>7205</v>
      </c>
      <c r="G669" s="105" t="s">
        <v>7206</v>
      </c>
      <c r="H669" s="7">
        <f t="shared" si="10"/>
        <v>181.0625</v>
      </c>
      <c r="I669" s="27">
        <v>28.97</v>
      </c>
    </row>
    <row r="670" spans="1:12">
      <c r="A670" t="s">
        <v>6872</v>
      </c>
      <c r="B670" s="1">
        <v>42369</v>
      </c>
      <c r="C670" t="s">
        <v>6873</v>
      </c>
      <c r="D670">
        <v>1</v>
      </c>
      <c r="E670" t="s">
        <v>1315</v>
      </c>
      <c r="F670" s="28" t="s">
        <v>1624</v>
      </c>
      <c r="G670" s="105" t="s">
        <v>1625</v>
      </c>
      <c r="H670" s="7">
        <f t="shared" si="10"/>
        <v>455.31249999999994</v>
      </c>
      <c r="I670" s="27">
        <v>72.849999999999994</v>
      </c>
    </row>
    <row r="671" spans="1:12">
      <c r="A671" t="s">
        <v>6872</v>
      </c>
      <c r="B671" s="1">
        <v>42369</v>
      </c>
      <c r="C671" t="s">
        <v>6873</v>
      </c>
      <c r="D671">
        <v>1</v>
      </c>
      <c r="E671" t="s">
        <v>1315</v>
      </c>
      <c r="F671" t="s">
        <v>923</v>
      </c>
      <c r="G671" s="105" t="s">
        <v>7207</v>
      </c>
      <c r="H671" s="7">
        <f t="shared" si="10"/>
        <v>531.9375</v>
      </c>
      <c r="I671" s="27">
        <v>85.11</v>
      </c>
      <c r="J671" s="7">
        <f>2107-H665-H666-H667-H668-H669-H670-H671</f>
        <v>0</v>
      </c>
      <c r="K671" s="7">
        <f>337.12-I665-I666-I667-I668-I669-I670-I671</f>
        <v>0</v>
      </c>
    </row>
    <row r="672" spans="1:12">
      <c r="A672" t="s">
        <v>6874</v>
      </c>
      <c r="B672" s="1">
        <v>42369</v>
      </c>
      <c r="C672" t="s">
        <v>6875</v>
      </c>
      <c r="D672">
        <v>1</v>
      </c>
      <c r="E672" t="s">
        <v>1315</v>
      </c>
      <c r="F672" s="28" t="s">
        <v>5430</v>
      </c>
      <c r="G672" s="105" t="s">
        <v>7183</v>
      </c>
      <c r="H672" s="7">
        <f t="shared" si="10"/>
        <v>25.874999999999996</v>
      </c>
      <c r="I672" s="27">
        <v>4.1399999999999997</v>
      </c>
    </row>
    <row r="673" spans="1:11" s="155" customFormat="1">
      <c r="A673" s="155" t="s">
        <v>6874</v>
      </c>
      <c r="B673" s="156">
        <v>42369</v>
      </c>
      <c r="C673" s="155" t="s">
        <v>6875</v>
      </c>
      <c r="D673" s="155">
        <v>1</v>
      </c>
      <c r="E673" s="155" t="s">
        <v>1315</v>
      </c>
      <c r="F673" s="157" t="s">
        <v>722</v>
      </c>
      <c r="G673" s="160" t="s">
        <v>5693</v>
      </c>
      <c r="H673" s="7">
        <f t="shared" si="10"/>
        <v>155.1875</v>
      </c>
      <c r="I673" s="161">
        <v>24.83</v>
      </c>
      <c r="J673" s="159"/>
      <c r="K673" s="159"/>
    </row>
    <row r="674" spans="1:11">
      <c r="A674" t="s">
        <v>6874</v>
      </c>
      <c r="B674" s="1">
        <v>42369</v>
      </c>
      <c r="C674" t="s">
        <v>6875</v>
      </c>
      <c r="D674">
        <v>1</v>
      </c>
      <c r="E674" t="s">
        <v>1315</v>
      </c>
      <c r="F674" s="28" t="s">
        <v>2729</v>
      </c>
      <c r="G674" s="105" t="s">
        <v>5696</v>
      </c>
      <c r="H674" s="7">
        <f t="shared" si="10"/>
        <v>97.4375</v>
      </c>
      <c r="I674" s="27">
        <v>15.59</v>
      </c>
    </row>
    <row r="675" spans="1:11">
      <c r="A675" t="s">
        <v>6874</v>
      </c>
      <c r="B675" s="1">
        <v>42369</v>
      </c>
      <c r="C675" t="s">
        <v>6875</v>
      </c>
      <c r="D675">
        <v>1</v>
      </c>
      <c r="E675" t="s">
        <v>1315</v>
      </c>
      <c r="F675" s="119" t="s">
        <v>5433</v>
      </c>
      <c r="G675" s="120" t="s">
        <v>5703</v>
      </c>
      <c r="H675" s="7">
        <f t="shared" si="10"/>
        <v>466.75000000000006</v>
      </c>
      <c r="I675" s="121">
        <v>74.680000000000007</v>
      </c>
    </row>
    <row r="676" spans="1:11">
      <c r="A676" t="s">
        <v>6874</v>
      </c>
      <c r="B676" s="1">
        <v>42369</v>
      </c>
      <c r="C676" t="s">
        <v>6875</v>
      </c>
      <c r="D676">
        <v>1</v>
      </c>
      <c r="E676" t="s">
        <v>1315</v>
      </c>
      <c r="F676" s="28" t="s">
        <v>7184</v>
      </c>
      <c r="G676" s="105" t="s">
        <v>7200</v>
      </c>
      <c r="H676" s="7">
        <f t="shared" si="10"/>
        <v>18.9375</v>
      </c>
      <c r="I676" s="27">
        <v>3.03</v>
      </c>
    </row>
    <row r="677" spans="1:11">
      <c r="A677" t="s">
        <v>6874</v>
      </c>
      <c r="B677" s="1">
        <v>42369</v>
      </c>
      <c r="C677" t="s">
        <v>6875</v>
      </c>
      <c r="D677">
        <v>1</v>
      </c>
      <c r="E677" t="s">
        <v>1315</v>
      </c>
      <c r="F677" s="28" t="s">
        <v>6093</v>
      </c>
      <c r="G677" s="105" t="s">
        <v>5737</v>
      </c>
      <c r="H677" s="7">
        <f t="shared" si="10"/>
        <v>49.125</v>
      </c>
      <c r="I677" s="27">
        <v>7.86</v>
      </c>
    </row>
    <row r="678" spans="1:11">
      <c r="A678" t="s">
        <v>6874</v>
      </c>
      <c r="B678" s="1">
        <v>42369</v>
      </c>
      <c r="C678" t="s">
        <v>6875</v>
      </c>
      <c r="D678">
        <v>1</v>
      </c>
      <c r="E678" t="s">
        <v>1315</v>
      </c>
      <c r="F678" s="28" t="s">
        <v>915</v>
      </c>
      <c r="G678" s="105" t="s">
        <v>916</v>
      </c>
      <c r="H678" s="7">
        <f t="shared" si="10"/>
        <v>844.81249999999989</v>
      </c>
      <c r="I678" s="27">
        <v>135.16999999999999</v>
      </c>
    </row>
    <row r="679" spans="1:11">
      <c r="A679" t="s">
        <v>6874</v>
      </c>
      <c r="B679" s="1">
        <v>42369</v>
      </c>
      <c r="C679" t="s">
        <v>6875</v>
      </c>
      <c r="D679">
        <v>1</v>
      </c>
      <c r="E679" t="s">
        <v>1315</v>
      </c>
      <c r="F679" s="28" t="s">
        <v>921</v>
      </c>
      <c r="G679" s="105" t="s">
        <v>7194</v>
      </c>
      <c r="H679" s="7">
        <f t="shared" si="10"/>
        <v>268.4375</v>
      </c>
      <c r="I679" s="27">
        <v>42.95</v>
      </c>
    </row>
    <row r="680" spans="1:11">
      <c r="A680" t="s">
        <v>6874</v>
      </c>
      <c r="B680" s="1">
        <v>42369</v>
      </c>
      <c r="C680" t="s">
        <v>6875</v>
      </c>
      <c r="D680">
        <v>1</v>
      </c>
      <c r="E680" t="s">
        <v>1315</v>
      </c>
      <c r="F680" s="28" t="s">
        <v>3232</v>
      </c>
      <c r="G680" s="105" t="s">
        <v>7190</v>
      </c>
      <c r="H680" s="7">
        <f t="shared" si="10"/>
        <v>432.625</v>
      </c>
      <c r="I680" s="27">
        <v>69.22</v>
      </c>
      <c r="J680" s="7">
        <f>2359.19-H672-H673-H674-H675-H676-H677-H678-H679-H680</f>
        <v>2.5000000001682565E-3</v>
      </c>
      <c r="K680" s="7">
        <f>377.47-I672-I673-I674-I675-I676-I677-I678-I679-I680</f>
        <v>0</v>
      </c>
    </row>
    <row r="681" spans="1:11">
      <c r="A681" t="s">
        <v>6876</v>
      </c>
      <c r="B681" s="1">
        <v>42369</v>
      </c>
      <c r="C681" t="s">
        <v>6877</v>
      </c>
      <c r="D681">
        <v>1</v>
      </c>
      <c r="E681" t="s">
        <v>1315</v>
      </c>
      <c r="F681" t="s">
        <v>923</v>
      </c>
      <c r="G681" s="105" t="s">
        <v>924</v>
      </c>
      <c r="H681" s="7">
        <f t="shared" si="10"/>
        <v>558.625</v>
      </c>
      <c r="I681" s="27">
        <v>89.38</v>
      </c>
    </row>
    <row r="682" spans="1:11">
      <c r="A682" t="s">
        <v>6876</v>
      </c>
      <c r="B682" s="1">
        <v>42369</v>
      </c>
      <c r="C682" t="s">
        <v>6877</v>
      </c>
      <c r="D682">
        <v>1</v>
      </c>
      <c r="E682" t="s">
        <v>1315</v>
      </c>
      <c r="F682" s="2" t="s">
        <v>5381</v>
      </c>
      <c r="G682" s="105" t="s">
        <v>7102</v>
      </c>
      <c r="H682" s="7">
        <f t="shared" si="10"/>
        <v>265.5</v>
      </c>
      <c r="I682" s="27">
        <v>42.48</v>
      </c>
    </row>
    <row r="683" spans="1:11">
      <c r="A683" t="s">
        <v>6876</v>
      </c>
      <c r="B683" s="1">
        <v>42369</v>
      </c>
      <c r="C683" t="s">
        <v>6877</v>
      </c>
      <c r="D683">
        <v>1</v>
      </c>
      <c r="E683" t="s">
        <v>1315</v>
      </c>
      <c r="F683" s="28" t="s">
        <v>751</v>
      </c>
      <c r="G683" s="105" t="s">
        <v>752</v>
      </c>
      <c r="H683" s="7">
        <f t="shared" si="10"/>
        <v>222.43750000000003</v>
      </c>
      <c r="I683" s="27">
        <v>35.590000000000003</v>
      </c>
    </row>
    <row r="684" spans="1:11">
      <c r="A684" t="s">
        <v>6876</v>
      </c>
      <c r="B684" s="1">
        <v>42369</v>
      </c>
      <c r="C684" t="s">
        <v>6877</v>
      </c>
      <c r="D684">
        <v>1</v>
      </c>
      <c r="E684" t="s">
        <v>1315</v>
      </c>
      <c r="F684" s="119" t="s">
        <v>2763</v>
      </c>
      <c r="G684" s="120" t="s">
        <v>2764</v>
      </c>
      <c r="H684" s="7">
        <f t="shared" si="10"/>
        <v>455.31249999999994</v>
      </c>
      <c r="I684" s="121">
        <v>72.849999999999994</v>
      </c>
    </row>
    <row r="685" spans="1:11">
      <c r="A685" t="s">
        <v>6876</v>
      </c>
      <c r="B685" s="1">
        <v>42369</v>
      </c>
      <c r="C685" t="s">
        <v>6877</v>
      </c>
      <c r="D685">
        <v>1</v>
      </c>
      <c r="E685" t="s">
        <v>1315</v>
      </c>
      <c r="F685" s="28" t="s">
        <v>895</v>
      </c>
      <c r="G685" s="105" t="s">
        <v>7107</v>
      </c>
      <c r="H685" s="7">
        <f t="shared" si="10"/>
        <v>94.8125</v>
      </c>
      <c r="I685" s="27">
        <v>15.17</v>
      </c>
    </row>
    <row r="686" spans="1:11" s="155" customFormat="1">
      <c r="A686" s="155" t="s">
        <v>6876</v>
      </c>
      <c r="B686" s="156">
        <v>42369</v>
      </c>
      <c r="C686" s="155" t="s">
        <v>6877</v>
      </c>
      <c r="D686" s="155">
        <v>1</v>
      </c>
      <c r="E686" s="155" t="s">
        <v>1315</v>
      </c>
      <c r="F686" s="157" t="s">
        <v>722</v>
      </c>
      <c r="G686" s="160" t="s">
        <v>5693</v>
      </c>
      <c r="H686" s="7">
        <f t="shared" si="10"/>
        <v>249.125</v>
      </c>
      <c r="I686" s="161">
        <v>39.86</v>
      </c>
      <c r="J686" s="159"/>
      <c r="K686" s="159"/>
    </row>
    <row r="687" spans="1:11">
      <c r="A687" t="s">
        <v>6876</v>
      </c>
      <c r="B687" s="1">
        <v>42369</v>
      </c>
      <c r="C687" t="s">
        <v>6877</v>
      </c>
      <c r="D687">
        <v>1</v>
      </c>
      <c r="E687" t="s">
        <v>1315</v>
      </c>
      <c r="F687" s="28" t="s">
        <v>1612</v>
      </c>
      <c r="G687" s="105" t="s">
        <v>1613</v>
      </c>
      <c r="H687" s="7">
        <f t="shared" si="10"/>
        <v>209.68749999999997</v>
      </c>
      <c r="I687" s="27">
        <v>33.549999999999997</v>
      </c>
      <c r="J687" s="7">
        <f>2055.5-H681-H682-H683-H684-H685-H686-H687</f>
        <v>0</v>
      </c>
      <c r="K687" s="7">
        <f>328.88-I681-I682-I683-I684-I685-I686-I687</f>
        <v>0</v>
      </c>
    </row>
    <row r="688" spans="1:11">
      <c r="A688" t="s">
        <v>6878</v>
      </c>
      <c r="B688" s="1">
        <v>42369</v>
      </c>
      <c r="C688" t="s">
        <v>6879</v>
      </c>
      <c r="D688">
        <v>1</v>
      </c>
      <c r="E688" t="s">
        <v>1315</v>
      </c>
      <c r="F688" s="28" t="s">
        <v>5430</v>
      </c>
      <c r="G688" s="105" t="s">
        <v>7183</v>
      </c>
      <c r="H688" s="7">
        <f t="shared" si="10"/>
        <v>45.6875</v>
      </c>
      <c r="I688" s="27">
        <v>7.31</v>
      </c>
    </row>
    <row r="689" spans="1:11">
      <c r="A689" t="s">
        <v>6878</v>
      </c>
      <c r="B689" s="1">
        <v>42369</v>
      </c>
      <c r="C689" t="s">
        <v>6879</v>
      </c>
      <c r="D689">
        <v>1</v>
      </c>
      <c r="E689" t="s">
        <v>1315</v>
      </c>
      <c r="F689" s="28" t="s">
        <v>7184</v>
      </c>
      <c r="G689" s="105" t="s">
        <v>7185</v>
      </c>
      <c r="H689" s="7">
        <f t="shared" si="10"/>
        <v>18.9375</v>
      </c>
      <c r="I689" s="27">
        <v>3.03</v>
      </c>
    </row>
    <row r="690" spans="1:11" s="155" customFormat="1">
      <c r="A690" s="155" t="s">
        <v>6878</v>
      </c>
      <c r="B690" s="156">
        <v>42369</v>
      </c>
      <c r="C690" s="155" t="s">
        <v>6879</v>
      </c>
      <c r="D690" s="155">
        <v>1</v>
      </c>
      <c r="E690" s="155" t="s">
        <v>1315</v>
      </c>
      <c r="F690" s="157" t="s">
        <v>722</v>
      </c>
      <c r="G690" s="160" t="s">
        <v>5693</v>
      </c>
      <c r="H690" s="7">
        <f t="shared" si="10"/>
        <v>77.625</v>
      </c>
      <c r="I690" s="161">
        <v>12.42</v>
      </c>
      <c r="J690" s="159"/>
      <c r="K690" s="159"/>
    </row>
    <row r="691" spans="1:11">
      <c r="A691" t="s">
        <v>6878</v>
      </c>
      <c r="B691" s="1">
        <v>42369</v>
      </c>
      <c r="C691" t="s">
        <v>6879</v>
      </c>
      <c r="D691">
        <v>1</v>
      </c>
      <c r="E691" t="s">
        <v>1315</v>
      </c>
      <c r="F691" s="28" t="s">
        <v>6093</v>
      </c>
      <c r="G691" s="105" t="s">
        <v>5737</v>
      </c>
      <c r="H691" s="7">
        <f t="shared" si="10"/>
        <v>49.125</v>
      </c>
      <c r="I691" s="27">
        <v>7.86</v>
      </c>
    </row>
    <row r="692" spans="1:11">
      <c r="A692" t="s">
        <v>6878</v>
      </c>
      <c r="B692" s="1">
        <v>42369</v>
      </c>
      <c r="C692" t="s">
        <v>6879</v>
      </c>
      <c r="D692">
        <v>1</v>
      </c>
      <c r="E692" t="s">
        <v>1315</v>
      </c>
      <c r="F692" s="28" t="s">
        <v>915</v>
      </c>
      <c r="G692" s="105" t="s">
        <v>916</v>
      </c>
      <c r="H692" s="7">
        <f t="shared" si="10"/>
        <v>737.0625</v>
      </c>
      <c r="I692" s="27">
        <v>117.93</v>
      </c>
    </row>
    <row r="693" spans="1:11">
      <c r="A693" t="s">
        <v>6878</v>
      </c>
      <c r="B693" s="1">
        <v>42369</v>
      </c>
      <c r="C693" t="s">
        <v>6879</v>
      </c>
      <c r="D693">
        <v>1</v>
      </c>
      <c r="E693" t="s">
        <v>1315</v>
      </c>
      <c r="F693" s="28" t="s">
        <v>919</v>
      </c>
      <c r="G693" s="105" t="s">
        <v>920</v>
      </c>
      <c r="H693" s="7">
        <f t="shared" si="10"/>
        <v>557.75</v>
      </c>
      <c r="I693" s="27">
        <v>89.24</v>
      </c>
    </row>
    <row r="694" spans="1:11">
      <c r="A694" t="s">
        <v>6878</v>
      </c>
      <c r="B694" s="1">
        <v>42369</v>
      </c>
      <c r="C694" t="s">
        <v>6879</v>
      </c>
      <c r="D694">
        <v>1</v>
      </c>
      <c r="E694" t="s">
        <v>1315</v>
      </c>
      <c r="F694" s="28" t="s">
        <v>7201</v>
      </c>
      <c r="G694" s="105" t="s">
        <v>7202</v>
      </c>
      <c r="H694" s="7">
        <f t="shared" si="10"/>
        <v>86.187499999999986</v>
      </c>
      <c r="I694" s="27">
        <v>13.79</v>
      </c>
    </row>
    <row r="695" spans="1:11">
      <c r="A695" t="s">
        <v>6878</v>
      </c>
      <c r="B695" s="1">
        <v>42369</v>
      </c>
      <c r="C695" t="s">
        <v>6879</v>
      </c>
      <c r="D695">
        <v>1</v>
      </c>
      <c r="E695" t="s">
        <v>1315</v>
      </c>
      <c r="F695" s="28" t="s">
        <v>921</v>
      </c>
      <c r="G695" s="105" t="s">
        <v>7194</v>
      </c>
      <c r="H695" s="7">
        <f t="shared" si="10"/>
        <v>251.68750000000003</v>
      </c>
      <c r="I695" s="27">
        <v>40.270000000000003</v>
      </c>
    </row>
    <row r="696" spans="1:11">
      <c r="A696" t="s">
        <v>6878</v>
      </c>
      <c r="B696" s="1">
        <v>42369</v>
      </c>
      <c r="C696" t="s">
        <v>6879</v>
      </c>
      <c r="D696">
        <v>1</v>
      </c>
      <c r="E696" t="s">
        <v>1315</v>
      </c>
      <c r="F696" s="28" t="s">
        <v>7203</v>
      </c>
      <c r="G696" s="105" t="s">
        <v>7204</v>
      </c>
      <c r="H696" s="7">
        <f t="shared" si="10"/>
        <v>58.4375</v>
      </c>
      <c r="I696" s="27">
        <v>9.35</v>
      </c>
      <c r="J696" s="7">
        <f>1882.5-H688-H689-H690-H691-H692-H693-H694-H695-H696</f>
        <v>0</v>
      </c>
      <c r="K696" s="7">
        <f>301.2-I688-I689-I690-I691-I692-I693-I694-I695-I696</f>
        <v>-1.9539925233402755E-14</v>
      </c>
    </row>
    <row r="697" spans="1:11">
      <c r="A697" t="s">
        <v>6880</v>
      </c>
      <c r="B697" s="1">
        <v>42369</v>
      </c>
      <c r="C697" t="s">
        <v>6881</v>
      </c>
      <c r="D697">
        <v>1</v>
      </c>
      <c r="E697" t="s">
        <v>1315</v>
      </c>
      <c r="F697" t="s">
        <v>714</v>
      </c>
      <c r="G697" s="105" t="s">
        <v>7103</v>
      </c>
      <c r="H697" s="7">
        <f t="shared" si="10"/>
        <v>388.8125</v>
      </c>
      <c r="I697" s="27">
        <v>62.21</v>
      </c>
    </row>
    <row r="698" spans="1:11">
      <c r="A698" t="s">
        <v>6880</v>
      </c>
      <c r="B698" s="1">
        <v>42369</v>
      </c>
      <c r="C698" t="s">
        <v>6881</v>
      </c>
      <c r="D698">
        <v>1</v>
      </c>
      <c r="E698" t="s">
        <v>1315</v>
      </c>
      <c r="F698" s="110" t="s">
        <v>879</v>
      </c>
      <c r="G698" s="105" t="s">
        <v>880</v>
      </c>
      <c r="H698" s="7">
        <f t="shared" si="10"/>
        <v>409.75</v>
      </c>
      <c r="I698" s="27">
        <v>65.56</v>
      </c>
    </row>
    <row r="699" spans="1:11">
      <c r="A699" t="s">
        <v>6880</v>
      </c>
      <c r="B699" s="1">
        <v>42369</v>
      </c>
      <c r="C699" t="s">
        <v>6881</v>
      </c>
      <c r="D699">
        <v>1</v>
      </c>
      <c r="E699" t="s">
        <v>1315</v>
      </c>
      <c r="F699" s="28" t="s">
        <v>5377</v>
      </c>
      <c r="G699" s="105" t="s">
        <v>7158</v>
      </c>
      <c r="H699" s="7">
        <f t="shared" si="10"/>
        <v>389.62499999999994</v>
      </c>
      <c r="I699" s="27">
        <v>62.339999999999989</v>
      </c>
    </row>
    <row r="700" spans="1:11">
      <c r="A700" t="s">
        <v>6880</v>
      </c>
      <c r="B700" s="1">
        <v>42369</v>
      </c>
      <c r="C700" t="s">
        <v>6881</v>
      </c>
      <c r="D700">
        <v>1</v>
      </c>
      <c r="E700" t="s">
        <v>1315</v>
      </c>
      <c r="F700" s="28" t="s">
        <v>929</v>
      </c>
      <c r="G700" s="105" t="s">
        <v>7162</v>
      </c>
      <c r="H700" s="7">
        <f t="shared" si="10"/>
        <v>69</v>
      </c>
      <c r="I700" s="27">
        <v>11.04</v>
      </c>
      <c r="J700" s="7">
        <f>1257.19-H697-H698-H699-H700</f>
        <v>2.5000000001114131E-3</v>
      </c>
      <c r="K700" s="7">
        <f>201.15-I697-I698-I699-I700</f>
        <v>0</v>
      </c>
    </row>
    <row r="701" spans="1:11">
      <c r="A701" t="s">
        <v>6882</v>
      </c>
      <c r="B701" s="1">
        <v>42369</v>
      </c>
      <c r="C701" t="s">
        <v>6883</v>
      </c>
      <c r="D701">
        <v>1</v>
      </c>
      <c r="E701" t="s">
        <v>1315</v>
      </c>
      <c r="F701" s="28" t="s">
        <v>2241</v>
      </c>
      <c r="G701" s="105" t="s">
        <v>2710</v>
      </c>
      <c r="H701" s="7">
        <f t="shared" si="10"/>
        <v>82.75</v>
      </c>
      <c r="I701" s="27">
        <v>13.24</v>
      </c>
    </row>
    <row r="702" spans="1:11">
      <c r="A702" t="s">
        <v>6882</v>
      </c>
      <c r="B702" s="1">
        <v>42369</v>
      </c>
      <c r="C702" t="s">
        <v>6883</v>
      </c>
      <c r="D702">
        <v>1</v>
      </c>
      <c r="E702" t="s">
        <v>1315</v>
      </c>
      <c r="F702" t="s">
        <v>714</v>
      </c>
      <c r="G702" s="105" t="s">
        <v>7103</v>
      </c>
      <c r="H702" s="7">
        <f t="shared" si="10"/>
        <v>328.4375</v>
      </c>
      <c r="I702" s="27">
        <v>52.55</v>
      </c>
    </row>
    <row r="703" spans="1:11">
      <c r="A703" t="s">
        <v>6882</v>
      </c>
      <c r="B703" s="1">
        <v>42369</v>
      </c>
      <c r="C703" t="s">
        <v>6883</v>
      </c>
      <c r="D703">
        <v>1</v>
      </c>
      <c r="E703" t="s">
        <v>1315</v>
      </c>
      <c r="F703" s="28" t="s">
        <v>2761</v>
      </c>
      <c r="G703" s="105" t="s">
        <v>2762</v>
      </c>
      <c r="H703" s="7">
        <f t="shared" si="10"/>
        <v>377.625</v>
      </c>
      <c r="I703" s="27">
        <v>60.42</v>
      </c>
    </row>
    <row r="704" spans="1:11">
      <c r="A704" t="s">
        <v>6882</v>
      </c>
      <c r="B704" s="1">
        <v>42369</v>
      </c>
      <c r="C704" t="s">
        <v>6883</v>
      </c>
      <c r="D704">
        <v>1</v>
      </c>
      <c r="E704" t="s">
        <v>1315</v>
      </c>
      <c r="F704" s="28" t="s">
        <v>5365</v>
      </c>
      <c r="G704" s="105" t="s">
        <v>5678</v>
      </c>
      <c r="H704" s="7">
        <f t="shared" si="10"/>
        <v>166.37499999999997</v>
      </c>
      <c r="I704" s="27">
        <v>26.619999999999997</v>
      </c>
    </row>
    <row r="705" spans="1:12" s="155" customFormat="1">
      <c r="A705" s="155" t="s">
        <v>6882</v>
      </c>
      <c r="B705" s="156">
        <v>42369</v>
      </c>
      <c r="C705" s="155" t="s">
        <v>6883</v>
      </c>
      <c r="D705" s="155">
        <v>1</v>
      </c>
      <c r="E705" s="155" t="s">
        <v>1315</v>
      </c>
      <c r="F705" s="157" t="s">
        <v>722</v>
      </c>
      <c r="G705" s="160" t="s">
        <v>5693</v>
      </c>
      <c r="H705" s="7">
        <f t="shared" si="10"/>
        <v>116.375</v>
      </c>
      <c r="I705" s="161">
        <v>18.62</v>
      </c>
      <c r="J705" s="159">
        <f>1071.56-H701-H702-H703-H704-H705</f>
        <v>-2.500000000026148E-3</v>
      </c>
      <c r="K705" s="159">
        <f>171.45-I701-I702-I703-I704-I705</f>
        <v>0</v>
      </c>
    </row>
    <row r="706" spans="1:12">
      <c r="A706" t="s">
        <v>6887</v>
      </c>
      <c r="B706" s="1">
        <v>42369</v>
      </c>
      <c r="C706" t="s">
        <v>6888</v>
      </c>
      <c r="D706">
        <v>1</v>
      </c>
      <c r="E706" t="s">
        <v>1315</v>
      </c>
      <c r="F706" t="s">
        <v>923</v>
      </c>
      <c r="G706" s="105" t="s">
        <v>924</v>
      </c>
      <c r="H706" s="7">
        <f t="shared" si="10"/>
        <v>531.9375</v>
      </c>
      <c r="I706" s="27">
        <v>85.11</v>
      </c>
    </row>
    <row r="707" spans="1:12">
      <c r="A707" t="s">
        <v>6887</v>
      </c>
      <c r="B707" s="1">
        <v>42369</v>
      </c>
      <c r="C707" t="s">
        <v>6888</v>
      </c>
      <c r="D707">
        <v>1</v>
      </c>
      <c r="E707" t="s">
        <v>1315</v>
      </c>
      <c r="F707" s="2" t="s">
        <v>5381</v>
      </c>
      <c r="G707" s="105" t="s">
        <v>7102</v>
      </c>
      <c r="H707" s="7">
        <f t="shared" si="10"/>
        <v>265.5</v>
      </c>
      <c r="I707" s="27">
        <v>42.48</v>
      </c>
    </row>
    <row r="708" spans="1:12">
      <c r="A708" t="s">
        <v>6887</v>
      </c>
      <c r="B708" s="1">
        <v>42369</v>
      </c>
      <c r="C708" t="s">
        <v>6888</v>
      </c>
      <c r="D708">
        <v>1</v>
      </c>
      <c r="E708" t="s">
        <v>1315</v>
      </c>
      <c r="F708" s="28" t="s">
        <v>751</v>
      </c>
      <c r="G708" s="105" t="s">
        <v>752</v>
      </c>
      <c r="H708" s="7">
        <f t="shared" si="10"/>
        <v>181.0625</v>
      </c>
      <c r="I708" s="27">
        <v>28.97</v>
      </c>
    </row>
    <row r="709" spans="1:12">
      <c r="A709" t="s">
        <v>6887</v>
      </c>
      <c r="B709" s="1">
        <v>42369</v>
      </c>
      <c r="C709" t="s">
        <v>6888</v>
      </c>
      <c r="D709">
        <v>1</v>
      </c>
      <c r="E709" t="s">
        <v>1315</v>
      </c>
      <c r="F709" s="28" t="s">
        <v>895</v>
      </c>
      <c r="G709" s="105" t="s">
        <v>7107</v>
      </c>
      <c r="H709" s="7">
        <f t="shared" si="10"/>
        <v>116.375</v>
      </c>
      <c r="I709" s="27">
        <v>18.62</v>
      </c>
    </row>
    <row r="710" spans="1:12">
      <c r="A710" t="s">
        <v>6887</v>
      </c>
      <c r="B710" s="1">
        <v>42369</v>
      </c>
      <c r="C710" t="s">
        <v>6888</v>
      </c>
      <c r="D710">
        <v>1</v>
      </c>
      <c r="E710" t="s">
        <v>1315</v>
      </c>
      <c r="F710" s="28" t="s">
        <v>925</v>
      </c>
      <c r="G710" s="105" t="s">
        <v>926</v>
      </c>
      <c r="H710" s="7">
        <f t="shared" si="10"/>
        <v>251.62499999999997</v>
      </c>
      <c r="I710" s="27">
        <v>40.26</v>
      </c>
    </row>
    <row r="711" spans="1:12" s="155" customFormat="1">
      <c r="A711" s="155" t="s">
        <v>6887</v>
      </c>
      <c r="B711" s="156">
        <v>42369</v>
      </c>
      <c r="C711" s="155" t="s">
        <v>6888</v>
      </c>
      <c r="D711" s="155">
        <v>1</v>
      </c>
      <c r="E711" s="155" t="s">
        <v>1315</v>
      </c>
      <c r="F711" s="157" t="s">
        <v>722</v>
      </c>
      <c r="G711" s="160" t="s">
        <v>5693</v>
      </c>
      <c r="H711" s="7">
        <f t="shared" ref="H711:H713" si="11">+I711/0.16</f>
        <v>305.1875</v>
      </c>
      <c r="I711" s="161">
        <v>48.83</v>
      </c>
      <c r="J711" s="159"/>
      <c r="K711" s="159"/>
    </row>
    <row r="712" spans="1:12">
      <c r="A712" t="s">
        <v>6887</v>
      </c>
      <c r="B712" s="1">
        <v>42369</v>
      </c>
      <c r="C712" t="s">
        <v>6888</v>
      </c>
      <c r="D712">
        <v>1</v>
      </c>
      <c r="E712" t="s">
        <v>1315</v>
      </c>
      <c r="F712" s="28" t="s">
        <v>1624</v>
      </c>
      <c r="G712" s="105" t="s">
        <v>1625</v>
      </c>
      <c r="H712" s="7">
        <f t="shared" si="11"/>
        <v>455.31249999999994</v>
      </c>
      <c r="I712" s="27">
        <v>72.849999999999994</v>
      </c>
      <c r="J712" s="7">
        <f>2107-H706-H707-H708-H709-H710-H711-H712</f>
        <v>0</v>
      </c>
      <c r="K712" s="7">
        <f>337.12-I706-I707-I708-I709-I710-I711-I712</f>
        <v>0</v>
      </c>
    </row>
    <row r="713" spans="1:12">
      <c r="A713" t="s">
        <v>617</v>
      </c>
      <c r="B713" s="1">
        <v>42361</v>
      </c>
      <c r="C713" t="s">
        <v>7051</v>
      </c>
      <c r="D713">
        <v>1</v>
      </c>
      <c r="E713" t="s">
        <v>1441</v>
      </c>
      <c r="F713" s="17" t="s">
        <v>1645</v>
      </c>
      <c r="G713" t="s">
        <v>1441</v>
      </c>
      <c r="H713" s="7">
        <f t="shared" si="11"/>
        <v>4131.8125</v>
      </c>
      <c r="I713" s="7">
        <v>661.09</v>
      </c>
    </row>
    <row r="714" spans="1:12">
      <c r="H714" s="9"/>
      <c r="I714" s="9"/>
    </row>
    <row r="715" spans="1:12">
      <c r="H715" s="109"/>
      <c r="I715" s="109"/>
    </row>
    <row r="716" spans="1:12">
      <c r="H716" s="9">
        <f>SUM(H7:H713)</f>
        <v>37863673.715517238</v>
      </c>
      <c r="I716" s="9">
        <f>SUM(I7:I713)</f>
        <v>6058187.7944827657</v>
      </c>
    </row>
    <row r="717" spans="1:12">
      <c r="H717" s="10">
        <f>6905885.45-48248643.36</f>
        <v>-41342757.909999996</v>
      </c>
      <c r="I717" s="10">
        <f>+H717-I716</f>
        <v>-47400945.704482764</v>
      </c>
      <c r="J717" s="7" t="s">
        <v>960</v>
      </c>
    </row>
    <row r="718" spans="1:12" s="84" customFormat="1">
      <c r="A718" s="84" t="s">
        <v>6939</v>
      </c>
      <c r="B718" s="147">
        <v>42369</v>
      </c>
      <c r="C718" s="84" t="s">
        <v>6940</v>
      </c>
      <c r="D718" s="84">
        <v>1</v>
      </c>
      <c r="E718" s="84" t="s">
        <v>6941</v>
      </c>
      <c r="H718" s="148">
        <f t="shared" ref="H718:H723" si="12">+I718/0.16</f>
        <v>-296250894.625</v>
      </c>
      <c r="I718" s="148">
        <v>-47400143.140000001</v>
      </c>
      <c r="J718" s="148"/>
      <c r="K718" s="148"/>
    </row>
    <row r="719" spans="1:12" s="84" customFormat="1" ht="14.25" customHeight="1">
      <c r="A719" s="84" t="s">
        <v>6914</v>
      </c>
      <c r="B719" s="147">
        <v>42369</v>
      </c>
      <c r="C719" s="84" t="s">
        <v>4834</v>
      </c>
      <c r="D719" s="84">
        <v>1</v>
      </c>
      <c r="E719" s="84" t="s">
        <v>6915</v>
      </c>
      <c r="F719" s="84" t="s">
        <v>7333</v>
      </c>
      <c r="G719" s="84" t="s">
        <v>7334</v>
      </c>
      <c r="H719" s="148">
        <f t="shared" si="12"/>
        <v>-1406.875</v>
      </c>
      <c r="I719" s="148">
        <v>-225.1</v>
      </c>
      <c r="J719" s="148">
        <f>+K719/0.16</f>
        <v>-643.25</v>
      </c>
      <c r="K719" s="148">
        <v>-102.92</v>
      </c>
      <c r="L719" s="84" t="s">
        <v>7553</v>
      </c>
    </row>
    <row r="720" spans="1:12" s="84" customFormat="1">
      <c r="A720" s="84" t="s">
        <v>6931</v>
      </c>
      <c r="B720" s="147">
        <v>42369</v>
      </c>
      <c r="C720" s="84" t="s">
        <v>1522</v>
      </c>
      <c r="D720" s="84">
        <v>1</v>
      </c>
      <c r="E720" s="84" t="s">
        <v>1595</v>
      </c>
      <c r="F720" s="84" t="s">
        <v>1595</v>
      </c>
      <c r="G720" s="167" t="s">
        <v>7339</v>
      </c>
      <c r="H720" s="148">
        <f t="shared" si="12"/>
        <v>-210.3125</v>
      </c>
      <c r="I720" s="148">
        <v>-33.65</v>
      </c>
      <c r="J720" s="148" t="s">
        <v>7560</v>
      </c>
      <c r="K720" s="148"/>
    </row>
    <row r="721" spans="1:11" s="84" customFormat="1">
      <c r="A721" s="84" t="s">
        <v>4106</v>
      </c>
      <c r="B721" s="147">
        <v>42340</v>
      </c>
      <c r="C721" s="84" t="s">
        <v>6228</v>
      </c>
      <c r="D721" s="84">
        <v>1</v>
      </c>
      <c r="E721" s="84" t="s">
        <v>6944</v>
      </c>
      <c r="F721" s="104" t="s">
        <v>6246</v>
      </c>
      <c r="G721" s="112" t="s">
        <v>6944</v>
      </c>
      <c r="H721" s="148">
        <f t="shared" si="12"/>
        <v>-2132.3125</v>
      </c>
      <c r="I721" s="148">
        <v>-341.17</v>
      </c>
      <c r="J721" s="148" t="s">
        <v>7560</v>
      </c>
      <c r="K721" s="148"/>
    </row>
    <row r="722" spans="1:11" s="84" customFormat="1">
      <c r="A722" s="84" t="s">
        <v>6932</v>
      </c>
      <c r="B722" s="147">
        <v>42369</v>
      </c>
      <c r="C722" s="84" t="s">
        <v>1522</v>
      </c>
      <c r="D722" s="84">
        <v>1</v>
      </c>
      <c r="E722" s="84" t="s">
        <v>853</v>
      </c>
      <c r="F722" s="84" t="s">
        <v>853</v>
      </c>
      <c r="G722" s="84" t="s">
        <v>5751</v>
      </c>
      <c r="H722" s="148">
        <f t="shared" si="12"/>
        <v>-231</v>
      </c>
      <c r="I722" s="148">
        <v>-36.96</v>
      </c>
      <c r="J722" s="148" t="s">
        <v>7564</v>
      </c>
      <c r="K722" s="148"/>
    </row>
    <row r="723" spans="1:11" s="84" customFormat="1">
      <c r="A723" s="84" t="s">
        <v>6934</v>
      </c>
      <c r="B723" s="147">
        <v>42369</v>
      </c>
      <c r="C723" s="84" t="s">
        <v>1522</v>
      </c>
      <c r="D723" s="84">
        <v>1</v>
      </c>
      <c r="E723" s="84" t="s">
        <v>768</v>
      </c>
      <c r="F723" s="84" t="s">
        <v>768</v>
      </c>
      <c r="G723" s="167" t="s">
        <v>283</v>
      </c>
      <c r="H723" s="148">
        <f t="shared" si="12"/>
        <v>-1035.5</v>
      </c>
      <c r="I723" s="148">
        <v>-165.68</v>
      </c>
      <c r="J723" s="148" t="s">
        <v>7564</v>
      </c>
      <c r="K723" s="148"/>
    </row>
    <row r="724" spans="1:11">
      <c r="F724" s="11"/>
      <c r="I724" s="9">
        <f>+I723+I722+I721+I720+I719+I718+I716</f>
        <v>-41342757.905517235</v>
      </c>
      <c r="J724" s="175">
        <f>+I723+I722+I721+I720+I719+I718</f>
        <v>-47400945.700000003</v>
      </c>
    </row>
    <row r="725" spans="1:11">
      <c r="F725" s="11"/>
      <c r="J725"/>
    </row>
    <row r="726" spans="1:11">
      <c r="F726" s="11"/>
      <c r="J726"/>
    </row>
    <row r="727" spans="1:11">
      <c r="F727" s="11"/>
      <c r="J727"/>
    </row>
    <row r="728" spans="1:11">
      <c r="F728" s="12" t="s">
        <v>696</v>
      </c>
      <c r="J728"/>
    </row>
    <row r="729" spans="1:11">
      <c r="F729" s="13" t="s">
        <v>7101</v>
      </c>
      <c r="J729"/>
    </row>
    <row r="730" spans="1:11">
      <c r="F730" s="11"/>
      <c r="J730"/>
    </row>
    <row r="731" spans="1:11">
      <c r="A731" s="14"/>
      <c r="B731" s="14"/>
      <c r="C731" s="14"/>
      <c r="D731" s="14"/>
      <c r="E731" s="14"/>
      <c r="F731" s="14" t="s">
        <v>692</v>
      </c>
      <c r="G731" s="14" t="s">
        <v>693</v>
      </c>
      <c r="H731" s="15" t="s">
        <v>694</v>
      </c>
      <c r="I731" s="14" t="s">
        <v>695</v>
      </c>
      <c r="J731" s="14" t="s">
        <v>697</v>
      </c>
    </row>
    <row r="732" spans="1:11">
      <c r="A732" s="150" t="s">
        <v>7544</v>
      </c>
      <c r="B732">
        <v>85</v>
      </c>
      <c r="F732" s="28" t="s">
        <v>5381</v>
      </c>
      <c r="G732" s="105" t="s">
        <v>7102</v>
      </c>
      <c r="H732" s="7">
        <f>+I732/0.16</f>
        <v>1770.6875</v>
      </c>
      <c r="I732" s="7">
        <f>+SUMIF($F$7:$F$713,F732,$I$7:I$713)</f>
        <v>283.31</v>
      </c>
    </row>
    <row r="733" spans="1:11">
      <c r="A733" s="150" t="s">
        <v>7544</v>
      </c>
      <c r="B733">
        <v>85</v>
      </c>
      <c r="F733" s="28" t="s">
        <v>5648</v>
      </c>
      <c r="G733" s="105" t="s">
        <v>7121</v>
      </c>
      <c r="H733" s="7">
        <f t="shared" ref="H733:H792" si="13">+I733/0.16</f>
        <v>211.1875</v>
      </c>
      <c r="I733" s="7">
        <f>+SUMIF($F$7:$F$713,F733,$I$7:I$713)</f>
        <v>33.79</v>
      </c>
    </row>
    <row r="734" spans="1:11">
      <c r="A734" s="150" t="s">
        <v>7544</v>
      </c>
      <c r="B734">
        <v>85</v>
      </c>
      <c r="F734" s="28" t="s">
        <v>923</v>
      </c>
      <c r="G734" s="105" t="s">
        <v>924</v>
      </c>
      <c r="H734" s="7">
        <f t="shared" si="13"/>
        <v>5057.1250000000009</v>
      </c>
      <c r="I734" s="7">
        <f>+SUMIF($F$7:$F$713,F734,$I$7:I$713)</f>
        <v>809.1400000000001</v>
      </c>
    </row>
    <row r="735" spans="1:11">
      <c r="A735" s="150" t="s">
        <v>7544</v>
      </c>
      <c r="B735">
        <v>85</v>
      </c>
      <c r="F735" s="88" t="s">
        <v>733</v>
      </c>
      <c r="G735" s="107" t="s">
        <v>734</v>
      </c>
      <c r="H735" s="7">
        <f t="shared" si="13"/>
        <v>913.8125</v>
      </c>
      <c r="I735" s="7">
        <f>+SUMIF($F$7:$F$713,F735,$I$7:I$713)</f>
        <v>146.21</v>
      </c>
    </row>
    <row r="736" spans="1:11">
      <c r="A736" s="150" t="s">
        <v>7544</v>
      </c>
      <c r="B736">
        <v>85</v>
      </c>
      <c r="F736" s="91" t="s">
        <v>6274</v>
      </c>
      <c r="G736" s="105" t="s">
        <v>7218</v>
      </c>
      <c r="H736" s="7">
        <f t="shared" si="13"/>
        <v>765.5625</v>
      </c>
      <c r="I736" s="7">
        <f>+SUMIF($F$7:$F$713,F736,$I$7:I$713)</f>
        <v>122.49</v>
      </c>
    </row>
    <row r="737" spans="1:9">
      <c r="A737" s="150" t="s">
        <v>7544</v>
      </c>
      <c r="B737">
        <v>85</v>
      </c>
      <c r="F737" s="28" t="s">
        <v>879</v>
      </c>
      <c r="G737" s="105" t="s">
        <v>880</v>
      </c>
      <c r="H737" s="7">
        <f t="shared" si="13"/>
        <v>1122.6875</v>
      </c>
      <c r="I737" s="7">
        <f>+SUMIF($F$7:$F$713,F737,$I$7:I$713)</f>
        <v>179.63</v>
      </c>
    </row>
    <row r="738" spans="1:9">
      <c r="A738" s="150" t="s">
        <v>7544</v>
      </c>
      <c r="B738">
        <v>85</v>
      </c>
      <c r="F738" s="28" t="s">
        <v>7219</v>
      </c>
      <c r="G738" s="105" t="s">
        <v>7220</v>
      </c>
      <c r="H738" s="7">
        <f t="shared" si="13"/>
        <v>86.187499999999986</v>
      </c>
      <c r="I738" s="7">
        <f>+SUMIF($F$7:$F$713,F738,$I$7:I$713)</f>
        <v>13.79</v>
      </c>
    </row>
    <row r="739" spans="1:9">
      <c r="A739" s="150" t="s">
        <v>7544</v>
      </c>
      <c r="B739">
        <v>85</v>
      </c>
      <c r="F739" t="s">
        <v>5633</v>
      </c>
      <c r="G739" t="s">
        <v>6247</v>
      </c>
      <c r="H739" s="7">
        <f t="shared" si="13"/>
        <v>157217.125</v>
      </c>
      <c r="I739" s="7">
        <f>+SUMIF($F$7:$F$713,F739,$I$7:I$713)</f>
        <v>25154.74</v>
      </c>
    </row>
    <row r="740" spans="1:9">
      <c r="A740" s="150" t="s">
        <v>7544</v>
      </c>
      <c r="B740">
        <v>85</v>
      </c>
      <c r="F740" s="28" t="s">
        <v>2241</v>
      </c>
      <c r="G740" s="105" t="s">
        <v>2710</v>
      </c>
      <c r="H740" s="7">
        <f t="shared" si="13"/>
        <v>298.25</v>
      </c>
      <c r="I740" s="7">
        <f>+SUMIF($F$7:$F$713,F740,$I$7:I$713)</f>
        <v>47.72</v>
      </c>
    </row>
    <row r="741" spans="1:9">
      <c r="A741" s="150" t="s">
        <v>7544</v>
      </c>
      <c r="B741">
        <v>85</v>
      </c>
      <c r="F741" t="s">
        <v>2191</v>
      </c>
      <c r="G741" t="s">
        <v>4930</v>
      </c>
      <c r="H741" s="7">
        <f t="shared" si="13"/>
        <v>1920</v>
      </c>
      <c r="I741" s="7">
        <f>+SUMIF($F$7:$F$713,F741,$I$7:I$713)</f>
        <v>307.2</v>
      </c>
    </row>
    <row r="742" spans="1:9">
      <c r="A742" s="150" t="s">
        <v>7544</v>
      </c>
      <c r="B742">
        <v>85</v>
      </c>
      <c r="F742" t="s">
        <v>711</v>
      </c>
      <c r="G742" s="17" t="s">
        <v>4211</v>
      </c>
      <c r="H742" s="7">
        <f t="shared" si="13"/>
        <v>853.3125</v>
      </c>
      <c r="I742" s="7">
        <f>+SUMIF($F$7:$F$713,F742,$I$7:I$713)</f>
        <v>136.53</v>
      </c>
    </row>
    <row r="743" spans="1:9">
      <c r="A743" s="150" t="s">
        <v>7544</v>
      </c>
      <c r="B743">
        <v>85</v>
      </c>
      <c r="F743" t="s">
        <v>745</v>
      </c>
      <c r="G743" s="105" t="s">
        <v>746</v>
      </c>
      <c r="H743" s="7">
        <f t="shared" si="13"/>
        <v>268.9375</v>
      </c>
      <c r="I743" s="7">
        <f>+SUMIF($F$7:$F$713,F743,$I$7:I$713)</f>
        <v>43.03</v>
      </c>
    </row>
    <row r="744" spans="1:9">
      <c r="A744" s="150" t="s">
        <v>7544</v>
      </c>
      <c r="B744">
        <v>85</v>
      </c>
      <c r="F744" s="28" t="s">
        <v>6275</v>
      </c>
      <c r="G744" s="105" t="s">
        <v>7177</v>
      </c>
      <c r="H744" s="7">
        <f t="shared" si="13"/>
        <v>150.875</v>
      </c>
      <c r="I744" s="7">
        <f>+SUMIF($F$7:$F$713,F744,$I$7:I$713)</f>
        <v>24.14</v>
      </c>
    </row>
    <row r="745" spans="1:9">
      <c r="A745" s="150" t="s">
        <v>7544</v>
      </c>
      <c r="B745">
        <v>85</v>
      </c>
      <c r="F745" t="s">
        <v>1530</v>
      </c>
      <c r="G745" t="s">
        <v>5143</v>
      </c>
      <c r="H745" s="7">
        <f t="shared" si="13"/>
        <v>443802.12499999994</v>
      </c>
      <c r="I745" s="7">
        <f>+SUMIF($F$7:$F$713,F745,$I$7:I$713)</f>
        <v>71008.34</v>
      </c>
    </row>
    <row r="746" spans="1:9">
      <c r="A746" s="150" t="s">
        <v>7544</v>
      </c>
      <c r="B746">
        <v>85</v>
      </c>
      <c r="F746" t="s">
        <v>7118</v>
      </c>
      <c r="G746" t="s">
        <v>7119</v>
      </c>
      <c r="H746" s="7">
        <f t="shared" si="13"/>
        <v>41.9375</v>
      </c>
      <c r="I746" s="7">
        <f>+SUMIF($F$7:$F$713,F746,$I$7:I$713)</f>
        <v>6.71</v>
      </c>
    </row>
    <row r="747" spans="1:9">
      <c r="A747" s="150" t="s">
        <v>7544</v>
      </c>
      <c r="B747">
        <v>85</v>
      </c>
      <c r="F747" s="17" t="s">
        <v>3217</v>
      </c>
      <c r="G747" s="17" t="s">
        <v>4210</v>
      </c>
      <c r="H747" s="7">
        <f t="shared" si="13"/>
        <v>597387.75</v>
      </c>
      <c r="I747" s="7">
        <f>+SUMIF($F$7:$F$713,F747,$I$7:I$713)</f>
        <v>95582.04</v>
      </c>
    </row>
    <row r="748" spans="1:9">
      <c r="A748" s="150" t="s">
        <v>7544</v>
      </c>
      <c r="B748">
        <v>85</v>
      </c>
      <c r="F748" t="s">
        <v>714</v>
      </c>
      <c r="G748" s="17" t="s">
        <v>7103</v>
      </c>
      <c r="H748" s="7">
        <f t="shared" si="13"/>
        <v>10651.6875</v>
      </c>
      <c r="I748" s="7">
        <f>+SUMIF($F$7:$F$713,F748,$I$7:I$713)</f>
        <v>1704.27</v>
      </c>
    </row>
    <row r="749" spans="1:9">
      <c r="A749" s="150" t="s">
        <v>7544</v>
      </c>
      <c r="B749">
        <v>85</v>
      </c>
      <c r="F749" s="28" t="s">
        <v>751</v>
      </c>
      <c r="G749" s="105" t="s">
        <v>752</v>
      </c>
      <c r="H749" s="7">
        <f t="shared" si="13"/>
        <v>770.74999999999989</v>
      </c>
      <c r="I749" s="7">
        <f>+SUMIF($F$7:$F$713,F749,$I$7:I$713)</f>
        <v>123.32</v>
      </c>
    </row>
    <row r="750" spans="1:9">
      <c r="A750" s="150" t="s">
        <v>7544</v>
      </c>
      <c r="B750">
        <v>85</v>
      </c>
      <c r="F750" t="s">
        <v>2187</v>
      </c>
      <c r="G750" t="s">
        <v>3658</v>
      </c>
      <c r="H750" s="7">
        <f t="shared" si="13"/>
        <v>195197.625</v>
      </c>
      <c r="I750" s="7">
        <f>+SUMIF($F$7:$F$713,F750,$I$7:I$713)</f>
        <v>31231.62</v>
      </c>
    </row>
    <row r="751" spans="1:9">
      <c r="A751" s="150" t="s">
        <v>7544</v>
      </c>
      <c r="B751">
        <v>85</v>
      </c>
      <c r="F751" s="17" t="s">
        <v>7104</v>
      </c>
      <c r="G751" t="s">
        <v>6955</v>
      </c>
      <c r="H751" s="7">
        <f t="shared" si="13"/>
        <v>16800</v>
      </c>
      <c r="I751" s="7">
        <f>+SUMIF($F$7:$F$713,F751,$I$7:I$713)</f>
        <v>2688</v>
      </c>
    </row>
    <row r="752" spans="1:9">
      <c r="A752" s="150" t="s">
        <v>7544</v>
      </c>
      <c r="B752">
        <v>85</v>
      </c>
      <c r="F752" t="s">
        <v>749</v>
      </c>
      <c r="G752" s="17" t="s">
        <v>7105</v>
      </c>
      <c r="H752" s="7">
        <f t="shared" si="13"/>
        <v>86.187499999999986</v>
      </c>
      <c r="I752" s="7">
        <f>+SUMIF($F$7:$F$713,F752,$I$7:I$713)</f>
        <v>13.79</v>
      </c>
    </row>
    <row r="753" spans="1:10">
      <c r="A753" s="150" t="s">
        <v>7544</v>
      </c>
      <c r="B753">
        <v>85</v>
      </c>
      <c r="F753" s="28" t="s">
        <v>2192</v>
      </c>
      <c r="G753" s="105" t="s">
        <v>7120</v>
      </c>
      <c r="H753" s="7">
        <f t="shared" si="13"/>
        <v>833160.625</v>
      </c>
      <c r="I753" s="7">
        <f>+SUMIF($F$7:$F$713,F753,$I$7:I$713)</f>
        <v>133305.70000000001</v>
      </c>
    </row>
    <row r="754" spans="1:10">
      <c r="A754" s="150" t="s">
        <v>7544</v>
      </c>
      <c r="B754">
        <v>85</v>
      </c>
      <c r="F754" t="s">
        <v>958</v>
      </c>
      <c r="G754" s="2" t="s">
        <v>1684</v>
      </c>
      <c r="H754" s="7">
        <f t="shared" si="13"/>
        <v>488802.375</v>
      </c>
      <c r="I754" s="7">
        <f>+SUMIF($F$7:$F$713,F754,$I$7:I$713)</f>
        <v>78208.38</v>
      </c>
    </row>
    <row r="755" spans="1:10">
      <c r="A755" s="150" t="s">
        <v>7544</v>
      </c>
      <c r="B755" s="150" t="s">
        <v>7567</v>
      </c>
      <c r="F755" s="116" t="s">
        <v>2688</v>
      </c>
      <c r="G755" s="117" t="s">
        <v>2682</v>
      </c>
      <c r="H755" s="7">
        <f t="shared" si="13"/>
        <v>16071.437499999998</v>
      </c>
      <c r="I755" s="7">
        <f>+SUMIF($F$7:$F$713,F755,$I$7:I$713)</f>
        <v>2571.4299999999998</v>
      </c>
      <c r="J755" s="7">
        <v>1713.22</v>
      </c>
    </row>
    <row r="756" spans="1:10">
      <c r="A756" s="150" t="s">
        <v>7544</v>
      </c>
      <c r="B756">
        <v>85</v>
      </c>
      <c r="F756" t="s">
        <v>2690</v>
      </c>
      <c r="G756" t="s">
        <v>5671</v>
      </c>
      <c r="H756" s="7">
        <f t="shared" si="13"/>
        <v>401411.375</v>
      </c>
      <c r="I756" s="7">
        <f>+SUMIF($F$7:$F$713,F756,$I$7:I$713)</f>
        <v>64225.82</v>
      </c>
    </row>
    <row r="757" spans="1:10">
      <c r="A757" s="150" t="s">
        <v>7544</v>
      </c>
      <c r="B757">
        <v>85</v>
      </c>
      <c r="F757" t="s">
        <v>7535</v>
      </c>
      <c r="G757" t="s">
        <v>7536</v>
      </c>
      <c r="H757" s="7">
        <f t="shared" si="13"/>
        <v>1808.5</v>
      </c>
      <c r="I757" s="7">
        <f>+SUMIF($F$7:$F$713,F757,$I$7:I$713)</f>
        <v>289.36</v>
      </c>
    </row>
    <row r="758" spans="1:10">
      <c r="A758" s="150" t="s">
        <v>7544</v>
      </c>
      <c r="B758">
        <v>85</v>
      </c>
      <c r="F758" s="122" t="s">
        <v>737</v>
      </c>
      <c r="G758" s="17" t="s">
        <v>7133</v>
      </c>
      <c r="H758" s="7">
        <f t="shared" si="13"/>
        <v>19689.375</v>
      </c>
      <c r="I758" s="7">
        <f>+SUMIF($F$7:$F$713,F758,$I$7:I$713)</f>
        <v>3150.3</v>
      </c>
    </row>
    <row r="759" spans="1:10">
      <c r="A759" s="150" t="s">
        <v>7544</v>
      </c>
      <c r="B759">
        <v>85</v>
      </c>
      <c r="F759" t="s">
        <v>735</v>
      </c>
      <c r="G759" t="s">
        <v>6272</v>
      </c>
      <c r="H759" s="7">
        <f t="shared" si="13"/>
        <v>200</v>
      </c>
      <c r="I759" s="7">
        <f>+SUMIF($F$7:$F$713,F759,$I$7:I$713)</f>
        <v>32</v>
      </c>
    </row>
    <row r="760" spans="1:10">
      <c r="A760" s="150" t="s">
        <v>7544</v>
      </c>
      <c r="B760">
        <v>85</v>
      </c>
      <c r="F760" s="36" t="s">
        <v>2196</v>
      </c>
      <c r="G760" s="2" t="s">
        <v>2092</v>
      </c>
      <c r="H760" s="7">
        <f t="shared" si="13"/>
        <v>8000</v>
      </c>
      <c r="I760" s="7">
        <f>+SUMIF($F$7:$F$713,F760,$I$7:I$713)</f>
        <v>1280</v>
      </c>
    </row>
    <row r="761" spans="1:10">
      <c r="A761" s="150" t="s">
        <v>7544</v>
      </c>
      <c r="B761">
        <v>85</v>
      </c>
      <c r="F761" s="28" t="s">
        <v>7181</v>
      </c>
      <c r="G761" s="105" t="s">
        <v>7182</v>
      </c>
      <c r="H761" s="7">
        <f t="shared" si="13"/>
        <v>69.8125</v>
      </c>
      <c r="I761" s="7">
        <f>+SUMIF($F$7:$F$713,F761,$I$7:I$713)</f>
        <v>11.17</v>
      </c>
    </row>
    <row r="762" spans="1:10">
      <c r="A762" s="150" t="s">
        <v>7544</v>
      </c>
      <c r="B762">
        <v>85</v>
      </c>
      <c r="F762" s="88" t="s">
        <v>741</v>
      </c>
      <c r="G762" s="45" t="s">
        <v>742</v>
      </c>
      <c r="H762" s="7">
        <f t="shared" si="13"/>
        <v>140</v>
      </c>
      <c r="I762" s="7">
        <f>+SUMIF($F$7:$F$713,F762,$I$7:I$713)</f>
        <v>22.4</v>
      </c>
    </row>
    <row r="763" spans="1:10">
      <c r="A763" s="150" t="s">
        <v>7544</v>
      </c>
      <c r="B763">
        <v>85</v>
      </c>
      <c r="F763" s="88" t="s">
        <v>739</v>
      </c>
      <c r="G763" s="45" t="s">
        <v>740</v>
      </c>
      <c r="H763" s="7">
        <f t="shared" si="13"/>
        <v>12798.625</v>
      </c>
      <c r="I763" s="7">
        <f>+SUMIF($F$7:$F$713,F763,$I$7:I$713)</f>
        <v>2047.78</v>
      </c>
    </row>
    <row r="764" spans="1:10">
      <c r="A764" s="150" t="s">
        <v>7544</v>
      </c>
      <c r="B764">
        <v>85</v>
      </c>
      <c r="F764" t="s">
        <v>6585</v>
      </c>
      <c r="G764" s="17" t="s">
        <v>5672</v>
      </c>
      <c r="H764" s="7">
        <f t="shared" si="13"/>
        <v>763</v>
      </c>
      <c r="I764" s="7">
        <f>+SUMIF($F$7:$F$713,F764,$I$7:I$713)</f>
        <v>122.08</v>
      </c>
    </row>
    <row r="765" spans="1:10">
      <c r="A765" s="150" t="s">
        <v>7544</v>
      </c>
      <c r="B765">
        <v>85</v>
      </c>
      <c r="F765" s="88" t="s">
        <v>743</v>
      </c>
      <c r="G765" s="45" t="s">
        <v>744</v>
      </c>
      <c r="H765" s="7">
        <f t="shared" si="13"/>
        <v>116.99999999999999</v>
      </c>
      <c r="I765" s="7">
        <f>+SUMIF($F$7:$F$713,F765,$I$7:I$713)</f>
        <v>18.72</v>
      </c>
    </row>
    <row r="766" spans="1:10">
      <c r="A766" s="150" t="s">
        <v>7544</v>
      </c>
      <c r="B766">
        <v>85</v>
      </c>
      <c r="F766" s="17" t="s">
        <v>790</v>
      </c>
      <c r="G766" t="s">
        <v>428</v>
      </c>
      <c r="H766" s="7">
        <f t="shared" si="13"/>
        <v>2768452.375</v>
      </c>
      <c r="I766" s="7">
        <f>+SUMIF($F$7:$F$713,F766,$I$7:I$713)</f>
        <v>442952.38</v>
      </c>
    </row>
    <row r="767" spans="1:10">
      <c r="A767" s="150" t="s">
        <v>7544</v>
      </c>
      <c r="B767" s="150" t="s">
        <v>7566</v>
      </c>
      <c r="F767" s="116" t="s">
        <v>956</v>
      </c>
      <c r="G767" s="117" t="s">
        <v>957</v>
      </c>
      <c r="H767" s="7">
        <f t="shared" si="13"/>
        <v>36890.4375</v>
      </c>
      <c r="I767" s="7">
        <f>+SUMIF($F$7:$F$713,F767,$I$7:I$713)</f>
        <v>5902.47</v>
      </c>
      <c r="J767" s="7">
        <v>3934.98</v>
      </c>
    </row>
    <row r="768" spans="1:10">
      <c r="A768" s="150" t="s">
        <v>7544</v>
      </c>
      <c r="B768">
        <v>85</v>
      </c>
      <c r="F768" s="28" t="s">
        <v>2761</v>
      </c>
      <c r="G768" s="105" t="s">
        <v>2762</v>
      </c>
      <c r="H768" s="7">
        <f t="shared" si="13"/>
        <v>1733.5</v>
      </c>
      <c r="I768" s="7">
        <f>+SUMIF($F$7:$F$713,F768,$I$7:I$713)</f>
        <v>277.36</v>
      </c>
    </row>
    <row r="769" spans="1:9">
      <c r="A769" s="150" t="s">
        <v>7544</v>
      </c>
      <c r="B769">
        <v>85</v>
      </c>
      <c r="F769" s="28" t="s">
        <v>5430</v>
      </c>
      <c r="G769" s="105" t="s">
        <v>7183</v>
      </c>
      <c r="H769" s="7">
        <f t="shared" si="13"/>
        <v>90.528017241379303</v>
      </c>
      <c r="I769" s="7">
        <f>+SUMIF($F$7:$F$713,F769,$I$7:I$713)</f>
        <v>14.48448275862069</v>
      </c>
    </row>
    <row r="770" spans="1:9">
      <c r="A770" s="150" t="s">
        <v>7544</v>
      </c>
      <c r="B770">
        <v>85</v>
      </c>
      <c r="F770" t="s">
        <v>724</v>
      </c>
      <c r="G770" t="s">
        <v>3664</v>
      </c>
      <c r="H770" s="7">
        <f t="shared" si="13"/>
        <v>450871.375</v>
      </c>
      <c r="I770" s="7">
        <f>+SUMIF($F$7:$F$713,F770,$I$7:I$713)</f>
        <v>72139.42</v>
      </c>
    </row>
    <row r="771" spans="1:9">
      <c r="A771" s="150" t="s">
        <v>7544</v>
      </c>
      <c r="B771">
        <v>85</v>
      </c>
      <c r="F771" s="2" t="s">
        <v>895</v>
      </c>
      <c r="G771" s="105" t="s">
        <v>7107</v>
      </c>
      <c r="H771" s="7">
        <f t="shared" si="13"/>
        <v>413.75</v>
      </c>
      <c r="I771" s="7">
        <f>+SUMIF($F$7:$F$713,F771,$I$7:I$713)</f>
        <v>66.2</v>
      </c>
    </row>
    <row r="772" spans="1:9">
      <c r="A772" s="150" t="s">
        <v>7544</v>
      </c>
      <c r="B772">
        <v>85</v>
      </c>
      <c r="F772" t="s">
        <v>3523</v>
      </c>
      <c r="G772" s="17" t="s">
        <v>7108</v>
      </c>
      <c r="H772" s="7">
        <f t="shared" si="13"/>
        <v>687.93749999999989</v>
      </c>
      <c r="I772" s="7">
        <f>+SUMIF($F$7:$F$713,F772,$I$7:I$713)</f>
        <v>110.07</v>
      </c>
    </row>
    <row r="773" spans="1:9">
      <c r="A773" s="150" t="s">
        <v>7544</v>
      </c>
      <c r="B773">
        <v>85</v>
      </c>
      <c r="F773" s="36" t="s">
        <v>730</v>
      </c>
      <c r="G773" s="2" t="s">
        <v>476</v>
      </c>
      <c r="H773" s="7">
        <f t="shared" si="13"/>
        <v>20435.375</v>
      </c>
      <c r="I773" s="7">
        <f>+SUMIF($F$7:$F$713,F773,$I$7:I$713)</f>
        <v>3269.66</v>
      </c>
    </row>
    <row r="774" spans="1:9">
      <c r="A774" s="150" t="s">
        <v>7544</v>
      </c>
      <c r="B774">
        <v>85</v>
      </c>
      <c r="F774" s="17" t="s">
        <v>808</v>
      </c>
      <c r="G774" t="s">
        <v>489</v>
      </c>
      <c r="H774" s="7">
        <f t="shared" si="13"/>
        <v>20554.25</v>
      </c>
      <c r="I774" s="7">
        <f>+SUMIF($F$7:$F$713,F774,$I$7:I$713)</f>
        <v>3288.68</v>
      </c>
    </row>
    <row r="775" spans="1:9">
      <c r="A775" s="150" t="s">
        <v>7544</v>
      </c>
      <c r="B775">
        <v>85</v>
      </c>
      <c r="F775" s="28" t="s">
        <v>3503</v>
      </c>
      <c r="G775" s="105" t="s">
        <v>950</v>
      </c>
      <c r="H775" s="7">
        <f t="shared" si="13"/>
        <v>87.9375</v>
      </c>
      <c r="I775" s="7">
        <f>+SUMIF($F$7:$F$713,F775,$I$7:I$713)</f>
        <v>14.07</v>
      </c>
    </row>
    <row r="776" spans="1:9">
      <c r="A776" s="150" t="s">
        <v>7544</v>
      </c>
      <c r="B776">
        <v>85</v>
      </c>
      <c r="F776" s="119" t="s">
        <v>2763</v>
      </c>
      <c r="G776" s="120" t="s">
        <v>2764</v>
      </c>
      <c r="H776" s="7">
        <f t="shared" si="13"/>
        <v>455.31249999999994</v>
      </c>
      <c r="I776" s="7">
        <f>+SUMIF($F$7:$F$713,F776,$I$7:I$713)</f>
        <v>72.849999999999994</v>
      </c>
    </row>
    <row r="777" spans="1:9">
      <c r="A777" s="150" t="s">
        <v>7544</v>
      </c>
      <c r="B777">
        <v>85</v>
      </c>
      <c r="F777" s="119" t="s">
        <v>3945</v>
      </c>
      <c r="G777" s="120" t="s">
        <v>7174</v>
      </c>
      <c r="H777" s="7">
        <f t="shared" si="13"/>
        <v>1183.6875</v>
      </c>
      <c r="I777" s="7">
        <f>+SUMIF($F$7:$F$713,F777,$I$7:I$713)</f>
        <v>189.39</v>
      </c>
    </row>
    <row r="778" spans="1:9">
      <c r="A778" s="150" t="s">
        <v>7544</v>
      </c>
      <c r="B778">
        <v>85</v>
      </c>
      <c r="F778" s="2" t="s">
        <v>7224</v>
      </c>
      <c r="G778" s="2" t="s">
        <v>7225</v>
      </c>
      <c r="H778" s="7">
        <f t="shared" si="13"/>
        <v>729.75</v>
      </c>
      <c r="I778" s="7">
        <f>+SUMIF($F$7:$F$713,F778,$I$7:I$713)</f>
        <v>116.76</v>
      </c>
    </row>
    <row r="779" spans="1:9">
      <c r="A779" s="150" t="s">
        <v>7544</v>
      </c>
      <c r="B779">
        <v>85</v>
      </c>
      <c r="F779" s="28" t="s">
        <v>7130</v>
      </c>
      <c r="G779" s="105" t="s">
        <v>7131</v>
      </c>
      <c r="H779" s="7">
        <f t="shared" si="13"/>
        <v>313.81249999999994</v>
      </c>
      <c r="I779" s="7">
        <f>+SUMIF($F$7:$F$713,F779,$I$7:I$713)</f>
        <v>50.209999999999994</v>
      </c>
    </row>
    <row r="780" spans="1:9">
      <c r="A780" s="150" t="s">
        <v>7544</v>
      </c>
      <c r="B780">
        <v>85</v>
      </c>
      <c r="F780" s="28" t="s">
        <v>5365</v>
      </c>
      <c r="G780" s="105" t="s">
        <v>5678</v>
      </c>
      <c r="H780" s="7">
        <f t="shared" si="13"/>
        <v>447.4375</v>
      </c>
      <c r="I780" s="7">
        <f>+SUMIF($F$7:$F$713,F780,$I$7:I$713)</f>
        <v>71.59</v>
      </c>
    </row>
    <row r="781" spans="1:9">
      <c r="A781" s="150" t="s">
        <v>7544</v>
      </c>
      <c r="B781">
        <v>85</v>
      </c>
      <c r="F781" t="s">
        <v>759</v>
      </c>
      <c r="G781" t="s">
        <v>7132</v>
      </c>
      <c r="H781" s="7">
        <f t="shared" si="13"/>
        <v>232.5625</v>
      </c>
      <c r="I781" s="7">
        <f>+SUMIF($F$7:$F$713,F781,$I$7:I$713)</f>
        <v>37.21</v>
      </c>
    </row>
    <row r="782" spans="1:9">
      <c r="A782" s="150" t="s">
        <v>7544</v>
      </c>
      <c r="B782">
        <v>85</v>
      </c>
      <c r="F782" s="2" t="s">
        <v>6254</v>
      </c>
      <c r="G782" s="2" t="s">
        <v>6225</v>
      </c>
      <c r="H782" s="7">
        <f t="shared" si="13"/>
        <v>17975</v>
      </c>
      <c r="I782" s="7">
        <f>+SUMIF($F$7:$F$713,F782,$I$7:I$713)</f>
        <v>2876</v>
      </c>
    </row>
    <row r="783" spans="1:9">
      <c r="A783" s="150" t="s">
        <v>7544</v>
      </c>
      <c r="B783">
        <v>85</v>
      </c>
      <c r="F783" s="28" t="s">
        <v>925</v>
      </c>
      <c r="G783" s="105" t="s">
        <v>926</v>
      </c>
      <c r="H783" s="7">
        <f t="shared" si="13"/>
        <v>503.24999999999994</v>
      </c>
      <c r="I783" s="7">
        <f>+SUMIF($F$7:$F$713,F783,$I$7:I$713)</f>
        <v>80.52</v>
      </c>
    </row>
    <row r="784" spans="1:9">
      <c r="A784" s="150" t="s">
        <v>7544</v>
      </c>
      <c r="B784">
        <v>85</v>
      </c>
      <c r="F784" s="36" t="s">
        <v>1551</v>
      </c>
      <c r="G784" s="2" t="s">
        <v>1436</v>
      </c>
      <c r="H784" s="7">
        <f t="shared" si="13"/>
        <v>2899.25</v>
      </c>
      <c r="I784" s="7">
        <f>+SUMIF($F$7:$F$713,F784,$I$7:I$713)</f>
        <v>463.88</v>
      </c>
    </row>
    <row r="785" spans="1:9">
      <c r="A785" s="150" t="s">
        <v>7544</v>
      </c>
      <c r="B785">
        <v>85</v>
      </c>
      <c r="F785" s="28" t="s">
        <v>7205</v>
      </c>
      <c r="G785" s="105" t="s">
        <v>7206</v>
      </c>
      <c r="H785" s="7">
        <f t="shared" si="13"/>
        <v>181.0625</v>
      </c>
      <c r="I785" s="7">
        <f>+SUMIF($F$7:$F$713,F785,$I$7:I$713)</f>
        <v>28.97</v>
      </c>
    </row>
    <row r="786" spans="1:9">
      <c r="A786" s="150" t="s">
        <v>7544</v>
      </c>
      <c r="B786">
        <v>85</v>
      </c>
      <c r="F786" s="36" t="s">
        <v>817</v>
      </c>
      <c r="G786" s="2" t="s">
        <v>7222</v>
      </c>
      <c r="H786" s="7">
        <f t="shared" si="13"/>
        <v>308.625</v>
      </c>
      <c r="I786" s="7">
        <f>+SUMIF($F$7:$F$713,F786,$I$7:I$713)</f>
        <v>49.38</v>
      </c>
    </row>
    <row r="787" spans="1:9">
      <c r="A787" s="150" t="s">
        <v>7544</v>
      </c>
      <c r="B787">
        <v>85</v>
      </c>
      <c r="F787" t="s">
        <v>727</v>
      </c>
      <c r="G787" t="s">
        <v>6446</v>
      </c>
      <c r="H787" s="7">
        <f t="shared" si="13"/>
        <v>227286.93750000003</v>
      </c>
      <c r="I787" s="7">
        <f>+SUMIF($F$7:$F$713,F787,$I$7:I$713)</f>
        <v>36365.910000000003</v>
      </c>
    </row>
    <row r="788" spans="1:9">
      <c r="A788" s="150" t="s">
        <v>7544</v>
      </c>
      <c r="B788">
        <v>85</v>
      </c>
      <c r="F788" s="17" t="s">
        <v>5329</v>
      </c>
      <c r="G788" t="s">
        <v>5682</v>
      </c>
      <c r="H788" s="7">
        <f t="shared" si="13"/>
        <v>91.375</v>
      </c>
      <c r="I788" s="7">
        <f>+SUMIF($F$7:$F$713,F788,$I$7:I$713)</f>
        <v>14.62</v>
      </c>
    </row>
    <row r="789" spans="1:9">
      <c r="A789" s="150" t="s">
        <v>7544</v>
      </c>
      <c r="B789">
        <v>85</v>
      </c>
      <c r="F789" t="s">
        <v>791</v>
      </c>
      <c r="G789" t="s">
        <v>3222</v>
      </c>
      <c r="H789" s="7">
        <f t="shared" si="13"/>
        <v>2513748.5624999995</v>
      </c>
      <c r="I789" s="7">
        <f>+SUMIF($F$7:$F$713,F789,$I$7:I$713)</f>
        <v>402199.76999999996</v>
      </c>
    </row>
    <row r="790" spans="1:9">
      <c r="A790" s="150" t="s">
        <v>7544</v>
      </c>
      <c r="B790">
        <v>85</v>
      </c>
      <c r="F790" t="s">
        <v>797</v>
      </c>
      <c r="G790" t="s">
        <v>3669</v>
      </c>
      <c r="H790" s="7">
        <f t="shared" si="13"/>
        <v>401881.49999999994</v>
      </c>
      <c r="I790" s="7">
        <f>+SUMIF($F$7:$F$713,F790,$I$7:I$713)</f>
        <v>64301.039999999994</v>
      </c>
    </row>
    <row r="791" spans="1:9">
      <c r="A791" s="150" t="s">
        <v>7544</v>
      </c>
      <c r="B791">
        <v>85</v>
      </c>
      <c r="F791" s="28" t="s">
        <v>7184</v>
      </c>
      <c r="G791" s="105" t="s">
        <v>7185</v>
      </c>
      <c r="H791" s="7">
        <f t="shared" si="13"/>
        <v>67.1875</v>
      </c>
      <c r="I791" s="7">
        <f>+SUMIF($F$7:$F$713,F791,$I$7:I$713)</f>
        <v>10.75</v>
      </c>
    </row>
    <row r="792" spans="1:9">
      <c r="A792" s="150" t="s">
        <v>7544</v>
      </c>
      <c r="B792">
        <v>85</v>
      </c>
      <c r="F792" s="119" t="s">
        <v>7186</v>
      </c>
      <c r="G792" s="120" t="s">
        <v>7187</v>
      </c>
      <c r="H792" s="7">
        <f t="shared" si="13"/>
        <v>288.1875</v>
      </c>
      <c r="I792" s="7">
        <f>+SUMIF($F$7:$F$713,F792,$I$7:I$713)</f>
        <v>46.11</v>
      </c>
    </row>
    <row r="793" spans="1:9">
      <c r="A793" s="150" t="s">
        <v>7544</v>
      </c>
      <c r="B793">
        <v>85</v>
      </c>
      <c r="F793" t="s">
        <v>1558</v>
      </c>
      <c r="G793" t="s">
        <v>7109</v>
      </c>
      <c r="H793" s="7">
        <f t="shared" ref="H793:H854" si="14">+I793/0.16</f>
        <v>1027.5625</v>
      </c>
      <c r="I793" s="7">
        <f>+SUMIF($F$7:$F$713,F793,$I$7:I$713)</f>
        <v>164.41</v>
      </c>
    </row>
    <row r="794" spans="1:9">
      <c r="A794" s="150" t="s">
        <v>7544</v>
      </c>
      <c r="B794">
        <v>85</v>
      </c>
      <c r="F794" s="36" t="s">
        <v>795</v>
      </c>
      <c r="G794" s="2" t="s">
        <v>638</v>
      </c>
      <c r="H794" s="7">
        <f t="shared" si="14"/>
        <v>139862.125</v>
      </c>
      <c r="I794" s="7">
        <f>+SUMIF($F$7:$F$713,F794,$I$7:I$713)</f>
        <v>22377.94</v>
      </c>
    </row>
    <row r="795" spans="1:9">
      <c r="A795" s="150" t="s">
        <v>7544</v>
      </c>
      <c r="B795">
        <v>85</v>
      </c>
      <c r="F795" t="s">
        <v>3224</v>
      </c>
      <c r="G795" s="17" t="s">
        <v>3061</v>
      </c>
      <c r="H795" s="7">
        <f t="shared" si="14"/>
        <v>187.0625</v>
      </c>
      <c r="I795" s="7">
        <f>+SUMIF($F$7:$F$713,F795,$I$7:I$713)</f>
        <v>29.93</v>
      </c>
    </row>
    <row r="796" spans="1:9">
      <c r="A796" s="150" t="s">
        <v>7544</v>
      </c>
      <c r="B796">
        <v>85</v>
      </c>
      <c r="F796" s="110" t="s">
        <v>885</v>
      </c>
      <c r="G796" s="110" t="s">
        <v>2251</v>
      </c>
      <c r="H796" s="7">
        <f t="shared" si="14"/>
        <v>125.81249999999999</v>
      </c>
      <c r="I796" s="7">
        <f>+SUMIF($F$7:$F$713,F796,$I$7:I$713)</f>
        <v>20.13</v>
      </c>
    </row>
    <row r="797" spans="1:9">
      <c r="A797" s="150" t="s">
        <v>7544</v>
      </c>
      <c r="B797">
        <v>85</v>
      </c>
      <c r="F797" t="s">
        <v>704</v>
      </c>
      <c r="G797" s="17" t="s">
        <v>576</v>
      </c>
      <c r="H797" s="7">
        <f t="shared" si="14"/>
        <v>3103.3749999999995</v>
      </c>
      <c r="I797" s="7">
        <f>+SUMIF($F$7:$F$713,F797,$I$7:I$713)</f>
        <v>496.53999999999996</v>
      </c>
    </row>
    <row r="798" spans="1:9">
      <c r="A798" s="150" t="s">
        <v>7544</v>
      </c>
      <c r="B798">
        <v>85</v>
      </c>
      <c r="F798" t="s">
        <v>6801</v>
      </c>
      <c r="G798" s="139" t="s">
        <v>7494</v>
      </c>
      <c r="H798" s="7">
        <f t="shared" si="14"/>
        <v>1066.8125</v>
      </c>
      <c r="I798" s="7">
        <f>+SUMIF($F$7:$F$713,F798,$I$7:I$713)</f>
        <v>170.69</v>
      </c>
    </row>
    <row r="799" spans="1:9">
      <c r="A799" s="150" t="s">
        <v>7544</v>
      </c>
      <c r="B799">
        <v>85</v>
      </c>
      <c r="F799" t="s">
        <v>1561</v>
      </c>
      <c r="G799" s="17" t="s">
        <v>1188</v>
      </c>
      <c r="H799" s="7">
        <f t="shared" si="14"/>
        <v>89.625</v>
      </c>
      <c r="I799" s="7">
        <f>+SUMIF($F$7:$F$713,F799,$I$7:I$713)</f>
        <v>14.34</v>
      </c>
    </row>
    <row r="800" spans="1:9">
      <c r="A800" s="150" t="s">
        <v>7544</v>
      </c>
      <c r="B800">
        <v>85</v>
      </c>
      <c r="F800" t="s">
        <v>2695</v>
      </c>
      <c r="G800" t="s">
        <v>2455</v>
      </c>
      <c r="H800" s="7">
        <f t="shared" si="14"/>
        <v>348.25</v>
      </c>
      <c r="I800" s="7">
        <f>+SUMIF($F$7:$F$713,F800,$I$7:I$713)</f>
        <v>55.72</v>
      </c>
    </row>
    <row r="801" spans="1:12">
      <c r="A801" s="150" t="s">
        <v>7544</v>
      </c>
      <c r="B801">
        <v>85</v>
      </c>
      <c r="F801" s="119" t="s">
        <v>3084</v>
      </c>
      <c r="G801" s="120" t="s">
        <v>7171</v>
      </c>
      <c r="H801" s="7">
        <f t="shared" si="14"/>
        <v>1591.6249999999998</v>
      </c>
      <c r="I801" s="7">
        <f>+SUMIF($F$7:$F$713,F801,$I$7:I$713)</f>
        <v>254.65999999999997</v>
      </c>
    </row>
    <row r="802" spans="1:12">
      <c r="A802" s="150" t="s">
        <v>7544</v>
      </c>
      <c r="B802">
        <v>85</v>
      </c>
      <c r="F802" t="s">
        <v>6255</v>
      </c>
      <c r="G802" t="s">
        <v>6118</v>
      </c>
      <c r="H802" s="7">
        <f t="shared" si="14"/>
        <v>5041.375</v>
      </c>
      <c r="I802" s="7">
        <f>+SUMIF($F$7:$F$713,F802,$I$7:I$713)</f>
        <v>806.62</v>
      </c>
    </row>
    <row r="803" spans="1:12">
      <c r="A803" s="150" t="s">
        <v>7544</v>
      </c>
      <c r="B803">
        <v>85</v>
      </c>
      <c r="F803" t="s">
        <v>805</v>
      </c>
      <c r="G803" s="115" t="s">
        <v>2385</v>
      </c>
      <c r="H803" s="7">
        <f t="shared" si="14"/>
        <v>1248.1875</v>
      </c>
      <c r="I803" s="7">
        <f>+SUMIF($F$7:$F$713,F803,$I$7:I$713)</f>
        <v>199.71</v>
      </c>
      <c r="J803" s="7">
        <f>12.5*3+12.43</f>
        <v>49.93</v>
      </c>
      <c r="K803" s="7">
        <f>+H803*0.04</f>
        <v>49.927500000000002</v>
      </c>
      <c r="L803" s="60"/>
    </row>
    <row r="804" spans="1:12">
      <c r="A804" s="150" t="s">
        <v>7544</v>
      </c>
      <c r="B804">
        <v>85</v>
      </c>
      <c r="F804" t="s">
        <v>804</v>
      </c>
      <c r="G804" t="s">
        <v>7134</v>
      </c>
      <c r="H804" s="7">
        <f t="shared" si="14"/>
        <v>301</v>
      </c>
      <c r="I804" s="7">
        <f>+SUMIF($F$7:$F$713,F804,$I$7:I$713)</f>
        <v>48.16</v>
      </c>
    </row>
    <row r="805" spans="1:12">
      <c r="A805" s="150" t="s">
        <v>7544</v>
      </c>
      <c r="B805">
        <v>85</v>
      </c>
      <c r="F805" s="28" t="s">
        <v>5354</v>
      </c>
      <c r="G805" s="105" t="s">
        <v>7214</v>
      </c>
      <c r="H805" s="7">
        <f t="shared" si="14"/>
        <v>62.124999999999993</v>
      </c>
      <c r="I805" s="7">
        <f>+SUMIF($F$7:$F$713,F805,$I$7:I$713)</f>
        <v>9.94</v>
      </c>
    </row>
    <row r="806" spans="1:12">
      <c r="A806" s="150" t="s">
        <v>7544</v>
      </c>
      <c r="B806">
        <v>85</v>
      </c>
      <c r="F806" t="s">
        <v>6256</v>
      </c>
      <c r="G806" t="s">
        <v>6257</v>
      </c>
      <c r="H806" s="7">
        <f t="shared" si="14"/>
        <v>457122.43749999994</v>
      </c>
      <c r="I806" s="7">
        <f>+SUMIF($F$7:$F$713,F806,$I$7:I$713)</f>
        <v>73139.59</v>
      </c>
    </row>
    <row r="807" spans="1:12">
      <c r="A807" s="150" t="s">
        <v>7544</v>
      </c>
      <c r="B807">
        <v>85</v>
      </c>
      <c r="F807" s="36" t="s">
        <v>1570</v>
      </c>
      <c r="G807" s="2" t="s">
        <v>1476</v>
      </c>
      <c r="H807" s="7">
        <f t="shared" si="14"/>
        <v>13616.999999999998</v>
      </c>
      <c r="I807" s="7">
        <f>+SUMIF($F$7:$F$713,F807,$I$7:I$713)</f>
        <v>2178.7199999999998</v>
      </c>
    </row>
    <row r="808" spans="1:12">
      <c r="A808" s="150" t="s">
        <v>7544</v>
      </c>
      <c r="B808">
        <v>85</v>
      </c>
      <c r="F808" s="28" t="s">
        <v>2729</v>
      </c>
      <c r="G808" s="105" t="s">
        <v>5696</v>
      </c>
      <c r="H808" s="7">
        <f t="shared" si="14"/>
        <v>97.4375</v>
      </c>
      <c r="I808" s="7">
        <f>+SUMIF($F$7:$F$713,F808,$I$7:I$713)</f>
        <v>15.59</v>
      </c>
    </row>
    <row r="809" spans="1:12">
      <c r="A809" s="150" t="s">
        <v>7544</v>
      </c>
      <c r="B809">
        <v>85</v>
      </c>
      <c r="F809" s="110" t="s">
        <v>2235</v>
      </c>
      <c r="G809" s="111" t="s">
        <v>7110</v>
      </c>
      <c r="H809" s="7">
        <f t="shared" si="14"/>
        <v>933.5625</v>
      </c>
      <c r="I809" s="7">
        <f>+SUMIF($F$7:$F$713,F809,$I$7:I$713)</f>
        <v>149.37</v>
      </c>
    </row>
    <row r="810" spans="1:12">
      <c r="A810" s="150" t="s">
        <v>7544</v>
      </c>
      <c r="B810">
        <v>85</v>
      </c>
      <c r="F810" s="28" t="s">
        <v>762</v>
      </c>
      <c r="G810" s="105" t="s">
        <v>763</v>
      </c>
      <c r="H810" s="7">
        <f t="shared" si="14"/>
        <v>85.3125</v>
      </c>
      <c r="I810" s="7">
        <f>+SUMIF($F$7:$F$713,F810,$I$7:I$713)</f>
        <v>13.65</v>
      </c>
    </row>
    <row r="811" spans="1:12">
      <c r="A811" s="150" t="s">
        <v>7544</v>
      </c>
      <c r="B811">
        <v>85</v>
      </c>
      <c r="F811" s="36" t="s">
        <v>815</v>
      </c>
      <c r="G811" s="2" t="s">
        <v>446</v>
      </c>
      <c r="H811" s="7">
        <f t="shared" si="14"/>
        <v>4783.0625</v>
      </c>
      <c r="I811" s="7">
        <f>+SUMIF($F$7:$F$713,F811,$I$7:I$713)</f>
        <v>765.29</v>
      </c>
    </row>
    <row r="812" spans="1:12">
      <c r="A812" s="150" t="s">
        <v>7544</v>
      </c>
      <c r="B812">
        <v>85</v>
      </c>
      <c r="F812" s="28" t="s">
        <v>7195</v>
      </c>
      <c r="G812" s="105" t="s">
        <v>7196</v>
      </c>
      <c r="H812" s="7">
        <f t="shared" si="14"/>
        <v>406.87499999999994</v>
      </c>
      <c r="I812" s="7">
        <f>+SUMIF($F$7:$F$713,F812,$I$7:I$713)</f>
        <v>65.099999999999994</v>
      </c>
    </row>
    <row r="813" spans="1:12">
      <c r="A813" s="150" t="s">
        <v>7544</v>
      </c>
      <c r="B813">
        <v>85</v>
      </c>
      <c r="F813" t="s">
        <v>3898</v>
      </c>
      <c r="G813" s="17" t="s">
        <v>7112</v>
      </c>
      <c r="H813" s="7">
        <f t="shared" si="14"/>
        <v>162.0625</v>
      </c>
      <c r="I813" s="7">
        <f>+SUMIF($F$7:$F$713,F813,$I$7:I$713)</f>
        <v>25.93</v>
      </c>
    </row>
    <row r="814" spans="1:12">
      <c r="A814" s="150" t="s">
        <v>7544</v>
      </c>
      <c r="B814">
        <v>85</v>
      </c>
      <c r="F814" s="28" t="s">
        <v>764</v>
      </c>
      <c r="G814" s="105" t="s">
        <v>765</v>
      </c>
      <c r="H814" s="100">
        <f t="shared" si="14"/>
        <v>226.75</v>
      </c>
      <c r="I814" s="100">
        <f>+SUMIF($F$7:$F$713,F814,$I$7:I$713)</f>
        <v>36.28</v>
      </c>
    </row>
    <row r="815" spans="1:12">
      <c r="A815" s="150" t="s">
        <v>7544</v>
      </c>
      <c r="B815">
        <v>85</v>
      </c>
      <c r="F815" t="s">
        <v>722</v>
      </c>
      <c r="G815" s="105" t="s">
        <v>722</v>
      </c>
      <c r="H815" s="100">
        <f t="shared" si="14"/>
        <v>1242.6875000000091</v>
      </c>
      <c r="I815" s="100">
        <f>+SUMIF($F$7:$F$713,F815,$I$7:I$713)</f>
        <v>198.83000000000146</v>
      </c>
    </row>
    <row r="816" spans="1:12">
      <c r="A816" s="150" t="s">
        <v>7544</v>
      </c>
      <c r="B816">
        <v>85</v>
      </c>
      <c r="F816" s="110" t="s">
        <v>6631</v>
      </c>
      <c r="G816" s="111" t="s">
        <v>7113</v>
      </c>
      <c r="H816" s="7">
        <f t="shared" si="14"/>
        <v>453.06249999999994</v>
      </c>
      <c r="I816" s="7">
        <f>+SUMIF($F$7:$F$713,F816,$I$7:I$713)</f>
        <v>72.489999999999995</v>
      </c>
    </row>
    <row r="817" spans="1:9">
      <c r="A817" s="150" t="s">
        <v>7544</v>
      </c>
      <c r="B817">
        <v>85</v>
      </c>
      <c r="F817" s="28" t="s">
        <v>6280</v>
      </c>
      <c r="G817" s="105" t="s">
        <v>7178</v>
      </c>
      <c r="H817" s="7">
        <f t="shared" si="14"/>
        <v>341.4375</v>
      </c>
      <c r="I817" s="7">
        <f>+SUMIF($F$7:$F$713,F817,$I$7:I$713)</f>
        <v>54.63</v>
      </c>
    </row>
    <row r="818" spans="1:9">
      <c r="A818" s="150" t="s">
        <v>7544</v>
      </c>
      <c r="B818">
        <v>85</v>
      </c>
      <c r="F818" t="s">
        <v>6640</v>
      </c>
      <c r="G818" s="17" t="s">
        <v>7111</v>
      </c>
      <c r="H818" s="7">
        <f t="shared" si="14"/>
        <v>66.375</v>
      </c>
      <c r="I818" s="7">
        <f>+SUMIF($F$7:$F$713,F818,$I$7:I$713)</f>
        <v>10.62</v>
      </c>
    </row>
    <row r="819" spans="1:9">
      <c r="A819" s="150" t="s">
        <v>7544</v>
      </c>
      <c r="B819">
        <v>85</v>
      </c>
      <c r="F819" s="28" t="s">
        <v>5659</v>
      </c>
      <c r="G819" s="105" t="s">
        <v>7208</v>
      </c>
      <c r="H819" s="7">
        <f t="shared" si="14"/>
        <v>73.25</v>
      </c>
      <c r="I819" s="7">
        <f>+SUMIF($F$7:$F$713,F819,$I$7:I$713)</f>
        <v>11.72</v>
      </c>
    </row>
    <row r="820" spans="1:9">
      <c r="A820" s="150" t="s">
        <v>7544</v>
      </c>
      <c r="B820">
        <v>85</v>
      </c>
      <c r="F820" t="s">
        <v>7143</v>
      </c>
      <c r="G820" t="s">
        <v>7144</v>
      </c>
      <c r="H820" s="7">
        <f t="shared" si="14"/>
        <v>163.49999999999997</v>
      </c>
      <c r="I820" s="7">
        <f>+SUMIF($F$7:$F$713,F820,$I$7:I$713)</f>
        <v>26.159999999999997</v>
      </c>
    </row>
    <row r="821" spans="1:9">
      <c r="A821" s="150" t="s">
        <v>7544</v>
      </c>
      <c r="B821">
        <v>85</v>
      </c>
      <c r="F821" t="s">
        <v>813</v>
      </c>
      <c r="G821" t="s">
        <v>3675</v>
      </c>
      <c r="H821" s="7">
        <f t="shared" si="14"/>
        <v>854805.81249999988</v>
      </c>
      <c r="I821" s="7">
        <f>+SUMIF($F$7:$F$713,F821,$I$7:I$713)</f>
        <v>136768.93</v>
      </c>
    </row>
    <row r="822" spans="1:9">
      <c r="A822" s="150" t="s">
        <v>7544</v>
      </c>
      <c r="B822">
        <v>85</v>
      </c>
      <c r="F822" s="28" t="s">
        <v>5411</v>
      </c>
      <c r="G822" s="105" t="s">
        <v>7114</v>
      </c>
      <c r="H822" s="7">
        <f t="shared" si="14"/>
        <v>78.4375</v>
      </c>
      <c r="I822" s="7">
        <f>+SUMIF($F$7:$F$713,F822,$I$7:I$713)</f>
        <v>12.55</v>
      </c>
    </row>
    <row r="823" spans="1:9">
      <c r="A823" s="150" t="s">
        <v>7544</v>
      </c>
      <c r="B823">
        <v>85</v>
      </c>
      <c r="F823" s="110" t="s">
        <v>1626</v>
      </c>
      <c r="G823" s="111" t="s">
        <v>1627</v>
      </c>
      <c r="H823" s="7">
        <f t="shared" si="14"/>
        <v>112.0625</v>
      </c>
      <c r="I823" s="7">
        <f>+SUMIF($F$7:$F$713,F823,$I$7:I$713)</f>
        <v>17.93</v>
      </c>
    </row>
    <row r="824" spans="1:9">
      <c r="A824" s="150" t="s">
        <v>7544</v>
      </c>
      <c r="B824">
        <v>85</v>
      </c>
      <c r="F824" s="119" t="s">
        <v>5433</v>
      </c>
      <c r="G824" s="120" t="s">
        <v>5703</v>
      </c>
      <c r="H824" s="7">
        <f t="shared" si="14"/>
        <v>466.75000000000006</v>
      </c>
      <c r="I824" s="7">
        <f>+SUMIF($F$7:$F$713,F824,$I$7:I$713)</f>
        <v>74.680000000000007</v>
      </c>
    </row>
    <row r="825" spans="1:9">
      <c r="A825" s="150" t="s">
        <v>7544</v>
      </c>
      <c r="B825">
        <v>85</v>
      </c>
      <c r="F825" s="2" t="s">
        <v>806</v>
      </c>
      <c r="G825" s="2" t="s">
        <v>503</v>
      </c>
      <c r="H825" s="7">
        <f t="shared" si="14"/>
        <v>11443.375</v>
      </c>
      <c r="I825" s="7">
        <f>+SUMIF($F$7:$F$713,F825,$I$7:I$713)</f>
        <v>1830.94</v>
      </c>
    </row>
    <row r="826" spans="1:9">
      <c r="A826" s="150" t="s">
        <v>7544</v>
      </c>
      <c r="B826">
        <v>85</v>
      </c>
      <c r="F826" s="36" t="s">
        <v>7115</v>
      </c>
      <c r="G826" s="2" t="s">
        <v>7082</v>
      </c>
      <c r="H826" s="7">
        <f t="shared" si="14"/>
        <v>136500</v>
      </c>
      <c r="I826" s="7">
        <f>+SUMIF($F$7:$F$713,F826,$I$7:I$713)</f>
        <v>21840</v>
      </c>
    </row>
    <row r="827" spans="1:9">
      <c r="A827" s="150" t="s">
        <v>7544</v>
      </c>
      <c r="B827">
        <v>85</v>
      </c>
      <c r="F827" t="s">
        <v>820</v>
      </c>
      <c r="G827" s="17" t="s">
        <v>5704</v>
      </c>
      <c r="H827" s="7">
        <f t="shared" si="14"/>
        <v>2511.9999999999995</v>
      </c>
      <c r="I827" s="7">
        <f>+SUMIF($F$7:$F$713,F827,$I$7:I$713)</f>
        <v>401.91999999999996</v>
      </c>
    </row>
    <row r="828" spans="1:9">
      <c r="A828" s="150" t="s">
        <v>7544</v>
      </c>
      <c r="B828">
        <v>85</v>
      </c>
      <c r="F828" t="s">
        <v>840</v>
      </c>
      <c r="G828" t="s">
        <v>2425</v>
      </c>
      <c r="H828" s="7">
        <f t="shared" si="14"/>
        <v>134.5</v>
      </c>
      <c r="I828" s="7">
        <f>+SUMIF($F$7:$F$713,F828,$I$7:I$713)</f>
        <v>21.52</v>
      </c>
    </row>
    <row r="829" spans="1:9">
      <c r="A829" s="150" t="s">
        <v>7544</v>
      </c>
      <c r="B829">
        <v>85</v>
      </c>
      <c r="F829" s="28" t="s">
        <v>911</v>
      </c>
      <c r="G829" s="105" t="s">
        <v>2704</v>
      </c>
      <c r="H829" s="7">
        <f t="shared" si="14"/>
        <v>556.125</v>
      </c>
      <c r="I829" s="7">
        <f>+SUMIF($F$7:$F$713,F829,$I$7:I$713)</f>
        <v>88.98</v>
      </c>
    </row>
    <row r="830" spans="1:9">
      <c r="A830" s="150" t="s">
        <v>7544</v>
      </c>
      <c r="B830">
        <v>85</v>
      </c>
      <c r="F830" s="28" t="s">
        <v>7122</v>
      </c>
      <c r="G830" s="105" t="s">
        <v>7123</v>
      </c>
      <c r="H830" s="7">
        <f t="shared" si="14"/>
        <v>1196.6875</v>
      </c>
      <c r="I830" s="7">
        <f>+SUMIF($F$7:$F$713,F830,$I$7:I$713)</f>
        <v>191.47</v>
      </c>
    </row>
    <row r="831" spans="1:9">
      <c r="A831" s="150" t="s">
        <v>7544</v>
      </c>
      <c r="B831">
        <v>85</v>
      </c>
      <c r="F831" t="s">
        <v>7337</v>
      </c>
      <c r="G831" t="s">
        <v>7538</v>
      </c>
      <c r="H831" s="7">
        <f t="shared" si="14"/>
        <v>163793.125</v>
      </c>
      <c r="I831" s="7">
        <f>+SUMIF($F$7:$F$713,F831,$I$7:I$713)</f>
        <v>26206.9</v>
      </c>
    </row>
    <row r="832" spans="1:9">
      <c r="A832" s="150" t="s">
        <v>7544</v>
      </c>
      <c r="B832">
        <v>85</v>
      </c>
      <c r="F832" t="s">
        <v>2211</v>
      </c>
      <c r="G832" t="s">
        <v>7540</v>
      </c>
      <c r="H832" s="7">
        <f t="shared" si="14"/>
        <v>70.25</v>
      </c>
      <c r="I832" s="7">
        <f>+SUMIF($F$7:$F$713,F832,$I$7:I$713)</f>
        <v>11.24</v>
      </c>
    </row>
    <row r="833" spans="1:12">
      <c r="A833" s="150" t="s">
        <v>7544</v>
      </c>
      <c r="B833">
        <v>85</v>
      </c>
      <c r="F833" s="36" t="s">
        <v>1573</v>
      </c>
      <c r="G833" s="2" t="s">
        <v>1455</v>
      </c>
      <c r="H833" s="7">
        <f t="shared" si="14"/>
        <v>7800</v>
      </c>
      <c r="I833" s="7">
        <f>+SUMIF($F$7:$F$713,F833,$I$7:I$713)</f>
        <v>1248</v>
      </c>
    </row>
    <row r="834" spans="1:12">
      <c r="A834" s="150" t="s">
        <v>7544</v>
      </c>
      <c r="B834">
        <v>85</v>
      </c>
      <c r="F834" t="s">
        <v>2210</v>
      </c>
      <c r="G834" t="s">
        <v>7539</v>
      </c>
      <c r="H834" s="7">
        <f t="shared" si="14"/>
        <v>682.9375</v>
      </c>
      <c r="I834" s="7">
        <f>+SUMIF($F$7:$F$713,F834,$I$7:I$713)</f>
        <v>109.27</v>
      </c>
    </row>
    <row r="835" spans="1:12">
      <c r="A835" s="150" t="s">
        <v>7544</v>
      </c>
      <c r="B835">
        <v>85</v>
      </c>
      <c r="F835" t="s">
        <v>821</v>
      </c>
      <c r="G835" s="17" t="s">
        <v>5707</v>
      </c>
      <c r="H835" s="7">
        <f t="shared" si="14"/>
        <v>448.25</v>
      </c>
      <c r="I835" s="7">
        <f>+SUMIF($F$7:$F$713,F835,$I$7:I$713)</f>
        <v>71.72</v>
      </c>
    </row>
    <row r="836" spans="1:12">
      <c r="A836" s="150" t="s">
        <v>7544</v>
      </c>
      <c r="B836">
        <v>85</v>
      </c>
      <c r="F836" s="17" t="s">
        <v>716</v>
      </c>
      <c r="G836" t="s">
        <v>717</v>
      </c>
      <c r="H836" s="7">
        <f t="shared" si="14"/>
        <v>3737.8124999999995</v>
      </c>
      <c r="I836" s="7">
        <f>+SUMIF($F$7:$F$713,F836,$I$7:I$713)</f>
        <v>598.04999999999995</v>
      </c>
    </row>
    <row r="837" spans="1:12">
      <c r="A837" s="150" t="s">
        <v>7544</v>
      </c>
      <c r="B837">
        <v>85</v>
      </c>
      <c r="F837" s="28" t="s">
        <v>7197</v>
      </c>
      <c r="G837" s="105" t="s">
        <v>7198</v>
      </c>
      <c r="H837" s="7">
        <f t="shared" si="14"/>
        <v>377.375</v>
      </c>
      <c r="I837" s="7">
        <f>+SUMIF($F$7:$F$713,F837,$I$7:I$713)</f>
        <v>60.38</v>
      </c>
    </row>
    <row r="838" spans="1:12">
      <c r="A838" s="150" t="s">
        <v>7544</v>
      </c>
      <c r="B838">
        <v>85</v>
      </c>
      <c r="F838" s="123" t="s">
        <v>822</v>
      </c>
      <c r="G838" s="124" t="s">
        <v>588</v>
      </c>
      <c r="H838" s="7">
        <f t="shared" si="14"/>
        <v>798</v>
      </c>
      <c r="I838" s="7">
        <f>+SUMIF($F$7:$F$713,F838,$I$7:I$713)</f>
        <v>127.68</v>
      </c>
      <c r="J838" s="7">
        <f>7.84*2+16.24</f>
        <v>31.919999999999998</v>
      </c>
      <c r="K838" s="7">
        <f>+H838*0.04</f>
        <v>31.92</v>
      </c>
      <c r="L838" s="60"/>
    </row>
    <row r="839" spans="1:12">
      <c r="A839" s="150" t="s">
        <v>7544</v>
      </c>
      <c r="B839">
        <v>85</v>
      </c>
      <c r="F839" s="17" t="s">
        <v>7137</v>
      </c>
      <c r="G839" t="s">
        <v>7138</v>
      </c>
      <c r="H839" s="7">
        <f t="shared" si="14"/>
        <v>655.5</v>
      </c>
      <c r="I839" s="7">
        <f>+SUMIF($F$7:$F$713,F839,$I$7:I$713)</f>
        <v>104.88</v>
      </c>
    </row>
    <row r="840" spans="1:12">
      <c r="A840" s="150" t="s">
        <v>7544</v>
      </c>
      <c r="B840">
        <v>85</v>
      </c>
      <c r="F840" s="36" t="s">
        <v>827</v>
      </c>
      <c r="G840" s="2" t="s">
        <v>650</v>
      </c>
      <c r="H840" s="7">
        <f t="shared" si="14"/>
        <v>7089.25</v>
      </c>
      <c r="I840" s="7">
        <f>+SUMIF($F$7:$F$713,F840,$I$7:I$713)</f>
        <v>1134.28</v>
      </c>
    </row>
    <row r="841" spans="1:12">
      <c r="A841" s="150" t="s">
        <v>7544</v>
      </c>
      <c r="B841">
        <v>85</v>
      </c>
      <c r="F841" s="28" t="s">
        <v>6662</v>
      </c>
      <c r="G841" s="105" t="s">
        <v>5709</v>
      </c>
      <c r="H841" s="7">
        <f t="shared" si="14"/>
        <v>156</v>
      </c>
      <c r="I841" s="7">
        <f>+SUMIF($F$7:$F$713,F841,$I$7:I$713)</f>
        <v>24.96</v>
      </c>
    </row>
    <row r="842" spans="1:12">
      <c r="A842" s="150" t="s">
        <v>7544</v>
      </c>
      <c r="B842">
        <v>85</v>
      </c>
      <c r="F842" t="s">
        <v>7145</v>
      </c>
      <c r="G842" t="s">
        <v>7146</v>
      </c>
      <c r="H842" s="7">
        <f t="shared" si="14"/>
        <v>580</v>
      </c>
      <c r="I842" s="7">
        <f>+SUMIF($F$7:$F$713,F842,$I$7:I$713)</f>
        <v>92.8</v>
      </c>
    </row>
    <row r="843" spans="1:12">
      <c r="A843" s="150" t="s">
        <v>7544</v>
      </c>
      <c r="B843">
        <v>85</v>
      </c>
      <c r="F843" s="36" t="s">
        <v>828</v>
      </c>
      <c r="G843" s="2" t="s">
        <v>518</v>
      </c>
      <c r="H843" s="7">
        <f t="shared" si="14"/>
        <v>7075.3749999999991</v>
      </c>
      <c r="I843" s="7">
        <f>+SUMIF($F$7:$F$713,F843,$I$7:I$713)</f>
        <v>1132.06</v>
      </c>
    </row>
    <row r="844" spans="1:12">
      <c r="A844" s="150" t="s">
        <v>7544</v>
      </c>
      <c r="B844">
        <v>85</v>
      </c>
      <c r="F844" t="s">
        <v>830</v>
      </c>
      <c r="G844" s="2" t="s">
        <v>7117</v>
      </c>
      <c r="H844" s="7">
        <f t="shared" si="14"/>
        <v>491914.99999999994</v>
      </c>
      <c r="I844" s="7">
        <f>+SUMIF($F$7:$F$713,F844,$I$7:I$713)</f>
        <v>78706.399999999994</v>
      </c>
    </row>
    <row r="845" spans="1:12">
      <c r="A845" s="150" t="s">
        <v>7544</v>
      </c>
      <c r="B845">
        <v>85</v>
      </c>
      <c r="F845" s="36" t="s">
        <v>836</v>
      </c>
      <c r="G845" s="2" t="s">
        <v>472</v>
      </c>
      <c r="H845" s="7">
        <f t="shared" si="14"/>
        <v>6429.625</v>
      </c>
      <c r="I845" s="7">
        <f>+SUMIF($F$7:$F$713,F845,$I$7:I$713)</f>
        <v>1028.74</v>
      </c>
    </row>
    <row r="846" spans="1:12">
      <c r="A846" s="150" t="s">
        <v>7544</v>
      </c>
      <c r="B846" s="150" t="s">
        <v>7566</v>
      </c>
      <c r="F846" s="116" t="s">
        <v>829</v>
      </c>
      <c r="G846" s="117" t="s">
        <v>529</v>
      </c>
      <c r="H846" s="7">
        <f t="shared" si="14"/>
        <v>133928.5625</v>
      </c>
      <c r="I846" s="7">
        <f>+SUMIF($F$7:$F$713,F846,$I$7:I$713)</f>
        <v>21428.57</v>
      </c>
      <c r="J846" s="7">
        <v>14285.71</v>
      </c>
    </row>
    <row r="847" spans="1:12">
      <c r="A847" s="150" t="s">
        <v>7544</v>
      </c>
      <c r="B847">
        <v>85</v>
      </c>
      <c r="F847" s="17" t="s">
        <v>834</v>
      </c>
      <c r="G847" t="s">
        <v>520</v>
      </c>
      <c r="H847" s="7">
        <f t="shared" si="14"/>
        <v>57626</v>
      </c>
      <c r="I847" s="7">
        <f>+SUMIF($F$7:$F$713,F847,$I$7:I$713)</f>
        <v>9220.16</v>
      </c>
    </row>
    <row r="848" spans="1:12">
      <c r="A848" s="150" t="s">
        <v>7544</v>
      </c>
      <c r="B848">
        <v>85</v>
      </c>
      <c r="F848" s="28" t="s">
        <v>939</v>
      </c>
      <c r="G848" s="105" t="s">
        <v>7215</v>
      </c>
      <c r="H848" s="7">
        <f t="shared" si="14"/>
        <v>77.5625</v>
      </c>
      <c r="I848" s="7">
        <f>+SUMIF($F$7:$F$713,F848,$I$7:I$713)</f>
        <v>12.41</v>
      </c>
    </row>
    <row r="849" spans="1:9">
      <c r="A849" s="150" t="s">
        <v>7544</v>
      </c>
      <c r="B849">
        <v>85</v>
      </c>
      <c r="F849" t="s">
        <v>700</v>
      </c>
      <c r="G849" s="17" t="s">
        <v>2499</v>
      </c>
      <c r="H849" s="7">
        <f t="shared" si="14"/>
        <v>779.93749999999989</v>
      </c>
      <c r="I849" s="7">
        <f>+SUMIF($F$7:$F$713,F849,$I$7:I$713)</f>
        <v>124.78999999999999</v>
      </c>
    </row>
    <row r="850" spans="1:9">
      <c r="A850" s="150" t="s">
        <v>7544</v>
      </c>
      <c r="B850">
        <v>85</v>
      </c>
      <c r="F850" t="s">
        <v>766</v>
      </c>
      <c r="G850" s="139" t="s">
        <v>7495</v>
      </c>
      <c r="H850" s="7">
        <f t="shared" si="14"/>
        <v>642.3125</v>
      </c>
      <c r="I850" s="7">
        <f>+SUMIF($F$7:$F$713,F850,$I$7:I$713)</f>
        <v>102.77</v>
      </c>
    </row>
    <row r="851" spans="1:9">
      <c r="A851" s="150" t="s">
        <v>7544</v>
      </c>
      <c r="B851">
        <v>85</v>
      </c>
      <c r="F851" t="s">
        <v>6665</v>
      </c>
      <c r="G851" s="139" t="s">
        <v>7496</v>
      </c>
      <c r="H851" s="7">
        <f t="shared" si="14"/>
        <v>660</v>
      </c>
      <c r="I851" s="7">
        <f>+SUMIF($F$7:$F$713,F851,$I$7:I$713)</f>
        <v>105.6</v>
      </c>
    </row>
    <row r="852" spans="1:9">
      <c r="A852" s="150" t="s">
        <v>7544</v>
      </c>
      <c r="B852">
        <v>85</v>
      </c>
      <c r="F852" s="36" t="s">
        <v>838</v>
      </c>
      <c r="G852" s="2" t="s">
        <v>467</v>
      </c>
      <c r="H852" s="7">
        <f t="shared" si="14"/>
        <v>4732.875</v>
      </c>
      <c r="I852" s="7">
        <f>+SUMIF($F$7:$F$713,F852,$I$7:I$713)</f>
        <v>757.26</v>
      </c>
    </row>
    <row r="853" spans="1:9">
      <c r="A853" s="150" t="s">
        <v>7544</v>
      </c>
      <c r="B853">
        <v>85</v>
      </c>
      <c r="F853" s="28" t="s">
        <v>1636</v>
      </c>
      <c r="G853" s="105" t="s">
        <v>1637</v>
      </c>
      <c r="H853" s="7">
        <f t="shared" si="14"/>
        <v>94.8125</v>
      </c>
      <c r="I853" s="7">
        <f>+SUMIF($F$7:$F$713,F853,$I$7:I$713)</f>
        <v>15.17</v>
      </c>
    </row>
    <row r="854" spans="1:9">
      <c r="A854" s="150" t="s">
        <v>7544</v>
      </c>
      <c r="B854">
        <v>85</v>
      </c>
      <c r="F854" s="28" t="s">
        <v>7126</v>
      </c>
      <c r="G854" s="105" t="s">
        <v>7127</v>
      </c>
      <c r="H854" s="7">
        <f t="shared" si="14"/>
        <v>141.375</v>
      </c>
      <c r="I854" s="7">
        <f>+SUMIF($F$7:$F$713,F854,$I$7:I$713)</f>
        <v>22.62</v>
      </c>
    </row>
    <row r="855" spans="1:9">
      <c r="A855" s="150" t="s">
        <v>7544</v>
      </c>
      <c r="B855">
        <v>85</v>
      </c>
      <c r="F855" s="28" t="s">
        <v>7124</v>
      </c>
      <c r="G855" s="105" t="s">
        <v>7125</v>
      </c>
      <c r="H855" s="7">
        <f t="shared" ref="H855:H916" si="15">+I855/0.16</f>
        <v>223.25</v>
      </c>
      <c r="I855" s="7">
        <f>+SUMIF($F$7:$F$713,F855,$I$7:I$713)</f>
        <v>35.72</v>
      </c>
    </row>
    <row r="856" spans="1:9">
      <c r="A856" s="150" t="s">
        <v>7544</v>
      </c>
      <c r="B856">
        <v>85</v>
      </c>
      <c r="F856" t="s">
        <v>837</v>
      </c>
      <c r="G856" s="17" t="s">
        <v>5734</v>
      </c>
      <c r="H856" s="7">
        <f t="shared" si="15"/>
        <v>374.06250000000006</v>
      </c>
      <c r="I856" s="7">
        <f>+SUMIF($F$7:$F$713,F856,$I$7:I$713)</f>
        <v>59.850000000000009</v>
      </c>
    </row>
    <row r="857" spans="1:9">
      <c r="A857" s="150" t="s">
        <v>7544</v>
      </c>
      <c r="B857">
        <v>85</v>
      </c>
      <c r="F857" s="36" t="s">
        <v>1528</v>
      </c>
      <c r="G857" s="2" t="s">
        <v>1514</v>
      </c>
      <c r="H857" s="7">
        <f t="shared" si="15"/>
        <v>7350</v>
      </c>
      <c r="I857" s="7">
        <f>+SUMIF($F$7:$F$713,F857,$I$7:I$713)</f>
        <v>1176</v>
      </c>
    </row>
    <row r="858" spans="1:9">
      <c r="A858" s="150" t="s">
        <v>7544</v>
      </c>
      <c r="B858">
        <v>85</v>
      </c>
      <c r="F858" s="36" t="s">
        <v>843</v>
      </c>
      <c r="G858" s="2" t="s">
        <v>470</v>
      </c>
      <c r="H858" s="7">
        <f t="shared" si="15"/>
        <v>11244.25</v>
      </c>
      <c r="I858" s="7">
        <f>+SUMIF($F$7:$F$713,F858,$I$7:I$713)</f>
        <v>1799.08</v>
      </c>
    </row>
    <row r="859" spans="1:9">
      <c r="A859" s="150" t="s">
        <v>7544</v>
      </c>
      <c r="B859">
        <v>85</v>
      </c>
      <c r="F859" s="36" t="s">
        <v>844</v>
      </c>
      <c r="G859" s="2" t="s">
        <v>665</v>
      </c>
      <c r="H859" s="7">
        <f t="shared" si="15"/>
        <v>1800</v>
      </c>
      <c r="I859" s="7">
        <f>+SUMIF($F$7:$F$713,F859,$I$7:I$713)</f>
        <v>288</v>
      </c>
    </row>
    <row r="860" spans="1:9">
      <c r="A860" s="150" t="s">
        <v>7544</v>
      </c>
      <c r="B860">
        <v>85</v>
      </c>
      <c r="F860" s="28" t="s">
        <v>7188</v>
      </c>
      <c r="G860" s="105" t="s">
        <v>7189</v>
      </c>
      <c r="H860" s="7">
        <f t="shared" si="15"/>
        <v>403.3125</v>
      </c>
      <c r="I860" s="7">
        <f>+SUMIF($F$7:$F$713,F860,$I$7:I$713)</f>
        <v>64.53</v>
      </c>
    </row>
    <row r="861" spans="1:9">
      <c r="A861" s="150" t="s">
        <v>7544</v>
      </c>
      <c r="B861">
        <v>85</v>
      </c>
      <c r="F861" s="119" t="s">
        <v>7209</v>
      </c>
      <c r="G861" s="120" t="s">
        <v>7210</v>
      </c>
      <c r="H861" s="7">
        <f t="shared" si="15"/>
        <v>671.1875</v>
      </c>
      <c r="I861" s="7">
        <f>+SUMIF($F$7:$F$713,F861,$I$7:I$713)</f>
        <v>107.39</v>
      </c>
    </row>
    <row r="862" spans="1:9">
      <c r="A862" s="150" t="s">
        <v>7544</v>
      </c>
      <c r="B862">
        <v>85</v>
      </c>
      <c r="F862" s="119" t="s">
        <v>3232</v>
      </c>
      <c r="G862" s="120" t="s">
        <v>7190</v>
      </c>
      <c r="H862" s="7">
        <f t="shared" si="15"/>
        <v>885.875</v>
      </c>
      <c r="I862" s="7">
        <f>+SUMIF($F$7:$F$713,F862,$I$7:I$713)</f>
        <v>141.74</v>
      </c>
    </row>
    <row r="863" spans="1:9">
      <c r="A863" s="150" t="s">
        <v>7544</v>
      </c>
      <c r="B863">
        <v>85</v>
      </c>
      <c r="F863" s="28" t="s">
        <v>6093</v>
      </c>
      <c r="G863" s="105" t="s">
        <v>5737</v>
      </c>
      <c r="H863" s="7">
        <f t="shared" si="15"/>
        <v>147.375</v>
      </c>
      <c r="I863" s="7">
        <f>+SUMIF($F$7:$F$713,F863,$I$7:I$713)</f>
        <v>23.580000000000002</v>
      </c>
    </row>
    <row r="864" spans="1:9">
      <c r="A864" s="150" t="s">
        <v>7544</v>
      </c>
      <c r="B864">
        <v>85</v>
      </c>
      <c r="F864" s="17" t="s">
        <v>2216</v>
      </c>
      <c r="G864" t="s">
        <v>2157</v>
      </c>
      <c r="H864" s="7">
        <f t="shared" si="15"/>
        <v>7890.125</v>
      </c>
      <c r="I864" s="7">
        <f>+SUMIF($F$7:$F$713,F864,$I$7:I$713)</f>
        <v>1262.42</v>
      </c>
    </row>
    <row r="865" spans="1:10">
      <c r="A865" s="150" t="s">
        <v>7544</v>
      </c>
      <c r="B865" s="150" t="s">
        <v>7566</v>
      </c>
      <c r="F865" s="92" t="s">
        <v>845</v>
      </c>
      <c r="G865" s="124" t="s">
        <v>532</v>
      </c>
      <c r="H865" s="7">
        <f t="shared" si="15"/>
        <v>133928.5625</v>
      </c>
      <c r="I865" s="7">
        <f>+SUMIF($F$7:$F$713,F865,$I$7:I$713)</f>
        <v>21428.57</v>
      </c>
      <c r="J865" s="7">
        <v>14285.71</v>
      </c>
    </row>
    <row r="866" spans="1:10">
      <c r="A866" s="150" t="s">
        <v>7544</v>
      </c>
      <c r="B866">
        <v>85</v>
      </c>
      <c r="F866" s="36" t="s">
        <v>5652</v>
      </c>
      <c r="G866" s="2" t="s">
        <v>7023</v>
      </c>
      <c r="H866" s="7">
        <f t="shared" si="15"/>
        <v>2500</v>
      </c>
      <c r="I866" s="7">
        <f>+SUMIF($F$7:$F$713,F866,$I$7:I$713)</f>
        <v>400</v>
      </c>
    </row>
    <row r="867" spans="1:10">
      <c r="A867" s="150" t="s">
        <v>7544</v>
      </c>
      <c r="B867">
        <v>85</v>
      </c>
      <c r="F867" t="s">
        <v>847</v>
      </c>
      <c r="G867" s="17" t="s">
        <v>5738</v>
      </c>
      <c r="H867" s="7">
        <f t="shared" si="15"/>
        <v>1485.625</v>
      </c>
      <c r="I867" s="7">
        <f>+SUMIF($F$7:$F$713,F867,$I$7:I$713)</f>
        <v>237.70000000000002</v>
      </c>
    </row>
    <row r="868" spans="1:10">
      <c r="A868" s="150" t="s">
        <v>7544</v>
      </c>
      <c r="B868">
        <v>85</v>
      </c>
      <c r="F868" t="s">
        <v>965</v>
      </c>
      <c r="G868" t="s">
        <v>6264</v>
      </c>
      <c r="H868" s="7">
        <f t="shared" si="15"/>
        <v>166527.5</v>
      </c>
      <c r="I868" s="7">
        <f>+SUMIF($F$7:$F$713,F868,$I$7:I$713)</f>
        <v>26644.400000000001</v>
      </c>
    </row>
    <row r="869" spans="1:10">
      <c r="A869" s="150" t="s">
        <v>7544</v>
      </c>
      <c r="B869">
        <v>85</v>
      </c>
      <c r="F869" s="25" t="s">
        <v>2252</v>
      </c>
      <c r="G869" s="25" t="s">
        <v>7229</v>
      </c>
      <c r="H869" s="7">
        <f t="shared" si="15"/>
        <v>13113.9375</v>
      </c>
      <c r="I869" s="7">
        <f>+SUMIF($F$7:$F$713,F869,$I$7:I$713)</f>
        <v>2098.23</v>
      </c>
    </row>
    <row r="870" spans="1:10">
      <c r="A870" s="150" t="s">
        <v>7544</v>
      </c>
      <c r="B870">
        <v>85</v>
      </c>
      <c r="F870" t="s">
        <v>849</v>
      </c>
      <c r="G870" t="s">
        <v>6263</v>
      </c>
      <c r="H870" s="7">
        <f t="shared" si="15"/>
        <v>764959.625</v>
      </c>
      <c r="I870" s="7">
        <f>+SUMIF($F$7:$F$713,F870,$I$7:I$713)</f>
        <v>122393.54000000001</v>
      </c>
    </row>
    <row r="871" spans="1:10">
      <c r="A871" s="150" t="s">
        <v>7544</v>
      </c>
      <c r="B871">
        <v>85</v>
      </c>
      <c r="F871" t="s">
        <v>769</v>
      </c>
      <c r="G871" s="2" t="s">
        <v>645</v>
      </c>
      <c r="H871" s="7">
        <f t="shared" si="15"/>
        <v>9611.7499999999982</v>
      </c>
      <c r="I871" s="7">
        <f>+SUMIF($F$7:$F$713,F871,$I$7:I$713)</f>
        <v>1537.8799999999999</v>
      </c>
    </row>
    <row r="872" spans="1:10">
      <c r="A872" s="150" t="s">
        <v>7544</v>
      </c>
      <c r="B872">
        <v>85</v>
      </c>
      <c r="F872" s="17" t="s">
        <v>2738</v>
      </c>
      <c r="G872" t="s">
        <v>2739</v>
      </c>
      <c r="H872" s="7">
        <f t="shared" si="15"/>
        <v>83.5625</v>
      </c>
      <c r="I872" s="7">
        <f>+SUMIF($F$7:$F$713,F872,$I$7:I$713)</f>
        <v>13.37</v>
      </c>
    </row>
    <row r="873" spans="1:10">
      <c r="A873" s="150" t="s">
        <v>7544</v>
      </c>
      <c r="B873">
        <v>85</v>
      </c>
      <c r="F873" t="s">
        <v>6628</v>
      </c>
      <c r="G873" s="17" t="s">
        <v>7156</v>
      </c>
      <c r="H873" s="7">
        <f t="shared" si="15"/>
        <v>140.5</v>
      </c>
      <c r="I873" s="7">
        <f>+SUMIF($F$7:$F$713,F873,$I$7:I$713)</f>
        <v>22.48</v>
      </c>
    </row>
    <row r="874" spans="1:10">
      <c r="A874" s="150" t="s">
        <v>7544</v>
      </c>
      <c r="B874">
        <v>85</v>
      </c>
      <c r="F874" s="28" t="s">
        <v>7175</v>
      </c>
      <c r="G874" s="105" t="s">
        <v>7176</v>
      </c>
      <c r="H874" s="7">
        <f t="shared" si="15"/>
        <v>52.375000000000007</v>
      </c>
      <c r="I874" s="7">
        <f>+SUMIF($F$7:$F$713,F874,$I$7:I$713)</f>
        <v>8.3800000000000008</v>
      </c>
    </row>
    <row r="875" spans="1:10">
      <c r="A875" s="150" t="s">
        <v>7544</v>
      </c>
      <c r="B875">
        <v>85</v>
      </c>
      <c r="F875" s="28" t="s">
        <v>2231</v>
      </c>
      <c r="G875" s="105" t="s">
        <v>2232</v>
      </c>
      <c r="H875" s="7">
        <f t="shared" si="15"/>
        <v>411.875</v>
      </c>
      <c r="I875" s="7">
        <f>+SUMIF($F$7:$F$713,F875,$I$7:I$713)</f>
        <v>65.900000000000006</v>
      </c>
    </row>
    <row r="876" spans="1:10">
      <c r="A876" s="150" t="s">
        <v>7544</v>
      </c>
      <c r="B876">
        <v>85</v>
      </c>
      <c r="F876" t="s">
        <v>915</v>
      </c>
      <c r="G876" s="17" t="s">
        <v>916</v>
      </c>
      <c r="H876" s="7">
        <f t="shared" si="15"/>
        <v>4493.0625000000009</v>
      </c>
      <c r="I876" s="7">
        <f>+SUMIF($F$7:$F$713,F876,$I$7:I$713)</f>
        <v>718.8900000000001</v>
      </c>
    </row>
    <row r="877" spans="1:10">
      <c r="A877" s="150" t="s">
        <v>7544</v>
      </c>
      <c r="B877">
        <v>85</v>
      </c>
      <c r="F877" s="17" t="s">
        <v>848</v>
      </c>
      <c r="G877" t="s">
        <v>449</v>
      </c>
      <c r="H877" s="7">
        <f t="shared" si="15"/>
        <v>58579.999999999993</v>
      </c>
      <c r="I877" s="7">
        <f>+SUMIF($F$7:$F$713,F877,$I$7:I$713)</f>
        <v>9372.7999999999993</v>
      </c>
    </row>
    <row r="878" spans="1:10">
      <c r="A878" s="150" t="s">
        <v>7544</v>
      </c>
      <c r="B878">
        <v>85</v>
      </c>
      <c r="F878" s="28" t="s">
        <v>2734</v>
      </c>
      <c r="G878" s="105" t="s">
        <v>2735</v>
      </c>
      <c r="H878" s="7">
        <f t="shared" si="15"/>
        <v>40.375</v>
      </c>
      <c r="I878" s="7">
        <f>+SUMIF($F$7:$F$713,F878,$I$7:I$713)</f>
        <v>6.46</v>
      </c>
    </row>
    <row r="879" spans="1:10">
      <c r="A879" s="150" t="s">
        <v>7544</v>
      </c>
      <c r="B879">
        <v>85</v>
      </c>
      <c r="F879" t="s">
        <v>7542</v>
      </c>
      <c r="G879" t="s">
        <v>7543</v>
      </c>
      <c r="H879" s="7">
        <f t="shared" si="15"/>
        <v>16904.8125</v>
      </c>
      <c r="I879" s="7">
        <f>+SUMIF($F$7:$F$713,F879,$I$7:I$713)</f>
        <v>2704.77</v>
      </c>
    </row>
    <row r="880" spans="1:10">
      <c r="A880" s="150" t="s">
        <v>7544</v>
      </c>
      <c r="B880">
        <v>85</v>
      </c>
      <c r="F880" s="28" t="s">
        <v>7128</v>
      </c>
      <c r="G880" s="105" t="s">
        <v>7129</v>
      </c>
      <c r="H880" s="7">
        <f t="shared" si="15"/>
        <v>130.1875</v>
      </c>
      <c r="I880" s="7">
        <f>+SUMIF($F$7:$F$713,F880,$I$7:I$713)</f>
        <v>20.83</v>
      </c>
    </row>
    <row r="881" spans="1:10">
      <c r="A881" s="150" t="s">
        <v>7544</v>
      </c>
      <c r="B881">
        <v>85</v>
      </c>
      <c r="F881" t="s">
        <v>6621</v>
      </c>
      <c r="G881" s="17" t="s">
        <v>7157</v>
      </c>
      <c r="H881" s="7">
        <f t="shared" si="15"/>
        <v>587.25</v>
      </c>
      <c r="I881" s="7">
        <f>+SUMIF($F$7:$F$713,F881,$I$7:I$713)</f>
        <v>93.960000000000008</v>
      </c>
    </row>
    <row r="882" spans="1:10">
      <c r="A882" s="150" t="s">
        <v>7544</v>
      </c>
      <c r="B882">
        <v>85</v>
      </c>
      <c r="F882" s="28" t="s">
        <v>7191</v>
      </c>
      <c r="G882" s="105" t="s">
        <v>7192</v>
      </c>
      <c r="H882" s="7">
        <f t="shared" si="15"/>
        <v>409.5625</v>
      </c>
      <c r="I882" s="7">
        <f>+SUMIF($F$7:$F$713,F882,$I$7:I$713)</f>
        <v>65.53</v>
      </c>
    </row>
    <row r="883" spans="1:10">
      <c r="A883" s="150" t="s">
        <v>7544</v>
      </c>
      <c r="B883">
        <v>85</v>
      </c>
      <c r="F883" t="s">
        <v>1594</v>
      </c>
      <c r="G883" s="17" t="s">
        <v>1152</v>
      </c>
      <c r="H883" s="7">
        <f t="shared" si="15"/>
        <v>934.87499999999989</v>
      </c>
      <c r="I883" s="7">
        <f>+SUMIF($F$7:$F$713,F883,$I$7:I$713)</f>
        <v>149.57999999999998</v>
      </c>
    </row>
    <row r="884" spans="1:10">
      <c r="A884" s="150" t="s">
        <v>7544</v>
      </c>
      <c r="B884">
        <v>85</v>
      </c>
      <c r="F884" t="s">
        <v>6465</v>
      </c>
      <c r="G884" s="139" t="s">
        <v>7497</v>
      </c>
      <c r="H884" s="7">
        <f t="shared" si="15"/>
        <v>792.75</v>
      </c>
      <c r="I884" s="7">
        <f>+SUMIF($F$7:$F$713,F884,$I$7:I$713)</f>
        <v>126.84</v>
      </c>
    </row>
    <row r="885" spans="1:10">
      <c r="A885" s="150" t="s">
        <v>7544</v>
      </c>
      <c r="B885">
        <v>85</v>
      </c>
      <c r="F885" s="2" t="s">
        <v>1612</v>
      </c>
      <c r="G885" s="105" t="s">
        <v>1613</v>
      </c>
      <c r="H885" s="7">
        <f t="shared" si="15"/>
        <v>419.37499999999994</v>
      </c>
      <c r="I885" s="7">
        <f>+SUMIF($F$7:$F$713,F885,$I$7:I$713)</f>
        <v>67.099999999999994</v>
      </c>
    </row>
    <row r="886" spans="1:10">
      <c r="A886" s="150" t="s">
        <v>7544</v>
      </c>
      <c r="B886">
        <v>85</v>
      </c>
      <c r="F886" t="s">
        <v>6930</v>
      </c>
      <c r="G886" s="17" t="s">
        <v>7338</v>
      </c>
      <c r="H886" s="7">
        <f t="shared" si="15"/>
        <v>86</v>
      </c>
      <c r="I886" s="7">
        <f>+SUMIF($F$7:$F$713,F886,$I$7:I$713)</f>
        <v>13.76</v>
      </c>
      <c r="J886" s="7">
        <f>3.4</f>
        <v>3.4</v>
      </c>
    </row>
    <row r="887" spans="1:10">
      <c r="A887" s="150" t="s">
        <v>7544</v>
      </c>
      <c r="B887">
        <v>85</v>
      </c>
      <c r="F887" s="28" t="s">
        <v>919</v>
      </c>
      <c r="G887" s="105" t="s">
        <v>920</v>
      </c>
      <c r="H887" s="7">
        <f t="shared" si="15"/>
        <v>557.75</v>
      </c>
      <c r="I887" s="7">
        <f>+SUMIF($F$7:$F$713,F887,$I$7:I$713)</f>
        <v>89.24</v>
      </c>
    </row>
    <row r="888" spans="1:10">
      <c r="A888" s="150" t="s">
        <v>7544</v>
      </c>
      <c r="B888">
        <v>85</v>
      </c>
      <c r="F888" t="s">
        <v>854</v>
      </c>
      <c r="G888" t="s">
        <v>6265</v>
      </c>
      <c r="H888" s="7">
        <f t="shared" si="15"/>
        <v>418879.56250000006</v>
      </c>
      <c r="I888" s="7">
        <f>+SUMIF($F$7:$F$713,F888,$I$7:I$713)</f>
        <v>67020.73000000001</v>
      </c>
    </row>
    <row r="889" spans="1:10">
      <c r="A889" s="150" t="s">
        <v>7544</v>
      </c>
      <c r="B889">
        <v>85</v>
      </c>
      <c r="F889" s="36" t="s">
        <v>4218</v>
      </c>
      <c r="G889" s="2" t="s">
        <v>4170</v>
      </c>
      <c r="H889" s="7">
        <f t="shared" si="15"/>
        <v>26785</v>
      </c>
      <c r="I889" s="7">
        <f>+SUMIF($F$7:$F$713,F889,$I$7:I$713)</f>
        <v>4285.6000000000004</v>
      </c>
    </row>
    <row r="890" spans="1:10">
      <c r="A890" s="150" t="s">
        <v>7544</v>
      </c>
      <c r="B890">
        <v>85</v>
      </c>
      <c r="F890" s="2" t="s">
        <v>7227</v>
      </c>
      <c r="G890" s="2" t="s">
        <v>7228</v>
      </c>
      <c r="H890" s="7">
        <f t="shared" si="15"/>
        <v>2879.3125</v>
      </c>
      <c r="I890" s="7">
        <f>+SUMIF($F$7:$F$713,F890,$I$7:I$713)</f>
        <v>460.69</v>
      </c>
    </row>
    <row r="891" spans="1:10">
      <c r="A891" s="150" t="s">
        <v>7544</v>
      </c>
      <c r="B891">
        <v>85</v>
      </c>
      <c r="F891" s="28" t="s">
        <v>7179</v>
      </c>
      <c r="G891" s="105" t="s">
        <v>7180</v>
      </c>
      <c r="H891" s="7">
        <f t="shared" si="15"/>
        <v>40</v>
      </c>
      <c r="I891" s="7">
        <f>+SUMIF($F$7:$F$713,F891,$I$7:I$713)</f>
        <v>6.4</v>
      </c>
    </row>
    <row r="892" spans="1:10">
      <c r="A892" s="150" t="s">
        <v>7544</v>
      </c>
      <c r="B892">
        <v>85</v>
      </c>
      <c r="F892" t="s">
        <v>5377</v>
      </c>
      <c r="G892" s="17" t="s">
        <v>7158</v>
      </c>
      <c r="H892" s="7">
        <f t="shared" si="15"/>
        <v>3864.6249999999995</v>
      </c>
      <c r="I892" s="7">
        <f>+SUMIF($F$7:$F$713,F892,$I$7:I$713)</f>
        <v>618.33999999999992</v>
      </c>
    </row>
    <row r="893" spans="1:10">
      <c r="A893" s="150" t="s">
        <v>7544</v>
      </c>
      <c r="B893">
        <v>85</v>
      </c>
      <c r="F893" s="36" t="s">
        <v>860</v>
      </c>
      <c r="G893" s="2" t="s">
        <v>474</v>
      </c>
      <c r="H893" s="7">
        <f t="shared" si="15"/>
        <v>9943.125</v>
      </c>
      <c r="I893" s="7">
        <f>+SUMIF($F$7:$F$713,F893,$I$7:I$713)</f>
        <v>1590.9</v>
      </c>
    </row>
    <row r="894" spans="1:10">
      <c r="A894" s="150" t="s">
        <v>7544</v>
      </c>
      <c r="B894">
        <v>85</v>
      </c>
      <c r="F894" t="s">
        <v>857</v>
      </c>
      <c r="G894" s="17" t="s">
        <v>7159</v>
      </c>
      <c r="H894" s="7">
        <f t="shared" si="15"/>
        <v>121.5625</v>
      </c>
      <c r="I894" s="7">
        <f>+SUMIF($F$7:$F$713,F894,$I$7:I$713)</f>
        <v>19.45</v>
      </c>
    </row>
    <row r="895" spans="1:10">
      <c r="A895" s="150" t="s">
        <v>7544</v>
      </c>
      <c r="B895">
        <v>85</v>
      </c>
      <c r="F895" s="36" t="s">
        <v>858</v>
      </c>
      <c r="G895" s="2" t="s">
        <v>457</v>
      </c>
      <c r="H895" s="7">
        <f t="shared" si="15"/>
        <v>41700</v>
      </c>
      <c r="I895" s="7">
        <f>+SUMIF($F$7:$F$713,F895,$I$7:I$713)</f>
        <v>6672</v>
      </c>
    </row>
    <row r="896" spans="1:10">
      <c r="A896" s="150" t="s">
        <v>7544</v>
      </c>
      <c r="B896">
        <v>85</v>
      </c>
      <c r="F896" s="28" t="s">
        <v>7201</v>
      </c>
      <c r="G896" s="105" t="s">
        <v>7202</v>
      </c>
      <c r="H896" s="7">
        <f t="shared" si="15"/>
        <v>86.187499999999986</v>
      </c>
      <c r="I896" s="7">
        <f>+SUMIF($F$7:$F$713,F896,$I$7:I$713)</f>
        <v>13.79</v>
      </c>
    </row>
    <row r="897" spans="1:9">
      <c r="A897" s="150" t="s">
        <v>7544</v>
      </c>
      <c r="B897">
        <v>85</v>
      </c>
      <c r="F897" t="s">
        <v>706</v>
      </c>
      <c r="G897" t="s">
        <v>7160</v>
      </c>
      <c r="H897" s="7">
        <f t="shared" si="15"/>
        <v>70.6875</v>
      </c>
      <c r="I897" s="7">
        <f>+SUMIF($F$7:$F$713,F897,$I$7:I$713)</f>
        <v>11.31</v>
      </c>
    </row>
    <row r="898" spans="1:9">
      <c r="A898" s="150" t="s">
        <v>7544</v>
      </c>
      <c r="B898">
        <v>85</v>
      </c>
      <c r="F898" s="36" t="s">
        <v>7161</v>
      </c>
      <c r="G898" s="2" t="s">
        <v>6957</v>
      </c>
      <c r="H898" s="7">
        <f t="shared" si="15"/>
        <v>1800</v>
      </c>
      <c r="I898" s="7">
        <f>+SUMIF($F$7:$F$713,F898,$I$7:I$713)</f>
        <v>288</v>
      </c>
    </row>
    <row r="899" spans="1:9">
      <c r="A899" s="150" t="s">
        <v>7544</v>
      </c>
      <c r="B899">
        <v>85</v>
      </c>
      <c r="F899" t="s">
        <v>6634</v>
      </c>
      <c r="G899" s="17" t="s">
        <v>7217</v>
      </c>
      <c r="H899" s="7">
        <f t="shared" si="15"/>
        <v>77.5625</v>
      </c>
      <c r="I899" s="7">
        <f>+SUMIF($F$7:$F$713,F899,$I$7:I$713)</f>
        <v>12.41</v>
      </c>
    </row>
    <row r="900" spans="1:9">
      <c r="A900" s="150" t="s">
        <v>7544</v>
      </c>
      <c r="B900">
        <v>85</v>
      </c>
      <c r="F900" t="s">
        <v>7147</v>
      </c>
      <c r="G900" t="s">
        <v>7148</v>
      </c>
      <c r="H900" s="7">
        <f t="shared" si="15"/>
        <v>844.81249999999989</v>
      </c>
      <c r="I900" s="7">
        <f>+SUMIF($F$7:$F$713,F900,$I$7:I$713)</f>
        <v>135.16999999999999</v>
      </c>
    </row>
    <row r="901" spans="1:9">
      <c r="A901" s="150" t="s">
        <v>7544</v>
      </c>
      <c r="B901">
        <v>85</v>
      </c>
      <c r="F901" t="s">
        <v>929</v>
      </c>
      <c r="G901" s="17" t="s">
        <v>7162</v>
      </c>
      <c r="H901" s="7">
        <f t="shared" si="15"/>
        <v>448.4375</v>
      </c>
      <c r="I901" s="7">
        <f>+SUMIF($F$7:$F$713,F901,$I$7:I$713)</f>
        <v>71.75</v>
      </c>
    </row>
    <row r="902" spans="1:9">
      <c r="A902" s="150" t="s">
        <v>7544</v>
      </c>
      <c r="B902">
        <v>85</v>
      </c>
      <c r="F902" t="s">
        <v>7149</v>
      </c>
      <c r="G902" t="s">
        <v>7150</v>
      </c>
      <c r="H902" s="7">
        <f t="shared" si="15"/>
        <v>136.1875</v>
      </c>
      <c r="I902" s="7">
        <f>+SUMIF($F$7:$F$713,F902,$I$7:I$713)</f>
        <v>21.79</v>
      </c>
    </row>
    <row r="903" spans="1:9">
      <c r="A903" s="150" t="s">
        <v>7544</v>
      </c>
      <c r="B903">
        <v>85</v>
      </c>
      <c r="F903" s="2" t="s">
        <v>3691</v>
      </c>
      <c r="G903" s="2" t="s">
        <v>7226</v>
      </c>
      <c r="H903" s="7">
        <f t="shared" si="15"/>
        <v>171.5</v>
      </c>
      <c r="I903" s="7">
        <f>+SUMIF($F$7:$F$713,F903,$I$7:I$713)</f>
        <v>27.44</v>
      </c>
    </row>
    <row r="904" spans="1:9">
      <c r="A904" s="150" t="s">
        <v>7544</v>
      </c>
      <c r="B904">
        <v>85</v>
      </c>
      <c r="F904" t="s">
        <v>4448</v>
      </c>
      <c r="G904" t="s">
        <v>7163</v>
      </c>
      <c r="H904" s="7">
        <f t="shared" si="15"/>
        <v>235</v>
      </c>
      <c r="I904" s="7">
        <f>+SUMIF($F$7:$F$713,F904,$I$7:I$713)</f>
        <v>37.6</v>
      </c>
    </row>
    <row r="905" spans="1:9">
      <c r="A905" s="150" t="s">
        <v>7544</v>
      </c>
      <c r="B905">
        <v>85</v>
      </c>
      <c r="F905" t="s">
        <v>2222</v>
      </c>
      <c r="G905" s="139" t="s">
        <v>3708</v>
      </c>
      <c r="H905" s="7">
        <f t="shared" si="15"/>
        <v>1200</v>
      </c>
      <c r="I905" s="7">
        <f>+SUMIF($F$7:$F$713,F905,$I$7:I$713)</f>
        <v>192</v>
      </c>
    </row>
    <row r="906" spans="1:9">
      <c r="A906" s="150" t="s">
        <v>7544</v>
      </c>
      <c r="B906">
        <v>85</v>
      </c>
      <c r="F906" s="119" t="s">
        <v>3455</v>
      </c>
      <c r="G906" s="120" t="s">
        <v>7221</v>
      </c>
      <c r="H906" s="7">
        <f t="shared" si="15"/>
        <v>453.125</v>
      </c>
      <c r="I906" s="7">
        <f>+SUMIF($F$7:$F$713,F906,$I$7:I$713)</f>
        <v>72.5</v>
      </c>
    </row>
    <row r="907" spans="1:9">
      <c r="A907" s="150" t="s">
        <v>7544</v>
      </c>
      <c r="B907">
        <v>85</v>
      </c>
      <c r="F907" s="119" t="s">
        <v>3235</v>
      </c>
      <c r="G907" s="120" t="s">
        <v>3031</v>
      </c>
      <c r="H907" s="7">
        <f t="shared" si="15"/>
        <v>503.24999999999994</v>
      </c>
      <c r="I907" s="7">
        <f>+SUMIF($F$7:$F$713,F907,$I$7:I$713)</f>
        <v>80.52</v>
      </c>
    </row>
    <row r="908" spans="1:9">
      <c r="A908" s="150" t="s">
        <v>7544</v>
      </c>
      <c r="B908">
        <v>85</v>
      </c>
      <c r="F908" s="111" t="s">
        <v>1648</v>
      </c>
      <c r="G908" s="110" t="s">
        <v>1649</v>
      </c>
      <c r="H908" s="7">
        <f t="shared" si="15"/>
        <v>4120.6875</v>
      </c>
      <c r="I908" s="7">
        <f>+SUMIF($F$7:$F$713,F908,$I$7:I$713)</f>
        <v>659.31</v>
      </c>
    </row>
    <row r="909" spans="1:9">
      <c r="A909" s="150" t="s">
        <v>7544</v>
      </c>
      <c r="B909">
        <v>85</v>
      </c>
      <c r="F909" s="28" t="s">
        <v>7139</v>
      </c>
      <c r="G909" s="105" t="s">
        <v>7140</v>
      </c>
      <c r="H909" s="7">
        <f t="shared" si="15"/>
        <v>318.8125</v>
      </c>
      <c r="I909" s="7">
        <f>+SUMIF($F$7:$F$713,F909,$I$7:I$713)</f>
        <v>51.01</v>
      </c>
    </row>
    <row r="910" spans="1:9">
      <c r="A910" s="150" t="s">
        <v>7544</v>
      </c>
      <c r="B910">
        <v>85</v>
      </c>
      <c r="F910" s="28" t="s">
        <v>1624</v>
      </c>
      <c r="G910" s="105" t="s">
        <v>1625</v>
      </c>
      <c r="H910" s="7">
        <f t="shared" si="15"/>
        <v>910.62499999999989</v>
      </c>
      <c r="I910" s="7">
        <f>+SUMIF($F$7:$F$713,F910,$I$7:I$713)</f>
        <v>145.69999999999999</v>
      </c>
    </row>
    <row r="911" spans="1:9">
      <c r="A911" s="150" t="s">
        <v>7544</v>
      </c>
      <c r="B911">
        <v>85</v>
      </c>
      <c r="F911" s="126" t="s">
        <v>5655</v>
      </c>
      <c r="G911" s="126" t="s">
        <v>5656</v>
      </c>
      <c r="H911" s="7">
        <f t="shared" si="15"/>
        <v>626</v>
      </c>
      <c r="I911" s="7">
        <f>+SUMIF($F$7:$F$713,F911,$I$7:I$713)</f>
        <v>100.16</v>
      </c>
    </row>
    <row r="912" spans="1:9">
      <c r="A912" s="150" t="s">
        <v>7544</v>
      </c>
      <c r="B912">
        <v>85</v>
      </c>
      <c r="F912" s="17" t="s">
        <v>7141</v>
      </c>
      <c r="G912" t="s">
        <v>7142</v>
      </c>
      <c r="H912" s="7">
        <f t="shared" si="15"/>
        <v>284.4375</v>
      </c>
      <c r="I912" s="7">
        <f>+SUMIF($F$7:$F$713,F912,$I$7:I$713)</f>
        <v>45.51</v>
      </c>
    </row>
    <row r="913" spans="1:9">
      <c r="A913" s="150" t="s">
        <v>7544</v>
      </c>
      <c r="B913">
        <v>85</v>
      </c>
      <c r="F913" s="28" t="s">
        <v>7172</v>
      </c>
      <c r="G913" s="105" t="s">
        <v>7173</v>
      </c>
      <c r="H913" s="7">
        <f t="shared" si="15"/>
        <v>293.5625</v>
      </c>
      <c r="I913" s="7">
        <f>+SUMIF($F$7:$F$713,F913,$I$7:I$713)</f>
        <v>46.97</v>
      </c>
    </row>
    <row r="914" spans="1:9">
      <c r="A914" s="150" t="s">
        <v>7544</v>
      </c>
      <c r="B914">
        <v>85</v>
      </c>
      <c r="F914" s="36" t="s">
        <v>2701</v>
      </c>
      <c r="G914" s="2" t="s">
        <v>2660</v>
      </c>
      <c r="H914" s="7">
        <f t="shared" si="15"/>
        <v>2402</v>
      </c>
      <c r="I914" s="7">
        <f>+SUMIF($F$7:$F$713,F914,$I$7:I$713)</f>
        <v>384.32</v>
      </c>
    </row>
    <row r="915" spans="1:9">
      <c r="A915" s="150" t="s">
        <v>7544</v>
      </c>
      <c r="B915">
        <v>85</v>
      </c>
      <c r="F915" s="110" t="s">
        <v>863</v>
      </c>
      <c r="G915" s="126" t="s">
        <v>967</v>
      </c>
      <c r="H915" s="7">
        <f t="shared" si="15"/>
        <v>100798.8125</v>
      </c>
      <c r="I915" s="7">
        <f>+SUMIF($F$7:$F$713,F915,$I$7:I$713)</f>
        <v>16127.810000000001</v>
      </c>
    </row>
    <row r="916" spans="1:9">
      <c r="A916" s="150" t="s">
        <v>7544</v>
      </c>
      <c r="B916">
        <v>85</v>
      </c>
      <c r="F916" s="119" t="s">
        <v>1617</v>
      </c>
      <c r="G916" s="120" t="s">
        <v>7193</v>
      </c>
      <c r="H916" s="7">
        <f t="shared" si="15"/>
        <v>856.625</v>
      </c>
      <c r="I916" s="7">
        <f>+SUMIF($F$7:$F$713,F916,$I$7:I$713)</f>
        <v>137.06</v>
      </c>
    </row>
    <row r="917" spans="1:9">
      <c r="A917" s="150" t="s">
        <v>7544</v>
      </c>
      <c r="B917">
        <v>85</v>
      </c>
      <c r="F917" s="28" t="s">
        <v>2724</v>
      </c>
      <c r="G917" s="105" t="s">
        <v>7164</v>
      </c>
      <c r="H917" s="7">
        <f t="shared" ref="H917:H952" si="16">+I917/0.16</f>
        <v>1641.5624999999998</v>
      </c>
      <c r="I917" s="7">
        <f>+SUMIF($F$7:$F$713,F917,$I$7:I$713)</f>
        <v>262.64999999999998</v>
      </c>
    </row>
    <row r="918" spans="1:9">
      <c r="A918" s="150" t="s">
        <v>7544</v>
      </c>
      <c r="B918">
        <v>85</v>
      </c>
      <c r="F918" s="28" t="s">
        <v>7203</v>
      </c>
      <c r="G918" s="105" t="s">
        <v>7204</v>
      </c>
      <c r="H918" s="7">
        <f t="shared" si="16"/>
        <v>58.4375</v>
      </c>
      <c r="I918" s="7">
        <f>+SUMIF($F$7:$F$713,F918,$I$7:I$713)</f>
        <v>9.35</v>
      </c>
    </row>
    <row r="919" spans="1:9">
      <c r="A919" s="150" t="s">
        <v>7544</v>
      </c>
      <c r="B919">
        <v>85</v>
      </c>
      <c r="F919" s="114" t="s">
        <v>1552</v>
      </c>
      <c r="G919" s="114" t="s">
        <v>3666</v>
      </c>
      <c r="H919" s="7">
        <f t="shared" si="16"/>
        <v>900</v>
      </c>
      <c r="I919" s="7">
        <f>+SUMIF($F$7:$F$713,F919,$I$7:I$713)</f>
        <v>144</v>
      </c>
    </row>
    <row r="920" spans="1:9">
      <c r="A920" s="150" t="s">
        <v>7544</v>
      </c>
      <c r="B920">
        <v>85</v>
      </c>
      <c r="F920" s="17" t="s">
        <v>6267</v>
      </c>
      <c r="G920" t="s">
        <v>6127</v>
      </c>
      <c r="H920" s="7">
        <f t="shared" si="16"/>
        <v>1934.4999999999998</v>
      </c>
      <c r="I920" s="7">
        <f>+SUMIF($F$7:$F$713,F920,$I$7:I$713)</f>
        <v>309.52</v>
      </c>
    </row>
    <row r="921" spans="1:9">
      <c r="A921" s="150" t="s">
        <v>7544</v>
      </c>
      <c r="B921">
        <v>85</v>
      </c>
      <c r="F921" s="28" t="s">
        <v>945</v>
      </c>
      <c r="G921" s="105" t="s">
        <v>7212</v>
      </c>
      <c r="H921" s="7">
        <f t="shared" si="16"/>
        <v>455.31249999999994</v>
      </c>
      <c r="I921" s="7">
        <f>+SUMIF($F$7:$F$713,F921,$I$7:I$713)</f>
        <v>72.849999999999994</v>
      </c>
    </row>
    <row r="922" spans="1:9">
      <c r="A922" s="150" t="s">
        <v>7544</v>
      </c>
      <c r="B922">
        <v>85</v>
      </c>
      <c r="F922" s="110" t="s">
        <v>2233</v>
      </c>
      <c r="G922" s="110" t="s">
        <v>2234</v>
      </c>
      <c r="H922" s="7">
        <f t="shared" si="16"/>
        <v>629.0625</v>
      </c>
      <c r="I922" s="7">
        <f>+SUMIF($F$7:$F$713,F922,$I$7:I$713)</f>
        <v>100.65</v>
      </c>
    </row>
    <row r="923" spans="1:9">
      <c r="A923" s="150" t="s">
        <v>7544</v>
      </c>
      <c r="B923">
        <v>85</v>
      </c>
      <c r="F923" s="28" t="s">
        <v>1600</v>
      </c>
      <c r="G923" s="105" t="s">
        <v>6283</v>
      </c>
      <c r="H923" s="7">
        <f t="shared" si="16"/>
        <v>328580.0625</v>
      </c>
      <c r="I923" s="7">
        <f>+SUMIF($F$7:$F$713,F923,$I$7:I$713)</f>
        <v>52572.81</v>
      </c>
    </row>
    <row r="924" spans="1:9">
      <c r="A924" s="150" t="s">
        <v>7544</v>
      </c>
      <c r="B924">
        <v>85</v>
      </c>
      <c r="F924" s="36" t="s">
        <v>3709</v>
      </c>
      <c r="G924" s="2" t="s">
        <v>3613</v>
      </c>
      <c r="H924" s="7">
        <f t="shared" si="16"/>
        <v>1543.5</v>
      </c>
      <c r="I924" s="7">
        <f>+SUMIF($F$7:$F$713,F924,$I$7:I$713)</f>
        <v>246.96</v>
      </c>
    </row>
    <row r="925" spans="1:9">
      <c r="A925" s="150" t="s">
        <v>7544</v>
      </c>
      <c r="B925">
        <v>85</v>
      </c>
      <c r="F925" s="110" t="s">
        <v>778</v>
      </c>
      <c r="G925" s="110" t="s">
        <v>779</v>
      </c>
      <c r="H925" s="7">
        <f t="shared" si="16"/>
        <v>503.5</v>
      </c>
      <c r="I925" s="7">
        <f>+SUMIF($F$7:$F$713,F925,$I$7:I$713)</f>
        <v>80.56</v>
      </c>
    </row>
    <row r="926" spans="1:9">
      <c r="A926" s="150" t="s">
        <v>7544</v>
      </c>
      <c r="B926">
        <v>85</v>
      </c>
      <c r="F926" s="28" t="s">
        <v>921</v>
      </c>
      <c r="G926" s="105" t="s">
        <v>7194</v>
      </c>
      <c r="H926" s="7">
        <f t="shared" si="16"/>
        <v>729.6875</v>
      </c>
      <c r="I926" s="7">
        <f>+SUMIF($F$7:$F$713,F926,$I$7:I$713)</f>
        <v>116.75</v>
      </c>
    </row>
    <row r="927" spans="1:9">
      <c r="A927" s="150" t="s">
        <v>7544</v>
      </c>
      <c r="B927">
        <v>85</v>
      </c>
      <c r="F927" s="119" t="s">
        <v>780</v>
      </c>
      <c r="G927" s="120" t="s">
        <v>781</v>
      </c>
      <c r="H927" s="7">
        <f t="shared" si="16"/>
        <v>1695.5000000000002</v>
      </c>
      <c r="I927" s="7">
        <f>+SUMIF($F$7:$F$713,F927,$I$7:I$713)</f>
        <v>271.28000000000003</v>
      </c>
    </row>
    <row r="928" spans="1:9">
      <c r="A928" s="150" t="s">
        <v>7544</v>
      </c>
      <c r="B928">
        <v>85</v>
      </c>
      <c r="F928" s="110" t="s">
        <v>2239</v>
      </c>
      <c r="G928" s="111" t="s">
        <v>7216</v>
      </c>
      <c r="H928" s="7">
        <f t="shared" si="16"/>
        <v>545.18749999999989</v>
      </c>
      <c r="I928" s="7">
        <f>+SUMIF($F$7:$F$713,F928,$I$7:I$713)</f>
        <v>87.22999999999999</v>
      </c>
    </row>
    <row r="929" spans="1:9">
      <c r="A929" s="150" t="s">
        <v>7544</v>
      </c>
      <c r="B929">
        <v>85</v>
      </c>
      <c r="F929" s="110" t="s">
        <v>931</v>
      </c>
      <c r="G929" s="111" t="s">
        <v>932</v>
      </c>
      <c r="H929" s="7">
        <f t="shared" si="16"/>
        <v>1377.1875</v>
      </c>
      <c r="I929" s="7">
        <f>+SUMIF($F$7:$F$713,F929,$I$7:I$713)</f>
        <v>220.35000000000002</v>
      </c>
    </row>
    <row r="930" spans="1:9">
      <c r="A930" s="150" t="s">
        <v>7544</v>
      </c>
      <c r="B930">
        <v>85</v>
      </c>
      <c r="F930" s="17" t="s">
        <v>7167</v>
      </c>
      <c r="G930" t="s">
        <v>7057</v>
      </c>
      <c r="H930" s="7">
        <f t="shared" si="16"/>
        <v>27700</v>
      </c>
      <c r="I930" s="7">
        <f>+SUMIF($F$7:$F$713,F930,$I$7:I$713)</f>
        <v>4432</v>
      </c>
    </row>
    <row r="931" spans="1:9">
      <c r="A931" s="150" t="s">
        <v>7544</v>
      </c>
      <c r="B931">
        <v>85</v>
      </c>
      <c r="F931" t="s">
        <v>6560</v>
      </c>
      <c r="G931" s="17" t="s">
        <v>7166</v>
      </c>
      <c r="H931" s="7">
        <f t="shared" si="16"/>
        <v>666.9375</v>
      </c>
      <c r="I931" s="7">
        <f>+SUMIF($F$7:$F$713,F931,$I$7:I$713)</f>
        <v>106.71000000000001</v>
      </c>
    </row>
    <row r="932" spans="1:9">
      <c r="A932" s="150" t="s">
        <v>7544</v>
      </c>
      <c r="B932">
        <v>85</v>
      </c>
      <c r="F932" t="s">
        <v>799</v>
      </c>
      <c r="G932" s="17" t="s">
        <v>1361</v>
      </c>
      <c r="H932" s="7">
        <f t="shared" si="16"/>
        <v>262041.18750000003</v>
      </c>
      <c r="I932" s="7">
        <f>+SUMIF($F$7:$F$713,F932,$I$7:I$713)</f>
        <v>41926.590000000004</v>
      </c>
    </row>
    <row r="933" spans="1:9">
      <c r="A933" s="150" t="s">
        <v>7544</v>
      </c>
      <c r="B933">
        <v>85</v>
      </c>
      <c r="F933" t="s">
        <v>947</v>
      </c>
      <c r="G933" s="17" t="s">
        <v>948</v>
      </c>
      <c r="H933" s="7">
        <f t="shared" si="16"/>
        <v>284.5</v>
      </c>
      <c r="I933" s="7">
        <f>+SUMIF($F$7:$F$713,F933,$I$7:I$713)</f>
        <v>45.52</v>
      </c>
    </row>
    <row r="934" spans="1:9">
      <c r="A934" s="150" t="s">
        <v>7544</v>
      </c>
      <c r="B934">
        <v>85</v>
      </c>
      <c r="F934" s="17" t="s">
        <v>873</v>
      </c>
      <c r="G934" s="2" t="s">
        <v>7026</v>
      </c>
      <c r="H934" s="7">
        <f t="shared" si="16"/>
        <v>314.6875</v>
      </c>
      <c r="I934" s="7">
        <f>+SUMIF($F$7:$F$713,F934,$I$7:I$713)</f>
        <v>50.35</v>
      </c>
    </row>
    <row r="935" spans="1:9">
      <c r="A935" s="150" t="s">
        <v>7544</v>
      </c>
      <c r="B935">
        <v>85</v>
      </c>
      <c r="F935" s="36" t="s">
        <v>868</v>
      </c>
      <c r="G935" s="2" t="s">
        <v>436</v>
      </c>
      <c r="H935" s="7">
        <f t="shared" si="16"/>
        <v>17411.625</v>
      </c>
      <c r="I935" s="7">
        <f>+SUMIF($F$7:$F$713,F935,$I$7:I$713)</f>
        <v>2785.86</v>
      </c>
    </row>
    <row r="936" spans="1:9">
      <c r="A936" s="150" t="s">
        <v>7544</v>
      </c>
      <c r="B936">
        <v>85</v>
      </c>
      <c r="F936" s="127" t="s">
        <v>2751</v>
      </c>
      <c r="G936" s="127" t="s">
        <v>5728</v>
      </c>
      <c r="H936" s="7">
        <f t="shared" si="16"/>
        <v>21716460.312499989</v>
      </c>
      <c r="I936" s="7">
        <f>+SUMIF($F$7:$F$713,F936,$I$7:I$713)</f>
        <v>3474633.649999998</v>
      </c>
    </row>
    <row r="937" spans="1:9">
      <c r="A937" s="150" t="s">
        <v>7544</v>
      </c>
      <c r="B937">
        <v>85</v>
      </c>
      <c r="F937" t="s">
        <v>1606</v>
      </c>
      <c r="G937" t="s">
        <v>3693</v>
      </c>
      <c r="H937" s="7">
        <f t="shared" si="16"/>
        <v>867798.68749999988</v>
      </c>
      <c r="I937" s="7">
        <f>+SUMIF($F$7:$F$713,F937,$I$7:I$713)</f>
        <v>138847.78999999998</v>
      </c>
    </row>
    <row r="938" spans="1:9">
      <c r="A938" s="150" t="s">
        <v>7544</v>
      </c>
      <c r="B938">
        <v>85</v>
      </c>
      <c r="F938" t="s">
        <v>878</v>
      </c>
      <c r="G938" s="17" t="s">
        <v>414</v>
      </c>
      <c r="H938" s="7">
        <f t="shared" si="16"/>
        <v>228.00000000000003</v>
      </c>
      <c r="I938" s="7">
        <f>+SUMIF($F$7:$F$713,F938,$I$7:I$713)</f>
        <v>36.480000000000004</v>
      </c>
    </row>
    <row r="939" spans="1:9">
      <c r="A939" s="150" t="s">
        <v>7544</v>
      </c>
      <c r="B939">
        <v>85</v>
      </c>
      <c r="F939" t="s">
        <v>935</v>
      </c>
      <c r="G939" s="17" t="s">
        <v>936</v>
      </c>
      <c r="H939" s="7">
        <f t="shared" si="16"/>
        <v>775.68749999999966</v>
      </c>
      <c r="I939" s="7">
        <f>+SUMIF($F$7:$F$713,F939,$I$7:I$713)</f>
        <v>124.10999999999996</v>
      </c>
    </row>
    <row r="940" spans="1:9">
      <c r="A940" s="150" t="s">
        <v>7544</v>
      </c>
      <c r="B940">
        <v>85</v>
      </c>
      <c r="F940" t="s">
        <v>4366</v>
      </c>
      <c r="G940" t="s">
        <v>7152</v>
      </c>
      <c r="H940" s="7">
        <f t="shared" si="16"/>
        <v>106.875</v>
      </c>
      <c r="I940" s="7">
        <f>+SUMIF($F$7:$F$713,F940,$I$7:I$713)</f>
        <v>17.100000000000001</v>
      </c>
    </row>
    <row r="941" spans="1:9">
      <c r="A941" s="150" t="s">
        <v>7544</v>
      </c>
      <c r="B941">
        <v>85</v>
      </c>
      <c r="F941" t="s">
        <v>1643</v>
      </c>
      <c r="G941" s="17" t="s">
        <v>3713</v>
      </c>
      <c r="H941" s="7">
        <f t="shared" si="16"/>
        <v>51.749999999999993</v>
      </c>
      <c r="I941" s="7">
        <f>+SUMIF($F$7:$F$713,F941,$I$7:I$713)</f>
        <v>8.2799999999999994</v>
      </c>
    </row>
    <row r="942" spans="1:9">
      <c r="A942" s="150" t="s">
        <v>7544</v>
      </c>
      <c r="B942">
        <v>85</v>
      </c>
      <c r="F942" t="s">
        <v>6270</v>
      </c>
      <c r="G942" t="s">
        <v>6271</v>
      </c>
      <c r="H942" s="7">
        <f t="shared" si="16"/>
        <v>250699.5625</v>
      </c>
      <c r="I942" s="7">
        <f>+SUMIF($F$7:$F$713,F942,$I$7:I$713)</f>
        <v>40111.93</v>
      </c>
    </row>
    <row r="943" spans="1:9">
      <c r="A943" s="150" t="s">
        <v>7544</v>
      </c>
      <c r="B943">
        <v>85</v>
      </c>
      <c r="F943" t="s">
        <v>7153</v>
      </c>
      <c r="G943" t="s">
        <v>7154</v>
      </c>
      <c r="H943" s="7">
        <f t="shared" si="16"/>
        <v>300</v>
      </c>
      <c r="I943" s="7">
        <f>+SUMIF($F$7:$F$713,F943,$I$7:I$713)</f>
        <v>48</v>
      </c>
    </row>
    <row r="944" spans="1:9">
      <c r="A944" s="150" t="s">
        <v>7544</v>
      </c>
      <c r="B944">
        <v>85</v>
      </c>
      <c r="F944" s="119" t="s">
        <v>1632</v>
      </c>
      <c r="G944" s="120" t="s">
        <v>1633</v>
      </c>
      <c r="H944" s="7">
        <f t="shared" si="16"/>
        <v>419.37499999999994</v>
      </c>
      <c r="I944" s="7">
        <f>+SUMIF($F$7:$F$713,F944,$I$7:I$713)</f>
        <v>67.099999999999994</v>
      </c>
    </row>
    <row r="945" spans="1:12">
      <c r="A945" s="150" t="s">
        <v>7544</v>
      </c>
      <c r="B945">
        <v>85</v>
      </c>
      <c r="F945" s="17" t="s">
        <v>7168</v>
      </c>
      <c r="G945" t="s">
        <v>6963</v>
      </c>
      <c r="H945" s="7">
        <f t="shared" si="16"/>
        <v>2250</v>
      </c>
      <c r="I945" s="7">
        <f>+SUMIF($F$7:$F$713,F945,$I$7:I$713)</f>
        <v>360</v>
      </c>
    </row>
    <row r="946" spans="1:12">
      <c r="A946" s="150" t="s">
        <v>7544</v>
      </c>
      <c r="B946">
        <v>85</v>
      </c>
      <c r="F946" s="133" t="s">
        <v>7325</v>
      </c>
      <c r="G946" s="133" t="s">
        <v>7541</v>
      </c>
      <c r="H946" s="7">
        <f t="shared" si="16"/>
        <v>1359.3125</v>
      </c>
      <c r="I946" s="7">
        <f>+SUMIF($F$7:$F$713,F946,$I$7:I$713)</f>
        <v>217.49</v>
      </c>
    </row>
    <row r="947" spans="1:12">
      <c r="A947" s="150" t="s">
        <v>7544</v>
      </c>
      <c r="B947">
        <v>85</v>
      </c>
      <c r="F947" t="s">
        <v>802</v>
      </c>
      <c r="G947" t="s">
        <v>2483</v>
      </c>
      <c r="H947" s="7">
        <f t="shared" si="16"/>
        <v>931.12499999999989</v>
      </c>
      <c r="I947" s="7">
        <f>+SUMIF($F$7:$F$713,F947,$I$7:I$713)</f>
        <v>148.97999999999999</v>
      </c>
    </row>
    <row r="948" spans="1:12">
      <c r="A948" s="150" t="s">
        <v>7544</v>
      </c>
      <c r="B948">
        <v>85</v>
      </c>
      <c r="F948" t="s">
        <v>1614</v>
      </c>
      <c r="G948" s="17" t="s">
        <v>1615</v>
      </c>
      <c r="H948" s="7">
        <f t="shared" si="16"/>
        <v>461.3125</v>
      </c>
      <c r="I948" s="7">
        <f>+SUMIF($F$7:$F$713,F948,$I$7:I$713)</f>
        <v>73.81</v>
      </c>
    </row>
    <row r="949" spans="1:12">
      <c r="A949" s="150" t="s">
        <v>7544</v>
      </c>
      <c r="B949">
        <v>85</v>
      </c>
      <c r="F949" t="s">
        <v>6598</v>
      </c>
      <c r="G949" t="s">
        <v>7169</v>
      </c>
      <c r="H949" s="7">
        <f t="shared" si="16"/>
        <v>138.75</v>
      </c>
      <c r="I949" s="7">
        <f>+SUMIF($F$7:$F$713,F949,$I$7:I$713)</f>
        <v>22.2</v>
      </c>
    </row>
    <row r="950" spans="1:12">
      <c r="A950" s="150" t="s">
        <v>7544</v>
      </c>
      <c r="B950">
        <v>85</v>
      </c>
      <c r="F950" t="s">
        <v>6641</v>
      </c>
      <c r="G950" s="17" t="s">
        <v>7170</v>
      </c>
      <c r="H950" s="7">
        <f t="shared" si="16"/>
        <v>156.875</v>
      </c>
      <c r="I950" s="7">
        <f>+SUMIF($F$7:$F$713,F950,$I$7:I$713)</f>
        <v>25.1</v>
      </c>
    </row>
    <row r="951" spans="1:12">
      <c r="A951" s="150" t="s">
        <v>7544</v>
      </c>
      <c r="B951">
        <v>85</v>
      </c>
      <c r="F951" t="s">
        <v>951</v>
      </c>
      <c r="G951" s="2" t="s">
        <v>7155</v>
      </c>
      <c r="H951" s="7">
        <f t="shared" si="16"/>
        <v>320080.25</v>
      </c>
      <c r="I951" s="7">
        <f>+SUMIF($F$7:$F$713,F951,$I$7:I$713)</f>
        <v>51212.84</v>
      </c>
    </row>
    <row r="952" spans="1:12">
      <c r="A952" s="150" t="s">
        <v>7544</v>
      </c>
      <c r="B952">
        <v>85</v>
      </c>
      <c r="F952" t="s">
        <v>1645</v>
      </c>
      <c r="G952" t="s">
        <v>1441</v>
      </c>
      <c r="H952" s="68">
        <f t="shared" si="16"/>
        <v>4706.8125</v>
      </c>
      <c r="I952" s="7">
        <f>+SUMIF($F$7:$F$713,F952,$I$7:I$713)</f>
        <v>753.09</v>
      </c>
    </row>
    <row r="953" spans="1:12">
      <c r="H953" s="8"/>
      <c r="I953" s="8"/>
    </row>
    <row r="954" spans="1:12">
      <c r="H954" s="9">
        <f>SUM(H732:H953)</f>
        <v>37863673.71551723</v>
      </c>
      <c r="I954" s="9">
        <f>SUM(I732:I953)</f>
        <v>6058187.7944827555</v>
      </c>
      <c r="J954" s="7">
        <f>SUM(J732:J952)</f>
        <v>34304.870000000003</v>
      </c>
    </row>
    <row r="955" spans="1:12">
      <c r="H955" s="151">
        <f>+H716</f>
        <v>37863673.715517238</v>
      </c>
      <c r="I955" s="151">
        <f>+I716</f>
        <v>6058187.7944827657</v>
      </c>
    </row>
    <row r="956" spans="1:12">
      <c r="H956" s="10">
        <f>6905885.45-48248643.36</f>
        <v>-41342757.909999996</v>
      </c>
      <c r="I956" s="10">
        <f>+H956-I955</f>
        <v>-47400945.704482764</v>
      </c>
      <c r="J956" s="7" t="s">
        <v>960</v>
      </c>
    </row>
    <row r="957" spans="1:12" s="84" customFormat="1">
      <c r="A957" s="84" t="s">
        <v>6939</v>
      </c>
      <c r="B957" s="147">
        <v>42369</v>
      </c>
      <c r="C957" s="84" t="s">
        <v>6940</v>
      </c>
      <c r="D957" s="84">
        <v>1</v>
      </c>
      <c r="E957" s="84" t="s">
        <v>6941</v>
      </c>
      <c r="H957" s="148">
        <f t="shared" ref="H957:H962" si="17">+I957/0.16</f>
        <v>-296250894.625</v>
      </c>
      <c r="I957" s="148">
        <v>-47400143.140000001</v>
      </c>
      <c r="J957" s="148"/>
      <c r="K957" s="148"/>
    </row>
    <row r="958" spans="1:12" s="84" customFormat="1" ht="14.25" customHeight="1">
      <c r="A958" s="84" t="s">
        <v>6914</v>
      </c>
      <c r="B958" s="147">
        <v>42369</v>
      </c>
      <c r="C958" s="84" t="s">
        <v>4834</v>
      </c>
      <c r="D958" s="84">
        <v>1</v>
      </c>
      <c r="E958" s="84" t="s">
        <v>6915</v>
      </c>
      <c r="F958" s="84" t="s">
        <v>7333</v>
      </c>
      <c r="G958" s="84" t="s">
        <v>7334</v>
      </c>
      <c r="H958" s="148">
        <f t="shared" si="17"/>
        <v>-1406.875</v>
      </c>
      <c r="I958" s="148">
        <v>-225.1</v>
      </c>
      <c r="J958" s="148">
        <f>+K958/0.16</f>
        <v>-643.25</v>
      </c>
      <c r="K958" s="148">
        <v>-102.92</v>
      </c>
      <c r="L958" s="84" t="s">
        <v>7553</v>
      </c>
    </row>
    <row r="959" spans="1:12" s="84" customFormat="1">
      <c r="A959" s="84" t="s">
        <v>6931</v>
      </c>
      <c r="B959" s="147">
        <v>42369</v>
      </c>
      <c r="C959" s="84" t="s">
        <v>1522</v>
      </c>
      <c r="D959" s="84">
        <v>1</v>
      </c>
      <c r="E959" s="84" t="s">
        <v>1595</v>
      </c>
      <c r="F959" s="84" t="s">
        <v>1595</v>
      </c>
      <c r="G959" s="167" t="s">
        <v>7339</v>
      </c>
      <c r="H959" s="148">
        <f t="shared" si="17"/>
        <v>-210.3125</v>
      </c>
      <c r="I959" s="148">
        <v>-33.65</v>
      </c>
      <c r="J959" s="148" t="s">
        <v>7560</v>
      </c>
      <c r="K959" s="148"/>
    </row>
    <row r="960" spans="1:12" s="84" customFormat="1">
      <c r="A960" s="84" t="s">
        <v>4106</v>
      </c>
      <c r="B960" s="147">
        <v>42340</v>
      </c>
      <c r="C960" s="84" t="s">
        <v>6228</v>
      </c>
      <c r="D960" s="84">
        <v>1</v>
      </c>
      <c r="E960" s="84" t="s">
        <v>6944</v>
      </c>
      <c r="F960" s="104" t="s">
        <v>6246</v>
      </c>
      <c r="G960" s="112" t="s">
        <v>6944</v>
      </c>
      <c r="H960" s="148">
        <f t="shared" si="17"/>
        <v>-2132.3125</v>
      </c>
      <c r="I960" s="148">
        <v>-341.17</v>
      </c>
      <c r="J960" s="148" t="s">
        <v>7560</v>
      </c>
      <c r="K960" s="148"/>
    </row>
    <row r="961" spans="1:11" s="84" customFormat="1">
      <c r="A961" s="84" t="s">
        <v>6932</v>
      </c>
      <c r="B961" s="147">
        <v>42369</v>
      </c>
      <c r="C961" s="84" t="s">
        <v>1522</v>
      </c>
      <c r="D961" s="84">
        <v>1</v>
      </c>
      <c r="E961" s="84" t="s">
        <v>853</v>
      </c>
      <c r="F961" s="84" t="s">
        <v>853</v>
      </c>
      <c r="G961" s="84" t="s">
        <v>5751</v>
      </c>
      <c r="H961" s="148">
        <f t="shared" si="17"/>
        <v>-231</v>
      </c>
      <c r="I961" s="148">
        <v>-36.96</v>
      </c>
      <c r="J961" s="148" t="s">
        <v>7564</v>
      </c>
      <c r="K961" s="148"/>
    </row>
    <row r="962" spans="1:11" s="84" customFormat="1">
      <c r="A962" s="84" t="s">
        <v>6934</v>
      </c>
      <c r="B962" s="147">
        <v>42369</v>
      </c>
      <c r="C962" s="84" t="s">
        <v>1522</v>
      </c>
      <c r="D962" s="84">
        <v>1</v>
      </c>
      <c r="E962" s="84" t="s">
        <v>768</v>
      </c>
      <c r="F962" s="84" t="s">
        <v>768</v>
      </c>
      <c r="G962" s="167" t="s">
        <v>283</v>
      </c>
      <c r="H962" s="148">
        <f t="shared" si="17"/>
        <v>-1035.5</v>
      </c>
      <c r="I962" s="148">
        <v>-165.68</v>
      </c>
      <c r="J962" s="148" t="s">
        <v>7564</v>
      </c>
      <c r="K962" s="148"/>
    </row>
    <row r="963" spans="1:11">
      <c r="F963" s="11"/>
      <c r="I963" s="9">
        <f>+I962+I961+I960+I959+I958+I957+I955</f>
        <v>-41342757.905517235</v>
      </c>
      <c r="J963" s="175">
        <f>+I962+I961+I960+I959+I958+I957</f>
        <v>-47400945.700000003</v>
      </c>
    </row>
  </sheetData>
  <autoFilter ref="A6:L713"/>
  <sortState ref="A1:L544">
    <sortCondition ref="E1:E544"/>
  </sortState>
  <conditionalFormatting sqref="F549 F150:F167 F234 F259:F262 F265 F314 F318 F554:F555 F561 F565 F568 F572 F574 F579 F581 F584 F588 F601 F614 F618 F627 F631 F636 F641 F645 F648 F653 F658 F668 F673 F686 F690 F705 F711">
    <cfRule type="duplicateValues" dxfId="4" priority="10"/>
  </conditionalFormatting>
  <conditionalFormatting sqref="F285 F62 F337">
    <cfRule type="duplicateValues" dxfId="3" priority="9"/>
  </conditionalFormatting>
  <conditionalFormatting sqref="F952 F766:F771 F807 F810 F923 F925 F930 F932 F935">
    <cfRule type="duplicateValues" dxfId="2" priority="3"/>
  </conditionalFormatting>
  <conditionalFormatting sqref="F820">
    <cfRule type="duplicateValues" dxfId="1" priority="2"/>
  </conditionalFormatting>
  <conditionalFormatting sqref="F732:G952">
    <cfRule type="duplicateValues" dxfId="0" priority="96"/>
  </conditionalFormatting>
  <pageMargins left="0.70866141732283472" right="0.70866141732283472" top="0.74803149606299213" bottom="0.74803149606299213" header="0.31496062992125984" footer="0.31496062992125984"/>
  <pageSetup paperSize="9" scale="16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72"/>
  <sheetViews>
    <sheetView topLeftCell="A549" zoomScaleNormal="100" workbookViewId="0">
      <selection activeCell="A391" sqref="A391:M573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5703125" bestFit="1" customWidth="1"/>
    <col min="4" max="4" width="2" bestFit="1" customWidth="1"/>
    <col min="5" max="5" width="38.85546875" bestFit="1" customWidth="1"/>
    <col min="6" max="6" width="16.5703125" customWidth="1"/>
    <col min="7" max="7" width="13.5703125" customWidth="1"/>
    <col min="8" max="8" width="14.140625" style="7" bestFit="1" customWidth="1"/>
    <col min="9" max="9" width="13.140625" style="7" bestFit="1" customWidth="1"/>
    <col min="10" max="10" width="18" style="7" bestFit="1" customWidth="1"/>
  </cols>
  <sheetData>
    <row r="1" spans="1:9">
      <c r="A1" t="s">
        <v>684</v>
      </c>
    </row>
    <row r="2" spans="1:9">
      <c r="A2" t="s">
        <v>1527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595</v>
      </c>
      <c r="B7" s="1">
        <v>42048</v>
      </c>
      <c r="C7" t="s">
        <v>1513</v>
      </c>
      <c r="D7">
        <v>1</v>
      </c>
      <c r="E7" t="s">
        <v>1514</v>
      </c>
      <c r="F7" t="s">
        <v>1528</v>
      </c>
      <c r="G7" t="s">
        <v>1514</v>
      </c>
      <c r="H7" s="7">
        <f t="shared" ref="H7:H20" si="0">+I7/0.16</f>
        <v>7350</v>
      </c>
      <c r="I7" s="2">
        <v>1176</v>
      </c>
    </row>
    <row r="8" spans="1:9">
      <c r="A8" t="s">
        <v>1191</v>
      </c>
      <c r="B8" s="1">
        <v>42063</v>
      </c>
      <c r="C8">
        <v>11464</v>
      </c>
      <c r="D8">
        <v>1</v>
      </c>
      <c r="E8" t="s">
        <v>1192</v>
      </c>
      <c r="F8" t="s">
        <v>1529</v>
      </c>
      <c r="G8" t="s">
        <v>1192</v>
      </c>
      <c r="H8" s="7">
        <f t="shared" si="0"/>
        <v>471.0625</v>
      </c>
      <c r="I8">
        <v>75.37</v>
      </c>
    </row>
    <row r="9" spans="1:9">
      <c r="A9" t="s">
        <v>983</v>
      </c>
      <c r="B9" s="1">
        <v>42041</v>
      </c>
      <c r="C9" t="s">
        <v>984</v>
      </c>
      <c r="D9">
        <v>1</v>
      </c>
      <c r="E9" t="s">
        <v>985</v>
      </c>
      <c r="F9" s="16" t="s">
        <v>698</v>
      </c>
      <c r="G9" s="17" t="s">
        <v>699</v>
      </c>
      <c r="H9" s="7">
        <f t="shared" si="0"/>
        <v>401619</v>
      </c>
      <c r="I9" s="2">
        <v>64259.040000000001</v>
      </c>
    </row>
    <row r="10" spans="1:9">
      <c r="A10" t="s">
        <v>1168</v>
      </c>
      <c r="B10" s="1">
        <v>42063</v>
      </c>
      <c r="C10">
        <v>141433</v>
      </c>
      <c r="D10">
        <v>1</v>
      </c>
      <c r="E10" t="s">
        <v>301</v>
      </c>
      <c r="F10" t="s">
        <v>700</v>
      </c>
      <c r="G10" t="s">
        <v>301</v>
      </c>
      <c r="H10" s="7">
        <f t="shared" si="0"/>
        <v>269</v>
      </c>
      <c r="I10">
        <v>43.04</v>
      </c>
    </row>
    <row r="11" spans="1:9">
      <c r="A11" t="s">
        <v>1268</v>
      </c>
      <c r="B11" s="1">
        <v>42063</v>
      </c>
      <c r="C11">
        <v>11505</v>
      </c>
      <c r="D11">
        <v>1</v>
      </c>
      <c r="E11" t="s">
        <v>273</v>
      </c>
      <c r="F11" t="s">
        <v>703</v>
      </c>
      <c r="G11" t="s">
        <v>273</v>
      </c>
      <c r="H11" s="7">
        <f t="shared" si="0"/>
        <v>39.625</v>
      </c>
      <c r="I11">
        <v>6.34</v>
      </c>
    </row>
    <row r="12" spans="1:9">
      <c r="A12" t="s">
        <v>1145</v>
      </c>
      <c r="B12" s="1">
        <v>42063</v>
      </c>
      <c r="C12" t="s">
        <v>1146</v>
      </c>
      <c r="D12">
        <v>1</v>
      </c>
      <c r="E12" t="s">
        <v>237</v>
      </c>
      <c r="F12" t="s">
        <v>704</v>
      </c>
      <c r="G12" t="s">
        <v>237</v>
      </c>
      <c r="H12" s="7">
        <f t="shared" si="0"/>
        <v>215.49999999999997</v>
      </c>
      <c r="I12">
        <v>34.479999999999997</v>
      </c>
    </row>
    <row r="13" spans="1:9">
      <c r="A13" t="s">
        <v>1110</v>
      </c>
      <c r="B13" s="1">
        <v>42061</v>
      </c>
      <c r="C13" t="s">
        <v>1111</v>
      </c>
      <c r="D13">
        <v>1</v>
      </c>
      <c r="E13" t="s">
        <v>1112</v>
      </c>
      <c r="F13" t="s">
        <v>1530</v>
      </c>
      <c r="G13" s="19" t="s">
        <v>1531</v>
      </c>
      <c r="H13" s="7">
        <f t="shared" si="0"/>
        <v>443904.93749999994</v>
      </c>
      <c r="I13" s="2">
        <v>71024.789999999994</v>
      </c>
    </row>
    <row r="14" spans="1:9">
      <c r="A14" t="s">
        <v>1149</v>
      </c>
      <c r="B14" s="1">
        <v>42063</v>
      </c>
      <c r="C14" t="s">
        <v>1150</v>
      </c>
      <c r="D14">
        <v>1</v>
      </c>
      <c r="E14" t="s">
        <v>317</v>
      </c>
      <c r="F14" t="s">
        <v>711</v>
      </c>
      <c r="G14" t="s">
        <v>317</v>
      </c>
      <c r="H14" s="7">
        <f t="shared" si="0"/>
        <v>241.0625</v>
      </c>
      <c r="I14">
        <v>38.57</v>
      </c>
    </row>
    <row r="15" spans="1:9">
      <c r="A15" t="s">
        <v>1521</v>
      </c>
      <c r="B15" s="1">
        <v>42063</v>
      </c>
      <c r="C15" t="s">
        <v>1522</v>
      </c>
      <c r="D15">
        <v>1</v>
      </c>
      <c r="E15" t="s">
        <v>1523</v>
      </c>
      <c r="F15" t="s">
        <v>737</v>
      </c>
      <c r="G15" t="s">
        <v>738</v>
      </c>
      <c r="H15" s="7">
        <f t="shared" si="0"/>
        <v>-1785</v>
      </c>
      <c r="I15">
        <v>-285.60000000000002</v>
      </c>
    </row>
    <row r="16" spans="1:9">
      <c r="A16" t="s">
        <v>1137</v>
      </c>
      <c r="B16" s="1">
        <v>42042</v>
      </c>
      <c r="C16">
        <v>543</v>
      </c>
      <c r="D16">
        <v>1</v>
      </c>
      <c r="E16" t="s">
        <v>1138</v>
      </c>
      <c r="F16" t="s">
        <v>1589</v>
      </c>
      <c r="G16" t="s">
        <v>1341</v>
      </c>
      <c r="H16" s="7">
        <f t="shared" si="0"/>
        <v>-109058.8125</v>
      </c>
      <c r="I16">
        <v>-17449.41</v>
      </c>
    </row>
    <row r="17" spans="1:11">
      <c r="A17" t="s">
        <v>194</v>
      </c>
      <c r="B17" s="1">
        <v>42063</v>
      </c>
      <c r="C17">
        <v>11470</v>
      </c>
      <c r="D17">
        <v>1</v>
      </c>
      <c r="E17" t="s">
        <v>1234</v>
      </c>
      <c r="F17" t="s">
        <v>1532</v>
      </c>
      <c r="G17" t="s">
        <v>1234</v>
      </c>
      <c r="H17" s="7">
        <f t="shared" si="0"/>
        <v>150</v>
      </c>
      <c r="I17">
        <v>24</v>
      </c>
    </row>
    <row r="18" spans="1:11">
      <c r="A18" t="s">
        <v>602</v>
      </c>
      <c r="B18" s="1">
        <v>42054</v>
      </c>
      <c r="C18" t="s">
        <v>1517</v>
      </c>
      <c r="D18">
        <v>1</v>
      </c>
      <c r="E18" t="s">
        <v>1518</v>
      </c>
      <c r="F18" s="16" t="s">
        <v>1533</v>
      </c>
      <c r="G18" t="s">
        <v>1518</v>
      </c>
      <c r="H18" s="7">
        <f t="shared" si="0"/>
        <v>3600</v>
      </c>
      <c r="I18">
        <v>576</v>
      </c>
    </row>
    <row r="19" spans="1:11">
      <c r="A19" t="s">
        <v>1383</v>
      </c>
      <c r="B19" s="1">
        <v>42056</v>
      </c>
      <c r="C19" t="s">
        <v>1384</v>
      </c>
      <c r="D19">
        <v>1</v>
      </c>
      <c r="E19" t="s">
        <v>485</v>
      </c>
      <c r="F19" s="16" t="s">
        <v>713</v>
      </c>
      <c r="G19" t="s">
        <v>485</v>
      </c>
      <c r="H19" s="7">
        <f t="shared" si="0"/>
        <v>17241.375</v>
      </c>
      <c r="I19" s="2">
        <v>2758.62</v>
      </c>
    </row>
    <row r="20" spans="1:11">
      <c r="A20" t="s">
        <v>1379</v>
      </c>
      <c r="B20" s="1">
        <v>42056</v>
      </c>
      <c r="C20" t="s">
        <v>1380</v>
      </c>
      <c r="D20">
        <v>1</v>
      </c>
      <c r="E20" t="s">
        <v>485</v>
      </c>
      <c r="F20" s="16" t="s">
        <v>713</v>
      </c>
      <c r="G20" t="s">
        <v>485</v>
      </c>
      <c r="H20" s="7">
        <f t="shared" si="0"/>
        <v>12931.062499999998</v>
      </c>
      <c r="I20" s="2">
        <v>2068.9699999999998</v>
      </c>
    </row>
    <row r="21" spans="1:11">
      <c r="A21" t="s">
        <v>1141</v>
      </c>
      <c r="B21" s="1">
        <v>42063</v>
      </c>
      <c r="C21" t="s">
        <v>139</v>
      </c>
      <c r="D21">
        <v>1</v>
      </c>
      <c r="E21" t="s">
        <v>225</v>
      </c>
      <c r="F21" t="s">
        <v>1534</v>
      </c>
      <c r="G21" t="s">
        <v>1535</v>
      </c>
      <c r="H21" s="2">
        <f t="shared" ref="H21:H47" si="1">I21/0.16</f>
        <v>64.6875</v>
      </c>
      <c r="I21" s="2">
        <v>10.35</v>
      </c>
    </row>
    <row r="22" spans="1:11">
      <c r="A22" t="s">
        <v>1141</v>
      </c>
      <c r="B22" s="1">
        <v>42063</v>
      </c>
      <c r="C22" t="s">
        <v>139</v>
      </c>
      <c r="D22">
        <v>1</v>
      </c>
      <c r="E22" t="s">
        <v>225</v>
      </c>
      <c r="F22" t="s">
        <v>716</v>
      </c>
      <c r="G22" t="s">
        <v>717</v>
      </c>
      <c r="H22" s="2">
        <f t="shared" si="1"/>
        <v>2362.5</v>
      </c>
      <c r="I22" s="2">
        <v>378</v>
      </c>
    </row>
    <row r="23" spans="1:11">
      <c r="A23" t="s">
        <v>1141</v>
      </c>
      <c r="B23" s="1">
        <v>42063</v>
      </c>
      <c r="C23" t="s">
        <v>139</v>
      </c>
      <c r="D23">
        <v>1</v>
      </c>
      <c r="E23" t="s">
        <v>225</v>
      </c>
      <c r="F23" t="s">
        <v>714</v>
      </c>
      <c r="G23" t="s">
        <v>715</v>
      </c>
      <c r="H23" s="2">
        <f t="shared" si="1"/>
        <v>571.5625</v>
      </c>
      <c r="I23" s="2">
        <v>91.45</v>
      </c>
    </row>
    <row r="24" spans="1:11">
      <c r="A24" t="s">
        <v>1141</v>
      </c>
      <c r="B24" s="1">
        <v>42063</v>
      </c>
      <c r="C24" t="s">
        <v>139</v>
      </c>
      <c r="D24">
        <v>1</v>
      </c>
      <c r="E24" t="s">
        <v>225</v>
      </c>
      <c r="F24" t="s">
        <v>1536</v>
      </c>
      <c r="G24" t="s">
        <v>1537</v>
      </c>
      <c r="H24" s="2">
        <f t="shared" si="1"/>
        <v>144.8125</v>
      </c>
      <c r="I24" s="2">
        <v>23.17</v>
      </c>
    </row>
    <row r="25" spans="1:11">
      <c r="A25" t="s">
        <v>1141</v>
      </c>
      <c r="B25" s="1">
        <v>42063</v>
      </c>
      <c r="C25" t="s">
        <v>139</v>
      </c>
      <c r="D25">
        <v>1</v>
      </c>
      <c r="E25" t="s">
        <v>225</v>
      </c>
      <c r="F25" t="s">
        <v>1538</v>
      </c>
      <c r="G25" t="s">
        <v>1539</v>
      </c>
      <c r="H25" s="2">
        <f t="shared" si="1"/>
        <v>85.375</v>
      </c>
      <c r="I25" s="2">
        <v>13.66</v>
      </c>
      <c r="J25" s="7">
        <f>3228.94-H21-H22-H23-H24-H25</f>
        <v>2.5000000000545697E-3</v>
      </c>
      <c r="K25" s="2">
        <f>516.63-I21-I22-I23-I24-I25</f>
        <v>-3.1974423109204508E-14</v>
      </c>
    </row>
    <row r="26" spans="1:11">
      <c r="A26" t="s">
        <v>1139</v>
      </c>
      <c r="B26" s="1">
        <v>42063</v>
      </c>
      <c r="C26" t="s">
        <v>139</v>
      </c>
      <c r="D26">
        <v>1</v>
      </c>
      <c r="E26" t="s">
        <v>1140</v>
      </c>
      <c r="F26" t="s">
        <v>714</v>
      </c>
      <c r="G26" t="s">
        <v>715</v>
      </c>
      <c r="H26" s="2">
        <f t="shared" si="1"/>
        <v>601.75</v>
      </c>
      <c r="I26" s="2">
        <v>96.28</v>
      </c>
    </row>
    <row r="27" spans="1:11">
      <c r="A27" t="s">
        <v>1139</v>
      </c>
      <c r="B27" s="1">
        <v>42063</v>
      </c>
      <c r="C27" t="s">
        <v>139</v>
      </c>
      <c r="D27">
        <v>1</v>
      </c>
      <c r="E27" t="s">
        <v>1140</v>
      </c>
      <c r="F27" t="s">
        <v>788</v>
      </c>
      <c r="G27" t="s">
        <v>789</v>
      </c>
      <c r="H27" s="2">
        <f t="shared" si="1"/>
        <v>123.24999999999999</v>
      </c>
      <c r="I27" s="2">
        <v>19.72</v>
      </c>
    </row>
    <row r="28" spans="1:11">
      <c r="A28" t="s">
        <v>1139</v>
      </c>
      <c r="B28" s="1">
        <v>42063</v>
      </c>
      <c r="C28" t="s">
        <v>139</v>
      </c>
      <c r="D28">
        <v>1</v>
      </c>
      <c r="E28" t="s">
        <v>1140</v>
      </c>
      <c r="F28" t="s">
        <v>1540</v>
      </c>
      <c r="G28" t="s">
        <v>1541</v>
      </c>
      <c r="H28" s="2">
        <f t="shared" si="1"/>
        <v>116.375</v>
      </c>
      <c r="I28" s="2">
        <v>18.62</v>
      </c>
    </row>
    <row r="29" spans="1:11">
      <c r="A29" t="s">
        <v>1139</v>
      </c>
      <c r="B29" s="1">
        <v>42063</v>
      </c>
      <c r="C29" t="s">
        <v>139</v>
      </c>
      <c r="D29">
        <v>1</v>
      </c>
      <c r="E29" t="s">
        <v>1140</v>
      </c>
      <c r="F29" t="s">
        <v>786</v>
      </c>
      <c r="G29" t="s">
        <v>787</v>
      </c>
      <c r="H29" s="2">
        <f t="shared" si="1"/>
        <v>74.125</v>
      </c>
      <c r="I29" s="2">
        <v>11.86</v>
      </c>
    </row>
    <row r="30" spans="1:11">
      <c r="A30" t="s">
        <v>1139</v>
      </c>
      <c r="B30" s="1">
        <v>42063</v>
      </c>
      <c r="C30" t="s">
        <v>139</v>
      </c>
      <c r="D30">
        <v>1</v>
      </c>
      <c r="E30" t="s">
        <v>1140</v>
      </c>
      <c r="F30" t="s">
        <v>1534</v>
      </c>
      <c r="G30" t="s">
        <v>1535</v>
      </c>
      <c r="H30" s="2">
        <f t="shared" si="1"/>
        <v>102.5625</v>
      </c>
      <c r="I30" s="2">
        <v>16.41</v>
      </c>
    </row>
    <row r="31" spans="1:11">
      <c r="A31" t="s">
        <v>1139</v>
      </c>
      <c r="B31" s="1">
        <v>42063</v>
      </c>
      <c r="C31" t="s">
        <v>139</v>
      </c>
      <c r="D31">
        <v>1</v>
      </c>
      <c r="E31" t="s">
        <v>1140</v>
      </c>
      <c r="F31" t="s">
        <v>716</v>
      </c>
      <c r="G31" t="s">
        <v>717</v>
      </c>
      <c r="H31" s="2">
        <f t="shared" si="1"/>
        <v>2362.5</v>
      </c>
      <c r="I31" s="2">
        <v>378</v>
      </c>
      <c r="J31" s="7">
        <f>3380.56-H26-H27-H28-H29-H30-H31</f>
        <v>-2.5000000000545697E-3</v>
      </c>
      <c r="K31" s="2">
        <f>540.89-I26-I27-I28-I29-I30-I31</f>
        <v>0</v>
      </c>
    </row>
    <row r="32" spans="1:11">
      <c r="A32" t="s">
        <v>1094</v>
      </c>
      <c r="B32" s="1">
        <v>42060</v>
      </c>
      <c r="C32" t="s">
        <v>139</v>
      </c>
      <c r="D32">
        <v>1</v>
      </c>
      <c r="E32" t="s">
        <v>1095</v>
      </c>
      <c r="F32" t="s">
        <v>788</v>
      </c>
      <c r="G32" t="s">
        <v>789</v>
      </c>
      <c r="H32" s="2">
        <f t="shared" si="1"/>
        <v>144</v>
      </c>
      <c r="I32" s="2">
        <v>23.04</v>
      </c>
    </row>
    <row r="33" spans="1:11">
      <c r="A33" t="s">
        <v>1094</v>
      </c>
      <c r="B33" s="1">
        <v>42060</v>
      </c>
      <c r="C33" t="s">
        <v>139</v>
      </c>
      <c r="D33">
        <v>1</v>
      </c>
      <c r="E33" t="s">
        <v>1095</v>
      </c>
      <c r="F33" t="s">
        <v>1542</v>
      </c>
      <c r="G33" t="s">
        <v>1542</v>
      </c>
      <c r="H33" s="2">
        <f t="shared" si="1"/>
        <v>150.875</v>
      </c>
      <c r="I33" s="2">
        <v>24.14</v>
      </c>
    </row>
    <row r="34" spans="1:11">
      <c r="A34" t="s">
        <v>1094</v>
      </c>
      <c r="B34" s="1">
        <v>42060</v>
      </c>
      <c r="C34" t="s">
        <v>139</v>
      </c>
      <c r="D34">
        <v>1</v>
      </c>
      <c r="E34" t="s">
        <v>1095</v>
      </c>
      <c r="F34" t="s">
        <v>1543</v>
      </c>
      <c r="G34" t="s">
        <v>1544</v>
      </c>
      <c r="H34" s="2">
        <f t="shared" si="1"/>
        <v>172.4375</v>
      </c>
      <c r="I34" s="2">
        <v>27.59</v>
      </c>
    </row>
    <row r="35" spans="1:11">
      <c r="A35" t="s">
        <v>1094</v>
      </c>
      <c r="B35" s="1">
        <v>42060</v>
      </c>
      <c r="C35" t="s">
        <v>139</v>
      </c>
      <c r="D35">
        <v>1</v>
      </c>
      <c r="E35" t="s">
        <v>1095</v>
      </c>
      <c r="F35" t="s">
        <v>1545</v>
      </c>
      <c r="G35" t="s">
        <v>1546</v>
      </c>
      <c r="H35" s="2">
        <f t="shared" si="1"/>
        <v>511.625</v>
      </c>
      <c r="I35" s="2">
        <v>81.86</v>
      </c>
    </row>
    <row r="36" spans="1:11">
      <c r="A36" t="s">
        <v>1094</v>
      </c>
      <c r="B36" s="1">
        <v>42060</v>
      </c>
      <c r="C36" t="s">
        <v>139</v>
      </c>
      <c r="D36">
        <v>1</v>
      </c>
      <c r="E36" t="s">
        <v>1095</v>
      </c>
      <c r="F36" t="s">
        <v>1547</v>
      </c>
      <c r="G36" t="s">
        <v>1548</v>
      </c>
      <c r="H36" s="2">
        <f t="shared" si="1"/>
        <v>167.75</v>
      </c>
      <c r="I36" s="2">
        <v>26.84</v>
      </c>
    </row>
    <row r="37" spans="1:11">
      <c r="A37" t="s">
        <v>1094</v>
      </c>
      <c r="B37" s="1">
        <v>42060</v>
      </c>
      <c r="C37" t="s">
        <v>139</v>
      </c>
      <c r="D37">
        <v>1</v>
      </c>
      <c r="E37" t="s">
        <v>1095</v>
      </c>
      <c r="F37" t="s">
        <v>716</v>
      </c>
      <c r="G37" t="s">
        <v>717</v>
      </c>
      <c r="H37" s="2">
        <f t="shared" si="1"/>
        <v>1771.875</v>
      </c>
      <c r="I37" s="2">
        <v>283.5</v>
      </c>
      <c r="J37" s="7">
        <f>2918.56-H32-H33-H34-H35-H36-H37</f>
        <v>-2.5000000000545697E-3</v>
      </c>
      <c r="K37" s="2">
        <f>466.97-I32-I33-I34-I35-I36-I37</f>
        <v>0</v>
      </c>
    </row>
    <row r="38" spans="1:11">
      <c r="A38" t="s">
        <v>1142</v>
      </c>
      <c r="B38" s="1">
        <v>42063</v>
      </c>
      <c r="C38" t="s">
        <v>1143</v>
      </c>
      <c r="D38">
        <v>1</v>
      </c>
      <c r="E38" t="s">
        <v>1144</v>
      </c>
      <c r="F38" t="s">
        <v>1547</v>
      </c>
      <c r="G38" t="s">
        <v>1548</v>
      </c>
      <c r="H38" s="2">
        <f t="shared" si="1"/>
        <v>335.5</v>
      </c>
      <c r="I38" s="2">
        <v>53.68</v>
      </c>
    </row>
    <row r="39" spans="1:11">
      <c r="A39" t="s">
        <v>1142</v>
      </c>
      <c r="B39" s="1">
        <v>42063</v>
      </c>
      <c r="C39" t="s">
        <v>1143</v>
      </c>
      <c r="D39">
        <v>1</v>
      </c>
      <c r="E39" t="s">
        <v>1144</v>
      </c>
      <c r="F39" t="s">
        <v>788</v>
      </c>
      <c r="G39" t="s">
        <v>789</v>
      </c>
      <c r="H39" s="2">
        <f t="shared" si="1"/>
        <v>107.74999999999999</v>
      </c>
      <c r="I39" s="2">
        <v>17.239999999999998</v>
      </c>
    </row>
    <row r="40" spans="1:11">
      <c r="A40" t="s">
        <v>1142</v>
      </c>
      <c r="B40" s="1">
        <v>42063</v>
      </c>
      <c r="C40" t="s">
        <v>1143</v>
      </c>
      <c r="D40">
        <v>1</v>
      </c>
      <c r="E40" t="s">
        <v>1144</v>
      </c>
      <c r="F40" t="s">
        <v>1549</v>
      </c>
      <c r="G40" t="s">
        <v>1550</v>
      </c>
      <c r="H40" s="2">
        <f t="shared" si="1"/>
        <v>138.8125</v>
      </c>
      <c r="I40" s="2">
        <v>22.21</v>
      </c>
    </row>
    <row r="41" spans="1:11">
      <c r="A41" t="s">
        <v>1142</v>
      </c>
      <c r="B41" s="1">
        <v>42063</v>
      </c>
      <c r="C41" t="s">
        <v>1143</v>
      </c>
      <c r="D41">
        <v>1</v>
      </c>
      <c r="E41" t="s">
        <v>1144</v>
      </c>
      <c r="F41" t="s">
        <v>788</v>
      </c>
      <c r="G41" t="s">
        <v>789</v>
      </c>
      <c r="H41" s="2">
        <f t="shared" si="1"/>
        <v>71.5625</v>
      </c>
      <c r="I41" s="2">
        <v>11.45</v>
      </c>
    </row>
    <row r="42" spans="1:11">
      <c r="A42" t="s">
        <v>1142</v>
      </c>
      <c r="B42" s="1">
        <v>42063</v>
      </c>
      <c r="C42" t="s">
        <v>1143</v>
      </c>
      <c r="D42">
        <v>1</v>
      </c>
      <c r="E42" t="s">
        <v>1144</v>
      </c>
      <c r="F42" t="s">
        <v>1549</v>
      </c>
      <c r="G42" t="s">
        <v>1550</v>
      </c>
      <c r="H42" s="2">
        <f t="shared" si="1"/>
        <v>116.375</v>
      </c>
      <c r="I42" s="2">
        <v>18.62</v>
      </c>
    </row>
    <row r="43" spans="1:11">
      <c r="A43" t="s">
        <v>1142</v>
      </c>
      <c r="B43" s="1">
        <v>42063</v>
      </c>
      <c r="C43" t="s">
        <v>1143</v>
      </c>
      <c r="D43">
        <v>1</v>
      </c>
      <c r="E43" t="s">
        <v>1144</v>
      </c>
      <c r="F43" t="s">
        <v>788</v>
      </c>
      <c r="G43" t="s">
        <v>789</v>
      </c>
      <c r="H43" s="2">
        <f t="shared" si="1"/>
        <v>148.25</v>
      </c>
      <c r="I43" s="2">
        <v>23.72</v>
      </c>
    </row>
    <row r="44" spans="1:11">
      <c r="A44" t="s">
        <v>1142</v>
      </c>
      <c r="B44" s="1">
        <v>42063</v>
      </c>
      <c r="C44" t="s">
        <v>1143</v>
      </c>
      <c r="D44">
        <v>1</v>
      </c>
      <c r="E44" t="s">
        <v>1144</v>
      </c>
      <c r="F44" t="s">
        <v>1549</v>
      </c>
      <c r="G44" t="s">
        <v>1550</v>
      </c>
      <c r="H44" s="2">
        <f t="shared" si="1"/>
        <v>148.25</v>
      </c>
      <c r="I44" s="2">
        <v>23.72</v>
      </c>
    </row>
    <row r="45" spans="1:11">
      <c r="A45" t="s">
        <v>1142</v>
      </c>
      <c r="B45" s="1">
        <v>42063</v>
      </c>
      <c r="C45" t="s">
        <v>1143</v>
      </c>
      <c r="D45">
        <v>1</v>
      </c>
      <c r="E45" t="s">
        <v>1144</v>
      </c>
      <c r="F45" t="s">
        <v>788</v>
      </c>
      <c r="G45" t="s">
        <v>789</v>
      </c>
      <c r="H45" s="2">
        <f t="shared" si="1"/>
        <v>131.875</v>
      </c>
      <c r="I45" s="2">
        <v>21.1</v>
      </c>
    </row>
    <row r="46" spans="1:11">
      <c r="A46" t="s">
        <v>1142</v>
      </c>
      <c r="B46" s="1">
        <v>42063</v>
      </c>
      <c r="C46" t="s">
        <v>1143</v>
      </c>
      <c r="D46">
        <v>1</v>
      </c>
      <c r="E46" t="s">
        <v>1144</v>
      </c>
      <c r="F46" t="s">
        <v>1547</v>
      </c>
      <c r="G46" t="s">
        <v>1548</v>
      </c>
      <c r="H46" s="2">
        <f t="shared" si="1"/>
        <v>125.81249999999999</v>
      </c>
      <c r="I46" s="2">
        <v>20.13</v>
      </c>
    </row>
    <row r="47" spans="1:11">
      <c r="A47" t="s">
        <v>1142</v>
      </c>
      <c r="B47" s="1">
        <v>42063</v>
      </c>
      <c r="C47" t="s">
        <v>1143</v>
      </c>
      <c r="D47">
        <v>1</v>
      </c>
      <c r="E47" t="s">
        <v>1144</v>
      </c>
      <c r="F47" t="s">
        <v>716</v>
      </c>
      <c r="G47" t="s">
        <v>717</v>
      </c>
      <c r="H47" s="2">
        <f t="shared" si="1"/>
        <v>2362.5</v>
      </c>
      <c r="I47" s="2">
        <v>378</v>
      </c>
      <c r="J47" s="7">
        <f>3686.69-H38-H39-H40-H41-H42-H43-H44-H45-H46-H47</f>
        <v>2.5000000000545697E-3</v>
      </c>
      <c r="K47" s="2">
        <f>589.87-I38-I39-I40-I41-I42-I43-I44-I45-I46-I47</f>
        <v>0</v>
      </c>
    </row>
    <row r="48" spans="1:11">
      <c r="A48" t="s">
        <v>594</v>
      </c>
      <c r="B48" s="1">
        <v>42048</v>
      </c>
      <c r="C48" t="s">
        <v>1513</v>
      </c>
      <c r="D48">
        <v>1</v>
      </c>
      <c r="E48" t="s">
        <v>660</v>
      </c>
      <c r="F48" s="42" t="s">
        <v>720</v>
      </c>
      <c r="G48" t="s">
        <v>660</v>
      </c>
      <c r="H48" s="7">
        <f t="shared" ref="H48:H79" si="2">+I48/0.16</f>
        <v>1222.875</v>
      </c>
      <c r="I48">
        <v>195.66</v>
      </c>
    </row>
    <row r="49" spans="1:10">
      <c r="A49" t="s">
        <v>1247</v>
      </c>
      <c r="B49" s="1">
        <v>42063</v>
      </c>
      <c r="C49">
        <v>11475</v>
      </c>
      <c r="D49">
        <v>1</v>
      </c>
      <c r="E49" t="s">
        <v>1248</v>
      </c>
      <c r="F49" t="s">
        <v>722</v>
      </c>
      <c r="G49" t="s">
        <v>723</v>
      </c>
      <c r="H49" s="7">
        <f t="shared" si="2"/>
        <v>826.1875</v>
      </c>
      <c r="I49">
        <v>132.19</v>
      </c>
    </row>
    <row r="50" spans="1:10">
      <c r="A50" t="s">
        <v>1251</v>
      </c>
      <c r="B50" s="1">
        <v>42063</v>
      </c>
      <c r="C50">
        <v>11478</v>
      </c>
      <c r="D50">
        <v>1</v>
      </c>
      <c r="E50" t="s">
        <v>306</v>
      </c>
      <c r="F50" t="s">
        <v>722</v>
      </c>
      <c r="G50" t="s">
        <v>723</v>
      </c>
      <c r="H50" s="7">
        <f t="shared" si="2"/>
        <v>381.125</v>
      </c>
      <c r="I50">
        <v>60.98</v>
      </c>
    </row>
    <row r="51" spans="1:10">
      <c r="A51" t="s">
        <v>1120</v>
      </c>
      <c r="B51" s="1">
        <v>42062</v>
      </c>
      <c r="C51" t="s">
        <v>1121</v>
      </c>
      <c r="D51">
        <v>1</v>
      </c>
      <c r="E51" t="s">
        <v>1122</v>
      </c>
      <c r="F51" s="20" t="s">
        <v>724</v>
      </c>
      <c r="G51" s="17" t="s">
        <v>725</v>
      </c>
      <c r="H51" s="7">
        <f t="shared" si="2"/>
        <v>217060.9375</v>
      </c>
      <c r="I51" s="2">
        <v>34729.75</v>
      </c>
    </row>
    <row r="52" spans="1:10">
      <c r="A52" t="s">
        <v>1042</v>
      </c>
      <c r="B52" s="1">
        <v>42054</v>
      </c>
      <c r="C52" t="s">
        <v>1043</v>
      </c>
      <c r="D52">
        <v>1</v>
      </c>
      <c r="E52" t="s">
        <v>1044</v>
      </c>
      <c r="F52" t="s">
        <v>729</v>
      </c>
      <c r="G52" t="s">
        <v>653</v>
      </c>
      <c r="H52" s="7">
        <f t="shared" si="2"/>
        <v>299607.75</v>
      </c>
      <c r="I52" s="2">
        <f>48162.34-225.1</f>
        <v>47937.24</v>
      </c>
      <c r="J52" s="7" t="s">
        <v>7552</v>
      </c>
    </row>
    <row r="53" spans="1:10">
      <c r="A53" t="s">
        <v>1434</v>
      </c>
      <c r="B53" s="1">
        <v>42041</v>
      </c>
      <c r="C53" t="s">
        <v>1435</v>
      </c>
      <c r="D53">
        <v>1</v>
      </c>
      <c r="E53" t="s">
        <v>1436</v>
      </c>
      <c r="F53" t="s">
        <v>1551</v>
      </c>
      <c r="G53" t="s">
        <v>1436</v>
      </c>
      <c r="H53" s="7">
        <f t="shared" si="2"/>
        <v>2013.3125</v>
      </c>
      <c r="I53">
        <v>322.13</v>
      </c>
    </row>
    <row r="54" spans="1:10">
      <c r="A54" t="s">
        <v>1477</v>
      </c>
      <c r="B54" s="1">
        <v>42062</v>
      </c>
      <c r="C54" t="s">
        <v>1478</v>
      </c>
      <c r="D54">
        <v>1</v>
      </c>
      <c r="E54" t="s">
        <v>1436</v>
      </c>
      <c r="F54" t="s">
        <v>1551</v>
      </c>
      <c r="G54" t="s">
        <v>1436</v>
      </c>
      <c r="H54" s="7">
        <f t="shared" si="2"/>
        <v>1163.25</v>
      </c>
      <c r="I54">
        <v>186.12</v>
      </c>
    </row>
    <row r="55" spans="1:10">
      <c r="A55" t="s">
        <v>1345</v>
      </c>
      <c r="B55" s="1">
        <v>42044</v>
      </c>
      <c r="C55" t="s">
        <v>1346</v>
      </c>
      <c r="D55">
        <v>2</v>
      </c>
      <c r="E55" t="s">
        <v>476</v>
      </c>
      <c r="F55" t="s">
        <v>730</v>
      </c>
      <c r="G55" t="s">
        <v>476</v>
      </c>
      <c r="H55" s="7">
        <f t="shared" si="2"/>
        <v>2069</v>
      </c>
      <c r="I55">
        <v>331.04</v>
      </c>
    </row>
    <row r="56" spans="1:10">
      <c r="A56" t="s">
        <v>565</v>
      </c>
      <c r="B56" s="1">
        <v>42048</v>
      </c>
      <c r="C56" t="s">
        <v>1444</v>
      </c>
      <c r="D56">
        <v>2</v>
      </c>
      <c r="E56" t="s">
        <v>476</v>
      </c>
      <c r="F56" t="s">
        <v>730</v>
      </c>
      <c r="G56" t="s">
        <v>476</v>
      </c>
      <c r="H56" s="7">
        <f t="shared" si="2"/>
        <v>1706.875</v>
      </c>
      <c r="I56">
        <v>273.10000000000002</v>
      </c>
    </row>
    <row r="57" spans="1:10">
      <c r="A57" t="s">
        <v>527</v>
      </c>
      <c r="B57" s="1">
        <v>42062</v>
      </c>
      <c r="C57" t="s">
        <v>546</v>
      </c>
      <c r="D57">
        <v>1</v>
      </c>
      <c r="E57" t="s">
        <v>1420</v>
      </c>
      <c r="F57" s="20" t="s">
        <v>737</v>
      </c>
      <c r="G57" s="25" t="s">
        <v>738</v>
      </c>
      <c r="H57" s="7">
        <f t="shared" si="2"/>
        <v>3362.7499999999995</v>
      </c>
      <c r="I57">
        <v>538.04</v>
      </c>
    </row>
    <row r="58" spans="1:10">
      <c r="A58" t="s">
        <v>1462</v>
      </c>
      <c r="B58" s="1">
        <v>42063</v>
      </c>
      <c r="C58" t="s">
        <v>615</v>
      </c>
      <c r="D58">
        <v>1</v>
      </c>
      <c r="E58" t="s">
        <v>1463</v>
      </c>
      <c r="F58" s="23" t="s">
        <v>733</v>
      </c>
      <c r="G58" s="24" t="s">
        <v>734</v>
      </c>
      <c r="H58" s="7">
        <f t="shared" si="2"/>
        <v>1402.75</v>
      </c>
      <c r="I58">
        <v>224.44</v>
      </c>
    </row>
    <row r="59" spans="1:10">
      <c r="A59" t="s">
        <v>536</v>
      </c>
      <c r="B59" s="1">
        <v>42063</v>
      </c>
      <c r="C59" t="s">
        <v>606</v>
      </c>
      <c r="D59">
        <v>1</v>
      </c>
      <c r="E59" t="s">
        <v>1430</v>
      </c>
      <c r="F59" s="16" t="s">
        <v>735</v>
      </c>
      <c r="G59" s="25" t="s">
        <v>736</v>
      </c>
      <c r="H59" s="7">
        <f t="shared" si="2"/>
        <v>265</v>
      </c>
      <c r="I59">
        <v>42.4</v>
      </c>
    </row>
    <row r="60" spans="1:10">
      <c r="A60" t="s">
        <v>1431</v>
      </c>
      <c r="B60" s="1">
        <v>42063</v>
      </c>
      <c r="C60" t="s">
        <v>609</v>
      </c>
      <c r="D60">
        <v>1</v>
      </c>
      <c r="E60" t="s">
        <v>1432</v>
      </c>
      <c r="F60" s="20" t="s">
        <v>741</v>
      </c>
      <c r="G60" s="26" t="s">
        <v>742</v>
      </c>
      <c r="H60" s="7">
        <f t="shared" si="2"/>
        <v>225</v>
      </c>
      <c r="I60">
        <v>36</v>
      </c>
    </row>
    <row r="61" spans="1:10">
      <c r="A61" t="s">
        <v>1469</v>
      </c>
      <c r="B61" s="1">
        <v>42063</v>
      </c>
      <c r="C61" t="s">
        <v>609</v>
      </c>
      <c r="D61">
        <v>1</v>
      </c>
      <c r="E61" t="s">
        <v>1432</v>
      </c>
      <c r="F61" s="20" t="s">
        <v>741</v>
      </c>
      <c r="G61" s="26" t="s">
        <v>742</v>
      </c>
      <c r="H61" s="7">
        <f t="shared" si="2"/>
        <v>98</v>
      </c>
      <c r="I61">
        <v>15.68</v>
      </c>
    </row>
    <row r="62" spans="1:10">
      <c r="A62" t="s">
        <v>1515</v>
      </c>
      <c r="B62" s="1">
        <v>42063</v>
      </c>
      <c r="C62" t="s">
        <v>546</v>
      </c>
      <c r="D62">
        <v>1</v>
      </c>
      <c r="E62" t="s">
        <v>1516</v>
      </c>
      <c r="F62" s="20" t="s">
        <v>737</v>
      </c>
      <c r="G62" s="25" t="s">
        <v>738</v>
      </c>
      <c r="H62" s="7">
        <f t="shared" si="2"/>
        <v>1785</v>
      </c>
      <c r="I62">
        <v>285.60000000000002</v>
      </c>
    </row>
    <row r="63" spans="1:10">
      <c r="A63" t="s">
        <v>1394</v>
      </c>
      <c r="B63" s="1">
        <v>42058</v>
      </c>
      <c r="C63" t="s">
        <v>546</v>
      </c>
      <c r="D63">
        <v>1</v>
      </c>
      <c r="E63" t="s">
        <v>1395</v>
      </c>
      <c r="F63" s="20" t="s">
        <v>737</v>
      </c>
      <c r="G63" s="25" t="s">
        <v>738</v>
      </c>
      <c r="H63" s="7">
        <f t="shared" si="2"/>
        <v>14753</v>
      </c>
      <c r="I63" s="2">
        <v>2360.48</v>
      </c>
    </row>
    <row r="64" spans="1:10">
      <c r="A64" t="s">
        <v>1467</v>
      </c>
      <c r="B64" s="1">
        <v>42063</v>
      </c>
      <c r="C64" t="s">
        <v>603</v>
      </c>
      <c r="D64">
        <v>1</v>
      </c>
      <c r="E64" t="s">
        <v>1468</v>
      </c>
      <c r="F64" s="20" t="s">
        <v>739</v>
      </c>
      <c r="G64" s="26" t="s">
        <v>740</v>
      </c>
      <c r="H64" s="7">
        <f t="shared" si="2"/>
        <v>191.625</v>
      </c>
      <c r="I64">
        <v>30.66</v>
      </c>
    </row>
    <row r="65" spans="1:9">
      <c r="A65" t="s">
        <v>535</v>
      </c>
      <c r="B65" s="1">
        <v>42063</v>
      </c>
      <c r="C65" t="s">
        <v>603</v>
      </c>
      <c r="D65">
        <v>1</v>
      </c>
      <c r="E65" t="s">
        <v>1429</v>
      </c>
      <c r="F65" s="20" t="s">
        <v>739</v>
      </c>
      <c r="G65" s="26" t="s">
        <v>740</v>
      </c>
      <c r="H65" s="7">
        <f t="shared" si="2"/>
        <v>4701</v>
      </c>
      <c r="I65">
        <v>752.16</v>
      </c>
    </row>
    <row r="66" spans="1:9">
      <c r="A66" t="s">
        <v>555</v>
      </c>
      <c r="B66" s="1">
        <v>42063</v>
      </c>
      <c r="C66" t="s">
        <v>1464</v>
      </c>
      <c r="D66">
        <v>1</v>
      </c>
      <c r="E66" t="s">
        <v>1465</v>
      </c>
      <c r="F66" s="20" t="s">
        <v>1552</v>
      </c>
      <c r="G66" s="17" t="s">
        <v>1553</v>
      </c>
      <c r="H66" s="7">
        <f t="shared" si="2"/>
        <v>95</v>
      </c>
      <c r="I66">
        <v>15.2</v>
      </c>
    </row>
    <row r="67" spans="1:9">
      <c r="A67" t="s">
        <v>558</v>
      </c>
      <c r="B67" s="1">
        <v>42063</v>
      </c>
      <c r="C67" t="s">
        <v>612</v>
      </c>
      <c r="D67">
        <v>1</v>
      </c>
      <c r="E67" t="s">
        <v>1466</v>
      </c>
      <c r="F67" s="20" t="s">
        <v>743</v>
      </c>
      <c r="G67" s="26" t="s">
        <v>744</v>
      </c>
      <c r="H67" s="7">
        <f t="shared" si="2"/>
        <v>39</v>
      </c>
      <c r="I67">
        <v>6.24</v>
      </c>
    </row>
    <row r="68" spans="1:9">
      <c r="A68" t="s">
        <v>539</v>
      </c>
      <c r="B68" s="1">
        <v>42063</v>
      </c>
      <c r="C68" t="s">
        <v>612</v>
      </c>
      <c r="D68">
        <v>1</v>
      </c>
      <c r="E68" t="s">
        <v>1433</v>
      </c>
      <c r="F68" s="20" t="s">
        <v>743</v>
      </c>
      <c r="G68" s="26" t="s">
        <v>744</v>
      </c>
      <c r="H68" s="7">
        <f t="shared" si="2"/>
        <v>200</v>
      </c>
      <c r="I68">
        <v>32</v>
      </c>
    </row>
    <row r="69" spans="1:9">
      <c r="A69" t="s">
        <v>1172</v>
      </c>
      <c r="B69" s="1">
        <v>42063</v>
      </c>
      <c r="C69">
        <v>11432</v>
      </c>
      <c r="D69">
        <v>1</v>
      </c>
      <c r="E69" t="s">
        <v>1173</v>
      </c>
      <c r="F69" t="s">
        <v>755</v>
      </c>
      <c r="G69" t="s">
        <v>1173</v>
      </c>
      <c r="H69" s="7">
        <f t="shared" si="2"/>
        <v>1079.25</v>
      </c>
      <c r="I69">
        <v>172.68</v>
      </c>
    </row>
    <row r="70" spans="1:9">
      <c r="A70" t="s">
        <v>1320</v>
      </c>
      <c r="B70" s="1">
        <v>42038</v>
      </c>
      <c r="C70" t="s">
        <v>1321</v>
      </c>
      <c r="D70">
        <v>1</v>
      </c>
      <c r="E70" t="s">
        <v>428</v>
      </c>
      <c r="F70" s="29" t="s">
        <v>790</v>
      </c>
      <c r="G70" t="s">
        <v>428</v>
      </c>
      <c r="H70" s="7">
        <f t="shared" si="2"/>
        <v>324.3125</v>
      </c>
      <c r="I70">
        <v>51.89</v>
      </c>
    </row>
    <row r="71" spans="1:9">
      <c r="A71" t="s">
        <v>1326</v>
      </c>
      <c r="B71" s="1">
        <v>42039</v>
      </c>
      <c r="C71" t="s">
        <v>1327</v>
      </c>
      <c r="D71">
        <v>1</v>
      </c>
      <c r="E71" t="s">
        <v>428</v>
      </c>
      <c r="F71" s="29" t="s">
        <v>790</v>
      </c>
      <c r="G71" t="s">
        <v>428</v>
      </c>
      <c r="H71" s="7">
        <f t="shared" si="2"/>
        <v>327660.375</v>
      </c>
      <c r="I71" s="2">
        <v>52425.66</v>
      </c>
    </row>
    <row r="72" spans="1:9">
      <c r="A72" t="s">
        <v>1335</v>
      </c>
      <c r="B72" s="1">
        <v>42041</v>
      </c>
      <c r="C72" t="s">
        <v>1336</v>
      </c>
      <c r="D72">
        <v>1</v>
      </c>
      <c r="E72" t="s">
        <v>428</v>
      </c>
      <c r="F72" s="29" t="s">
        <v>790</v>
      </c>
      <c r="G72" t="s">
        <v>428</v>
      </c>
      <c r="H72" s="7">
        <f t="shared" si="2"/>
        <v>82492.4375</v>
      </c>
      <c r="I72" s="2">
        <v>13198.79</v>
      </c>
    </row>
    <row r="73" spans="1:9">
      <c r="A73" t="s">
        <v>447</v>
      </c>
      <c r="B73" s="1">
        <v>42047</v>
      </c>
      <c r="C73" t="s">
        <v>1362</v>
      </c>
      <c r="D73">
        <v>1</v>
      </c>
      <c r="E73" t="s">
        <v>428</v>
      </c>
      <c r="F73" s="29" t="s">
        <v>790</v>
      </c>
      <c r="G73" t="s">
        <v>428</v>
      </c>
      <c r="H73" s="7">
        <f t="shared" si="2"/>
        <v>2200</v>
      </c>
      <c r="I73">
        <v>352</v>
      </c>
    </row>
    <row r="74" spans="1:9">
      <c r="A74" t="s">
        <v>453</v>
      </c>
      <c r="B74" s="1">
        <v>42047</v>
      </c>
      <c r="C74" t="s">
        <v>1365</v>
      </c>
      <c r="D74">
        <v>1</v>
      </c>
      <c r="E74" t="s">
        <v>428</v>
      </c>
      <c r="F74" s="29" t="s">
        <v>790</v>
      </c>
      <c r="G74" t="s">
        <v>428</v>
      </c>
      <c r="H74" s="7">
        <f t="shared" si="2"/>
        <v>16478.0625</v>
      </c>
      <c r="I74" s="2">
        <v>2636.49</v>
      </c>
    </row>
    <row r="75" spans="1:9">
      <c r="A75" t="s">
        <v>1368</v>
      </c>
      <c r="B75" s="1">
        <v>42048</v>
      </c>
      <c r="C75" t="s">
        <v>1369</v>
      </c>
      <c r="D75">
        <v>1</v>
      </c>
      <c r="E75" t="s">
        <v>428</v>
      </c>
      <c r="F75" s="29" t="s">
        <v>790</v>
      </c>
      <c r="G75" t="s">
        <v>428</v>
      </c>
      <c r="H75" s="7">
        <f t="shared" si="2"/>
        <v>51286.9375</v>
      </c>
      <c r="I75" s="2">
        <v>8205.91</v>
      </c>
    </row>
    <row r="76" spans="1:9">
      <c r="A76" t="s">
        <v>1370</v>
      </c>
      <c r="B76" s="1">
        <v>42048</v>
      </c>
      <c r="C76" t="s">
        <v>1371</v>
      </c>
      <c r="D76">
        <v>1</v>
      </c>
      <c r="E76" t="s">
        <v>428</v>
      </c>
      <c r="F76" s="29" t="s">
        <v>790</v>
      </c>
      <c r="G76" t="s">
        <v>428</v>
      </c>
      <c r="H76" s="7">
        <f t="shared" si="2"/>
        <v>401096.3125</v>
      </c>
      <c r="I76" s="2">
        <v>64175.41</v>
      </c>
    </row>
    <row r="77" spans="1:9">
      <c r="A77" t="s">
        <v>1372</v>
      </c>
      <c r="B77" s="1">
        <v>42048</v>
      </c>
      <c r="C77" t="s">
        <v>1373</v>
      </c>
      <c r="D77">
        <v>1</v>
      </c>
      <c r="E77" t="s">
        <v>428</v>
      </c>
      <c r="F77" s="29" t="s">
        <v>790</v>
      </c>
      <c r="G77" t="s">
        <v>428</v>
      </c>
      <c r="H77" s="7">
        <f t="shared" si="2"/>
        <v>16574.3125</v>
      </c>
      <c r="I77" s="2">
        <v>2651.89</v>
      </c>
    </row>
    <row r="78" spans="1:9">
      <c r="A78" t="s">
        <v>1375</v>
      </c>
      <c r="B78" s="1">
        <v>42052</v>
      </c>
      <c r="C78" t="s">
        <v>1376</v>
      </c>
      <c r="D78">
        <v>1</v>
      </c>
      <c r="E78" t="s">
        <v>428</v>
      </c>
      <c r="F78" s="29" t="s">
        <v>790</v>
      </c>
      <c r="G78" t="s">
        <v>428</v>
      </c>
      <c r="H78" s="7">
        <f t="shared" si="2"/>
        <v>1304.75</v>
      </c>
      <c r="I78">
        <v>208.76</v>
      </c>
    </row>
    <row r="79" spans="1:9">
      <c r="A79" t="s">
        <v>1377</v>
      </c>
      <c r="B79" s="1">
        <v>42052</v>
      </c>
      <c r="C79" t="s">
        <v>1378</v>
      </c>
      <c r="D79">
        <v>1</v>
      </c>
      <c r="E79" t="s">
        <v>428</v>
      </c>
      <c r="F79" s="29" t="s">
        <v>790</v>
      </c>
      <c r="G79" t="s">
        <v>428</v>
      </c>
      <c r="H79" s="7">
        <f t="shared" si="2"/>
        <v>34717.6875</v>
      </c>
      <c r="I79" s="2">
        <v>5554.83</v>
      </c>
    </row>
    <row r="80" spans="1:9">
      <c r="A80" t="s">
        <v>497</v>
      </c>
      <c r="B80" s="1">
        <v>42056</v>
      </c>
      <c r="C80" t="s">
        <v>1391</v>
      </c>
      <c r="D80">
        <v>1</v>
      </c>
      <c r="E80" t="s">
        <v>428</v>
      </c>
      <c r="F80" s="29" t="s">
        <v>790</v>
      </c>
      <c r="G80" t="s">
        <v>428</v>
      </c>
      <c r="H80" s="7">
        <f t="shared" ref="H80:H110" si="3">+I80/0.16</f>
        <v>5.8125</v>
      </c>
      <c r="I80">
        <v>0.93</v>
      </c>
    </row>
    <row r="81" spans="1:9">
      <c r="A81" t="s">
        <v>1392</v>
      </c>
      <c r="B81" s="1">
        <v>42056</v>
      </c>
      <c r="C81" t="s">
        <v>1393</v>
      </c>
      <c r="D81">
        <v>1</v>
      </c>
      <c r="E81" t="s">
        <v>428</v>
      </c>
      <c r="F81" s="29" t="s">
        <v>790</v>
      </c>
      <c r="G81" t="s">
        <v>428</v>
      </c>
      <c r="H81" s="7">
        <f t="shared" si="3"/>
        <v>67039.6875</v>
      </c>
      <c r="I81" s="2">
        <v>10726.35</v>
      </c>
    </row>
    <row r="82" spans="1:9">
      <c r="A82" t="s">
        <v>1409</v>
      </c>
      <c r="B82" s="1">
        <v>42060</v>
      </c>
      <c r="C82" t="s">
        <v>1410</v>
      </c>
      <c r="D82">
        <v>1</v>
      </c>
      <c r="E82" t="s">
        <v>428</v>
      </c>
      <c r="F82" s="29" t="s">
        <v>790</v>
      </c>
      <c r="G82" t="s">
        <v>428</v>
      </c>
      <c r="H82" s="7">
        <f t="shared" si="3"/>
        <v>4534.25</v>
      </c>
      <c r="I82">
        <v>725.48</v>
      </c>
    </row>
    <row r="83" spans="1:9">
      <c r="A83" t="s">
        <v>1424</v>
      </c>
      <c r="B83" s="1">
        <v>42063</v>
      </c>
      <c r="C83" t="s">
        <v>1425</v>
      </c>
      <c r="D83">
        <v>1</v>
      </c>
      <c r="E83" t="s">
        <v>428</v>
      </c>
      <c r="F83" s="29" t="s">
        <v>790</v>
      </c>
      <c r="G83" t="s">
        <v>428</v>
      </c>
      <c r="H83" s="7">
        <f t="shared" si="3"/>
        <v>2200</v>
      </c>
      <c r="I83">
        <v>352</v>
      </c>
    </row>
    <row r="84" spans="1:9">
      <c r="A84" t="s">
        <v>1426</v>
      </c>
      <c r="B84" s="1">
        <v>42063</v>
      </c>
      <c r="C84" t="s">
        <v>1427</v>
      </c>
      <c r="D84">
        <v>1</v>
      </c>
      <c r="E84" t="s">
        <v>428</v>
      </c>
      <c r="F84" s="29" t="s">
        <v>790</v>
      </c>
      <c r="G84" t="s">
        <v>428</v>
      </c>
      <c r="H84" s="7">
        <f t="shared" si="3"/>
        <v>166381.75</v>
      </c>
      <c r="I84" s="2">
        <v>26621.08</v>
      </c>
    </row>
    <row r="85" spans="1:9">
      <c r="A85" t="s">
        <v>533</v>
      </c>
      <c r="B85" s="1">
        <v>42063</v>
      </c>
      <c r="C85" t="s">
        <v>1428</v>
      </c>
      <c r="D85">
        <v>1</v>
      </c>
      <c r="E85" t="s">
        <v>428</v>
      </c>
      <c r="F85" s="29" t="s">
        <v>790</v>
      </c>
      <c r="G85" t="s">
        <v>428</v>
      </c>
      <c r="H85" s="7">
        <f t="shared" si="3"/>
        <v>178142.8125</v>
      </c>
      <c r="I85" s="2">
        <v>28502.85</v>
      </c>
    </row>
    <row r="86" spans="1:9">
      <c r="A86" t="s">
        <v>1254</v>
      </c>
      <c r="B86" s="1">
        <v>42063</v>
      </c>
      <c r="C86">
        <v>11483</v>
      </c>
      <c r="D86">
        <v>1</v>
      </c>
      <c r="E86" t="s">
        <v>270</v>
      </c>
      <c r="F86" t="s">
        <v>759</v>
      </c>
      <c r="G86" t="s">
        <v>270</v>
      </c>
      <c r="H86" s="7">
        <f t="shared" si="3"/>
        <v>155</v>
      </c>
      <c r="I86">
        <v>24.8</v>
      </c>
    </row>
    <row r="87" spans="1:9">
      <c r="A87" t="s">
        <v>1282</v>
      </c>
      <c r="B87" s="1">
        <v>42063</v>
      </c>
      <c r="C87">
        <v>11515</v>
      </c>
      <c r="D87">
        <v>1</v>
      </c>
      <c r="E87" t="s">
        <v>270</v>
      </c>
      <c r="F87" t="s">
        <v>759</v>
      </c>
      <c r="G87" t="s">
        <v>270</v>
      </c>
      <c r="H87" s="7">
        <f t="shared" si="3"/>
        <v>38.8125</v>
      </c>
      <c r="I87">
        <v>6.21</v>
      </c>
    </row>
    <row r="88" spans="1:9">
      <c r="A88" t="s">
        <v>1092</v>
      </c>
      <c r="B88" s="1">
        <v>42060</v>
      </c>
      <c r="C88" t="s">
        <v>1059</v>
      </c>
      <c r="D88">
        <v>1</v>
      </c>
      <c r="E88" t="s">
        <v>1093</v>
      </c>
      <c r="F88" s="34" t="s">
        <v>1554</v>
      </c>
      <c r="G88" s="34" t="s">
        <v>1555</v>
      </c>
      <c r="H88" s="7">
        <f t="shared" si="3"/>
        <v>156583.1875</v>
      </c>
      <c r="I88" s="2">
        <v>25053.31</v>
      </c>
    </row>
    <row r="89" spans="1:9">
      <c r="A89" t="s">
        <v>1125</v>
      </c>
      <c r="B89" s="1">
        <v>42062</v>
      </c>
      <c r="C89" t="s">
        <v>1126</v>
      </c>
      <c r="D89">
        <v>1</v>
      </c>
      <c r="E89" t="s">
        <v>1093</v>
      </c>
      <c r="F89" s="34" t="s">
        <v>1554</v>
      </c>
      <c r="G89" s="34" t="s">
        <v>1555</v>
      </c>
      <c r="H89" s="7">
        <f t="shared" si="3"/>
        <v>367965.625</v>
      </c>
      <c r="I89" s="2">
        <v>58874.5</v>
      </c>
    </row>
    <row r="90" spans="1:9">
      <c r="A90" t="s">
        <v>1096</v>
      </c>
      <c r="B90" s="1">
        <v>42060</v>
      </c>
      <c r="C90" t="s">
        <v>1097</v>
      </c>
      <c r="D90">
        <v>1</v>
      </c>
      <c r="E90" t="s">
        <v>1098</v>
      </c>
      <c r="F90" s="34" t="s">
        <v>1554</v>
      </c>
      <c r="G90" s="34" t="s">
        <v>1555</v>
      </c>
      <c r="H90" s="7">
        <f t="shared" si="3"/>
        <v>301012.875</v>
      </c>
      <c r="I90" s="2">
        <v>48162.06</v>
      </c>
    </row>
    <row r="91" spans="1:9">
      <c r="A91" t="s">
        <v>1113</v>
      </c>
      <c r="B91" s="1">
        <v>42062</v>
      </c>
      <c r="C91" t="s">
        <v>1114</v>
      </c>
      <c r="D91">
        <v>1</v>
      </c>
      <c r="E91" t="s">
        <v>1115</v>
      </c>
      <c r="F91" s="34" t="s">
        <v>1554</v>
      </c>
      <c r="G91" s="34" t="s">
        <v>1555</v>
      </c>
      <c r="H91" s="7">
        <f t="shared" si="3"/>
        <v>148824.5625</v>
      </c>
      <c r="I91" s="2">
        <v>23811.93</v>
      </c>
    </row>
    <row r="92" spans="1:9">
      <c r="A92" t="s">
        <v>1010</v>
      </c>
      <c r="B92" s="1">
        <v>42048</v>
      </c>
      <c r="C92" t="s">
        <v>1011</v>
      </c>
      <c r="D92">
        <v>1</v>
      </c>
      <c r="E92" t="s">
        <v>1012</v>
      </c>
      <c r="F92" s="31" t="s">
        <v>1556</v>
      </c>
      <c r="G92" s="31" t="s">
        <v>1557</v>
      </c>
      <c r="H92" s="7">
        <f t="shared" si="3"/>
        <v>248320.375</v>
      </c>
      <c r="I92" s="2">
        <v>39731.26</v>
      </c>
    </row>
    <row r="93" spans="1:9">
      <c r="A93" t="s">
        <v>549</v>
      </c>
      <c r="B93" s="1">
        <v>42041</v>
      </c>
      <c r="C93" t="s">
        <v>1459</v>
      </c>
      <c r="D93">
        <v>1</v>
      </c>
      <c r="E93" t="s">
        <v>638</v>
      </c>
      <c r="F93" t="s">
        <v>795</v>
      </c>
      <c r="G93" t="s">
        <v>638</v>
      </c>
      <c r="H93" s="7">
        <f t="shared" si="3"/>
        <v>103650</v>
      </c>
      <c r="I93" s="2">
        <v>16584</v>
      </c>
    </row>
    <row r="94" spans="1:9">
      <c r="A94" t="s">
        <v>1154</v>
      </c>
      <c r="B94" s="1">
        <v>42063</v>
      </c>
      <c r="C94">
        <v>11440</v>
      </c>
      <c r="D94">
        <v>1</v>
      </c>
      <c r="E94" t="s">
        <v>1155</v>
      </c>
      <c r="F94" t="s">
        <v>1558</v>
      </c>
      <c r="G94" t="s">
        <v>1155</v>
      </c>
      <c r="H94" s="7">
        <f t="shared" si="3"/>
        <v>449.56250000000006</v>
      </c>
      <c r="I94">
        <v>71.930000000000007</v>
      </c>
    </row>
    <row r="95" spans="1:9">
      <c r="A95" t="s">
        <v>1005</v>
      </c>
      <c r="B95" s="1">
        <v>42047</v>
      </c>
      <c r="C95" t="s">
        <v>1006</v>
      </c>
      <c r="D95">
        <v>1</v>
      </c>
      <c r="E95" t="s">
        <v>1007</v>
      </c>
      <c r="F95" s="31" t="s">
        <v>797</v>
      </c>
      <c r="G95" s="31" t="s">
        <v>798</v>
      </c>
      <c r="H95" s="7">
        <f t="shared" si="3"/>
        <v>186125.625</v>
      </c>
      <c r="I95" s="2">
        <v>29780.1</v>
      </c>
    </row>
    <row r="96" spans="1:9">
      <c r="A96" t="s">
        <v>1278</v>
      </c>
      <c r="B96" s="1">
        <v>42063</v>
      </c>
      <c r="C96">
        <v>11513</v>
      </c>
      <c r="D96">
        <v>1</v>
      </c>
      <c r="E96" t="s">
        <v>1279</v>
      </c>
      <c r="F96" t="s">
        <v>1560</v>
      </c>
      <c r="G96" t="s">
        <v>1279</v>
      </c>
      <c r="H96" s="7">
        <f t="shared" si="3"/>
        <v>911.18749999999989</v>
      </c>
      <c r="I96">
        <v>145.79</v>
      </c>
    </row>
    <row r="97" spans="1:9">
      <c r="A97" t="s">
        <v>1187</v>
      </c>
      <c r="B97" s="1">
        <v>42063</v>
      </c>
      <c r="C97">
        <v>11459</v>
      </c>
      <c r="D97">
        <v>1</v>
      </c>
      <c r="E97" t="s">
        <v>1188</v>
      </c>
      <c r="F97" t="s">
        <v>1561</v>
      </c>
      <c r="G97" t="s">
        <v>1188</v>
      </c>
      <c r="H97" s="7">
        <f t="shared" si="3"/>
        <v>58.625000000000007</v>
      </c>
      <c r="I97">
        <v>9.3800000000000008</v>
      </c>
    </row>
    <row r="98" spans="1:9">
      <c r="A98" t="s">
        <v>1195</v>
      </c>
      <c r="B98" s="1">
        <v>42063</v>
      </c>
      <c r="C98">
        <v>11467</v>
      </c>
      <c r="D98">
        <v>1</v>
      </c>
      <c r="E98" t="s">
        <v>1196</v>
      </c>
      <c r="F98" t="s">
        <v>1562</v>
      </c>
      <c r="G98" t="s">
        <v>1196</v>
      </c>
      <c r="H98" s="7">
        <f t="shared" si="3"/>
        <v>72.375</v>
      </c>
      <c r="I98">
        <v>11.58</v>
      </c>
    </row>
    <row r="99" spans="1:9">
      <c r="A99" t="s">
        <v>1199</v>
      </c>
      <c r="B99" s="1">
        <v>42063</v>
      </c>
      <c r="C99">
        <v>11468</v>
      </c>
      <c r="D99">
        <v>1</v>
      </c>
      <c r="E99" t="s">
        <v>1196</v>
      </c>
      <c r="F99" t="s">
        <v>1562</v>
      </c>
      <c r="G99" t="s">
        <v>1196</v>
      </c>
      <c r="H99" s="7">
        <f t="shared" si="3"/>
        <v>927.1875</v>
      </c>
      <c r="I99">
        <v>148.35</v>
      </c>
    </row>
    <row r="100" spans="1:9">
      <c r="A100" t="s">
        <v>1385</v>
      </c>
      <c r="B100" s="1">
        <v>42056</v>
      </c>
      <c r="C100" t="s">
        <v>1386</v>
      </c>
      <c r="D100">
        <v>1</v>
      </c>
      <c r="E100" t="s">
        <v>1387</v>
      </c>
      <c r="F100" t="s">
        <v>1563</v>
      </c>
      <c r="G100" t="s">
        <v>1387</v>
      </c>
      <c r="H100" s="7">
        <f t="shared" si="3"/>
        <v>18421.125</v>
      </c>
      <c r="I100" s="2">
        <v>2947.38</v>
      </c>
    </row>
    <row r="101" spans="1:9">
      <c r="A101" t="s">
        <v>1524</v>
      </c>
      <c r="B101" s="1">
        <v>42062</v>
      </c>
      <c r="C101" t="s">
        <v>1525</v>
      </c>
      <c r="D101">
        <v>1</v>
      </c>
      <c r="E101" t="s">
        <v>1526</v>
      </c>
      <c r="F101" s="32" t="s">
        <v>799</v>
      </c>
      <c r="G101" t="s">
        <v>0</v>
      </c>
      <c r="H101" s="7">
        <f t="shared" si="3"/>
        <v>366.125</v>
      </c>
      <c r="I101">
        <v>58.58</v>
      </c>
    </row>
    <row r="102" spans="1:9">
      <c r="A102" t="s">
        <v>1524</v>
      </c>
      <c r="B102" s="1">
        <v>42062</v>
      </c>
      <c r="C102" t="s">
        <v>1525</v>
      </c>
      <c r="D102">
        <v>1</v>
      </c>
      <c r="E102" t="s">
        <v>1526</v>
      </c>
      <c r="F102" s="32" t="s">
        <v>799</v>
      </c>
      <c r="G102" t="s">
        <v>0</v>
      </c>
      <c r="H102" s="7">
        <f t="shared" si="3"/>
        <v>384.25</v>
      </c>
      <c r="I102">
        <v>61.48</v>
      </c>
    </row>
    <row r="103" spans="1:9">
      <c r="A103" t="s">
        <v>519</v>
      </c>
      <c r="B103" s="1">
        <v>42062</v>
      </c>
      <c r="C103" t="s">
        <v>1419</v>
      </c>
      <c r="D103">
        <v>1</v>
      </c>
      <c r="E103" t="s">
        <v>1412</v>
      </c>
      <c r="F103" t="s">
        <v>1564</v>
      </c>
      <c r="G103" t="s">
        <v>1412</v>
      </c>
      <c r="H103" s="7">
        <f t="shared" si="3"/>
        <v>86206.875</v>
      </c>
      <c r="I103" s="2">
        <v>13793.1</v>
      </c>
    </row>
    <row r="104" spans="1:9">
      <c r="A104" t="s">
        <v>1323</v>
      </c>
      <c r="B104" s="1">
        <v>42038</v>
      </c>
      <c r="C104" t="s">
        <v>1324</v>
      </c>
      <c r="D104">
        <v>1</v>
      </c>
      <c r="E104" t="s">
        <v>1322</v>
      </c>
      <c r="F104" t="s">
        <v>1565</v>
      </c>
      <c r="G104" t="s">
        <v>1322</v>
      </c>
      <c r="H104" s="7">
        <f t="shared" si="3"/>
        <v>14740</v>
      </c>
      <c r="I104" s="2">
        <v>2358.4</v>
      </c>
    </row>
    <row r="105" spans="1:9">
      <c r="A105" t="s">
        <v>1174</v>
      </c>
      <c r="B105" s="1">
        <v>42063</v>
      </c>
      <c r="C105">
        <v>11446</v>
      </c>
      <c r="D105">
        <v>1</v>
      </c>
      <c r="E105" t="s">
        <v>275</v>
      </c>
      <c r="F105" t="s">
        <v>802</v>
      </c>
      <c r="G105" t="s">
        <v>275</v>
      </c>
      <c r="H105" s="7">
        <f t="shared" si="3"/>
        <v>568.9375</v>
      </c>
      <c r="I105">
        <v>91.03</v>
      </c>
    </row>
    <row r="106" spans="1:9">
      <c r="A106" t="s">
        <v>1177</v>
      </c>
      <c r="B106" s="1">
        <v>42063</v>
      </c>
      <c r="C106">
        <v>11449</v>
      </c>
      <c r="D106">
        <v>1</v>
      </c>
      <c r="E106" t="s">
        <v>275</v>
      </c>
      <c r="F106" t="s">
        <v>802</v>
      </c>
      <c r="G106" t="s">
        <v>275</v>
      </c>
      <c r="H106" s="7">
        <f t="shared" si="3"/>
        <v>310.375</v>
      </c>
      <c r="I106">
        <v>49.66</v>
      </c>
    </row>
    <row r="107" spans="1:9">
      <c r="A107" t="s">
        <v>1193</v>
      </c>
      <c r="B107" s="1">
        <v>42063</v>
      </c>
      <c r="C107">
        <v>11463</v>
      </c>
      <c r="D107">
        <v>1</v>
      </c>
      <c r="E107" t="s">
        <v>1194</v>
      </c>
      <c r="F107" t="s">
        <v>1566</v>
      </c>
      <c r="G107" t="s">
        <v>1194</v>
      </c>
      <c r="H107" s="7">
        <f t="shared" si="3"/>
        <v>140</v>
      </c>
      <c r="I107">
        <v>22.4</v>
      </c>
    </row>
    <row r="108" spans="1:9">
      <c r="A108" t="s">
        <v>186</v>
      </c>
      <c r="B108" s="1">
        <v>42063</v>
      </c>
      <c r="C108">
        <v>11441</v>
      </c>
      <c r="D108">
        <v>1</v>
      </c>
      <c r="E108" t="s">
        <v>1153</v>
      </c>
      <c r="F108" t="s">
        <v>1567</v>
      </c>
      <c r="G108" t="s">
        <v>1153</v>
      </c>
      <c r="H108" s="7">
        <f t="shared" si="3"/>
        <v>119.625</v>
      </c>
      <c r="I108">
        <v>19.14</v>
      </c>
    </row>
    <row r="109" spans="1:9">
      <c r="A109" t="s">
        <v>1274</v>
      </c>
      <c r="B109" s="1">
        <v>42063</v>
      </c>
      <c r="C109">
        <v>11509</v>
      </c>
      <c r="D109">
        <v>1</v>
      </c>
      <c r="E109" t="s">
        <v>285</v>
      </c>
      <c r="F109" t="s">
        <v>804</v>
      </c>
      <c r="G109" t="s">
        <v>285</v>
      </c>
      <c r="H109" s="7">
        <f t="shared" si="3"/>
        <v>160.625</v>
      </c>
      <c r="I109">
        <v>25.7</v>
      </c>
    </row>
    <row r="110" spans="1:9">
      <c r="A110" t="s">
        <v>1280</v>
      </c>
      <c r="B110" s="1">
        <v>42063</v>
      </c>
      <c r="C110">
        <v>11514</v>
      </c>
      <c r="D110">
        <v>1</v>
      </c>
      <c r="E110" t="s">
        <v>1281</v>
      </c>
      <c r="F110" t="s">
        <v>1568</v>
      </c>
      <c r="G110" t="s">
        <v>1281</v>
      </c>
      <c r="H110" s="7">
        <f t="shared" si="3"/>
        <v>12.937499999999998</v>
      </c>
      <c r="I110">
        <v>2.0699999999999998</v>
      </c>
    </row>
    <row r="111" spans="1:9">
      <c r="A111" t="s">
        <v>1162</v>
      </c>
      <c r="B111" s="1">
        <v>42063</v>
      </c>
      <c r="C111">
        <v>11436</v>
      </c>
      <c r="D111">
        <v>1</v>
      </c>
      <c r="E111" t="s">
        <v>1163</v>
      </c>
      <c r="F111" t="s">
        <v>1569</v>
      </c>
      <c r="G111" t="s">
        <v>1163</v>
      </c>
      <c r="H111" s="7">
        <f t="shared" ref="H111:H142" si="4">+I111/0.16</f>
        <v>134.0625</v>
      </c>
      <c r="I111">
        <v>21.45</v>
      </c>
    </row>
    <row r="112" spans="1:9">
      <c r="A112" t="s">
        <v>1474</v>
      </c>
      <c r="B112" s="1">
        <v>42062</v>
      </c>
      <c r="C112" t="s">
        <v>1475</v>
      </c>
      <c r="D112">
        <v>1</v>
      </c>
      <c r="E112" t="s">
        <v>1476</v>
      </c>
      <c r="F112" t="s">
        <v>1570</v>
      </c>
      <c r="G112" t="s">
        <v>1476</v>
      </c>
      <c r="H112" s="7">
        <f t="shared" si="4"/>
        <v>3425.9999999999995</v>
      </c>
      <c r="I112">
        <v>548.16</v>
      </c>
    </row>
    <row r="113" spans="1:11">
      <c r="A113" t="s">
        <v>586</v>
      </c>
      <c r="B113" s="1">
        <v>42048</v>
      </c>
      <c r="C113" t="s">
        <v>1506</v>
      </c>
      <c r="D113">
        <v>1</v>
      </c>
      <c r="E113" t="s">
        <v>1476</v>
      </c>
      <c r="F113" t="s">
        <v>1570</v>
      </c>
      <c r="G113" t="s">
        <v>1476</v>
      </c>
      <c r="H113" s="7">
        <f t="shared" si="4"/>
        <v>8911.5</v>
      </c>
      <c r="I113" s="2">
        <v>1425.84</v>
      </c>
    </row>
    <row r="114" spans="1:11">
      <c r="A114" t="s">
        <v>1446</v>
      </c>
      <c r="B114" s="1">
        <v>42041</v>
      </c>
      <c r="C114" t="s">
        <v>1447</v>
      </c>
      <c r="D114">
        <v>1</v>
      </c>
      <c r="E114" t="s">
        <v>446</v>
      </c>
      <c r="F114" t="s">
        <v>815</v>
      </c>
      <c r="G114" t="s">
        <v>446</v>
      </c>
      <c r="H114" s="7">
        <f t="shared" si="4"/>
        <v>20</v>
      </c>
      <c r="I114">
        <v>3.2</v>
      </c>
    </row>
    <row r="115" spans="1:11">
      <c r="A115" t="s">
        <v>1483</v>
      </c>
      <c r="B115" s="1">
        <v>42061</v>
      </c>
      <c r="C115" t="s">
        <v>1484</v>
      </c>
      <c r="D115">
        <v>1</v>
      </c>
      <c r="E115" t="s">
        <v>446</v>
      </c>
      <c r="F115" t="s">
        <v>815</v>
      </c>
      <c r="G115" t="s">
        <v>446</v>
      </c>
      <c r="H115" s="7">
        <f t="shared" si="4"/>
        <v>4095.9375</v>
      </c>
      <c r="I115">
        <v>655.35</v>
      </c>
    </row>
    <row r="116" spans="1:11">
      <c r="A116" t="s">
        <v>574</v>
      </c>
      <c r="B116" s="1">
        <v>42048</v>
      </c>
      <c r="C116" t="s">
        <v>1504</v>
      </c>
      <c r="D116">
        <v>1</v>
      </c>
      <c r="E116" t="s">
        <v>446</v>
      </c>
      <c r="F116" t="s">
        <v>815</v>
      </c>
      <c r="G116" t="s">
        <v>446</v>
      </c>
      <c r="H116" s="7">
        <f t="shared" si="4"/>
        <v>5078.1875</v>
      </c>
      <c r="I116">
        <v>812.51</v>
      </c>
    </row>
    <row r="117" spans="1:11">
      <c r="A117" t="s">
        <v>1158</v>
      </c>
      <c r="B117" s="1">
        <v>42063</v>
      </c>
      <c r="C117">
        <v>11438</v>
      </c>
      <c r="D117">
        <v>1</v>
      </c>
      <c r="E117" t="s">
        <v>1159</v>
      </c>
      <c r="F117" t="s">
        <v>1571</v>
      </c>
      <c r="G117" t="s">
        <v>1159</v>
      </c>
      <c r="H117" s="7">
        <f t="shared" si="4"/>
        <v>386</v>
      </c>
      <c r="I117">
        <v>61.76</v>
      </c>
    </row>
    <row r="118" spans="1:11">
      <c r="A118" t="s">
        <v>1184</v>
      </c>
      <c r="B118" s="1">
        <v>42063</v>
      </c>
      <c r="C118">
        <v>11455</v>
      </c>
      <c r="D118">
        <v>1</v>
      </c>
      <c r="E118" t="s">
        <v>326</v>
      </c>
      <c r="F118" t="s">
        <v>820</v>
      </c>
      <c r="G118" t="s">
        <v>326</v>
      </c>
      <c r="H118" s="7">
        <f t="shared" si="4"/>
        <v>107.74999999999999</v>
      </c>
      <c r="I118">
        <v>17.239999999999998</v>
      </c>
    </row>
    <row r="119" spans="1:11">
      <c r="A119" t="s">
        <v>1156</v>
      </c>
      <c r="B119" s="1">
        <v>42063</v>
      </c>
      <c r="C119">
        <v>11439</v>
      </c>
      <c r="D119">
        <v>1</v>
      </c>
      <c r="E119" t="s">
        <v>1157</v>
      </c>
      <c r="F119" t="s">
        <v>1572</v>
      </c>
      <c r="G119" t="s">
        <v>1157</v>
      </c>
      <c r="H119" s="7">
        <f t="shared" si="4"/>
        <v>983.625</v>
      </c>
      <c r="I119">
        <v>157.38</v>
      </c>
    </row>
    <row r="120" spans="1:11">
      <c r="A120" t="s">
        <v>1453</v>
      </c>
      <c r="B120" s="1">
        <v>42041</v>
      </c>
      <c r="C120" t="s">
        <v>1454</v>
      </c>
      <c r="D120">
        <v>1</v>
      </c>
      <c r="E120" t="s">
        <v>1455</v>
      </c>
      <c r="F120" t="s">
        <v>1573</v>
      </c>
      <c r="G120" t="s">
        <v>1455</v>
      </c>
      <c r="H120" s="7">
        <f t="shared" si="4"/>
        <v>3000</v>
      </c>
      <c r="I120">
        <v>480</v>
      </c>
    </row>
    <row r="121" spans="1:11">
      <c r="A121" t="s">
        <v>1178</v>
      </c>
      <c r="B121" s="1">
        <v>42063</v>
      </c>
      <c r="C121">
        <v>11450</v>
      </c>
      <c r="D121">
        <v>1</v>
      </c>
      <c r="E121" t="s">
        <v>263</v>
      </c>
      <c r="F121" t="s">
        <v>821</v>
      </c>
      <c r="G121" t="s">
        <v>263</v>
      </c>
      <c r="H121" s="7">
        <f t="shared" si="4"/>
        <v>344.8125</v>
      </c>
      <c r="I121">
        <v>55.17</v>
      </c>
    </row>
    <row r="122" spans="1:11">
      <c r="A122" t="s">
        <v>1179</v>
      </c>
      <c r="B122" s="1">
        <v>42063</v>
      </c>
      <c r="C122">
        <v>11451</v>
      </c>
      <c r="D122">
        <v>1</v>
      </c>
      <c r="E122" t="s">
        <v>263</v>
      </c>
      <c r="F122" t="s">
        <v>821</v>
      </c>
      <c r="G122" t="s">
        <v>263</v>
      </c>
      <c r="H122" s="7">
        <f t="shared" si="4"/>
        <v>344.8125</v>
      </c>
      <c r="I122">
        <v>55.17</v>
      </c>
    </row>
    <row r="123" spans="1:11">
      <c r="A123" t="s">
        <v>1180</v>
      </c>
      <c r="B123" s="1">
        <v>42063</v>
      </c>
      <c r="C123">
        <v>11452</v>
      </c>
      <c r="D123">
        <v>1</v>
      </c>
      <c r="E123" t="s">
        <v>263</v>
      </c>
      <c r="F123" t="s">
        <v>821</v>
      </c>
      <c r="G123" t="s">
        <v>263</v>
      </c>
      <c r="H123" s="7">
        <f t="shared" si="4"/>
        <v>344.8125</v>
      </c>
      <c r="I123">
        <v>55.17</v>
      </c>
    </row>
    <row r="124" spans="1:11">
      <c r="A124" t="s">
        <v>1181</v>
      </c>
      <c r="B124" s="1">
        <v>42063</v>
      </c>
      <c r="C124">
        <v>11453</v>
      </c>
      <c r="D124">
        <v>1</v>
      </c>
      <c r="E124" t="s">
        <v>263</v>
      </c>
      <c r="F124" t="s">
        <v>821</v>
      </c>
      <c r="G124" t="s">
        <v>263</v>
      </c>
      <c r="H124" s="7">
        <f t="shared" si="4"/>
        <v>344.8125</v>
      </c>
      <c r="I124">
        <v>55.17</v>
      </c>
    </row>
    <row r="125" spans="1:11">
      <c r="A125" t="s">
        <v>550</v>
      </c>
      <c r="B125" s="1">
        <v>42041</v>
      </c>
      <c r="C125" t="s">
        <v>659</v>
      </c>
      <c r="D125">
        <v>2</v>
      </c>
      <c r="E125" t="s">
        <v>455</v>
      </c>
      <c r="F125" t="s">
        <v>823</v>
      </c>
      <c r="G125" t="s">
        <v>455</v>
      </c>
      <c r="H125" s="7">
        <f t="shared" si="4"/>
        <v>14369.1875</v>
      </c>
      <c r="I125" s="2">
        <v>2299.0700000000002</v>
      </c>
    </row>
    <row r="126" spans="1:11">
      <c r="A126" t="s">
        <v>1487</v>
      </c>
      <c r="B126" s="1">
        <v>42061</v>
      </c>
      <c r="C126" t="s">
        <v>1435</v>
      </c>
      <c r="D126">
        <v>2</v>
      </c>
      <c r="E126" t="s">
        <v>455</v>
      </c>
      <c r="F126" t="s">
        <v>823</v>
      </c>
      <c r="G126" t="s">
        <v>455</v>
      </c>
      <c r="H126" s="7">
        <f t="shared" si="4"/>
        <v>12782.625</v>
      </c>
      <c r="I126" s="2">
        <v>2045.22</v>
      </c>
    </row>
    <row r="127" spans="1:11">
      <c r="A127" t="s">
        <v>583</v>
      </c>
      <c r="B127" s="1">
        <v>42048</v>
      </c>
      <c r="C127" t="s">
        <v>1503</v>
      </c>
      <c r="D127">
        <v>2</v>
      </c>
      <c r="E127" t="s">
        <v>455</v>
      </c>
      <c r="F127" t="s">
        <v>823</v>
      </c>
      <c r="G127" t="s">
        <v>455</v>
      </c>
      <c r="H127" s="7">
        <f t="shared" si="4"/>
        <v>13815.812500000002</v>
      </c>
      <c r="I127" s="2">
        <v>2210.5300000000002</v>
      </c>
    </row>
    <row r="128" spans="1:11">
      <c r="A128" t="s">
        <v>1311</v>
      </c>
      <c r="B128" s="1">
        <v>42041</v>
      </c>
      <c r="C128" t="s">
        <v>1312</v>
      </c>
      <c r="D128">
        <v>1</v>
      </c>
      <c r="E128" t="s">
        <v>1313</v>
      </c>
      <c r="F128" t="s">
        <v>844</v>
      </c>
      <c r="G128" t="s">
        <v>665</v>
      </c>
      <c r="H128" s="7">
        <f t="shared" si="4"/>
        <v>900</v>
      </c>
      <c r="I128">
        <v>144</v>
      </c>
      <c r="J128" s="138"/>
      <c r="K128" s="60"/>
    </row>
    <row r="129" spans="1:9">
      <c r="A129" t="s">
        <v>1404</v>
      </c>
      <c r="B129" s="1">
        <v>42059</v>
      </c>
      <c r="C129" t="s">
        <v>1405</v>
      </c>
      <c r="D129">
        <v>1</v>
      </c>
      <c r="E129" t="s">
        <v>1406</v>
      </c>
      <c r="F129" t="s">
        <v>1574</v>
      </c>
      <c r="G129" t="s">
        <v>1406</v>
      </c>
      <c r="H129" s="7">
        <f t="shared" si="4"/>
        <v>1658.625</v>
      </c>
      <c r="I129">
        <v>265.38</v>
      </c>
    </row>
    <row r="130" spans="1:9">
      <c r="A130" t="s">
        <v>1260</v>
      </c>
      <c r="B130" s="1">
        <v>42063</v>
      </c>
      <c r="C130">
        <v>11496</v>
      </c>
      <c r="D130">
        <v>1</v>
      </c>
      <c r="E130" t="s">
        <v>1261</v>
      </c>
      <c r="F130" t="s">
        <v>1575</v>
      </c>
      <c r="G130" t="s">
        <v>1261</v>
      </c>
      <c r="H130" s="7">
        <f t="shared" si="4"/>
        <v>30.1875</v>
      </c>
      <c r="I130">
        <v>4.83</v>
      </c>
    </row>
    <row r="131" spans="1:9">
      <c r="A131" t="s">
        <v>1438</v>
      </c>
      <c r="B131" s="1">
        <v>42041</v>
      </c>
      <c r="C131" t="s">
        <v>1439</v>
      </c>
      <c r="D131">
        <v>2</v>
      </c>
      <c r="E131" t="s">
        <v>650</v>
      </c>
      <c r="F131" t="s">
        <v>827</v>
      </c>
      <c r="G131" t="s">
        <v>650</v>
      </c>
      <c r="H131" s="7">
        <f t="shared" si="4"/>
        <v>1750</v>
      </c>
      <c r="I131">
        <v>280</v>
      </c>
    </row>
    <row r="132" spans="1:9">
      <c r="A132" t="s">
        <v>560</v>
      </c>
      <c r="B132" s="1">
        <v>42061</v>
      </c>
      <c r="C132" t="s">
        <v>662</v>
      </c>
      <c r="D132">
        <v>2</v>
      </c>
      <c r="E132" t="s">
        <v>650</v>
      </c>
      <c r="F132" t="s">
        <v>827</v>
      </c>
      <c r="G132" t="s">
        <v>650</v>
      </c>
      <c r="H132" s="7">
        <f t="shared" si="4"/>
        <v>1750</v>
      </c>
      <c r="I132">
        <v>280</v>
      </c>
    </row>
    <row r="133" spans="1:9">
      <c r="A133" t="s">
        <v>1495</v>
      </c>
      <c r="B133" s="1">
        <v>42048</v>
      </c>
      <c r="C133" t="s">
        <v>1447</v>
      </c>
      <c r="D133">
        <v>2</v>
      </c>
      <c r="E133" t="s">
        <v>650</v>
      </c>
      <c r="F133" t="s">
        <v>827</v>
      </c>
      <c r="G133" t="s">
        <v>650</v>
      </c>
      <c r="H133" s="7">
        <f t="shared" si="4"/>
        <v>4774</v>
      </c>
      <c r="I133">
        <v>763.84</v>
      </c>
    </row>
    <row r="134" spans="1:9">
      <c r="A134" t="s">
        <v>1197</v>
      </c>
      <c r="B134" s="1">
        <v>42063</v>
      </c>
      <c r="C134">
        <v>11465</v>
      </c>
      <c r="D134">
        <v>1</v>
      </c>
      <c r="E134" t="s">
        <v>1198</v>
      </c>
      <c r="F134" t="s">
        <v>1576</v>
      </c>
      <c r="G134" t="s">
        <v>1198</v>
      </c>
      <c r="H134" s="7">
        <f t="shared" si="4"/>
        <v>96.5625</v>
      </c>
      <c r="I134">
        <v>15.45</v>
      </c>
    </row>
    <row r="135" spans="1:9">
      <c r="A135" t="s">
        <v>1169</v>
      </c>
      <c r="B135" s="1">
        <v>42063</v>
      </c>
      <c r="C135" t="s">
        <v>1170</v>
      </c>
      <c r="D135">
        <v>1</v>
      </c>
      <c r="E135" t="s">
        <v>1171</v>
      </c>
      <c r="F135" t="s">
        <v>828</v>
      </c>
      <c r="G135" t="s">
        <v>1171</v>
      </c>
      <c r="H135" s="7">
        <f t="shared" si="4"/>
        <v>42.8125</v>
      </c>
      <c r="I135">
        <v>6.85</v>
      </c>
    </row>
    <row r="136" spans="1:9">
      <c r="A136" t="s">
        <v>479</v>
      </c>
      <c r="B136" s="1">
        <v>42051</v>
      </c>
      <c r="C136" t="s">
        <v>1374</v>
      </c>
      <c r="D136">
        <v>1</v>
      </c>
      <c r="E136" t="s">
        <v>518</v>
      </c>
      <c r="F136" s="29" t="s">
        <v>828</v>
      </c>
      <c r="G136" t="s">
        <v>518</v>
      </c>
      <c r="H136" s="7">
        <f t="shared" si="4"/>
        <v>21183.9375</v>
      </c>
      <c r="I136" s="2">
        <v>3389.43</v>
      </c>
    </row>
    <row r="137" spans="1:9">
      <c r="A137" t="s">
        <v>1354</v>
      </c>
      <c r="B137" s="1">
        <v>42044</v>
      </c>
      <c r="C137" t="s">
        <v>1355</v>
      </c>
      <c r="D137">
        <v>1</v>
      </c>
      <c r="E137" t="s">
        <v>529</v>
      </c>
      <c r="F137" s="20" t="s">
        <v>829</v>
      </c>
      <c r="G137" s="25" t="s">
        <v>529</v>
      </c>
      <c r="H137" s="7">
        <f t="shared" si="4"/>
        <v>132978.75</v>
      </c>
      <c r="I137" s="2">
        <v>21276.6</v>
      </c>
    </row>
    <row r="138" spans="1:9">
      <c r="A138" t="s">
        <v>1416</v>
      </c>
      <c r="B138" s="1">
        <v>42061</v>
      </c>
      <c r="C138" t="s">
        <v>1417</v>
      </c>
      <c r="D138">
        <v>1</v>
      </c>
      <c r="E138" t="s">
        <v>1418</v>
      </c>
      <c r="F138" t="s">
        <v>7295</v>
      </c>
      <c r="G138" t="s">
        <v>7296</v>
      </c>
      <c r="H138" s="7">
        <f t="shared" si="4"/>
        <v>198275.875</v>
      </c>
      <c r="I138" s="2">
        <v>31724.14</v>
      </c>
    </row>
    <row r="139" spans="1:9">
      <c r="A139" t="s">
        <v>514</v>
      </c>
      <c r="B139" s="1">
        <v>42061</v>
      </c>
      <c r="C139" t="s">
        <v>1414</v>
      </c>
      <c r="D139">
        <v>1</v>
      </c>
      <c r="E139" t="s">
        <v>1415</v>
      </c>
      <c r="F139" t="s">
        <v>7297</v>
      </c>
      <c r="G139" t="s">
        <v>7298</v>
      </c>
      <c r="H139" s="7">
        <f t="shared" si="4"/>
        <v>211206.875</v>
      </c>
      <c r="I139" s="2">
        <v>33793.1</v>
      </c>
    </row>
    <row r="140" spans="1:9">
      <c r="A140" t="s">
        <v>589</v>
      </c>
      <c r="B140" s="1">
        <v>42048</v>
      </c>
      <c r="C140" t="s">
        <v>1507</v>
      </c>
      <c r="D140">
        <v>1</v>
      </c>
      <c r="E140" t="s">
        <v>557</v>
      </c>
      <c r="F140" t="s">
        <v>956</v>
      </c>
      <c r="G140" t="s">
        <v>957</v>
      </c>
      <c r="H140" s="7">
        <f t="shared" si="4"/>
        <v>36890.4375</v>
      </c>
      <c r="I140" s="2">
        <v>5902.47</v>
      </c>
    </row>
    <row r="141" spans="1:9">
      <c r="A141" t="s">
        <v>611</v>
      </c>
      <c r="B141" s="1">
        <v>42063</v>
      </c>
      <c r="C141" t="s">
        <v>1519</v>
      </c>
      <c r="D141">
        <v>1</v>
      </c>
      <c r="E141" t="s">
        <v>1520</v>
      </c>
      <c r="F141" s="32" t="s">
        <v>799</v>
      </c>
      <c r="G141" t="s">
        <v>0</v>
      </c>
      <c r="H141" s="7">
        <f t="shared" si="4"/>
        <v>482264.875</v>
      </c>
      <c r="I141" s="2">
        <v>77162.38</v>
      </c>
    </row>
    <row r="142" spans="1:9">
      <c r="A142" t="s">
        <v>1342</v>
      </c>
      <c r="B142" s="1">
        <v>42042</v>
      </c>
      <c r="C142" t="s">
        <v>1343</v>
      </c>
      <c r="D142">
        <v>1</v>
      </c>
      <c r="E142" t="s">
        <v>1344</v>
      </c>
      <c r="F142" t="s">
        <v>808</v>
      </c>
      <c r="G142" t="s">
        <v>489</v>
      </c>
      <c r="H142" s="7">
        <f t="shared" si="4"/>
        <v>17844.375</v>
      </c>
      <c r="I142" s="2">
        <v>2855.1</v>
      </c>
    </row>
    <row r="143" spans="1:9">
      <c r="A143" t="s">
        <v>1164</v>
      </c>
      <c r="B143" s="1">
        <v>42063</v>
      </c>
      <c r="C143">
        <v>11435</v>
      </c>
      <c r="D143">
        <v>1</v>
      </c>
      <c r="E143" t="s">
        <v>1165</v>
      </c>
      <c r="F143" t="s">
        <v>1577</v>
      </c>
      <c r="G143" t="s">
        <v>1578</v>
      </c>
      <c r="H143" s="7">
        <f t="shared" ref="H143:H147" si="5">+I143/0.16</f>
        <v>83.875</v>
      </c>
      <c r="I143">
        <v>13.42</v>
      </c>
    </row>
    <row r="144" spans="1:9">
      <c r="A144" t="s">
        <v>1129</v>
      </c>
      <c r="B144" s="1">
        <v>42063</v>
      </c>
      <c r="C144" t="s">
        <v>1130</v>
      </c>
      <c r="D144">
        <v>1</v>
      </c>
      <c r="E144" t="s">
        <v>1131</v>
      </c>
      <c r="F144" s="31" t="s">
        <v>797</v>
      </c>
      <c r="G144" s="31" t="s">
        <v>798</v>
      </c>
      <c r="H144" s="7">
        <f t="shared" si="5"/>
        <v>195790.25</v>
      </c>
      <c r="I144" s="2">
        <v>31326.44</v>
      </c>
    </row>
    <row r="145" spans="1:12">
      <c r="A145" t="s">
        <v>1185</v>
      </c>
      <c r="B145" s="1">
        <v>42063</v>
      </c>
      <c r="C145">
        <v>11458</v>
      </c>
      <c r="D145">
        <v>1</v>
      </c>
      <c r="E145" t="s">
        <v>1186</v>
      </c>
      <c r="F145" t="s">
        <v>1561</v>
      </c>
      <c r="G145" t="s">
        <v>1188</v>
      </c>
      <c r="H145" s="7">
        <f t="shared" si="5"/>
        <v>1457.3125</v>
      </c>
      <c r="I145">
        <v>233.17</v>
      </c>
    </row>
    <row r="146" spans="1:12">
      <c r="A146" t="s">
        <v>431</v>
      </c>
      <c r="B146" s="1">
        <v>42040</v>
      </c>
      <c r="C146" t="s">
        <v>1331</v>
      </c>
      <c r="D146">
        <v>1</v>
      </c>
      <c r="E146" t="s">
        <v>1330</v>
      </c>
      <c r="F146" t="s">
        <v>7299</v>
      </c>
      <c r="G146" t="s">
        <v>7300</v>
      </c>
      <c r="H146" s="7">
        <f t="shared" si="5"/>
        <v>106267.24999999999</v>
      </c>
      <c r="I146" s="2">
        <v>17002.759999999998</v>
      </c>
    </row>
    <row r="147" spans="1:12">
      <c r="A147" t="s">
        <v>1328</v>
      </c>
      <c r="B147" s="1">
        <v>42040</v>
      </c>
      <c r="C147" t="s">
        <v>1329</v>
      </c>
      <c r="D147">
        <v>1</v>
      </c>
      <c r="E147" t="s">
        <v>1330</v>
      </c>
      <c r="F147" t="s">
        <v>7299</v>
      </c>
      <c r="G147" t="s">
        <v>7300</v>
      </c>
      <c r="H147" s="7">
        <f t="shared" si="5"/>
        <v>10112</v>
      </c>
      <c r="I147" s="2">
        <v>1617.92</v>
      </c>
    </row>
    <row r="148" spans="1:12">
      <c r="A148" t="s">
        <v>1160</v>
      </c>
      <c r="B148" s="1">
        <v>42063</v>
      </c>
      <c r="C148">
        <v>11437</v>
      </c>
      <c r="D148">
        <v>1</v>
      </c>
      <c r="E148" t="s">
        <v>1161</v>
      </c>
      <c r="F148" t="s">
        <v>722</v>
      </c>
      <c r="G148" t="s">
        <v>723</v>
      </c>
      <c r="H148" s="2">
        <f>I148/0.16</f>
        <v>344.875</v>
      </c>
      <c r="I148" s="2">
        <v>55.18</v>
      </c>
    </row>
    <row r="149" spans="1:12">
      <c r="A149" t="s">
        <v>1160</v>
      </c>
      <c r="B149" s="1">
        <v>42063</v>
      </c>
      <c r="C149">
        <v>11437</v>
      </c>
      <c r="D149">
        <v>1</v>
      </c>
      <c r="E149" t="s">
        <v>1161</v>
      </c>
      <c r="F149" t="s">
        <v>1579</v>
      </c>
      <c r="G149" t="s">
        <v>1580</v>
      </c>
      <c r="H149" s="2">
        <f>I149/0.16</f>
        <v>352.75</v>
      </c>
      <c r="I149" s="2">
        <v>56.44</v>
      </c>
    </row>
    <row r="150" spans="1:12">
      <c r="A150" t="s">
        <v>1160</v>
      </c>
      <c r="B150" s="1">
        <v>42063</v>
      </c>
      <c r="C150">
        <v>11437</v>
      </c>
      <c r="D150">
        <v>1</v>
      </c>
      <c r="E150" t="s">
        <v>1161</v>
      </c>
      <c r="F150" t="s">
        <v>1581</v>
      </c>
      <c r="G150" t="s">
        <v>1582</v>
      </c>
      <c r="H150" s="2">
        <f>I150/0.16</f>
        <v>674.125</v>
      </c>
      <c r="I150" s="2">
        <v>107.86</v>
      </c>
    </row>
    <row r="151" spans="1:12">
      <c r="A151" t="s">
        <v>1160</v>
      </c>
      <c r="B151" s="1">
        <v>42063</v>
      </c>
      <c r="C151">
        <v>11437</v>
      </c>
      <c r="D151">
        <v>1</v>
      </c>
      <c r="E151" t="s">
        <v>1161</v>
      </c>
      <c r="F151" t="s">
        <v>1583</v>
      </c>
      <c r="G151" t="s">
        <v>1584</v>
      </c>
      <c r="H151" s="2">
        <f>I151/0.16</f>
        <v>461.37499999999994</v>
      </c>
      <c r="I151" s="2">
        <v>73.819999999999993</v>
      </c>
      <c r="J151" s="7">
        <f>1833.13-H148-H149-H150-H151</f>
        <v>5.0000000001659828E-3</v>
      </c>
      <c r="K151" s="2">
        <f>293.3-I148-I149-I150-I151</f>
        <v>0</v>
      </c>
    </row>
    <row r="152" spans="1:12">
      <c r="A152" t="s">
        <v>1086</v>
      </c>
      <c r="B152" s="1">
        <v>42059</v>
      </c>
      <c r="C152" t="s">
        <v>1052</v>
      </c>
      <c r="D152">
        <v>1</v>
      </c>
      <c r="E152" t="s">
        <v>1087</v>
      </c>
      <c r="F152" t="s">
        <v>830</v>
      </c>
      <c r="G152" t="s">
        <v>564</v>
      </c>
      <c r="H152" s="7">
        <f t="shared" ref="H152:H175" si="6">+I152/0.16</f>
        <v>224831.37499999997</v>
      </c>
      <c r="I152" s="2">
        <v>35973.019999999997</v>
      </c>
      <c r="J152" s="7">
        <f>+H152-[1]FEBRERO.2015!$H$167</f>
        <v>-1110.8750000000291</v>
      </c>
      <c r="K152" s="2">
        <f>+I152-[1]FEBRERO.2015!$I$167</f>
        <v>-177.74000000000524</v>
      </c>
      <c r="L152" t="s">
        <v>960</v>
      </c>
    </row>
    <row r="153" spans="1:12">
      <c r="A153" t="s">
        <v>1079</v>
      </c>
      <c r="B153" s="1">
        <v>42058</v>
      </c>
      <c r="C153" t="s">
        <v>1080</v>
      </c>
      <c r="D153">
        <v>1</v>
      </c>
      <c r="E153" t="s">
        <v>1081</v>
      </c>
      <c r="F153" s="18" t="s">
        <v>849</v>
      </c>
      <c r="G153" s="19" t="s">
        <v>850</v>
      </c>
      <c r="H153" s="7">
        <f t="shared" si="6"/>
        <v>343547.25</v>
      </c>
      <c r="I153" s="2">
        <v>54967.56</v>
      </c>
      <c r="J153" s="7">
        <f>+H153-[1]FEBRERO.2015!$H$216</f>
        <v>-3838.375</v>
      </c>
      <c r="K153" s="2">
        <f>+I153-[1]FEBRERO.2015!$I$216</f>
        <v>-614.13999999999942</v>
      </c>
      <c r="L153" t="s">
        <v>960</v>
      </c>
    </row>
    <row r="154" spans="1:12">
      <c r="A154" t="s">
        <v>1134</v>
      </c>
      <c r="B154" s="1">
        <v>42063</v>
      </c>
      <c r="C154" t="s">
        <v>1135</v>
      </c>
      <c r="D154">
        <v>1</v>
      </c>
      <c r="E154" t="s">
        <v>1136</v>
      </c>
      <c r="F154" s="16" t="s">
        <v>854</v>
      </c>
      <c r="G154" s="19" t="s">
        <v>855</v>
      </c>
      <c r="H154" s="7">
        <f t="shared" si="6"/>
        <v>156584.1875</v>
      </c>
      <c r="I154" s="2">
        <v>25053.47</v>
      </c>
      <c r="J154" s="7">
        <f>+H154-[1]FEBRERO.2015!$H$222</f>
        <v>1</v>
      </c>
      <c r="K154" s="2">
        <f>+I154-[1]FEBRERO.2015!$I$222</f>
        <v>0.15999999999985448</v>
      </c>
      <c r="L154" t="s">
        <v>960</v>
      </c>
    </row>
    <row r="155" spans="1:12">
      <c r="A155" t="s">
        <v>1235</v>
      </c>
      <c r="B155" s="1">
        <v>42063</v>
      </c>
      <c r="C155" t="s">
        <v>1236</v>
      </c>
      <c r="D155">
        <v>1</v>
      </c>
      <c r="E155" t="s">
        <v>1237</v>
      </c>
      <c r="F155" t="s">
        <v>832</v>
      </c>
      <c r="G155" t="s">
        <v>1585</v>
      </c>
      <c r="H155" s="7">
        <f t="shared" si="6"/>
        <v>3571.125</v>
      </c>
      <c r="I155">
        <v>571.38</v>
      </c>
    </row>
    <row r="156" spans="1:12">
      <c r="A156" t="s">
        <v>1238</v>
      </c>
      <c r="B156" s="1">
        <v>42063</v>
      </c>
      <c r="C156" t="s">
        <v>1239</v>
      </c>
      <c r="D156">
        <v>1</v>
      </c>
      <c r="E156" t="s">
        <v>1237</v>
      </c>
      <c r="F156" t="s">
        <v>832</v>
      </c>
      <c r="G156" t="s">
        <v>1585</v>
      </c>
      <c r="H156" s="7">
        <f t="shared" si="6"/>
        <v>1587.625</v>
      </c>
      <c r="I156">
        <v>254.02</v>
      </c>
    </row>
    <row r="157" spans="1:12">
      <c r="A157" t="s">
        <v>1240</v>
      </c>
      <c r="B157" s="1">
        <v>42063</v>
      </c>
      <c r="C157" t="s">
        <v>1241</v>
      </c>
      <c r="D157">
        <v>1</v>
      </c>
      <c r="E157" t="s">
        <v>1237</v>
      </c>
      <c r="F157" t="s">
        <v>832</v>
      </c>
      <c r="G157" t="s">
        <v>1585</v>
      </c>
      <c r="H157" s="7">
        <f t="shared" si="6"/>
        <v>19652.8125</v>
      </c>
      <c r="I157" s="2">
        <v>3144.45</v>
      </c>
    </row>
    <row r="158" spans="1:12">
      <c r="A158" t="s">
        <v>1242</v>
      </c>
      <c r="B158" s="1">
        <v>42063</v>
      </c>
      <c r="C158" t="s">
        <v>1243</v>
      </c>
      <c r="D158">
        <v>1</v>
      </c>
      <c r="E158" t="s">
        <v>1237</v>
      </c>
      <c r="F158" t="s">
        <v>832</v>
      </c>
      <c r="G158" t="s">
        <v>1585</v>
      </c>
      <c r="H158" s="7">
        <f t="shared" si="6"/>
        <v>18198.8125</v>
      </c>
      <c r="I158" s="2">
        <v>2911.81</v>
      </c>
    </row>
    <row r="159" spans="1:12">
      <c r="A159" t="s">
        <v>1308</v>
      </c>
      <c r="B159" s="1">
        <v>42063</v>
      </c>
      <c r="C159" t="s">
        <v>1309</v>
      </c>
      <c r="D159">
        <v>1</v>
      </c>
      <c r="E159" t="s">
        <v>1310</v>
      </c>
      <c r="F159" t="s">
        <v>7301</v>
      </c>
      <c r="G159" t="s">
        <v>7302</v>
      </c>
      <c r="H159" s="7">
        <f t="shared" si="6"/>
        <v>43965.499999999993</v>
      </c>
      <c r="I159" s="2">
        <v>7034.48</v>
      </c>
    </row>
    <row r="160" spans="1:12">
      <c r="A160" t="s">
        <v>530</v>
      </c>
      <c r="B160" s="1">
        <v>42063</v>
      </c>
      <c r="C160" t="s">
        <v>1421</v>
      </c>
      <c r="D160">
        <v>2</v>
      </c>
      <c r="E160" t="s">
        <v>1422</v>
      </c>
      <c r="F160" t="s">
        <v>857</v>
      </c>
      <c r="G160" t="s">
        <v>315</v>
      </c>
      <c r="H160" s="7">
        <f t="shared" si="6"/>
        <v>29200</v>
      </c>
      <c r="I160" s="2">
        <v>4672</v>
      </c>
    </row>
    <row r="161" spans="1:12">
      <c r="A161" t="s">
        <v>1423</v>
      </c>
      <c r="B161" s="1">
        <v>42063</v>
      </c>
      <c r="C161" t="s">
        <v>1421</v>
      </c>
      <c r="D161">
        <v>1</v>
      </c>
      <c r="E161" t="s">
        <v>1422</v>
      </c>
      <c r="F161" t="s">
        <v>857</v>
      </c>
      <c r="G161" t="s">
        <v>315</v>
      </c>
      <c r="H161" s="7">
        <f t="shared" si="6"/>
        <v>1500</v>
      </c>
      <c r="I161">
        <v>240</v>
      </c>
    </row>
    <row r="162" spans="1:12">
      <c r="A162" t="s">
        <v>1264</v>
      </c>
      <c r="B162" s="1">
        <v>42063</v>
      </c>
      <c r="C162">
        <v>11502</v>
      </c>
      <c r="D162">
        <v>1</v>
      </c>
      <c r="E162" t="s">
        <v>1265</v>
      </c>
      <c r="F162" t="s">
        <v>1646</v>
      </c>
      <c r="G162" t="s">
        <v>1647</v>
      </c>
      <c r="H162" s="7">
        <f t="shared" si="6"/>
        <v>200</v>
      </c>
      <c r="I162">
        <v>32</v>
      </c>
    </row>
    <row r="163" spans="1:12">
      <c r="A163" t="s">
        <v>552</v>
      </c>
      <c r="B163" s="1">
        <v>42041</v>
      </c>
      <c r="C163" t="s">
        <v>1460</v>
      </c>
      <c r="D163">
        <v>1</v>
      </c>
      <c r="E163" t="s">
        <v>1461</v>
      </c>
      <c r="F163" t="s">
        <v>1648</v>
      </c>
      <c r="G163" t="s">
        <v>1649</v>
      </c>
      <c r="H163" s="7">
        <f t="shared" si="6"/>
        <v>1509.75</v>
      </c>
      <c r="I163">
        <v>241.56</v>
      </c>
    </row>
    <row r="164" spans="1:12">
      <c r="A164" t="s">
        <v>566</v>
      </c>
      <c r="B164" s="1">
        <v>42061</v>
      </c>
      <c r="C164" t="s">
        <v>1492</v>
      </c>
      <c r="D164">
        <v>1</v>
      </c>
      <c r="E164" t="s">
        <v>1461</v>
      </c>
      <c r="F164" t="s">
        <v>1648</v>
      </c>
      <c r="G164" t="s">
        <v>1649</v>
      </c>
      <c r="H164" s="7">
        <f t="shared" si="6"/>
        <v>501.1875</v>
      </c>
      <c r="I164">
        <v>80.19</v>
      </c>
    </row>
    <row r="165" spans="1:12">
      <c r="A165" t="s">
        <v>1099</v>
      </c>
      <c r="B165" s="1">
        <v>42061</v>
      </c>
      <c r="C165" t="s">
        <v>1100</v>
      </c>
      <c r="D165">
        <v>1</v>
      </c>
      <c r="E165" t="s">
        <v>1101</v>
      </c>
      <c r="F165" t="s">
        <v>7303</v>
      </c>
      <c r="G165" t="s">
        <v>7304</v>
      </c>
      <c r="H165" s="7">
        <f t="shared" si="6"/>
        <v>3041.375</v>
      </c>
      <c r="I165">
        <v>486.62</v>
      </c>
    </row>
    <row r="166" spans="1:12">
      <c r="A166" t="s">
        <v>548</v>
      </c>
      <c r="B166" s="1">
        <v>42041</v>
      </c>
      <c r="C166" t="s">
        <v>1458</v>
      </c>
      <c r="D166">
        <v>1</v>
      </c>
      <c r="E166" t="s">
        <v>452</v>
      </c>
      <c r="F166" t="s">
        <v>863</v>
      </c>
      <c r="G166" t="s">
        <v>967</v>
      </c>
      <c r="H166" s="7">
        <f t="shared" si="6"/>
        <v>10607.6875</v>
      </c>
      <c r="I166" s="2">
        <v>1697.23</v>
      </c>
    </row>
    <row r="167" spans="1:12">
      <c r="A167" t="s">
        <v>1493</v>
      </c>
      <c r="B167" s="1">
        <v>42061</v>
      </c>
      <c r="C167" t="s">
        <v>1494</v>
      </c>
      <c r="D167">
        <v>1</v>
      </c>
      <c r="E167" t="s">
        <v>452</v>
      </c>
      <c r="F167" t="s">
        <v>863</v>
      </c>
      <c r="G167" t="s">
        <v>967</v>
      </c>
      <c r="H167" s="7">
        <f t="shared" si="6"/>
        <v>23857.0625</v>
      </c>
      <c r="I167" s="2">
        <v>3817.13</v>
      </c>
    </row>
    <row r="168" spans="1:12">
      <c r="A168" t="s">
        <v>1496</v>
      </c>
      <c r="B168" s="1">
        <v>42061</v>
      </c>
      <c r="C168" t="s">
        <v>1497</v>
      </c>
      <c r="D168">
        <v>1</v>
      </c>
      <c r="E168" t="s">
        <v>452</v>
      </c>
      <c r="F168" t="s">
        <v>863</v>
      </c>
      <c r="G168" t="s">
        <v>967</v>
      </c>
      <c r="H168" s="7">
        <f t="shared" si="6"/>
        <v>24635.75</v>
      </c>
      <c r="I168" s="2">
        <v>3941.72</v>
      </c>
    </row>
    <row r="169" spans="1:12">
      <c r="A169" t="s">
        <v>1498</v>
      </c>
      <c r="B169" s="1">
        <v>42048</v>
      </c>
      <c r="C169" t="s">
        <v>1499</v>
      </c>
      <c r="D169">
        <v>1</v>
      </c>
      <c r="E169" t="s">
        <v>452</v>
      </c>
      <c r="F169" t="s">
        <v>863</v>
      </c>
      <c r="G169" t="s">
        <v>967</v>
      </c>
      <c r="H169" s="7">
        <f t="shared" si="6"/>
        <v>46657.4375</v>
      </c>
      <c r="I169" s="2">
        <v>7465.19</v>
      </c>
    </row>
    <row r="170" spans="1:12">
      <c r="A170" t="s">
        <v>1027</v>
      </c>
      <c r="B170" s="1">
        <v>42053</v>
      </c>
      <c r="C170" t="s">
        <v>95</v>
      </c>
      <c r="D170">
        <v>1</v>
      </c>
      <c r="E170" t="s">
        <v>107</v>
      </c>
      <c r="F170" s="32" t="s">
        <v>799</v>
      </c>
      <c r="G170" t="s">
        <v>0</v>
      </c>
      <c r="H170" s="7">
        <f t="shared" si="6"/>
        <v>153537.375</v>
      </c>
      <c r="I170" s="2">
        <v>24565.98</v>
      </c>
      <c r="J170" s="7">
        <f>+H170-[1]FEBRERO.2015!$H$288</f>
        <v>-174.125</v>
      </c>
      <c r="K170" s="2">
        <f>+I170-[1]FEBRERO.2015!$I$288</f>
        <v>-27.860000000000582</v>
      </c>
      <c r="L170" t="s">
        <v>960</v>
      </c>
    </row>
    <row r="171" spans="1:12">
      <c r="A171" t="s">
        <v>1039</v>
      </c>
      <c r="B171" s="1">
        <v>42054</v>
      </c>
      <c r="C171" t="s">
        <v>991</v>
      </c>
      <c r="D171">
        <v>1</v>
      </c>
      <c r="E171" t="s">
        <v>107</v>
      </c>
      <c r="F171" s="32" t="s">
        <v>799</v>
      </c>
      <c r="G171" t="s">
        <v>0</v>
      </c>
      <c r="H171" s="7">
        <f t="shared" si="6"/>
        <v>195789.3125</v>
      </c>
      <c r="I171" s="2">
        <v>31326.29</v>
      </c>
      <c r="J171" s="7">
        <f>+H171-[1]FEBRERO.2015!$H$291</f>
        <v>-974.8125</v>
      </c>
      <c r="K171" s="2">
        <f>+I171-[1]FEBRERO.2015!$I$291</f>
        <v>-155.96999999999753</v>
      </c>
      <c r="L171" t="s">
        <v>960</v>
      </c>
    </row>
    <row r="172" spans="1:12">
      <c r="A172" t="s">
        <v>1016</v>
      </c>
      <c r="B172" s="1">
        <v>42048</v>
      </c>
      <c r="C172" t="s">
        <v>992</v>
      </c>
      <c r="D172">
        <v>1</v>
      </c>
      <c r="E172" t="s">
        <v>107</v>
      </c>
      <c r="F172" s="32" t="s">
        <v>799</v>
      </c>
      <c r="G172" t="s">
        <v>0</v>
      </c>
      <c r="H172" s="7">
        <f t="shared" si="6"/>
        <v>163934.875</v>
      </c>
      <c r="I172" s="2">
        <v>26229.58</v>
      </c>
      <c r="J172" s="7">
        <f>+H172-[1]FEBRERO.2015!$H$275</f>
        <v>-173.3125</v>
      </c>
      <c r="K172" s="2">
        <f>+I172-[1]FEBRERO.2015!$I$275</f>
        <v>-27.729999999999563</v>
      </c>
      <c r="L172" t="s">
        <v>960</v>
      </c>
    </row>
    <row r="173" spans="1:12">
      <c r="A173" t="s">
        <v>1001</v>
      </c>
      <c r="B173" s="1">
        <v>42046</v>
      </c>
      <c r="C173" t="s">
        <v>1002</v>
      </c>
      <c r="D173">
        <v>1</v>
      </c>
      <c r="E173" t="s">
        <v>107</v>
      </c>
      <c r="F173" s="32" t="s">
        <v>799</v>
      </c>
      <c r="G173" t="s">
        <v>0</v>
      </c>
      <c r="H173" s="7">
        <f t="shared" si="6"/>
        <v>185203.25</v>
      </c>
      <c r="I173" s="2">
        <v>29632.52</v>
      </c>
      <c r="J173" s="7">
        <f>+H173-[1]FEBRERO.2015!$H$270</f>
        <v>-922.375</v>
      </c>
      <c r="K173" s="2">
        <f>+I173-[1]FEBRERO.2015!$I$270</f>
        <v>-147.57999999999811</v>
      </c>
      <c r="L173" t="s">
        <v>960</v>
      </c>
    </row>
    <row r="174" spans="1:12">
      <c r="A174" t="s">
        <v>1034</v>
      </c>
      <c r="B174" s="1">
        <v>42053</v>
      </c>
      <c r="C174" t="s">
        <v>1035</v>
      </c>
      <c r="D174">
        <v>1</v>
      </c>
      <c r="E174" t="s">
        <v>107</v>
      </c>
      <c r="F174" s="32" t="s">
        <v>799</v>
      </c>
      <c r="G174" t="s">
        <v>0</v>
      </c>
      <c r="H174" s="7">
        <f t="shared" si="6"/>
        <v>261403.06249999997</v>
      </c>
      <c r="I174" s="2">
        <v>41824.49</v>
      </c>
      <c r="J174" s="7">
        <f>+H174-[1]FEBRERO.2015!$H$289</f>
        <v>501.3124999999709</v>
      </c>
      <c r="K174" s="2">
        <f>+I174-[1]FEBRERO.2015!$I$289</f>
        <v>80.209999999999127</v>
      </c>
      <c r="L174" t="s">
        <v>960</v>
      </c>
    </row>
    <row r="175" spans="1:12">
      <c r="A175" t="s">
        <v>1090</v>
      </c>
      <c r="B175" s="1">
        <v>42060</v>
      </c>
      <c r="C175" t="s">
        <v>1091</v>
      </c>
      <c r="D175">
        <v>1</v>
      </c>
      <c r="E175" t="s">
        <v>107</v>
      </c>
      <c r="F175" s="32" t="s">
        <v>799</v>
      </c>
      <c r="G175" t="s">
        <v>0</v>
      </c>
      <c r="H175" s="7">
        <f t="shared" si="6"/>
        <v>329117.9375</v>
      </c>
      <c r="I175" s="2">
        <v>52658.87</v>
      </c>
      <c r="J175" s="7">
        <f>+H175-[1]FEBRERO.2015!$H$312</f>
        <v>28103.3125</v>
      </c>
      <c r="K175" s="2">
        <f>+I175-[1]FEBRERO.2015!$I$312</f>
        <v>4496.5300000000061</v>
      </c>
      <c r="L175" t="s">
        <v>960</v>
      </c>
    </row>
    <row r="176" spans="1:12">
      <c r="A176" t="s">
        <v>1305</v>
      </c>
      <c r="B176" s="1">
        <v>42063</v>
      </c>
      <c r="C176" t="s">
        <v>1306</v>
      </c>
      <c r="D176">
        <v>1</v>
      </c>
      <c r="E176" t="s">
        <v>1307</v>
      </c>
      <c r="F176" t="s">
        <v>714</v>
      </c>
      <c r="G176" t="s">
        <v>715</v>
      </c>
      <c r="H176" s="2">
        <f>I176/0.16</f>
        <v>126.75</v>
      </c>
      <c r="I176" s="2">
        <v>20.28</v>
      </c>
    </row>
    <row r="177" spans="1:11">
      <c r="A177" t="s">
        <v>1305</v>
      </c>
      <c r="B177" s="1">
        <v>42063</v>
      </c>
      <c r="C177" t="s">
        <v>1306</v>
      </c>
      <c r="D177">
        <v>1</v>
      </c>
      <c r="E177" t="s">
        <v>1307</v>
      </c>
      <c r="F177" t="s">
        <v>778</v>
      </c>
      <c r="G177" t="s">
        <v>779</v>
      </c>
      <c r="H177" s="2">
        <f>I177/0.16</f>
        <v>293.75</v>
      </c>
      <c r="I177" s="2">
        <v>47</v>
      </c>
    </row>
    <row r="178" spans="1:11">
      <c r="A178" t="s">
        <v>1305</v>
      </c>
      <c r="B178" s="1">
        <v>42063</v>
      </c>
      <c r="C178" t="s">
        <v>1306</v>
      </c>
      <c r="D178">
        <v>1</v>
      </c>
      <c r="E178" t="s">
        <v>1307</v>
      </c>
      <c r="F178" t="s">
        <v>722</v>
      </c>
      <c r="G178" t="s">
        <v>723</v>
      </c>
      <c r="H178" s="2">
        <f>I178/0.16</f>
        <v>56.0625</v>
      </c>
      <c r="I178" s="2">
        <v>8.9700000000000006</v>
      </c>
    </row>
    <row r="179" spans="1:11">
      <c r="A179" t="s">
        <v>1305</v>
      </c>
      <c r="B179" s="1">
        <v>42063</v>
      </c>
      <c r="C179" t="s">
        <v>1306</v>
      </c>
      <c r="D179">
        <v>1</v>
      </c>
      <c r="E179" t="s">
        <v>1307</v>
      </c>
      <c r="F179" t="s">
        <v>929</v>
      </c>
      <c r="G179" t="s">
        <v>930</v>
      </c>
      <c r="H179" s="2">
        <f>I179/0.16</f>
        <v>68.9375</v>
      </c>
      <c r="I179" s="2">
        <v>11.03</v>
      </c>
      <c r="J179" s="7">
        <f>545.5-H176-H177-H178-H179</f>
        <v>0</v>
      </c>
      <c r="K179" s="2">
        <f>87.28-I176-I177-I178-I179</f>
        <v>0</v>
      </c>
    </row>
    <row r="180" spans="1:11">
      <c r="A180" t="s">
        <v>993</v>
      </c>
      <c r="B180" s="1">
        <v>42045</v>
      </c>
      <c r="C180" t="s">
        <v>994</v>
      </c>
      <c r="D180">
        <v>1</v>
      </c>
      <c r="E180" t="s">
        <v>995</v>
      </c>
      <c r="F180" s="25" t="s">
        <v>1643</v>
      </c>
      <c r="G180" s="17" t="s">
        <v>1644</v>
      </c>
      <c r="H180" s="7">
        <f t="shared" ref="H180:H211" si="7">+I180/0.16</f>
        <v>217061.875</v>
      </c>
      <c r="I180" s="2">
        <v>34729.9</v>
      </c>
    </row>
    <row r="181" spans="1:11">
      <c r="A181" t="s">
        <v>1314</v>
      </c>
      <c r="B181" s="1">
        <v>42045</v>
      </c>
      <c r="C181" t="s">
        <v>1315</v>
      </c>
      <c r="D181">
        <v>1</v>
      </c>
      <c r="E181" t="s">
        <v>1316</v>
      </c>
      <c r="F181" t="s">
        <v>716</v>
      </c>
      <c r="G181" t="s">
        <v>717</v>
      </c>
      <c r="H181" s="7">
        <f t="shared" si="7"/>
        <v>1181.25</v>
      </c>
      <c r="I181" s="7">
        <v>189</v>
      </c>
    </row>
    <row r="182" spans="1:11">
      <c r="A182" t="s">
        <v>1314</v>
      </c>
      <c r="B182" s="1">
        <v>42045</v>
      </c>
      <c r="C182" t="s">
        <v>1315</v>
      </c>
      <c r="D182">
        <v>1</v>
      </c>
      <c r="E182" t="s">
        <v>1316</v>
      </c>
      <c r="F182" t="s">
        <v>714</v>
      </c>
      <c r="G182" t="s">
        <v>715</v>
      </c>
      <c r="H182" s="7">
        <f t="shared" si="7"/>
        <v>571.5625</v>
      </c>
      <c r="I182" s="2">
        <v>91.45</v>
      </c>
    </row>
    <row r="183" spans="1:11">
      <c r="A183" t="s">
        <v>1314</v>
      </c>
      <c r="B183" s="1">
        <v>42045</v>
      </c>
      <c r="C183" t="s">
        <v>1315</v>
      </c>
      <c r="D183">
        <v>1</v>
      </c>
      <c r="E183" t="s">
        <v>1316</v>
      </c>
      <c r="F183" t="s">
        <v>3689</v>
      </c>
      <c r="G183" t="s">
        <v>7344</v>
      </c>
      <c r="H183" s="7">
        <f t="shared" si="7"/>
        <v>172.4375</v>
      </c>
      <c r="I183" s="2">
        <v>27.59</v>
      </c>
    </row>
    <row r="184" spans="1:11">
      <c r="A184" t="s">
        <v>1314</v>
      </c>
      <c r="B184" s="1">
        <v>42045</v>
      </c>
      <c r="C184" t="s">
        <v>1315</v>
      </c>
      <c r="D184">
        <v>1</v>
      </c>
      <c r="E184" t="s">
        <v>1316</v>
      </c>
      <c r="F184" t="s">
        <v>3689</v>
      </c>
      <c r="G184" t="s">
        <v>7344</v>
      </c>
      <c r="H184" s="7">
        <f t="shared" si="7"/>
        <v>150.875</v>
      </c>
      <c r="I184" s="2">
        <v>24.14</v>
      </c>
      <c r="J184" s="7">
        <f>2076.13-H181-H182-H183-H184</f>
        <v>5.0000000001091394E-3</v>
      </c>
      <c r="K184" s="60">
        <f>332.18-I181-I182-I183-I184</f>
        <v>0</v>
      </c>
    </row>
    <row r="185" spans="1:11">
      <c r="A185" t="s">
        <v>456</v>
      </c>
      <c r="B185" s="1">
        <v>42048</v>
      </c>
      <c r="C185" t="s">
        <v>1366</v>
      </c>
      <c r="D185">
        <v>1</v>
      </c>
      <c r="E185" t="s">
        <v>1367</v>
      </c>
      <c r="F185" t="s">
        <v>1586</v>
      </c>
      <c r="G185" t="s">
        <v>1367</v>
      </c>
      <c r="H185" s="7">
        <f t="shared" si="7"/>
        <v>16500</v>
      </c>
      <c r="I185" s="2">
        <v>2640</v>
      </c>
    </row>
    <row r="186" spans="1:11">
      <c r="A186" t="s">
        <v>1407</v>
      </c>
      <c r="B186" s="1">
        <v>42059</v>
      </c>
      <c r="C186" t="s">
        <v>1408</v>
      </c>
      <c r="D186">
        <v>1</v>
      </c>
      <c r="E186" t="s">
        <v>585</v>
      </c>
      <c r="F186" t="s">
        <v>835</v>
      </c>
      <c r="G186" t="s">
        <v>585</v>
      </c>
      <c r="H186" s="7">
        <f t="shared" si="7"/>
        <v>1648.9999999999998</v>
      </c>
      <c r="I186">
        <v>263.83999999999997</v>
      </c>
    </row>
    <row r="187" spans="1:11">
      <c r="A187" t="s">
        <v>510</v>
      </c>
      <c r="B187" s="1">
        <v>42061</v>
      </c>
      <c r="C187" t="s">
        <v>1413</v>
      </c>
      <c r="D187">
        <v>2</v>
      </c>
      <c r="E187" t="s">
        <v>472</v>
      </c>
      <c r="F187" t="s">
        <v>836</v>
      </c>
      <c r="G187" t="s">
        <v>472</v>
      </c>
      <c r="H187" s="7">
        <f t="shared" si="7"/>
        <v>3061.1875</v>
      </c>
      <c r="I187">
        <v>489.79</v>
      </c>
    </row>
    <row r="188" spans="1:11">
      <c r="A188" t="s">
        <v>1490</v>
      </c>
      <c r="B188" s="1">
        <v>42048</v>
      </c>
      <c r="C188" t="s">
        <v>1442</v>
      </c>
      <c r="D188">
        <v>2</v>
      </c>
      <c r="E188" t="s">
        <v>472</v>
      </c>
      <c r="F188" t="s">
        <v>836</v>
      </c>
      <c r="G188" t="s">
        <v>472</v>
      </c>
      <c r="H188" s="7">
        <f t="shared" si="7"/>
        <v>5510.0625</v>
      </c>
      <c r="I188">
        <v>881.61</v>
      </c>
    </row>
    <row r="189" spans="1:11">
      <c r="A189" t="s">
        <v>1182</v>
      </c>
      <c r="B189" s="1">
        <v>42063</v>
      </c>
      <c r="C189">
        <v>11454</v>
      </c>
      <c r="D189">
        <v>1</v>
      </c>
      <c r="E189" t="s">
        <v>261</v>
      </c>
      <c r="F189" t="s">
        <v>837</v>
      </c>
      <c r="G189" t="s">
        <v>261</v>
      </c>
      <c r="H189" s="7">
        <f t="shared" si="7"/>
        <v>120.4375</v>
      </c>
      <c r="I189">
        <v>19.27</v>
      </c>
    </row>
    <row r="190" spans="1:11">
      <c r="A190" t="s">
        <v>1256</v>
      </c>
      <c r="B190" s="1">
        <v>42063</v>
      </c>
      <c r="C190">
        <v>11493</v>
      </c>
      <c r="D190">
        <v>1</v>
      </c>
      <c r="E190" t="s">
        <v>261</v>
      </c>
      <c r="F190" t="s">
        <v>837</v>
      </c>
      <c r="G190" t="s">
        <v>261</v>
      </c>
      <c r="H190" s="7">
        <f t="shared" si="7"/>
        <v>99.8125</v>
      </c>
      <c r="I190">
        <v>15.97</v>
      </c>
    </row>
    <row r="191" spans="1:11">
      <c r="A191" t="s">
        <v>1257</v>
      </c>
      <c r="B191" s="1">
        <v>42063</v>
      </c>
      <c r="C191">
        <v>11494</v>
      </c>
      <c r="D191">
        <v>1</v>
      </c>
      <c r="E191" t="s">
        <v>261</v>
      </c>
      <c r="F191" t="s">
        <v>837</v>
      </c>
      <c r="G191" t="s">
        <v>261</v>
      </c>
      <c r="H191" s="7">
        <f t="shared" si="7"/>
        <v>476.75</v>
      </c>
      <c r="I191">
        <v>76.28</v>
      </c>
    </row>
    <row r="192" spans="1:11">
      <c r="A192" t="s">
        <v>1147</v>
      </c>
      <c r="B192" s="1">
        <v>42063</v>
      </c>
      <c r="C192">
        <v>1203</v>
      </c>
      <c r="D192">
        <v>1</v>
      </c>
      <c r="E192" t="s">
        <v>1148</v>
      </c>
      <c r="F192" t="s">
        <v>805</v>
      </c>
      <c r="G192" t="s">
        <v>1148</v>
      </c>
      <c r="H192" s="7">
        <f t="shared" si="7"/>
        <v>290</v>
      </c>
      <c r="I192">
        <v>46.4</v>
      </c>
    </row>
    <row r="193" spans="1:9">
      <c r="A193" t="s">
        <v>1252</v>
      </c>
      <c r="B193" s="1">
        <v>42063</v>
      </c>
      <c r="C193">
        <v>11479</v>
      </c>
      <c r="D193">
        <v>1</v>
      </c>
      <c r="E193" t="s">
        <v>283</v>
      </c>
      <c r="F193" t="s">
        <v>768</v>
      </c>
      <c r="G193" t="s">
        <v>283</v>
      </c>
      <c r="H193" s="7">
        <f t="shared" si="7"/>
        <v>358.5</v>
      </c>
      <c r="I193">
        <v>57.36</v>
      </c>
    </row>
    <row r="194" spans="1:9">
      <c r="A194" t="s">
        <v>1253</v>
      </c>
      <c r="B194" s="1">
        <v>42063</v>
      </c>
      <c r="C194">
        <v>11480</v>
      </c>
      <c r="D194">
        <v>1</v>
      </c>
      <c r="E194" t="s">
        <v>283</v>
      </c>
      <c r="F194" t="s">
        <v>768</v>
      </c>
      <c r="G194" t="s">
        <v>283</v>
      </c>
      <c r="H194" s="7">
        <f t="shared" si="7"/>
        <v>358.5</v>
      </c>
      <c r="I194">
        <v>57.36</v>
      </c>
    </row>
    <row r="195" spans="1:9">
      <c r="A195" t="s">
        <v>1255</v>
      </c>
      <c r="B195" s="1">
        <v>42063</v>
      </c>
      <c r="C195">
        <v>11484</v>
      </c>
      <c r="D195">
        <v>1</v>
      </c>
      <c r="E195" t="s">
        <v>283</v>
      </c>
      <c r="F195" t="s">
        <v>768</v>
      </c>
      <c r="G195" t="s">
        <v>283</v>
      </c>
      <c r="H195" s="7">
        <f t="shared" si="7"/>
        <v>140.3125</v>
      </c>
      <c r="I195">
        <v>22.45</v>
      </c>
    </row>
    <row r="196" spans="1:9">
      <c r="A196" t="s">
        <v>504</v>
      </c>
      <c r="B196" s="1">
        <v>42060</v>
      </c>
      <c r="C196" t="s">
        <v>1411</v>
      </c>
      <c r="D196">
        <v>1</v>
      </c>
      <c r="E196" t="s">
        <v>496</v>
      </c>
      <c r="F196" t="s">
        <v>968</v>
      </c>
      <c r="G196" t="s">
        <v>496</v>
      </c>
      <c r="H196" s="7">
        <f t="shared" si="7"/>
        <v>65852.0625</v>
      </c>
      <c r="I196" s="2">
        <v>10536.33</v>
      </c>
    </row>
    <row r="197" spans="1:9">
      <c r="A197" t="s">
        <v>1246</v>
      </c>
      <c r="B197" s="1">
        <v>42063</v>
      </c>
      <c r="C197">
        <v>11473</v>
      </c>
      <c r="D197">
        <v>1</v>
      </c>
      <c r="E197" t="s">
        <v>409</v>
      </c>
      <c r="F197" t="s">
        <v>840</v>
      </c>
      <c r="G197" t="s">
        <v>409</v>
      </c>
      <c r="H197" s="7">
        <f t="shared" si="7"/>
        <v>222.43750000000003</v>
      </c>
      <c r="I197">
        <v>35.590000000000003</v>
      </c>
    </row>
    <row r="198" spans="1:9">
      <c r="A198" t="s">
        <v>1263</v>
      </c>
      <c r="B198" s="1">
        <v>42063</v>
      </c>
      <c r="C198">
        <v>11501</v>
      </c>
      <c r="D198">
        <v>1</v>
      </c>
      <c r="E198" t="s">
        <v>409</v>
      </c>
      <c r="F198" t="s">
        <v>840</v>
      </c>
      <c r="G198" t="s">
        <v>409</v>
      </c>
      <c r="H198" s="7">
        <f t="shared" si="7"/>
        <v>35</v>
      </c>
      <c r="I198">
        <v>5.6</v>
      </c>
    </row>
    <row r="199" spans="1:9">
      <c r="A199" t="s">
        <v>1266</v>
      </c>
      <c r="B199" s="1">
        <v>42063</v>
      </c>
      <c r="C199">
        <v>11504</v>
      </c>
      <c r="D199">
        <v>1</v>
      </c>
      <c r="E199" t="s">
        <v>1267</v>
      </c>
      <c r="F199" t="s">
        <v>1587</v>
      </c>
      <c r="G199" t="s">
        <v>1267</v>
      </c>
      <c r="H199" s="7">
        <f t="shared" si="7"/>
        <v>170</v>
      </c>
      <c r="I199">
        <v>27.2</v>
      </c>
    </row>
    <row r="200" spans="1:9">
      <c r="A200" t="s">
        <v>1350</v>
      </c>
      <c r="B200" s="1">
        <v>42044</v>
      </c>
      <c r="C200" t="s">
        <v>1351</v>
      </c>
      <c r="D200">
        <v>1</v>
      </c>
      <c r="E200" t="s">
        <v>544</v>
      </c>
      <c r="F200" t="s">
        <v>841</v>
      </c>
      <c r="G200" t="s">
        <v>544</v>
      </c>
      <c r="H200" s="7">
        <f t="shared" si="7"/>
        <v>4006</v>
      </c>
      <c r="I200">
        <v>640.96</v>
      </c>
    </row>
    <row r="201" spans="1:9">
      <c r="A201" t="s">
        <v>1347</v>
      </c>
      <c r="B201" s="1">
        <v>42044</v>
      </c>
      <c r="C201" t="s">
        <v>1348</v>
      </c>
      <c r="D201">
        <v>2</v>
      </c>
      <c r="E201" t="s">
        <v>1349</v>
      </c>
      <c r="F201" t="s">
        <v>1588</v>
      </c>
      <c r="G201" t="s">
        <v>1349</v>
      </c>
      <c r="H201" s="7">
        <f t="shared" si="7"/>
        <v>9500</v>
      </c>
      <c r="I201" s="2">
        <v>1520</v>
      </c>
    </row>
    <row r="202" spans="1:9">
      <c r="A202" t="s">
        <v>1339</v>
      </c>
      <c r="B202" s="1">
        <v>42042</v>
      </c>
      <c r="C202" t="s">
        <v>1340</v>
      </c>
      <c r="D202">
        <v>1</v>
      </c>
      <c r="E202" t="s">
        <v>1341</v>
      </c>
      <c r="F202" t="s">
        <v>1589</v>
      </c>
      <c r="G202" t="s">
        <v>1341</v>
      </c>
      <c r="H202" s="7">
        <f t="shared" si="7"/>
        <v>109058.8125</v>
      </c>
      <c r="I202" s="2">
        <v>17449.41</v>
      </c>
    </row>
    <row r="203" spans="1:9">
      <c r="A203" t="s">
        <v>545</v>
      </c>
      <c r="B203" s="1">
        <v>42041</v>
      </c>
      <c r="C203" t="s">
        <v>1448</v>
      </c>
      <c r="D203">
        <v>1</v>
      </c>
      <c r="E203" t="s">
        <v>1341</v>
      </c>
      <c r="F203" t="s">
        <v>1589</v>
      </c>
      <c r="G203" t="s">
        <v>1341</v>
      </c>
      <c r="H203" s="7">
        <f t="shared" si="7"/>
        <v>1720</v>
      </c>
      <c r="I203">
        <v>275.2</v>
      </c>
    </row>
    <row r="204" spans="1:9">
      <c r="A204" t="s">
        <v>1269</v>
      </c>
      <c r="B204" s="1">
        <v>42063</v>
      </c>
      <c r="C204">
        <v>11506</v>
      </c>
      <c r="D204">
        <v>1</v>
      </c>
      <c r="E204" t="s">
        <v>1270</v>
      </c>
      <c r="F204" t="s">
        <v>1590</v>
      </c>
      <c r="G204" t="s">
        <v>1270</v>
      </c>
      <c r="H204" s="7">
        <f t="shared" si="7"/>
        <v>120.68749999999999</v>
      </c>
      <c r="I204">
        <v>19.309999999999999</v>
      </c>
    </row>
    <row r="205" spans="1:9">
      <c r="A205" t="s">
        <v>1456</v>
      </c>
      <c r="B205" s="1">
        <v>42041</v>
      </c>
      <c r="C205" t="s">
        <v>1457</v>
      </c>
      <c r="D205">
        <v>1</v>
      </c>
      <c r="E205" t="s">
        <v>470</v>
      </c>
      <c r="F205" t="s">
        <v>843</v>
      </c>
      <c r="G205" t="s">
        <v>470</v>
      </c>
      <c r="H205" s="7">
        <f t="shared" si="7"/>
        <v>2474</v>
      </c>
      <c r="I205">
        <v>395.84</v>
      </c>
    </row>
    <row r="206" spans="1:9">
      <c r="A206" t="s">
        <v>1451</v>
      </c>
      <c r="B206" s="1">
        <v>42041</v>
      </c>
      <c r="C206" t="s">
        <v>1452</v>
      </c>
      <c r="D206">
        <v>2</v>
      </c>
      <c r="E206" t="s">
        <v>665</v>
      </c>
      <c r="F206" t="s">
        <v>844</v>
      </c>
      <c r="G206" t="s">
        <v>665</v>
      </c>
      <c r="H206" s="7">
        <f t="shared" si="7"/>
        <v>400</v>
      </c>
      <c r="I206">
        <v>64</v>
      </c>
    </row>
    <row r="207" spans="1:9">
      <c r="A207" t="s">
        <v>1481</v>
      </c>
      <c r="B207" s="1">
        <v>42062</v>
      </c>
      <c r="C207" t="s">
        <v>1482</v>
      </c>
      <c r="D207">
        <v>2</v>
      </c>
      <c r="E207" t="s">
        <v>665</v>
      </c>
      <c r="F207" t="s">
        <v>844</v>
      </c>
      <c r="G207" t="s">
        <v>665</v>
      </c>
      <c r="H207" s="7">
        <f t="shared" si="7"/>
        <v>3500</v>
      </c>
      <c r="I207">
        <v>560</v>
      </c>
    </row>
    <row r="208" spans="1:9">
      <c r="A208" t="s">
        <v>597</v>
      </c>
      <c r="B208" s="1">
        <v>42048</v>
      </c>
      <c r="C208" t="s">
        <v>1505</v>
      </c>
      <c r="D208">
        <v>2</v>
      </c>
      <c r="E208" t="s">
        <v>665</v>
      </c>
      <c r="F208" t="s">
        <v>844</v>
      </c>
      <c r="G208" t="s">
        <v>665</v>
      </c>
      <c r="H208" s="7">
        <f t="shared" si="7"/>
        <v>1500</v>
      </c>
      <c r="I208">
        <v>240</v>
      </c>
    </row>
    <row r="209" spans="1:9">
      <c r="A209" t="s">
        <v>1352</v>
      </c>
      <c r="B209" s="1">
        <v>42044</v>
      </c>
      <c r="C209" t="s">
        <v>1353</v>
      </c>
      <c r="D209">
        <v>1</v>
      </c>
      <c r="E209" t="s">
        <v>532</v>
      </c>
      <c r="F209" s="20" t="s">
        <v>845</v>
      </c>
      <c r="G209" s="25" t="s">
        <v>532</v>
      </c>
      <c r="H209" s="7">
        <f t="shared" si="7"/>
        <v>132978.75</v>
      </c>
      <c r="I209" s="2">
        <v>21276.6</v>
      </c>
    </row>
    <row r="210" spans="1:9">
      <c r="A210" t="s">
        <v>563</v>
      </c>
      <c r="B210" s="1">
        <v>42061</v>
      </c>
      <c r="C210" t="s">
        <v>1491</v>
      </c>
      <c r="D210">
        <v>1</v>
      </c>
      <c r="E210" t="s">
        <v>663</v>
      </c>
      <c r="F210" t="s">
        <v>846</v>
      </c>
      <c r="G210" t="s">
        <v>663</v>
      </c>
      <c r="H210" s="7">
        <f t="shared" si="7"/>
        <v>3785.625</v>
      </c>
      <c r="I210">
        <v>605.70000000000005</v>
      </c>
    </row>
    <row r="211" spans="1:9">
      <c r="A211" t="s">
        <v>1508</v>
      </c>
      <c r="B211" s="1">
        <v>42048</v>
      </c>
      <c r="C211" t="s">
        <v>1509</v>
      </c>
      <c r="D211">
        <v>1</v>
      </c>
      <c r="E211" t="s">
        <v>663</v>
      </c>
      <c r="F211" t="s">
        <v>846</v>
      </c>
      <c r="G211" t="s">
        <v>663</v>
      </c>
      <c r="H211" s="7">
        <f t="shared" si="7"/>
        <v>3640</v>
      </c>
      <c r="I211">
        <v>582.4</v>
      </c>
    </row>
    <row r="212" spans="1:9">
      <c r="A212" t="s">
        <v>494</v>
      </c>
      <c r="B212" s="1">
        <v>42056</v>
      </c>
      <c r="C212" t="s">
        <v>1381</v>
      </c>
      <c r="D212">
        <v>1</v>
      </c>
      <c r="E212" t="s">
        <v>1382</v>
      </c>
      <c r="F212" s="16" t="s">
        <v>1591</v>
      </c>
      <c r="G212" t="s">
        <v>1382</v>
      </c>
      <c r="H212" s="7">
        <f t="shared" ref="H212:H243" si="8">+I212/0.16</f>
        <v>43103.4375</v>
      </c>
      <c r="I212" s="2">
        <v>6896.55</v>
      </c>
    </row>
    <row r="213" spans="1:9">
      <c r="A213" t="s">
        <v>1271</v>
      </c>
      <c r="B213" s="1">
        <v>42063</v>
      </c>
      <c r="C213">
        <v>11507</v>
      </c>
      <c r="D213">
        <v>1</v>
      </c>
      <c r="E213" t="s">
        <v>411</v>
      </c>
      <c r="F213" t="s">
        <v>847</v>
      </c>
      <c r="G213" t="s">
        <v>1167</v>
      </c>
      <c r="H213" s="7">
        <f t="shared" si="8"/>
        <v>68.75</v>
      </c>
      <c r="I213">
        <v>11</v>
      </c>
    </row>
    <row r="214" spans="1:9">
      <c r="A214" t="s">
        <v>1166</v>
      </c>
      <c r="B214" s="1">
        <v>42063</v>
      </c>
      <c r="C214">
        <v>11434</v>
      </c>
      <c r="D214">
        <v>1</v>
      </c>
      <c r="E214" t="s">
        <v>1167</v>
      </c>
      <c r="F214" t="s">
        <v>847</v>
      </c>
      <c r="G214" t="s">
        <v>1167</v>
      </c>
      <c r="H214" s="7">
        <f t="shared" si="8"/>
        <v>120.75</v>
      </c>
      <c r="I214">
        <v>19.32</v>
      </c>
    </row>
    <row r="215" spans="1:9">
      <c r="A215" t="s">
        <v>1485</v>
      </c>
      <c r="B215" s="1">
        <v>42061</v>
      </c>
      <c r="C215" t="s">
        <v>1486</v>
      </c>
      <c r="D215">
        <v>1</v>
      </c>
      <c r="E215" t="s">
        <v>449</v>
      </c>
      <c r="F215" t="s">
        <v>848</v>
      </c>
      <c r="G215" t="s">
        <v>449</v>
      </c>
      <c r="H215" s="7">
        <f t="shared" si="8"/>
        <v>17900</v>
      </c>
      <c r="I215" s="2">
        <v>2864</v>
      </c>
    </row>
    <row r="216" spans="1:9">
      <c r="A216" t="s">
        <v>571</v>
      </c>
      <c r="B216" s="1">
        <v>42048</v>
      </c>
      <c r="C216" t="s">
        <v>1503</v>
      </c>
      <c r="D216">
        <v>1</v>
      </c>
      <c r="E216" t="s">
        <v>449</v>
      </c>
      <c r="F216" t="s">
        <v>848</v>
      </c>
      <c r="G216" t="s">
        <v>449</v>
      </c>
      <c r="H216" s="7">
        <f t="shared" si="8"/>
        <v>34600</v>
      </c>
      <c r="I216" s="2">
        <v>5536</v>
      </c>
    </row>
    <row r="217" spans="1:9">
      <c r="A217" t="s">
        <v>1488</v>
      </c>
      <c r="B217" s="1">
        <v>42061</v>
      </c>
      <c r="C217" t="s">
        <v>1489</v>
      </c>
      <c r="D217">
        <v>1</v>
      </c>
      <c r="E217" t="s">
        <v>645</v>
      </c>
      <c r="F217" t="s">
        <v>769</v>
      </c>
      <c r="G217" t="s">
        <v>645</v>
      </c>
      <c r="H217" s="7">
        <f t="shared" si="8"/>
        <v>6637.5</v>
      </c>
      <c r="I217" s="2">
        <v>1062</v>
      </c>
    </row>
    <row r="218" spans="1:9">
      <c r="A218" t="s">
        <v>591</v>
      </c>
      <c r="B218" s="1">
        <v>42048</v>
      </c>
      <c r="C218" t="s">
        <v>1510</v>
      </c>
      <c r="D218">
        <v>1</v>
      </c>
      <c r="E218" t="s">
        <v>645</v>
      </c>
      <c r="F218" t="s">
        <v>769</v>
      </c>
      <c r="G218" t="s">
        <v>645</v>
      </c>
      <c r="H218" s="7">
        <f t="shared" si="8"/>
        <v>6801.625</v>
      </c>
      <c r="I218" s="2">
        <v>1088.26</v>
      </c>
    </row>
    <row r="219" spans="1:9">
      <c r="A219" t="s">
        <v>1262</v>
      </c>
      <c r="B219" s="1">
        <v>42063</v>
      </c>
      <c r="C219">
        <v>11498</v>
      </c>
      <c r="D219">
        <v>1</v>
      </c>
      <c r="E219" t="s">
        <v>321</v>
      </c>
      <c r="F219" t="s">
        <v>769</v>
      </c>
      <c r="G219" t="s">
        <v>321</v>
      </c>
      <c r="H219" s="7">
        <f t="shared" si="8"/>
        <v>59.499999999999993</v>
      </c>
      <c r="I219">
        <v>9.52</v>
      </c>
    </row>
    <row r="220" spans="1:9">
      <c r="A220" t="s">
        <v>198</v>
      </c>
      <c r="B220" s="1">
        <v>42063</v>
      </c>
      <c r="C220">
        <v>11499</v>
      </c>
      <c r="D220">
        <v>1</v>
      </c>
      <c r="E220" t="s">
        <v>321</v>
      </c>
      <c r="F220" t="s">
        <v>769</v>
      </c>
      <c r="G220" t="s">
        <v>321</v>
      </c>
      <c r="H220" s="7">
        <f t="shared" si="8"/>
        <v>198.1875</v>
      </c>
      <c r="I220">
        <v>31.71</v>
      </c>
    </row>
    <row r="221" spans="1:9">
      <c r="A221" t="s">
        <v>1283</v>
      </c>
      <c r="B221" s="1">
        <v>42063</v>
      </c>
      <c r="C221">
        <v>11519</v>
      </c>
      <c r="D221">
        <v>1</v>
      </c>
      <c r="E221" t="s">
        <v>321</v>
      </c>
      <c r="F221" t="s">
        <v>769</v>
      </c>
      <c r="G221" t="s">
        <v>321</v>
      </c>
      <c r="H221" s="7">
        <f t="shared" si="8"/>
        <v>206.875</v>
      </c>
      <c r="I221">
        <v>33.1</v>
      </c>
    </row>
    <row r="222" spans="1:9">
      <c r="A222" t="s">
        <v>1275</v>
      </c>
      <c r="B222" s="1">
        <v>42063</v>
      </c>
      <c r="C222">
        <v>11511</v>
      </c>
      <c r="D222">
        <v>1</v>
      </c>
      <c r="E222" t="s">
        <v>1276</v>
      </c>
      <c r="F222" t="s">
        <v>1592</v>
      </c>
      <c r="G222" t="s">
        <v>1276</v>
      </c>
      <c r="H222" s="7">
        <f t="shared" si="8"/>
        <v>781</v>
      </c>
      <c r="I222">
        <v>124.96</v>
      </c>
    </row>
    <row r="223" spans="1:9">
      <c r="A223" t="s">
        <v>1031</v>
      </c>
      <c r="B223" s="1">
        <v>42053</v>
      </c>
      <c r="C223" t="s">
        <v>1032</v>
      </c>
      <c r="D223">
        <v>1</v>
      </c>
      <c r="E223" t="s">
        <v>1033</v>
      </c>
      <c r="F223" s="18" t="s">
        <v>849</v>
      </c>
      <c r="G223" s="19" t="s">
        <v>850</v>
      </c>
      <c r="H223" s="7">
        <f t="shared" si="8"/>
        <v>216023</v>
      </c>
      <c r="I223" s="2">
        <v>34563.68</v>
      </c>
    </row>
    <row r="224" spans="1:9">
      <c r="A224" t="s">
        <v>1356</v>
      </c>
      <c r="B224" s="1">
        <v>42044</v>
      </c>
      <c r="C224" t="s">
        <v>1357</v>
      </c>
      <c r="D224">
        <v>2</v>
      </c>
      <c r="E224" t="s">
        <v>1358</v>
      </c>
      <c r="F224" s="20" t="s">
        <v>1593</v>
      </c>
      <c r="G224" t="s">
        <v>1358</v>
      </c>
      <c r="H224" s="7">
        <f t="shared" si="8"/>
        <v>350</v>
      </c>
      <c r="I224">
        <v>56</v>
      </c>
    </row>
    <row r="225" spans="1:9">
      <c r="A225" t="s">
        <v>1151</v>
      </c>
      <c r="B225" s="1">
        <v>42063</v>
      </c>
      <c r="C225">
        <v>11443</v>
      </c>
      <c r="D225">
        <v>1</v>
      </c>
      <c r="E225" t="s">
        <v>1152</v>
      </c>
      <c r="F225" t="s">
        <v>1594</v>
      </c>
      <c r="G225" t="s">
        <v>1152</v>
      </c>
      <c r="H225" s="7">
        <f t="shared" si="8"/>
        <v>206.875</v>
      </c>
      <c r="I225">
        <v>33.1</v>
      </c>
    </row>
    <row r="226" spans="1:9">
      <c r="A226" t="s">
        <v>189</v>
      </c>
      <c r="B226" s="1">
        <v>42063</v>
      </c>
      <c r="C226">
        <v>11469</v>
      </c>
      <c r="D226">
        <v>1</v>
      </c>
      <c r="E226" t="s">
        <v>1200</v>
      </c>
      <c r="F226" t="s">
        <v>1595</v>
      </c>
      <c r="G226" t="s">
        <v>1200</v>
      </c>
      <c r="H226" s="7">
        <f t="shared" si="8"/>
        <v>808.1875</v>
      </c>
      <c r="I226">
        <v>129.31</v>
      </c>
    </row>
    <row r="227" spans="1:9">
      <c r="A227" t="s">
        <v>1401</v>
      </c>
      <c r="B227" s="1">
        <v>42059</v>
      </c>
      <c r="C227" t="s">
        <v>1402</v>
      </c>
      <c r="D227">
        <v>1</v>
      </c>
      <c r="E227" t="s">
        <v>1403</v>
      </c>
      <c r="F227" t="s">
        <v>1596</v>
      </c>
      <c r="G227" t="s">
        <v>1403</v>
      </c>
      <c r="H227" s="7">
        <f t="shared" si="8"/>
        <v>15502.5</v>
      </c>
      <c r="I227" s="2">
        <v>2480.4</v>
      </c>
    </row>
    <row r="228" spans="1:9">
      <c r="A228" t="s">
        <v>1388</v>
      </c>
      <c r="B228" s="1">
        <v>42056</v>
      </c>
      <c r="C228" t="s">
        <v>1389</v>
      </c>
      <c r="D228">
        <v>1</v>
      </c>
      <c r="E228" t="s">
        <v>1390</v>
      </c>
      <c r="F228" t="s">
        <v>1597</v>
      </c>
      <c r="G228" t="s">
        <v>1390</v>
      </c>
      <c r="H228" s="7">
        <f t="shared" si="8"/>
        <v>12750</v>
      </c>
      <c r="I228" s="2">
        <v>2040</v>
      </c>
    </row>
    <row r="229" spans="1:9">
      <c r="A229" t="s">
        <v>593</v>
      </c>
      <c r="B229" s="1">
        <v>42048</v>
      </c>
      <c r="C229" t="s">
        <v>1511</v>
      </c>
      <c r="D229">
        <v>1</v>
      </c>
      <c r="E229" t="s">
        <v>1512</v>
      </c>
      <c r="F229" t="s">
        <v>1598</v>
      </c>
      <c r="G229" t="s">
        <v>1512</v>
      </c>
      <c r="H229" s="7">
        <f t="shared" si="8"/>
        <v>8530</v>
      </c>
      <c r="I229" s="2">
        <v>1364.8</v>
      </c>
    </row>
    <row r="230" spans="1:9">
      <c r="A230" t="s">
        <v>1183</v>
      </c>
      <c r="B230" s="1">
        <v>42063</v>
      </c>
      <c r="C230">
        <v>11456</v>
      </c>
      <c r="D230">
        <v>1</v>
      </c>
      <c r="E230" t="s">
        <v>315</v>
      </c>
      <c r="F230" t="s">
        <v>857</v>
      </c>
      <c r="G230" t="s">
        <v>315</v>
      </c>
      <c r="H230" s="7">
        <f t="shared" si="8"/>
        <v>60.75</v>
      </c>
      <c r="I230">
        <v>9.7200000000000006</v>
      </c>
    </row>
    <row r="231" spans="1:9">
      <c r="A231" t="s">
        <v>1470</v>
      </c>
      <c r="B231" s="1">
        <v>42061</v>
      </c>
      <c r="C231" t="s">
        <v>1471</v>
      </c>
      <c r="D231">
        <v>1</v>
      </c>
      <c r="E231" t="s">
        <v>1472</v>
      </c>
      <c r="F231" t="s">
        <v>857</v>
      </c>
      <c r="G231" t="s">
        <v>1472</v>
      </c>
      <c r="H231" s="7">
        <f t="shared" si="8"/>
        <v>4398.6875</v>
      </c>
      <c r="I231">
        <v>703.79</v>
      </c>
    </row>
    <row r="232" spans="1:9">
      <c r="A232" t="s">
        <v>1449</v>
      </c>
      <c r="B232" s="1">
        <v>42041</v>
      </c>
      <c r="C232" t="s">
        <v>1450</v>
      </c>
      <c r="D232">
        <v>2</v>
      </c>
      <c r="E232" t="s">
        <v>457</v>
      </c>
      <c r="F232" t="s">
        <v>858</v>
      </c>
      <c r="G232" t="s">
        <v>457</v>
      </c>
      <c r="H232" s="7">
        <f t="shared" si="8"/>
        <v>1500</v>
      </c>
      <c r="I232">
        <v>240</v>
      </c>
    </row>
    <row r="233" spans="1:9">
      <c r="A233" t="s">
        <v>568</v>
      </c>
      <c r="B233" s="1">
        <v>42048</v>
      </c>
      <c r="C233" t="s">
        <v>1502</v>
      </c>
      <c r="D233">
        <v>1</v>
      </c>
      <c r="E233" t="s">
        <v>457</v>
      </c>
      <c r="F233" t="s">
        <v>858</v>
      </c>
      <c r="G233" t="s">
        <v>457</v>
      </c>
      <c r="H233" s="7">
        <f t="shared" si="8"/>
        <v>4500</v>
      </c>
      <c r="I233">
        <v>720</v>
      </c>
    </row>
    <row r="234" spans="1:9">
      <c r="A234" t="s">
        <v>577</v>
      </c>
      <c r="B234" s="1">
        <v>42048</v>
      </c>
      <c r="D234">
        <v>2</v>
      </c>
      <c r="E234" t="s">
        <v>457</v>
      </c>
      <c r="F234" t="s">
        <v>858</v>
      </c>
      <c r="G234" t="s">
        <v>457</v>
      </c>
      <c r="H234" s="7">
        <f t="shared" si="8"/>
        <v>17450</v>
      </c>
      <c r="I234" s="2">
        <v>2792</v>
      </c>
    </row>
    <row r="235" spans="1:9">
      <c r="A235" t="s">
        <v>1437</v>
      </c>
      <c r="B235" s="1">
        <v>42041</v>
      </c>
      <c r="C235" t="s">
        <v>652</v>
      </c>
      <c r="D235">
        <v>2</v>
      </c>
      <c r="E235" t="s">
        <v>474</v>
      </c>
      <c r="F235" t="s">
        <v>860</v>
      </c>
      <c r="G235" t="s">
        <v>474</v>
      </c>
      <c r="H235" s="7">
        <f t="shared" si="8"/>
        <v>300</v>
      </c>
      <c r="I235">
        <v>48</v>
      </c>
    </row>
    <row r="236" spans="1:9">
      <c r="A236" t="s">
        <v>1473</v>
      </c>
      <c r="B236" s="1">
        <v>42061</v>
      </c>
      <c r="C236" t="s">
        <v>668</v>
      </c>
      <c r="D236">
        <v>2</v>
      </c>
      <c r="E236" t="s">
        <v>474</v>
      </c>
      <c r="F236" t="s">
        <v>860</v>
      </c>
      <c r="G236" t="s">
        <v>474</v>
      </c>
      <c r="H236" s="7">
        <f t="shared" si="8"/>
        <v>9000</v>
      </c>
      <c r="I236" s="2">
        <v>1440</v>
      </c>
    </row>
    <row r="237" spans="1:9">
      <c r="A237" t="s">
        <v>1272</v>
      </c>
      <c r="B237" s="1">
        <v>42063</v>
      </c>
      <c r="C237">
        <v>11508</v>
      </c>
      <c r="D237">
        <v>1</v>
      </c>
      <c r="E237" t="s">
        <v>1273</v>
      </c>
      <c r="F237" t="s">
        <v>1599</v>
      </c>
      <c r="G237" t="s">
        <v>1273</v>
      </c>
      <c r="H237" s="7">
        <f t="shared" si="8"/>
        <v>1444.8125</v>
      </c>
      <c r="I237">
        <v>231.17</v>
      </c>
    </row>
    <row r="238" spans="1:9">
      <c r="A238" t="s">
        <v>1245</v>
      </c>
      <c r="B238" s="1">
        <v>42063</v>
      </c>
      <c r="C238">
        <v>11472</v>
      </c>
      <c r="D238">
        <v>1</v>
      </c>
      <c r="E238" t="s">
        <v>287</v>
      </c>
      <c r="F238" t="s">
        <v>861</v>
      </c>
      <c r="G238" t="s">
        <v>287</v>
      </c>
      <c r="H238" s="7">
        <f t="shared" si="8"/>
        <v>1056.875</v>
      </c>
      <c r="I238">
        <v>169.1</v>
      </c>
    </row>
    <row r="239" spans="1:9">
      <c r="A239" t="s">
        <v>1036</v>
      </c>
      <c r="B239" s="1">
        <v>42053</v>
      </c>
      <c r="C239" t="s">
        <v>1037</v>
      </c>
      <c r="D239">
        <v>1</v>
      </c>
      <c r="E239" t="s">
        <v>1038</v>
      </c>
      <c r="F239" s="43" t="s">
        <v>1600</v>
      </c>
      <c r="G239" s="44" t="s">
        <v>1601</v>
      </c>
      <c r="H239" s="7">
        <f t="shared" si="8"/>
        <v>337213.375</v>
      </c>
      <c r="I239" s="2">
        <v>53954.14</v>
      </c>
    </row>
    <row r="240" spans="1:9">
      <c r="A240" t="s">
        <v>196</v>
      </c>
      <c r="B240" s="1">
        <v>42063</v>
      </c>
      <c r="C240">
        <v>11471</v>
      </c>
      <c r="D240">
        <v>1</v>
      </c>
      <c r="E240" t="s">
        <v>1244</v>
      </c>
      <c r="F240" t="s">
        <v>1602</v>
      </c>
      <c r="G240" t="s">
        <v>1244</v>
      </c>
      <c r="H240" s="7">
        <f t="shared" si="8"/>
        <v>185.4375</v>
      </c>
      <c r="I240">
        <v>29.67</v>
      </c>
    </row>
    <row r="241" spans="1:9">
      <c r="A241" t="s">
        <v>1277</v>
      </c>
      <c r="B241" s="1">
        <v>42063</v>
      </c>
      <c r="C241">
        <v>11512</v>
      </c>
      <c r="D241">
        <v>1</v>
      </c>
      <c r="E241" t="s">
        <v>1244</v>
      </c>
      <c r="F241" t="s">
        <v>1602</v>
      </c>
      <c r="G241" t="s">
        <v>1244</v>
      </c>
      <c r="H241" s="7">
        <f t="shared" si="8"/>
        <v>346</v>
      </c>
      <c r="I241">
        <v>55.36</v>
      </c>
    </row>
    <row r="242" spans="1:9">
      <c r="A242" t="s">
        <v>1249</v>
      </c>
      <c r="B242" s="1">
        <v>42063</v>
      </c>
      <c r="C242">
        <v>11477</v>
      </c>
      <c r="D242">
        <v>1</v>
      </c>
      <c r="E242" t="s">
        <v>1250</v>
      </c>
      <c r="F242" t="s">
        <v>1603</v>
      </c>
      <c r="G242" t="s">
        <v>1250</v>
      </c>
      <c r="H242" s="7">
        <f t="shared" si="8"/>
        <v>463.12499999999994</v>
      </c>
      <c r="I242">
        <v>74.099999999999994</v>
      </c>
    </row>
    <row r="243" spans="1:9">
      <c r="A243" t="s">
        <v>1258</v>
      </c>
      <c r="B243" s="1">
        <v>42063</v>
      </c>
      <c r="C243">
        <v>11495</v>
      </c>
      <c r="D243">
        <v>1</v>
      </c>
      <c r="E243" t="s">
        <v>1259</v>
      </c>
      <c r="F243" t="s">
        <v>1603</v>
      </c>
      <c r="G243" t="s">
        <v>1250</v>
      </c>
      <c r="H243" s="7">
        <f t="shared" si="8"/>
        <v>290.9375</v>
      </c>
      <c r="I243">
        <v>46.55</v>
      </c>
    </row>
    <row r="244" spans="1:9">
      <c r="A244" t="s">
        <v>1500</v>
      </c>
      <c r="B244" s="1">
        <v>42048</v>
      </c>
      <c r="C244" t="s">
        <v>1448</v>
      </c>
      <c r="D244">
        <v>2</v>
      </c>
      <c r="E244" t="s">
        <v>1501</v>
      </c>
      <c r="F244" t="s">
        <v>1604</v>
      </c>
      <c r="G244" t="s">
        <v>1501</v>
      </c>
      <c r="H244" s="7">
        <f t="shared" ref="H244:H275" si="9">+I244/0.16</f>
        <v>4100</v>
      </c>
      <c r="I244">
        <v>656</v>
      </c>
    </row>
    <row r="245" spans="1:9">
      <c r="A245" t="s">
        <v>1337</v>
      </c>
      <c r="B245" s="1">
        <v>42042</v>
      </c>
      <c r="C245" t="s">
        <v>1338</v>
      </c>
      <c r="D245">
        <v>1</v>
      </c>
      <c r="E245" t="s">
        <v>517</v>
      </c>
      <c r="F245" t="s">
        <v>867</v>
      </c>
      <c r="G245" t="s">
        <v>517</v>
      </c>
      <c r="H245" s="7">
        <f t="shared" si="9"/>
        <v>431034.5</v>
      </c>
      <c r="I245" s="2">
        <v>68965.52</v>
      </c>
    </row>
    <row r="246" spans="1:9">
      <c r="A246" t="s">
        <v>1189</v>
      </c>
      <c r="B246" s="1">
        <v>42063</v>
      </c>
      <c r="C246">
        <v>11462</v>
      </c>
      <c r="D246">
        <v>1</v>
      </c>
      <c r="E246" t="s">
        <v>1190</v>
      </c>
      <c r="F246" t="s">
        <v>1605</v>
      </c>
      <c r="G246" t="s">
        <v>1190</v>
      </c>
      <c r="H246" s="7">
        <f t="shared" si="9"/>
        <v>187.9375</v>
      </c>
      <c r="I246">
        <v>30.07</v>
      </c>
    </row>
    <row r="247" spans="1:9">
      <c r="A247" t="s">
        <v>1333</v>
      </c>
      <c r="B247" s="1">
        <v>42040</v>
      </c>
      <c r="C247" t="s">
        <v>1334</v>
      </c>
      <c r="D247">
        <v>1</v>
      </c>
      <c r="E247" t="s">
        <v>436</v>
      </c>
      <c r="F247" t="s">
        <v>868</v>
      </c>
      <c r="G247" t="s">
        <v>436</v>
      </c>
      <c r="H247" s="7">
        <f t="shared" si="9"/>
        <v>6445</v>
      </c>
      <c r="I247" s="2">
        <v>1031.2</v>
      </c>
    </row>
    <row r="248" spans="1:9">
      <c r="A248" t="s">
        <v>437</v>
      </c>
      <c r="B248" s="1">
        <v>42040</v>
      </c>
      <c r="C248" t="s">
        <v>1332</v>
      </c>
      <c r="D248">
        <v>1</v>
      </c>
      <c r="E248" t="s">
        <v>436</v>
      </c>
      <c r="F248" t="s">
        <v>868</v>
      </c>
      <c r="G248" t="s">
        <v>436</v>
      </c>
      <c r="H248" s="7">
        <f t="shared" si="9"/>
        <v>11190.1875</v>
      </c>
      <c r="I248" s="2">
        <v>1790.43</v>
      </c>
    </row>
    <row r="249" spans="1:9">
      <c r="A249" t="s">
        <v>1397</v>
      </c>
      <c r="B249" s="1">
        <v>42059</v>
      </c>
      <c r="C249" t="s">
        <v>1398</v>
      </c>
      <c r="D249">
        <v>1</v>
      </c>
      <c r="E249" t="s">
        <v>436</v>
      </c>
      <c r="F249" t="s">
        <v>868</v>
      </c>
      <c r="G249" t="s">
        <v>436</v>
      </c>
      <c r="H249" s="7">
        <f t="shared" si="9"/>
        <v>6445</v>
      </c>
      <c r="I249" s="2">
        <v>1031.2</v>
      </c>
    </row>
    <row r="250" spans="1:9">
      <c r="A250" t="s">
        <v>1399</v>
      </c>
      <c r="B250" s="1">
        <v>42059</v>
      </c>
      <c r="C250" t="s">
        <v>1400</v>
      </c>
      <c r="D250">
        <v>1</v>
      </c>
      <c r="E250" t="s">
        <v>436</v>
      </c>
      <c r="F250" t="s">
        <v>868</v>
      </c>
      <c r="G250" t="s">
        <v>436</v>
      </c>
      <c r="H250" s="7">
        <f t="shared" si="9"/>
        <v>10875.9375</v>
      </c>
      <c r="I250" s="2">
        <v>1740.15</v>
      </c>
    </row>
    <row r="251" spans="1:9">
      <c r="A251" t="s">
        <v>1013</v>
      </c>
      <c r="B251" s="1">
        <v>42048</v>
      </c>
      <c r="C251" t="s">
        <v>1014</v>
      </c>
      <c r="D251">
        <v>1</v>
      </c>
      <c r="E251" t="s">
        <v>1015</v>
      </c>
      <c r="F251" s="18" t="s">
        <v>869</v>
      </c>
      <c r="G251" s="19" t="s">
        <v>870</v>
      </c>
      <c r="H251" s="7">
        <f t="shared" si="9"/>
        <v>156573.6875</v>
      </c>
      <c r="I251" s="2">
        <v>25051.79</v>
      </c>
    </row>
    <row r="252" spans="1:9">
      <c r="A252" t="s">
        <v>976</v>
      </c>
      <c r="B252" s="1">
        <v>42040</v>
      </c>
      <c r="C252" t="s">
        <v>977</v>
      </c>
      <c r="D252">
        <v>1</v>
      </c>
      <c r="E252" t="s">
        <v>978</v>
      </c>
      <c r="F252" s="34" t="s">
        <v>871</v>
      </c>
      <c r="G252" s="34" t="s">
        <v>872</v>
      </c>
      <c r="H252" s="7">
        <f t="shared" si="9"/>
        <v>272863.9375</v>
      </c>
      <c r="I252" s="2">
        <v>43658.23</v>
      </c>
    </row>
    <row r="253" spans="1:9">
      <c r="A253" t="s">
        <v>1049</v>
      </c>
      <c r="B253" s="1">
        <v>42055</v>
      </c>
      <c r="C253" t="s">
        <v>1050</v>
      </c>
      <c r="D253">
        <v>1</v>
      </c>
      <c r="E253" t="s">
        <v>1051</v>
      </c>
      <c r="F253" t="s">
        <v>1606</v>
      </c>
      <c r="G253" s="19" t="s">
        <v>1607</v>
      </c>
      <c r="H253" s="7">
        <f t="shared" si="9"/>
        <v>224830.375</v>
      </c>
      <c r="I253" s="2">
        <v>35972.86</v>
      </c>
    </row>
    <row r="254" spans="1:9">
      <c r="A254" t="s">
        <v>1132</v>
      </c>
      <c r="B254" s="1">
        <v>42063</v>
      </c>
      <c r="C254" t="s">
        <v>1133</v>
      </c>
      <c r="D254">
        <v>1</v>
      </c>
      <c r="E254" t="s">
        <v>877</v>
      </c>
      <c r="F254" s="35" t="s">
        <v>875</v>
      </c>
      <c r="G254" s="31" t="s">
        <v>877</v>
      </c>
      <c r="H254" s="7">
        <f t="shared" si="9"/>
        <v>248318.5</v>
      </c>
      <c r="I254" s="2">
        <v>39730.959999999999</v>
      </c>
    </row>
    <row r="255" spans="1:9">
      <c r="A255" t="s">
        <v>986</v>
      </c>
      <c r="B255" s="1">
        <v>42044</v>
      </c>
      <c r="C255" t="s">
        <v>987</v>
      </c>
      <c r="D255">
        <v>1</v>
      </c>
      <c r="E255" t="s">
        <v>988</v>
      </c>
      <c r="F255" s="35" t="s">
        <v>875</v>
      </c>
      <c r="G255" s="31" t="s">
        <v>877</v>
      </c>
      <c r="H255" s="7">
        <f t="shared" si="9"/>
        <v>224830.375</v>
      </c>
      <c r="I255" s="2">
        <v>35972.86</v>
      </c>
    </row>
    <row r="256" spans="1:9">
      <c r="A256" t="s">
        <v>1053</v>
      </c>
      <c r="B256" s="1">
        <v>42055</v>
      </c>
      <c r="C256" t="s">
        <v>1054</v>
      </c>
      <c r="D256">
        <v>1</v>
      </c>
      <c r="E256" t="s">
        <v>1055</v>
      </c>
      <c r="F256" t="s">
        <v>1606</v>
      </c>
      <c r="G256" s="19" t="s">
        <v>1607</v>
      </c>
      <c r="H256" s="7">
        <f t="shared" si="9"/>
        <v>177356.3125</v>
      </c>
      <c r="I256" s="2">
        <v>28377.01</v>
      </c>
    </row>
    <row r="257" spans="1:9">
      <c r="A257" t="s">
        <v>1026</v>
      </c>
      <c r="B257" s="1">
        <v>42053</v>
      </c>
      <c r="C257" t="s">
        <v>95</v>
      </c>
      <c r="D257">
        <v>1</v>
      </c>
      <c r="E257" t="s">
        <v>0</v>
      </c>
      <c r="F257" s="32" t="s">
        <v>799</v>
      </c>
      <c r="G257" t="s">
        <v>0</v>
      </c>
      <c r="H257" s="7">
        <f t="shared" si="9"/>
        <v>-153711.5</v>
      </c>
      <c r="I257">
        <v>-24593.84</v>
      </c>
    </row>
    <row r="258" spans="1:9">
      <c r="A258" t="s">
        <v>974</v>
      </c>
      <c r="B258" s="1">
        <v>42039</v>
      </c>
      <c r="C258" t="s">
        <v>975</v>
      </c>
      <c r="D258">
        <v>1</v>
      </c>
      <c r="E258" t="s">
        <v>0</v>
      </c>
      <c r="F258" s="32" t="s">
        <v>799</v>
      </c>
      <c r="G258" t="s">
        <v>0</v>
      </c>
      <c r="H258" s="7">
        <f t="shared" si="9"/>
        <v>272689.8125</v>
      </c>
      <c r="I258" s="2">
        <v>43630.37</v>
      </c>
    </row>
    <row r="259" spans="1:9">
      <c r="A259" t="s">
        <v>979</v>
      </c>
      <c r="B259" s="1">
        <v>42040</v>
      </c>
      <c r="C259" t="s">
        <v>980</v>
      </c>
      <c r="D259">
        <v>1</v>
      </c>
      <c r="E259" t="s">
        <v>0</v>
      </c>
      <c r="F259" s="32" t="s">
        <v>799</v>
      </c>
      <c r="G259" t="s">
        <v>0</v>
      </c>
      <c r="H259" s="7">
        <f t="shared" si="9"/>
        <v>224830.375</v>
      </c>
      <c r="I259" s="2">
        <v>35972.86</v>
      </c>
    </row>
    <row r="260" spans="1:9">
      <c r="A260" t="s">
        <v>981</v>
      </c>
      <c r="B260" s="1">
        <v>42040</v>
      </c>
      <c r="C260" t="s">
        <v>982</v>
      </c>
      <c r="D260">
        <v>1</v>
      </c>
      <c r="E260" t="s">
        <v>0</v>
      </c>
      <c r="F260" s="32" t="s">
        <v>799</v>
      </c>
      <c r="G260" t="s">
        <v>0</v>
      </c>
      <c r="H260" s="7">
        <f t="shared" si="9"/>
        <v>211017.74999999997</v>
      </c>
      <c r="I260" s="2">
        <v>33762.839999999997</v>
      </c>
    </row>
    <row r="261" spans="1:9">
      <c r="A261" t="s">
        <v>989</v>
      </c>
      <c r="B261" s="1">
        <v>42044</v>
      </c>
      <c r="C261" t="s">
        <v>990</v>
      </c>
      <c r="D261">
        <v>1</v>
      </c>
      <c r="E261" t="s">
        <v>0</v>
      </c>
      <c r="F261" s="32" t="s">
        <v>799</v>
      </c>
      <c r="G261" t="s">
        <v>0</v>
      </c>
      <c r="H261" s="7">
        <f t="shared" si="9"/>
        <v>301012.875</v>
      </c>
      <c r="I261" s="2">
        <v>48162.06</v>
      </c>
    </row>
    <row r="262" spans="1:9">
      <c r="A262" t="s">
        <v>1060</v>
      </c>
      <c r="B262" s="1">
        <v>42058</v>
      </c>
      <c r="C262" t="s">
        <v>1061</v>
      </c>
      <c r="D262">
        <v>1</v>
      </c>
      <c r="E262" t="s">
        <v>0</v>
      </c>
      <c r="F262" s="32" t="s">
        <v>799</v>
      </c>
      <c r="G262" t="s">
        <v>0</v>
      </c>
      <c r="H262" s="7">
        <f t="shared" si="9"/>
        <v>221075.4375</v>
      </c>
      <c r="I262" s="2">
        <v>35372.07</v>
      </c>
    </row>
    <row r="263" spans="1:9">
      <c r="A263" t="s">
        <v>1062</v>
      </c>
      <c r="B263" s="1">
        <v>42058</v>
      </c>
      <c r="C263" t="s">
        <v>1063</v>
      </c>
      <c r="D263">
        <v>1</v>
      </c>
      <c r="E263" t="s">
        <v>0</v>
      </c>
      <c r="F263" s="32" t="s">
        <v>799</v>
      </c>
      <c r="G263" t="s">
        <v>0</v>
      </c>
      <c r="H263" s="7">
        <f t="shared" si="9"/>
        <v>240356.37499999997</v>
      </c>
      <c r="I263" s="2">
        <v>38457.019999999997</v>
      </c>
    </row>
    <row r="264" spans="1:9">
      <c r="A264" t="s">
        <v>1025</v>
      </c>
      <c r="B264" s="1">
        <v>42053</v>
      </c>
      <c r="C264" t="s">
        <v>996</v>
      </c>
      <c r="D264">
        <v>1</v>
      </c>
      <c r="E264" t="s">
        <v>0</v>
      </c>
      <c r="F264" s="32" t="s">
        <v>799</v>
      </c>
      <c r="G264" t="s">
        <v>0</v>
      </c>
      <c r="H264" s="7">
        <f t="shared" si="9"/>
        <v>318084.5</v>
      </c>
      <c r="I264" s="2">
        <v>50893.52</v>
      </c>
    </row>
    <row r="265" spans="1:9">
      <c r="A265" t="s">
        <v>997</v>
      </c>
      <c r="B265" s="1">
        <v>42046</v>
      </c>
      <c r="C265" t="s">
        <v>998</v>
      </c>
      <c r="D265">
        <v>1</v>
      </c>
      <c r="E265" t="s">
        <v>0</v>
      </c>
      <c r="F265" s="32" t="s">
        <v>799</v>
      </c>
      <c r="G265" t="s">
        <v>0</v>
      </c>
      <c r="H265" s="7">
        <f t="shared" si="9"/>
        <v>318084.5</v>
      </c>
      <c r="I265" s="2">
        <v>50893.52</v>
      </c>
    </row>
    <row r="266" spans="1:9">
      <c r="A266" t="s">
        <v>999</v>
      </c>
      <c r="B266" s="1">
        <v>42046</v>
      </c>
      <c r="C266" t="s">
        <v>1000</v>
      </c>
      <c r="D266">
        <v>1</v>
      </c>
      <c r="E266" t="s">
        <v>0</v>
      </c>
      <c r="F266" s="32" t="s">
        <v>799</v>
      </c>
      <c r="G266" t="s">
        <v>0</v>
      </c>
      <c r="H266" s="7">
        <f t="shared" si="9"/>
        <v>318084.5</v>
      </c>
      <c r="I266" s="2">
        <v>50893.52</v>
      </c>
    </row>
    <row r="267" spans="1:9">
      <c r="A267" t="s">
        <v>1019</v>
      </c>
      <c r="B267" s="1">
        <v>42048</v>
      </c>
      <c r="C267" t="s">
        <v>1020</v>
      </c>
      <c r="D267">
        <v>1</v>
      </c>
      <c r="E267" t="s">
        <v>0</v>
      </c>
      <c r="F267" s="32" t="s">
        <v>799</v>
      </c>
      <c r="G267" t="s">
        <v>0</v>
      </c>
      <c r="H267" s="7">
        <f t="shared" si="9"/>
        <v>318084.5</v>
      </c>
      <c r="I267" s="2">
        <v>50893.52</v>
      </c>
    </row>
    <row r="268" spans="1:9">
      <c r="A268" t="s">
        <v>1003</v>
      </c>
      <c r="B268" s="1">
        <v>42046</v>
      </c>
      <c r="C268" t="s">
        <v>1004</v>
      </c>
      <c r="D268">
        <v>1</v>
      </c>
      <c r="E268" t="s">
        <v>0</v>
      </c>
      <c r="F268" s="32" t="s">
        <v>799</v>
      </c>
      <c r="G268" t="s">
        <v>0</v>
      </c>
      <c r="H268" s="7">
        <f t="shared" si="9"/>
        <v>261403.06249999997</v>
      </c>
      <c r="I268" s="2">
        <v>41824.49</v>
      </c>
    </row>
    <row r="269" spans="1:9">
      <c r="A269" t="s">
        <v>1008</v>
      </c>
      <c r="B269" s="1">
        <v>42047</v>
      </c>
      <c r="C269" t="s">
        <v>1009</v>
      </c>
      <c r="D269">
        <v>1</v>
      </c>
      <c r="E269" t="s">
        <v>0</v>
      </c>
      <c r="F269" s="32" t="s">
        <v>799</v>
      </c>
      <c r="G269" t="s">
        <v>0</v>
      </c>
      <c r="H269" s="7">
        <f t="shared" si="9"/>
        <v>186125.625</v>
      </c>
      <c r="I269" s="2">
        <v>29780.1</v>
      </c>
    </row>
    <row r="270" spans="1:9">
      <c r="A270" t="s">
        <v>1017</v>
      </c>
      <c r="B270" s="1">
        <v>42048</v>
      </c>
      <c r="C270" t="s">
        <v>1018</v>
      </c>
      <c r="D270">
        <v>1</v>
      </c>
      <c r="E270" t="s">
        <v>0</v>
      </c>
      <c r="F270" s="32" t="s">
        <v>799</v>
      </c>
      <c r="G270" t="s">
        <v>0</v>
      </c>
      <c r="H270" s="7">
        <f t="shared" si="9"/>
        <v>261403.06249999997</v>
      </c>
      <c r="I270" s="2">
        <v>41824.49</v>
      </c>
    </row>
    <row r="271" spans="1:9">
      <c r="A271" t="s">
        <v>1021</v>
      </c>
      <c r="B271" s="1">
        <v>42052</v>
      </c>
      <c r="C271" t="s">
        <v>1022</v>
      </c>
      <c r="D271">
        <v>1</v>
      </c>
      <c r="E271" t="s">
        <v>0</v>
      </c>
      <c r="F271" s="32" t="s">
        <v>799</v>
      </c>
      <c r="G271" t="s">
        <v>0</v>
      </c>
      <c r="H271" s="7">
        <f t="shared" si="9"/>
        <v>387494.625</v>
      </c>
      <c r="I271" s="2">
        <v>61999.14</v>
      </c>
    </row>
    <row r="272" spans="1:9">
      <c r="A272" t="s">
        <v>1023</v>
      </c>
      <c r="B272" s="1">
        <v>42052</v>
      </c>
      <c r="C272" t="s">
        <v>1024</v>
      </c>
      <c r="D272">
        <v>1</v>
      </c>
      <c r="E272" t="s">
        <v>0</v>
      </c>
      <c r="F272" s="32" t="s">
        <v>799</v>
      </c>
      <c r="G272" t="s">
        <v>0</v>
      </c>
      <c r="H272" s="7">
        <f t="shared" si="9"/>
        <v>262525.25</v>
      </c>
      <c r="I272" s="2">
        <v>42004.04</v>
      </c>
    </row>
    <row r="273" spans="1:9">
      <c r="A273" t="s">
        <v>1040</v>
      </c>
      <c r="B273" s="1">
        <v>42054</v>
      </c>
      <c r="C273" t="s">
        <v>1041</v>
      </c>
      <c r="D273">
        <v>1</v>
      </c>
      <c r="E273" t="s">
        <v>0</v>
      </c>
      <c r="F273" s="32" t="s">
        <v>799</v>
      </c>
      <c r="G273" t="s">
        <v>0</v>
      </c>
      <c r="H273" s="7">
        <f t="shared" si="9"/>
        <v>301013.8125</v>
      </c>
      <c r="I273" s="2">
        <v>48162.21</v>
      </c>
    </row>
    <row r="274" spans="1:9">
      <c r="A274" t="s">
        <v>1045</v>
      </c>
      <c r="B274" s="1">
        <v>42054</v>
      </c>
      <c r="C274" t="s">
        <v>1046</v>
      </c>
      <c r="D274">
        <v>1</v>
      </c>
      <c r="E274" t="s">
        <v>0</v>
      </c>
      <c r="F274" s="32" t="s">
        <v>799</v>
      </c>
      <c r="G274" t="s">
        <v>0</v>
      </c>
      <c r="H274" s="7">
        <f t="shared" si="9"/>
        <v>224830.375</v>
      </c>
      <c r="I274" s="2">
        <v>35972.86</v>
      </c>
    </row>
    <row r="275" spans="1:9">
      <c r="A275" t="s">
        <v>1047</v>
      </c>
      <c r="B275" s="1">
        <v>42054</v>
      </c>
      <c r="C275" t="s">
        <v>1048</v>
      </c>
      <c r="D275">
        <v>1</v>
      </c>
      <c r="E275" t="s">
        <v>0</v>
      </c>
      <c r="F275" s="32" t="s">
        <v>799</v>
      </c>
      <c r="G275" t="s">
        <v>0</v>
      </c>
      <c r="H275" s="7">
        <f t="shared" si="9"/>
        <v>191601.875</v>
      </c>
      <c r="I275" s="2">
        <v>30656.3</v>
      </c>
    </row>
    <row r="276" spans="1:9">
      <c r="A276" t="s">
        <v>108</v>
      </c>
      <c r="B276" s="1">
        <v>42055</v>
      </c>
      <c r="C276" t="s">
        <v>1058</v>
      </c>
      <c r="D276">
        <v>1</v>
      </c>
      <c r="E276" t="s">
        <v>0</v>
      </c>
      <c r="F276" s="32" t="s">
        <v>799</v>
      </c>
      <c r="G276" t="s">
        <v>0</v>
      </c>
      <c r="H276" s="7">
        <f t="shared" ref="H276:H299" si="10">+I276/0.16</f>
        <v>156409.0625</v>
      </c>
      <c r="I276" s="2">
        <v>25025.45</v>
      </c>
    </row>
    <row r="277" spans="1:9">
      <c r="A277" t="s">
        <v>1056</v>
      </c>
      <c r="B277" s="1">
        <v>42055</v>
      </c>
      <c r="C277" t="s">
        <v>1057</v>
      </c>
      <c r="D277">
        <v>1</v>
      </c>
      <c r="E277" t="s">
        <v>0</v>
      </c>
      <c r="F277" s="32" t="s">
        <v>799</v>
      </c>
      <c r="G277" t="s">
        <v>0</v>
      </c>
      <c r="H277" s="7">
        <f t="shared" si="10"/>
        <v>479370.3125</v>
      </c>
      <c r="I277" s="2">
        <v>76699.25</v>
      </c>
    </row>
    <row r="278" spans="1:9">
      <c r="A278" t="s">
        <v>1064</v>
      </c>
      <c r="B278" s="1">
        <v>42058</v>
      </c>
      <c r="C278" t="s">
        <v>1065</v>
      </c>
      <c r="D278">
        <v>1</v>
      </c>
      <c r="E278" t="s">
        <v>0</v>
      </c>
      <c r="F278" s="32" t="s">
        <v>799</v>
      </c>
      <c r="G278" t="s">
        <v>0</v>
      </c>
      <c r="H278" s="7">
        <f t="shared" si="10"/>
        <v>163934.875</v>
      </c>
      <c r="I278" s="2">
        <v>26229.58</v>
      </c>
    </row>
    <row r="279" spans="1:9">
      <c r="A279" t="s">
        <v>1066</v>
      </c>
      <c r="B279" s="1">
        <v>42058</v>
      </c>
      <c r="C279" t="s">
        <v>1067</v>
      </c>
      <c r="D279">
        <v>1</v>
      </c>
      <c r="E279" t="s">
        <v>0</v>
      </c>
      <c r="F279" s="32" t="s">
        <v>799</v>
      </c>
      <c r="G279" t="s">
        <v>0</v>
      </c>
      <c r="H279" s="7">
        <f t="shared" si="10"/>
        <v>163934.875</v>
      </c>
      <c r="I279" s="2">
        <v>26229.58</v>
      </c>
    </row>
    <row r="280" spans="1:9">
      <c r="A280" t="s">
        <v>1068</v>
      </c>
      <c r="B280" s="1">
        <v>42058</v>
      </c>
      <c r="C280" t="s">
        <v>1069</v>
      </c>
      <c r="D280">
        <v>1</v>
      </c>
      <c r="E280" t="s">
        <v>0</v>
      </c>
      <c r="F280" s="32" t="s">
        <v>799</v>
      </c>
      <c r="G280" t="s">
        <v>0</v>
      </c>
      <c r="H280" s="7">
        <f t="shared" si="10"/>
        <v>163934.875</v>
      </c>
      <c r="I280" s="2">
        <v>26229.58</v>
      </c>
    </row>
    <row r="281" spans="1:9">
      <c r="A281" t="s">
        <v>117</v>
      </c>
      <c r="B281" s="1">
        <v>42058</v>
      </c>
      <c r="C281" t="s">
        <v>1070</v>
      </c>
      <c r="D281">
        <v>1</v>
      </c>
      <c r="E281" t="s">
        <v>0</v>
      </c>
      <c r="F281" s="32" t="s">
        <v>799</v>
      </c>
      <c r="G281" t="s">
        <v>0</v>
      </c>
      <c r="H281" s="7">
        <f t="shared" si="10"/>
        <v>195789.3125</v>
      </c>
      <c r="I281" s="2">
        <v>31326.29</v>
      </c>
    </row>
    <row r="282" spans="1:9">
      <c r="A282" t="s">
        <v>1071</v>
      </c>
      <c r="B282" s="1">
        <v>42058</v>
      </c>
      <c r="C282" t="s">
        <v>1072</v>
      </c>
      <c r="D282">
        <v>1</v>
      </c>
      <c r="E282" t="s">
        <v>0</v>
      </c>
      <c r="F282" s="32" t="s">
        <v>799</v>
      </c>
      <c r="G282" t="s">
        <v>0</v>
      </c>
      <c r="H282" s="7">
        <f t="shared" si="10"/>
        <v>211582.1875</v>
      </c>
      <c r="I282" s="2">
        <v>33853.15</v>
      </c>
    </row>
    <row r="283" spans="1:9">
      <c r="A283" t="s">
        <v>1073</v>
      </c>
      <c r="B283" s="1">
        <v>42058</v>
      </c>
      <c r="C283" t="s">
        <v>1074</v>
      </c>
      <c r="D283">
        <v>1</v>
      </c>
      <c r="E283" t="s">
        <v>0</v>
      </c>
      <c r="F283" s="32" t="s">
        <v>799</v>
      </c>
      <c r="G283" t="s">
        <v>0</v>
      </c>
      <c r="H283" s="7">
        <f t="shared" si="10"/>
        <v>221075.4375</v>
      </c>
      <c r="I283" s="2">
        <v>35372.07</v>
      </c>
    </row>
    <row r="284" spans="1:9">
      <c r="A284" t="s">
        <v>1075</v>
      </c>
      <c r="B284" s="1">
        <v>42058</v>
      </c>
      <c r="C284" t="s">
        <v>1076</v>
      </c>
      <c r="D284">
        <v>1</v>
      </c>
      <c r="E284" t="s">
        <v>0</v>
      </c>
      <c r="F284" s="32" t="s">
        <v>799</v>
      </c>
      <c r="G284" t="s">
        <v>0</v>
      </c>
      <c r="H284" s="7">
        <f t="shared" si="10"/>
        <v>207461.06249999997</v>
      </c>
      <c r="I284" s="2">
        <v>33193.769999999997</v>
      </c>
    </row>
    <row r="285" spans="1:9">
      <c r="A285" t="s">
        <v>1077</v>
      </c>
      <c r="B285" s="1">
        <v>42058</v>
      </c>
      <c r="C285" t="s">
        <v>1078</v>
      </c>
      <c r="D285">
        <v>1</v>
      </c>
      <c r="E285" t="s">
        <v>0</v>
      </c>
      <c r="F285" s="32" t="s">
        <v>799</v>
      </c>
      <c r="G285" t="s">
        <v>0</v>
      </c>
      <c r="H285" s="7">
        <f t="shared" si="10"/>
        <v>183981.625</v>
      </c>
      <c r="I285" s="2">
        <v>29437.06</v>
      </c>
    </row>
    <row r="286" spans="1:9">
      <c r="A286" t="s">
        <v>1085</v>
      </c>
      <c r="B286" s="1">
        <v>42058</v>
      </c>
      <c r="C286" t="s">
        <v>1082</v>
      </c>
      <c r="D286">
        <v>1</v>
      </c>
      <c r="E286" t="s">
        <v>0</v>
      </c>
      <c r="F286" s="32" t="s">
        <v>799</v>
      </c>
      <c r="G286" t="s">
        <v>0</v>
      </c>
      <c r="H286" s="7">
        <f t="shared" si="10"/>
        <v>148650.4375</v>
      </c>
      <c r="I286" s="2">
        <v>23784.07</v>
      </c>
    </row>
    <row r="287" spans="1:9">
      <c r="A287" t="s">
        <v>1083</v>
      </c>
      <c r="B287" s="1">
        <v>42058</v>
      </c>
      <c r="C287" t="s">
        <v>1084</v>
      </c>
      <c r="D287">
        <v>1</v>
      </c>
      <c r="E287" t="s">
        <v>0</v>
      </c>
      <c r="F287" s="32" t="s">
        <v>799</v>
      </c>
      <c r="G287" t="s">
        <v>0</v>
      </c>
      <c r="H287" s="7">
        <f t="shared" si="10"/>
        <v>148650.4375</v>
      </c>
      <c r="I287" s="2">
        <v>23784.07</v>
      </c>
    </row>
    <row r="288" spans="1:9">
      <c r="A288" t="s">
        <v>1088</v>
      </c>
      <c r="B288" s="1">
        <v>42060</v>
      </c>
      <c r="C288" t="s">
        <v>1089</v>
      </c>
      <c r="D288">
        <v>1</v>
      </c>
      <c r="E288" t="s">
        <v>0</v>
      </c>
      <c r="F288" s="32" t="s">
        <v>799</v>
      </c>
      <c r="G288" t="s">
        <v>0</v>
      </c>
      <c r="H288" s="7">
        <f t="shared" si="10"/>
        <v>318837.0625</v>
      </c>
      <c r="I288" s="2">
        <v>51013.93</v>
      </c>
    </row>
    <row r="289" spans="1:11">
      <c r="A289" t="s">
        <v>1102</v>
      </c>
      <c r="B289" s="1">
        <v>42061</v>
      </c>
      <c r="C289" t="s">
        <v>1103</v>
      </c>
      <c r="D289">
        <v>1</v>
      </c>
      <c r="E289" t="s">
        <v>0</v>
      </c>
      <c r="F289" s="32" t="s">
        <v>799</v>
      </c>
      <c r="G289" t="s">
        <v>0</v>
      </c>
      <c r="H289" s="7">
        <f t="shared" si="10"/>
        <v>163934.875</v>
      </c>
      <c r="I289" s="2">
        <v>26229.58</v>
      </c>
    </row>
    <row r="290" spans="1:11">
      <c r="A290" t="s">
        <v>1104</v>
      </c>
      <c r="B290" s="1">
        <v>42061</v>
      </c>
      <c r="C290" t="s">
        <v>1105</v>
      </c>
      <c r="D290">
        <v>1</v>
      </c>
      <c r="E290" t="s">
        <v>0</v>
      </c>
      <c r="F290" s="32" t="s">
        <v>799</v>
      </c>
      <c r="G290" t="s">
        <v>0</v>
      </c>
      <c r="H290" s="7">
        <f t="shared" si="10"/>
        <v>221075.4375</v>
      </c>
      <c r="I290" s="2">
        <v>35372.07</v>
      </c>
    </row>
    <row r="291" spans="1:11">
      <c r="A291" t="s">
        <v>1106</v>
      </c>
      <c r="B291" s="1">
        <v>42061</v>
      </c>
      <c r="C291" t="s">
        <v>1107</v>
      </c>
      <c r="D291">
        <v>1</v>
      </c>
      <c r="E291" t="s">
        <v>0</v>
      </c>
      <c r="F291" s="32" t="s">
        <v>799</v>
      </c>
      <c r="G291" t="s">
        <v>0</v>
      </c>
      <c r="H291" s="7">
        <f t="shared" si="10"/>
        <v>207461.06249999997</v>
      </c>
      <c r="I291" s="2">
        <v>33193.769999999997</v>
      </c>
    </row>
    <row r="292" spans="1:11">
      <c r="A292" t="s">
        <v>1108</v>
      </c>
      <c r="B292" s="1">
        <v>42061</v>
      </c>
      <c r="C292" t="s">
        <v>1109</v>
      </c>
      <c r="D292">
        <v>1</v>
      </c>
      <c r="E292" t="s">
        <v>0</v>
      </c>
      <c r="F292" s="32" t="s">
        <v>799</v>
      </c>
      <c r="G292" t="s">
        <v>0</v>
      </c>
      <c r="H292" s="7">
        <f t="shared" si="10"/>
        <v>261403.06249999997</v>
      </c>
      <c r="I292" s="2">
        <v>41824.49</v>
      </c>
    </row>
    <row r="293" spans="1:11">
      <c r="A293" t="s">
        <v>1116</v>
      </c>
      <c r="B293" s="1">
        <v>42062</v>
      </c>
      <c r="C293" t="s">
        <v>1117</v>
      </c>
      <c r="D293">
        <v>1</v>
      </c>
      <c r="E293" t="s">
        <v>0</v>
      </c>
      <c r="F293" s="32" t="s">
        <v>799</v>
      </c>
      <c r="G293" t="s">
        <v>0</v>
      </c>
      <c r="H293" s="7">
        <f t="shared" si="10"/>
        <v>264764.8125</v>
      </c>
      <c r="I293" s="2">
        <v>42362.37</v>
      </c>
    </row>
    <row r="294" spans="1:11">
      <c r="A294" t="s">
        <v>1118</v>
      </c>
      <c r="B294" s="1">
        <v>42062</v>
      </c>
      <c r="C294" t="s">
        <v>1119</v>
      </c>
      <c r="D294">
        <v>1</v>
      </c>
      <c r="E294" t="s">
        <v>0</v>
      </c>
      <c r="F294" s="32" t="s">
        <v>799</v>
      </c>
      <c r="G294" t="s">
        <v>0</v>
      </c>
      <c r="H294" s="7">
        <f t="shared" si="10"/>
        <v>186125.625</v>
      </c>
      <c r="I294" s="2">
        <v>29780.1</v>
      </c>
    </row>
    <row r="295" spans="1:11">
      <c r="A295" t="s">
        <v>1123</v>
      </c>
      <c r="B295" s="1">
        <v>42062</v>
      </c>
      <c r="C295" t="s">
        <v>1124</v>
      </c>
      <c r="D295">
        <v>1</v>
      </c>
      <c r="E295" t="s">
        <v>0</v>
      </c>
      <c r="F295" s="32" t="s">
        <v>799</v>
      </c>
      <c r="G295" t="s">
        <v>0</v>
      </c>
      <c r="H295" s="7">
        <f t="shared" si="10"/>
        <v>272863.9375</v>
      </c>
      <c r="I295" s="2">
        <v>43658.23</v>
      </c>
    </row>
    <row r="296" spans="1:11">
      <c r="A296" t="s">
        <v>1127</v>
      </c>
      <c r="B296" s="1">
        <v>42063</v>
      </c>
      <c r="C296" t="s">
        <v>1128</v>
      </c>
      <c r="D296">
        <v>1</v>
      </c>
      <c r="E296" t="s">
        <v>0</v>
      </c>
      <c r="F296" s="32" t="s">
        <v>799</v>
      </c>
      <c r="G296" t="s">
        <v>0</v>
      </c>
      <c r="H296" s="7">
        <f t="shared" si="10"/>
        <v>318084.5</v>
      </c>
      <c r="I296" s="2">
        <v>50893.52</v>
      </c>
    </row>
    <row r="297" spans="1:11">
      <c r="A297" t="s">
        <v>1359</v>
      </c>
      <c r="B297" s="1">
        <v>42045</v>
      </c>
      <c r="C297" t="s">
        <v>1360</v>
      </c>
      <c r="D297">
        <v>1</v>
      </c>
      <c r="E297" t="s">
        <v>1361</v>
      </c>
      <c r="F297" s="32" t="s">
        <v>799</v>
      </c>
      <c r="G297" t="s">
        <v>0</v>
      </c>
      <c r="H297" s="7">
        <f t="shared" si="10"/>
        <v>340278.5</v>
      </c>
      <c r="I297" s="2">
        <v>54444.56</v>
      </c>
    </row>
    <row r="298" spans="1:11">
      <c r="A298" t="s">
        <v>1175</v>
      </c>
      <c r="B298" s="1">
        <v>42063</v>
      </c>
      <c r="C298">
        <v>11447</v>
      </c>
      <c r="D298">
        <v>1</v>
      </c>
      <c r="E298" t="s">
        <v>414</v>
      </c>
      <c r="F298" t="s">
        <v>878</v>
      </c>
      <c r="G298" t="s">
        <v>414</v>
      </c>
      <c r="H298" s="7">
        <f t="shared" si="10"/>
        <v>350</v>
      </c>
      <c r="I298">
        <v>56</v>
      </c>
    </row>
    <row r="299" spans="1:11">
      <c r="A299" t="s">
        <v>1176</v>
      </c>
      <c r="B299" s="1">
        <v>42063</v>
      </c>
      <c r="C299">
        <v>11448</v>
      </c>
      <c r="D299">
        <v>1</v>
      </c>
      <c r="E299" t="s">
        <v>414</v>
      </c>
      <c r="F299" t="s">
        <v>878</v>
      </c>
      <c r="G299" t="s">
        <v>414</v>
      </c>
      <c r="H299" s="7">
        <f t="shared" si="10"/>
        <v>380</v>
      </c>
      <c r="I299">
        <v>60.8</v>
      </c>
    </row>
    <row r="300" spans="1:11">
      <c r="A300" t="s">
        <v>1225</v>
      </c>
      <c r="B300" s="1">
        <v>42063</v>
      </c>
      <c r="C300" t="s">
        <v>1226</v>
      </c>
      <c r="D300">
        <v>1</v>
      </c>
      <c r="E300" t="s">
        <v>1227</v>
      </c>
      <c r="F300" t="s">
        <v>714</v>
      </c>
      <c r="G300" t="s">
        <v>715</v>
      </c>
      <c r="H300" s="2">
        <f t="shared" ref="H300:H331" si="11">I300/0.16</f>
        <v>312.9375</v>
      </c>
      <c r="I300" s="2">
        <v>50.07</v>
      </c>
    </row>
    <row r="301" spans="1:11">
      <c r="A301" t="s">
        <v>1225</v>
      </c>
      <c r="B301" s="1">
        <v>42063</v>
      </c>
      <c r="C301" t="s">
        <v>1226</v>
      </c>
      <c r="D301">
        <v>1</v>
      </c>
      <c r="E301" t="s">
        <v>1227</v>
      </c>
      <c r="F301" t="s">
        <v>1608</v>
      </c>
      <c r="G301" t="s">
        <v>1609</v>
      </c>
      <c r="H301" s="2">
        <f t="shared" si="11"/>
        <v>335.5</v>
      </c>
      <c r="I301" s="2">
        <v>53.68</v>
      </c>
    </row>
    <row r="302" spans="1:11">
      <c r="A302" t="s">
        <v>1225</v>
      </c>
      <c r="B302" s="1">
        <v>42063</v>
      </c>
      <c r="C302" t="s">
        <v>1226</v>
      </c>
      <c r="D302">
        <v>1</v>
      </c>
      <c r="E302" t="s">
        <v>1227</v>
      </c>
      <c r="F302" t="s">
        <v>722</v>
      </c>
      <c r="G302" t="s">
        <v>723</v>
      </c>
      <c r="H302" s="2">
        <f t="shared" si="11"/>
        <v>282.8125</v>
      </c>
      <c r="I302" s="2">
        <v>45.25</v>
      </c>
    </row>
    <row r="303" spans="1:11">
      <c r="A303" t="s">
        <v>1225</v>
      </c>
      <c r="B303" s="1">
        <v>42063</v>
      </c>
      <c r="C303" t="s">
        <v>1226</v>
      </c>
      <c r="D303">
        <v>1</v>
      </c>
      <c r="E303" t="s">
        <v>1227</v>
      </c>
      <c r="F303" t="s">
        <v>935</v>
      </c>
      <c r="G303" t="s">
        <v>936</v>
      </c>
      <c r="H303" s="2">
        <f t="shared" si="11"/>
        <v>86.187499999999986</v>
      </c>
      <c r="I303" s="2">
        <v>13.79</v>
      </c>
      <c r="J303" s="7">
        <f>1017.44-H300-H301-H302-H303</f>
        <v>2.5000000000687805E-3</v>
      </c>
      <c r="K303" s="2">
        <f>162.79-I300-I301-I302-I303</f>
        <v>0</v>
      </c>
    </row>
    <row r="304" spans="1:11">
      <c r="A304" t="s">
        <v>1210</v>
      </c>
      <c r="B304" s="1">
        <v>42063</v>
      </c>
      <c r="C304" t="s">
        <v>1211</v>
      </c>
      <c r="D304">
        <v>1</v>
      </c>
      <c r="E304" t="s">
        <v>1212</v>
      </c>
      <c r="F304" t="s">
        <v>714</v>
      </c>
      <c r="G304" t="s">
        <v>715</v>
      </c>
      <c r="H304" s="2">
        <f t="shared" si="11"/>
        <v>312.9375</v>
      </c>
      <c r="I304" s="2">
        <v>50.07</v>
      </c>
    </row>
    <row r="305" spans="1:11">
      <c r="A305" t="s">
        <v>1210</v>
      </c>
      <c r="B305" s="1">
        <v>42063</v>
      </c>
      <c r="C305" t="s">
        <v>1211</v>
      </c>
      <c r="D305">
        <v>1</v>
      </c>
      <c r="E305" t="s">
        <v>1212</v>
      </c>
      <c r="F305" t="s">
        <v>751</v>
      </c>
      <c r="G305" t="s">
        <v>752</v>
      </c>
      <c r="H305" s="2">
        <f t="shared" si="11"/>
        <v>534.5</v>
      </c>
      <c r="I305" s="2">
        <v>85.52</v>
      </c>
    </row>
    <row r="306" spans="1:11">
      <c r="A306" t="s">
        <v>1210</v>
      </c>
      <c r="B306" s="1">
        <v>42063</v>
      </c>
      <c r="C306" t="s">
        <v>1211</v>
      </c>
      <c r="D306">
        <v>1</v>
      </c>
      <c r="E306" t="s">
        <v>1212</v>
      </c>
      <c r="F306" t="s">
        <v>1610</v>
      </c>
      <c r="G306" t="s">
        <v>1611</v>
      </c>
      <c r="H306" s="2">
        <f t="shared" si="11"/>
        <v>713.8125</v>
      </c>
      <c r="I306" s="2">
        <v>114.21</v>
      </c>
    </row>
    <row r="307" spans="1:11">
      <c r="A307" t="s">
        <v>1210</v>
      </c>
      <c r="B307" s="1">
        <v>42063</v>
      </c>
      <c r="C307" t="s">
        <v>1211</v>
      </c>
      <c r="D307">
        <v>1</v>
      </c>
      <c r="E307" t="s">
        <v>1212</v>
      </c>
      <c r="F307" t="s">
        <v>722</v>
      </c>
      <c r="G307" t="s">
        <v>723</v>
      </c>
      <c r="H307" s="2">
        <f t="shared" si="11"/>
        <v>712.93749999999989</v>
      </c>
      <c r="I307" s="2">
        <v>114.07</v>
      </c>
    </row>
    <row r="308" spans="1:11">
      <c r="A308" t="s">
        <v>1210</v>
      </c>
      <c r="B308" s="1">
        <v>42063</v>
      </c>
      <c r="C308" t="s">
        <v>1211</v>
      </c>
      <c r="D308">
        <v>1</v>
      </c>
      <c r="E308" t="s">
        <v>1212</v>
      </c>
      <c r="F308" t="s">
        <v>895</v>
      </c>
      <c r="G308" t="s">
        <v>896</v>
      </c>
      <c r="H308" s="2">
        <f t="shared" si="11"/>
        <v>106.875</v>
      </c>
      <c r="I308" s="2">
        <v>17.100000000000001</v>
      </c>
    </row>
    <row r="309" spans="1:11">
      <c r="A309" t="s">
        <v>1210</v>
      </c>
      <c r="B309" s="1">
        <v>42063</v>
      </c>
      <c r="C309" t="s">
        <v>1211</v>
      </c>
      <c r="D309">
        <v>1</v>
      </c>
      <c r="E309" t="s">
        <v>1212</v>
      </c>
      <c r="F309" t="s">
        <v>1612</v>
      </c>
      <c r="G309" t="s">
        <v>1613</v>
      </c>
      <c r="H309" s="2">
        <f t="shared" si="11"/>
        <v>292.375</v>
      </c>
      <c r="I309" s="2">
        <v>46.78</v>
      </c>
      <c r="J309" s="7">
        <f>2673.44-H304-H305-H306-H307-H308-H309</f>
        <v>2.5000000001682565E-3</v>
      </c>
      <c r="K309" s="2">
        <f>427.75-I304-I305-I306-I307-I308-I309</f>
        <v>0</v>
      </c>
    </row>
    <row r="310" spans="1:11">
      <c r="A310" t="s">
        <v>1201</v>
      </c>
      <c r="B310" s="1">
        <v>42063</v>
      </c>
      <c r="C310" t="s">
        <v>1202</v>
      </c>
      <c r="D310">
        <v>1</v>
      </c>
      <c r="E310" t="s">
        <v>1203</v>
      </c>
      <c r="F310" t="s">
        <v>935</v>
      </c>
      <c r="G310" t="s">
        <v>936</v>
      </c>
      <c r="H310" s="2">
        <f t="shared" si="11"/>
        <v>86.187499999999986</v>
      </c>
      <c r="I310" s="2">
        <v>13.79</v>
      </c>
    </row>
    <row r="311" spans="1:11">
      <c r="A311" t="s">
        <v>1201</v>
      </c>
      <c r="B311" s="1">
        <v>42063</v>
      </c>
      <c r="C311" t="s">
        <v>1202</v>
      </c>
      <c r="D311">
        <v>1</v>
      </c>
      <c r="E311" t="s">
        <v>1203</v>
      </c>
      <c r="F311" t="s">
        <v>722</v>
      </c>
      <c r="G311" t="s">
        <v>723</v>
      </c>
      <c r="H311" s="2">
        <f t="shared" si="11"/>
        <v>217.31250000000003</v>
      </c>
      <c r="I311" s="2">
        <v>34.770000000000003</v>
      </c>
    </row>
    <row r="312" spans="1:11">
      <c r="A312" t="s">
        <v>1201</v>
      </c>
      <c r="B312" s="1">
        <v>42063</v>
      </c>
      <c r="C312" t="s">
        <v>1202</v>
      </c>
      <c r="D312">
        <v>1</v>
      </c>
      <c r="E312" t="s">
        <v>1203</v>
      </c>
      <c r="F312" t="s">
        <v>1614</v>
      </c>
      <c r="G312" t="s">
        <v>1615</v>
      </c>
      <c r="H312" s="2">
        <f t="shared" si="11"/>
        <v>419.37499999999994</v>
      </c>
      <c r="I312" s="2">
        <v>67.099999999999994</v>
      </c>
    </row>
    <row r="313" spans="1:11">
      <c r="A313" t="s">
        <v>1201</v>
      </c>
      <c r="B313" s="1">
        <v>42063</v>
      </c>
      <c r="C313" t="s">
        <v>1202</v>
      </c>
      <c r="D313">
        <v>1</v>
      </c>
      <c r="E313" t="s">
        <v>1203</v>
      </c>
      <c r="F313" t="s">
        <v>923</v>
      </c>
      <c r="G313" t="s">
        <v>924</v>
      </c>
      <c r="H313" s="2">
        <f t="shared" si="11"/>
        <v>344.875</v>
      </c>
      <c r="I313" s="2">
        <v>55.18</v>
      </c>
      <c r="J313" s="7">
        <f>1067.75-H310-H311-H312-H313</f>
        <v>0</v>
      </c>
      <c r="K313" s="2">
        <f>170.84-I310-I311-I312-I313</f>
        <v>0</v>
      </c>
    </row>
    <row r="314" spans="1:11">
      <c r="A314" t="s">
        <v>1228</v>
      </c>
      <c r="B314" s="1">
        <v>42063</v>
      </c>
      <c r="C314" t="s">
        <v>1229</v>
      </c>
      <c r="D314">
        <v>1</v>
      </c>
      <c r="E314" t="s">
        <v>1230</v>
      </c>
      <c r="F314" t="s">
        <v>714</v>
      </c>
      <c r="G314" t="s">
        <v>715</v>
      </c>
      <c r="H314" s="2">
        <f t="shared" si="11"/>
        <v>205.18749999999997</v>
      </c>
      <c r="I314" s="2">
        <v>32.83</v>
      </c>
    </row>
    <row r="315" spans="1:11">
      <c r="A315" t="s">
        <v>1228</v>
      </c>
      <c r="B315" s="1">
        <v>42063</v>
      </c>
      <c r="C315" t="s">
        <v>1229</v>
      </c>
      <c r="D315">
        <v>1</v>
      </c>
      <c r="E315" t="s">
        <v>1230</v>
      </c>
      <c r="F315" t="s">
        <v>722</v>
      </c>
      <c r="G315" t="s">
        <v>723</v>
      </c>
      <c r="H315" s="2">
        <f t="shared" si="11"/>
        <v>176.8125</v>
      </c>
      <c r="I315" s="2">
        <v>28.29</v>
      </c>
    </row>
    <row r="316" spans="1:11">
      <c r="A316" t="s">
        <v>1228</v>
      </c>
      <c r="B316" s="1">
        <v>42063</v>
      </c>
      <c r="C316" t="s">
        <v>1229</v>
      </c>
      <c r="D316">
        <v>1</v>
      </c>
      <c r="E316" t="s">
        <v>1230</v>
      </c>
      <c r="F316" t="s">
        <v>935</v>
      </c>
      <c r="G316" t="s">
        <v>936</v>
      </c>
      <c r="H316" s="2">
        <f t="shared" si="11"/>
        <v>86.187499999999986</v>
      </c>
      <c r="I316" s="2">
        <v>13.79</v>
      </c>
    </row>
    <row r="317" spans="1:11">
      <c r="A317" t="s">
        <v>1228</v>
      </c>
      <c r="B317" s="1">
        <v>42063</v>
      </c>
      <c r="C317" t="s">
        <v>1229</v>
      </c>
      <c r="D317">
        <v>1</v>
      </c>
      <c r="E317" t="s">
        <v>1230</v>
      </c>
      <c r="F317" t="s">
        <v>780</v>
      </c>
      <c r="G317" t="s">
        <v>1616</v>
      </c>
      <c r="H317" s="2">
        <f t="shared" si="11"/>
        <v>377.4375</v>
      </c>
      <c r="I317" s="2">
        <v>60.39</v>
      </c>
      <c r="J317" s="7">
        <f>845.63-H314-H315-H316-H317</f>
        <v>4.9999999999954525E-3</v>
      </c>
      <c r="K317" s="2">
        <f>135.3-I314-I315-I316-I317</f>
        <v>0</v>
      </c>
    </row>
    <row r="318" spans="1:11">
      <c r="A318" t="s">
        <v>1287</v>
      </c>
      <c r="B318" s="1">
        <v>42063</v>
      </c>
      <c r="C318" t="s">
        <v>1288</v>
      </c>
      <c r="D318">
        <v>1</v>
      </c>
      <c r="E318" t="s">
        <v>1289</v>
      </c>
      <c r="F318" t="s">
        <v>722</v>
      </c>
      <c r="G318" t="s">
        <v>723</v>
      </c>
      <c r="H318" s="2">
        <f t="shared" si="11"/>
        <v>274.1875</v>
      </c>
      <c r="I318" s="2">
        <v>43.87</v>
      </c>
    </row>
    <row r="319" spans="1:11">
      <c r="A319" t="s">
        <v>1287</v>
      </c>
      <c r="B319" s="1">
        <v>42063</v>
      </c>
      <c r="C319" t="s">
        <v>1288</v>
      </c>
      <c r="D319">
        <v>1</v>
      </c>
      <c r="E319" t="s">
        <v>1289</v>
      </c>
      <c r="F319" t="s">
        <v>749</v>
      </c>
      <c r="G319" t="s">
        <v>750</v>
      </c>
      <c r="H319" s="2">
        <f t="shared" si="11"/>
        <v>85.375</v>
      </c>
      <c r="I319" s="2">
        <v>13.66</v>
      </c>
    </row>
    <row r="320" spans="1:11">
      <c r="A320" t="s">
        <v>1287</v>
      </c>
      <c r="B320" s="1">
        <v>42063</v>
      </c>
      <c r="C320" t="s">
        <v>1288</v>
      </c>
      <c r="D320">
        <v>1</v>
      </c>
      <c r="E320" t="s">
        <v>1289</v>
      </c>
      <c r="F320" t="s">
        <v>1617</v>
      </c>
      <c r="G320" t="s">
        <v>1618</v>
      </c>
      <c r="H320" s="2">
        <f t="shared" si="11"/>
        <v>377.4375</v>
      </c>
      <c r="I320" s="2">
        <v>60.39</v>
      </c>
    </row>
    <row r="321" spans="1:11">
      <c r="A321" t="s">
        <v>1287</v>
      </c>
      <c r="B321" s="1">
        <v>42063</v>
      </c>
      <c r="C321" t="s">
        <v>1288</v>
      </c>
      <c r="D321">
        <v>1</v>
      </c>
      <c r="E321" t="s">
        <v>1289</v>
      </c>
      <c r="F321" t="s">
        <v>961</v>
      </c>
      <c r="G321" t="s">
        <v>962</v>
      </c>
      <c r="H321" s="2">
        <f t="shared" si="11"/>
        <v>50.4375</v>
      </c>
      <c r="I321" s="2">
        <v>8.07</v>
      </c>
    </row>
    <row r="322" spans="1:11">
      <c r="A322" t="s">
        <v>1287</v>
      </c>
      <c r="B322" s="1">
        <v>42063</v>
      </c>
      <c r="C322" t="s">
        <v>1288</v>
      </c>
      <c r="D322">
        <v>1</v>
      </c>
      <c r="E322" t="s">
        <v>1289</v>
      </c>
      <c r="F322" t="s">
        <v>714</v>
      </c>
      <c r="G322" t="s">
        <v>715</v>
      </c>
      <c r="H322" s="2">
        <f t="shared" si="11"/>
        <v>305.1875</v>
      </c>
      <c r="I322" s="2">
        <v>48.83</v>
      </c>
      <c r="J322" s="7">
        <f>1092.63-H318-H319-H320-H321-H322</f>
        <v>5.0000000001091394E-3</v>
      </c>
      <c r="K322" s="2">
        <f>174.82-I318-I319-I320-I321-I322</f>
        <v>0</v>
      </c>
    </row>
    <row r="323" spans="1:11">
      <c r="A323" t="s">
        <v>1219</v>
      </c>
      <c r="B323" s="1">
        <v>42063</v>
      </c>
      <c r="C323" t="s">
        <v>1220</v>
      </c>
      <c r="D323">
        <v>1</v>
      </c>
      <c r="E323" t="s">
        <v>1221</v>
      </c>
      <c r="F323" t="s">
        <v>751</v>
      </c>
      <c r="G323" t="s">
        <v>752</v>
      </c>
      <c r="H323" s="2">
        <f t="shared" si="11"/>
        <v>731.0625</v>
      </c>
      <c r="I323" s="2">
        <v>116.97</v>
      </c>
    </row>
    <row r="324" spans="1:11">
      <c r="A324" t="s">
        <v>1219</v>
      </c>
      <c r="B324" s="1">
        <v>42063</v>
      </c>
      <c r="C324" t="s">
        <v>1220</v>
      </c>
      <c r="D324">
        <v>1</v>
      </c>
      <c r="E324" t="s">
        <v>1221</v>
      </c>
      <c r="F324" t="s">
        <v>1619</v>
      </c>
      <c r="G324" t="s">
        <v>1620</v>
      </c>
      <c r="H324" s="2">
        <f t="shared" si="11"/>
        <v>55.125</v>
      </c>
      <c r="I324" s="2">
        <v>8.82</v>
      </c>
    </row>
    <row r="325" spans="1:11">
      <c r="A325" t="s">
        <v>1219</v>
      </c>
      <c r="B325" s="1">
        <v>42063</v>
      </c>
      <c r="C325" t="s">
        <v>1220</v>
      </c>
      <c r="D325">
        <v>1</v>
      </c>
      <c r="E325" t="s">
        <v>1221</v>
      </c>
      <c r="F325" t="s">
        <v>1621</v>
      </c>
      <c r="G325" t="s">
        <v>1622</v>
      </c>
      <c r="H325" s="2">
        <f t="shared" si="11"/>
        <v>641.75</v>
      </c>
      <c r="I325" s="2">
        <v>102.68</v>
      </c>
    </row>
    <row r="326" spans="1:11">
      <c r="A326" t="s">
        <v>1219</v>
      </c>
      <c r="B326" s="1">
        <v>42063</v>
      </c>
      <c r="C326" t="s">
        <v>1220</v>
      </c>
      <c r="D326">
        <v>1</v>
      </c>
      <c r="E326" t="s">
        <v>1221</v>
      </c>
      <c r="F326" t="s">
        <v>722</v>
      </c>
      <c r="G326" t="s">
        <v>723</v>
      </c>
      <c r="H326" s="2">
        <f t="shared" si="11"/>
        <v>924.1875</v>
      </c>
      <c r="I326" s="2">
        <v>147.87</v>
      </c>
    </row>
    <row r="327" spans="1:11">
      <c r="A327" t="s">
        <v>1219</v>
      </c>
      <c r="B327" s="1">
        <v>42063</v>
      </c>
      <c r="C327" t="s">
        <v>1220</v>
      </c>
      <c r="D327">
        <v>1</v>
      </c>
      <c r="E327" t="s">
        <v>1221</v>
      </c>
      <c r="F327" t="s">
        <v>909</v>
      </c>
      <c r="G327" t="s">
        <v>1623</v>
      </c>
      <c r="H327" s="2">
        <f t="shared" si="11"/>
        <v>629.0625</v>
      </c>
      <c r="I327" s="2">
        <v>100.65</v>
      </c>
      <c r="J327" s="7">
        <f>2981.19-H323-H324-H325-H326-H327</f>
        <v>2.5000000000545697E-3</v>
      </c>
      <c r="K327" s="2">
        <f>476.99-I323-I324-I325-I326-I327</f>
        <v>0</v>
      </c>
    </row>
    <row r="328" spans="1:11">
      <c r="A328" t="s">
        <v>1231</v>
      </c>
      <c r="B328" s="1">
        <v>42063</v>
      </c>
      <c r="C328" t="s">
        <v>1232</v>
      </c>
      <c r="D328">
        <v>1</v>
      </c>
      <c r="E328" t="s">
        <v>1233</v>
      </c>
      <c r="F328" t="s">
        <v>714</v>
      </c>
      <c r="G328" t="s">
        <v>715</v>
      </c>
      <c r="H328" s="2">
        <f t="shared" si="11"/>
        <v>56.0625</v>
      </c>
      <c r="I328" s="2">
        <v>8.9700000000000006</v>
      </c>
    </row>
    <row r="329" spans="1:11">
      <c r="A329" t="s">
        <v>1231</v>
      </c>
      <c r="B329" s="1">
        <v>42063</v>
      </c>
      <c r="C329" t="s">
        <v>1232</v>
      </c>
      <c r="D329">
        <v>1</v>
      </c>
      <c r="E329" t="s">
        <v>1233</v>
      </c>
      <c r="F329" t="s">
        <v>923</v>
      </c>
      <c r="G329" t="s">
        <v>924</v>
      </c>
      <c r="H329" s="2">
        <f t="shared" si="11"/>
        <v>290.5625</v>
      </c>
      <c r="I329" s="2">
        <v>46.49</v>
      </c>
    </row>
    <row r="330" spans="1:11">
      <c r="A330" t="s">
        <v>1231</v>
      </c>
      <c r="B330" s="1">
        <v>42063</v>
      </c>
      <c r="C330" t="s">
        <v>1232</v>
      </c>
      <c r="D330">
        <v>1</v>
      </c>
      <c r="E330" t="s">
        <v>1233</v>
      </c>
      <c r="F330" t="s">
        <v>1614</v>
      </c>
      <c r="G330" t="s">
        <v>1615</v>
      </c>
      <c r="H330" s="2">
        <f t="shared" si="11"/>
        <v>419.37499999999994</v>
      </c>
      <c r="I330" s="2">
        <v>67.099999999999994</v>
      </c>
    </row>
    <row r="331" spans="1:11">
      <c r="A331" t="s">
        <v>1231</v>
      </c>
      <c r="B331" s="1">
        <v>42063</v>
      </c>
      <c r="C331" t="s">
        <v>1232</v>
      </c>
      <c r="D331">
        <v>1</v>
      </c>
      <c r="E331" t="s">
        <v>1233</v>
      </c>
      <c r="F331" t="s">
        <v>722</v>
      </c>
      <c r="G331" t="s">
        <v>723</v>
      </c>
      <c r="H331" s="2">
        <f t="shared" si="11"/>
        <v>217.31250000000003</v>
      </c>
      <c r="I331" s="2">
        <v>34.770000000000003</v>
      </c>
    </row>
    <row r="332" spans="1:11">
      <c r="A332" t="s">
        <v>1231</v>
      </c>
      <c r="B332" s="1">
        <v>42063</v>
      </c>
      <c r="C332" t="s">
        <v>1232</v>
      </c>
      <c r="D332">
        <v>1</v>
      </c>
      <c r="E332" t="s">
        <v>1233</v>
      </c>
      <c r="F332" t="s">
        <v>935</v>
      </c>
      <c r="G332" t="s">
        <v>936</v>
      </c>
      <c r="H332" s="2">
        <f t="shared" ref="H332:H363" si="12">I332/0.16</f>
        <v>86.187499999999986</v>
      </c>
      <c r="I332" s="2">
        <v>13.79</v>
      </c>
      <c r="J332" s="7">
        <f>1069.5-H328-H329-H330-H331-H332</f>
        <v>0</v>
      </c>
      <c r="K332" s="2">
        <f>171.12-I328-I329-I330-I331-I332</f>
        <v>0</v>
      </c>
    </row>
    <row r="333" spans="1:11">
      <c r="A333" t="s">
        <v>1213</v>
      </c>
      <c r="B333" s="1">
        <v>42063</v>
      </c>
      <c r="C333" t="s">
        <v>1214</v>
      </c>
      <c r="D333">
        <v>1</v>
      </c>
      <c r="E333" t="s">
        <v>1215</v>
      </c>
      <c r="F333" t="s">
        <v>923</v>
      </c>
      <c r="G333" t="s">
        <v>924</v>
      </c>
      <c r="H333" s="2">
        <f t="shared" si="12"/>
        <v>531.9375</v>
      </c>
      <c r="I333" s="2">
        <v>85.11</v>
      </c>
    </row>
    <row r="334" spans="1:11">
      <c r="A334" t="s">
        <v>1213</v>
      </c>
      <c r="B334" s="1">
        <v>42063</v>
      </c>
      <c r="C334" t="s">
        <v>1214</v>
      </c>
      <c r="D334">
        <v>1</v>
      </c>
      <c r="E334" t="s">
        <v>1215</v>
      </c>
      <c r="F334" t="s">
        <v>751</v>
      </c>
      <c r="G334" t="s">
        <v>752</v>
      </c>
      <c r="H334" s="2">
        <f t="shared" si="12"/>
        <v>174.1875</v>
      </c>
      <c r="I334" s="2">
        <v>27.87</v>
      </c>
    </row>
    <row r="335" spans="1:11">
      <c r="A335" t="s">
        <v>1213</v>
      </c>
      <c r="B335" s="1">
        <v>42063</v>
      </c>
      <c r="C335" t="s">
        <v>1214</v>
      </c>
      <c r="D335">
        <v>1</v>
      </c>
      <c r="E335" t="s">
        <v>1215</v>
      </c>
      <c r="F335" t="s">
        <v>1624</v>
      </c>
      <c r="G335" t="s">
        <v>1625</v>
      </c>
      <c r="H335" s="2">
        <f t="shared" si="12"/>
        <v>853.62500000000011</v>
      </c>
      <c r="I335" s="2">
        <v>136.58000000000001</v>
      </c>
    </row>
    <row r="336" spans="1:11">
      <c r="A336" t="s">
        <v>1213</v>
      </c>
      <c r="B336" s="1">
        <v>42063</v>
      </c>
      <c r="C336" t="s">
        <v>1214</v>
      </c>
      <c r="D336">
        <v>1</v>
      </c>
      <c r="E336" t="s">
        <v>1215</v>
      </c>
      <c r="F336" t="s">
        <v>722</v>
      </c>
      <c r="G336" t="s">
        <v>723</v>
      </c>
      <c r="H336" s="2">
        <f t="shared" si="12"/>
        <v>570.75</v>
      </c>
      <c r="I336" s="2">
        <v>91.32</v>
      </c>
    </row>
    <row r="337" spans="1:11">
      <c r="A337" t="s">
        <v>1213</v>
      </c>
      <c r="B337" s="1">
        <v>42063</v>
      </c>
      <c r="C337" t="s">
        <v>1214</v>
      </c>
      <c r="D337">
        <v>1</v>
      </c>
      <c r="E337" t="s">
        <v>1215</v>
      </c>
      <c r="F337" t="s">
        <v>935</v>
      </c>
      <c r="G337" t="s">
        <v>936</v>
      </c>
      <c r="H337" s="2">
        <f t="shared" si="12"/>
        <v>86.187499999999986</v>
      </c>
      <c r="I337" s="2">
        <v>13.79</v>
      </c>
      <c r="J337" s="7">
        <f>2216.69-H333-H334-H335-H336-H337</f>
        <v>2.4999999999550937E-3</v>
      </c>
      <c r="K337" s="2">
        <f>354.67-I333-I334-I335-I336-I337</f>
        <v>0</v>
      </c>
    </row>
    <row r="338" spans="1:11">
      <c r="A338" t="s">
        <v>1216</v>
      </c>
      <c r="B338" s="1">
        <v>42063</v>
      </c>
      <c r="C338" t="s">
        <v>1217</v>
      </c>
      <c r="D338">
        <v>1</v>
      </c>
      <c r="E338" t="s">
        <v>1218</v>
      </c>
      <c r="F338" t="s">
        <v>714</v>
      </c>
      <c r="G338" t="s">
        <v>715</v>
      </c>
      <c r="H338" s="2">
        <f t="shared" si="12"/>
        <v>205.18749999999997</v>
      </c>
      <c r="I338" s="2">
        <v>32.83</v>
      </c>
    </row>
    <row r="339" spans="1:11">
      <c r="A339" t="s">
        <v>1216</v>
      </c>
      <c r="B339" s="1">
        <v>42063</v>
      </c>
      <c r="C339" t="s">
        <v>1217</v>
      </c>
      <c r="D339">
        <v>1</v>
      </c>
      <c r="E339" t="s">
        <v>1218</v>
      </c>
      <c r="F339" t="s">
        <v>780</v>
      </c>
      <c r="G339" t="s">
        <v>1616</v>
      </c>
      <c r="H339" s="2">
        <f t="shared" si="12"/>
        <v>503.3125</v>
      </c>
      <c r="I339" s="2">
        <v>80.53</v>
      </c>
    </row>
    <row r="340" spans="1:11">
      <c r="A340" t="s">
        <v>1216</v>
      </c>
      <c r="B340" s="1">
        <v>42063</v>
      </c>
      <c r="C340" t="s">
        <v>1217</v>
      </c>
      <c r="D340">
        <v>1</v>
      </c>
      <c r="E340" t="s">
        <v>1218</v>
      </c>
      <c r="F340" t="s">
        <v>1626</v>
      </c>
      <c r="G340" t="s">
        <v>1627</v>
      </c>
      <c r="H340" s="2">
        <f t="shared" si="12"/>
        <v>68.9375</v>
      </c>
      <c r="I340" s="2">
        <v>11.03</v>
      </c>
    </row>
    <row r="341" spans="1:11">
      <c r="A341" t="s">
        <v>1216</v>
      </c>
      <c r="B341" s="1">
        <v>42063</v>
      </c>
      <c r="C341" t="s">
        <v>1217</v>
      </c>
      <c r="D341">
        <v>1</v>
      </c>
      <c r="E341" t="s">
        <v>1218</v>
      </c>
      <c r="F341" t="s">
        <v>722</v>
      </c>
      <c r="G341" t="s">
        <v>723</v>
      </c>
      <c r="H341" s="2">
        <f t="shared" si="12"/>
        <v>176.8125</v>
      </c>
      <c r="I341" s="2">
        <v>28.29</v>
      </c>
      <c r="J341" s="7">
        <f>954.25-H338-H339-H340-H341</f>
        <v>0</v>
      </c>
      <c r="K341" s="2">
        <f>152.68-I338-I339-I340-I341</f>
        <v>0</v>
      </c>
    </row>
    <row r="342" spans="1:11">
      <c r="A342" t="s">
        <v>1284</v>
      </c>
      <c r="B342" s="1">
        <v>42063</v>
      </c>
      <c r="C342" t="s">
        <v>1285</v>
      </c>
      <c r="D342">
        <v>1</v>
      </c>
      <c r="E342" t="s">
        <v>1286</v>
      </c>
      <c r="F342" t="s">
        <v>714</v>
      </c>
      <c r="G342" t="s">
        <v>715</v>
      </c>
      <c r="H342" s="2">
        <f t="shared" si="12"/>
        <v>312.9375</v>
      </c>
      <c r="I342" s="2">
        <v>50.07</v>
      </c>
    </row>
    <row r="343" spans="1:11">
      <c r="A343" t="s">
        <v>1284</v>
      </c>
      <c r="B343" s="1">
        <v>42063</v>
      </c>
      <c r="C343" t="s">
        <v>1285</v>
      </c>
      <c r="D343">
        <v>1</v>
      </c>
      <c r="E343" t="s">
        <v>1286</v>
      </c>
      <c r="F343" t="s">
        <v>722</v>
      </c>
      <c r="G343" t="s">
        <v>723</v>
      </c>
      <c r="H343" s="2">
        <f t="shared" si="12"/>
        <v>176.8125</v>
      </c>
      <c r="I343" s="2">
        <v>28.29</v>
      </c>
    </row>
    <row r="344" spans="1:11">
      <c r="A344" t="s">
        <v>1284</v>
      </c>
      <c r="B344" s="1">
        <v>42063</v>
      </c>
      <c r="C344" t="s">
        <v>1285</v>
      </c>
      <c r="D344">
        <v>1</v>
      </c>
      <c r="E344" t="s">
        <v>1286</v>
      </c>
      <c r="F344" t="s">
        <v>935</v>
      </c>
      <c r="G344" t="s">
        <v>936</v>
      </c>
      <c r="H344" s="2">
        <f t="shared" si="12"/>
        <v>86.187499999999986</v>
      </c>
      <c r="I344" s="2">
        <v>13.79</v>
      </c>
    </row>
    <row r="345" spans="1:11">
      <c r="A345" t="s">
        <v>1284</v>
      </c>
      <c r="B345" s="1">
        <v>42063</v>
      </c>
      <c r="C345" t="s">
        <v>1285</v>
      </c>
      <c r="D345">
        <v>1</v>
      </c>
      <c r="E345" t="s">
        <v>1286</v>
      </c>
      <c r="F345" t="s">
        <v>780</v>
      </c>
      <c r="G345" t="s">
        <v>1616</v>
      </c>
      <c r="H345" s="2">
        <f t="shared" si="12"/>
        <v>419.4375</v>
      </c>
      <c r="I345" s="2">
        <v>67.11</v>
      </c>
      <c r="J345" s="7">
        <f>995.38-H342-H343-H344-H345</f>
        <v>4.9999999999954525E-3</v>
      </c>
      <c r="K345" s="2">
        <f>159.26-I342-I343-I344-I345</f>
        <v>0</v>
      </c>
    </row>
    <row r="346" spans="1:11">
      <c r="A346" t="s">
        <v>1293</v>
      </c>
      <c r="B346" s="1">
        <v>42063</v>
      </c>
      <c r="C346" t="s">
        <v>1294</v>
      </c>
      <c r="D346">
        <v>1</v>
      </c>
      <c r="E346" t="s">
        <v>1295</v>
      </c>
      <c r="F346" t="s">
        <v>714</v>
      </c>
      <c r="G346" t="s">
        <v>715</v>
      </c>
      <c r="H346" s="2">
        <f t="shared" si="12"/>
        <v>46.5625</v>
      </c>
      <c r="I346" s="2">
        <v>7.45</v>
      </c>
    </row>
    <row r="347" spans="1:11">
      <c r="A347" t="s">
        <v>1293</v>
      </c>
      <c r="B347" s="1">
        <v>42063</v>
      </c>
      <c r="C347" t="s">
        <v>1294</v>
      </c>
      <c r="D347">
        <v>1</v>
      </c>
      <c r="E347" t="s">
        <v>1295</v>
      </c>
      <c r="F347" t="s">
        <v>923</v>
      </c>
      <c r="G347" t="s">
        <v>924</v>
      </c>
      <c r="H347" s="2">
        <f t="shared" si="12"/>
        <v>435.37499999999994</v>
      </c>
      <c r="I347" s="2">
        <v>69.66</v>
      </c>
    </row>
    <row r="348" spans="1:11">
      <c r="A348" t="s">
        <v>1293</v>
      </c>
      <c r="B348" s="1">
        <v>42063</v>
      </c>
      <c r="C348" t="s">
        <v>1294</v>
      </c>
      <c r="D348">
        <v>1</v>
      </c>
      <c r="E348" t="s">
        <v>1295</v>
      </c>
      <c r="F348" t="s">
        <v>722</v>
      </c>
      <c r="G348" t="s">
        <v>723</v>
      </c>
      <c r="H348" s="2">
        <f t="shared" si="12"/>
        <v>407.8125</v>
      </c>
      <c r="I348" s="2">
        <v>65.25</v>
      </c>
    </row>
    <row r="349" spans="1:11">
      <c r="A349" t="s">
        <v>1293</v>
      </c>
      <c r="B349" s="1">
        <v>42063</v>
      </c>
      <c r="C349" t="s">
        <v>1294</v>
      </c>
      <c r="D349">
        <v>1</v>
      </c>
      <c r="E349" t="s">
        <v>1295</v>
      </c>
      <c r="F349" t="s">
        <v>1628</v>
      </c>
      <c r="G349" t="s">
        <v>1629</v>
      </c>
      <c r="H349" s="2">
        <f t="shared" si="12"/>
        <v>503.24999999999994</v>
      </c>
      <c r="I349" s="2">
        <v>80.52</v>
      </c>
    </row>
    <row r="350" spans="1:11">
      <c r="A350" t="s">
        <v>1293</v>
      </c>
      <c r="B350" s="1">
        <v>42063</v>
      </c>
      <c r="C350" t="s">
        <v>1294</v>
      </c>
      <c r="D350">
        <v>1</v>
      </c>
      <c r="E350" t="s">
        <v>1295</v>
      </c>
      <c r="F350" t="s">
        <v>1630</v>
      </c>
      <c r="G350" t="s">
        <v>1631</v>
      </c>
      <c r="H350" s="2">
        <f t="shared" si="12"/>
        <v>81.875</v>
      </c>
      <c r="I350" s="2">
        <v>13.1</v>
      </c>
      <c r="J350" s="7">
        <f>1474.88-H346-H347-H348-H349-H350</f>
        <v>5.0000000001659828E-3</v>
      </c>
      <c r="K350" s="2">
        <f>235.98-I346-I347-I348-I349-I350</f>
        <v>0</v>
      </c>
    </row>
    <row r="351" spans="1:11">
      <c r="A351" t="s">
        <v>1296</v>
      </c>
      <c r="B351" s="1">
        <v>42063</v>
      </c>
      <c r="C351" t="s">
        <v>1297</v>
      </c>
      <c r="D351">
        <v>1</v>
      </c>
      <c r="E351" t="s">
        <v>1298</v>
      </c>
      <c r="F351" t="s">
        <v>714</v>
      </c>
      <c r="G351" t="s">
        <v>715</v>
      </c>
      <c r="H351" s="2">
        <f t="shared" si="12"/>
        <v>243.125</v>
      </c>
      <c r="I351" s="2">
        <v>38.9</v>
      </c>
    </row>
    <row r="352" spans="1:11">
      <c r="A352" t="s">
        <v>1296</v>
      </c>
      <c r="B352" s="1">
        <v>42063</v>
      </c>
      <c r="C352" t="s">
        <v>1297</v>
      </c>
      <c r="D352">
        <v>1</v>
      </c>
      <c r="E352" t="s">
        <v>1298</v>
      </c>
      <c r="F352" t="s">
        <v>722</v>
      </c>
      <c r="G352" t="s">
        <v>723</v>
      </c>
      <c r="H352" s="2">
        <f t="shared" si="12"/>
        <v>176.8125</v>
      </c>
      <c r="I352" s="2">
        <v>28.29</v>
      </c>
    </row>
    <row r="353" spans="1:11">
      <c r="A353" t="s">
        <v>1296</v>
      </c>
      <c r="B353" s="1">
        <v>42063</v>
      </c>
      <c r="C353" t="s">
        <v>1297</v>
      </c>
      <c r="D353">
        <v>1</v>
      </c>
      <c r="E353" t="s">
        <v>1298</v>
      </c>
      <c r="F353" t="s">
        <v>745</v>
      </c>
      <c r="G353" t="s">
        <v>746</v>
      </c>
      <c r="H353" s="2">
        <f t="shared" si="12"/>
        <v>94.8125</v>
      </c>
      <c r="I353" s="2">
        <v>15.17</v>
      </c>
    </row>
    <row r="354" spans="1:11">
      <c r="A354" t="s">
        <v>1296</v>
      </c>
      <c r="B354" s="1">
        <v>42063</v>
      </c>
      <c r="C354" t="s">
        <v>1297</v>
      </c>
      <c r="D354">
        <v>1</v>
      </c>
      <c r="E354" t="s">
        <v>1298</v>
      </c>
      <c r="F354" t="s">
        <v>780</v>
      </c>
      <c r="G354" t="s">
        <v>1616</v>
      </c>
      <c r="H354" s="2">
        <f t="shared" si="12"/>
        <v>341.4375</v>
      </c>
      <c r="I354" s="2">
        <v>54.63</v>
      </c>
      <c r="J354" s="7">
        <f>856.19-H351-H352-H353-H354</f>
        <v>2.5000000000545697E-3</v>
      </c>
      <c r="K354" s="2">
        <f>136.99-I351-I352-I353-I354</f>
        <v>0</v>
      </c>
    </row>
    <row r="355" spans="1:11">
      <c r="A355" t="s">
        <v>1290</v>
      </c>
      <c r="B355" s="1">
        <v>42063</v>
      </c>
      <c r="C355" t="s">
        <v>1291</v>
      </c>
      <c r="D355">
        <v>1</v>
      </c>
      <c r="E355" t="s">
        <v>1292</v>
      </c>
      <c r="F355" t="s">
        <v>714</v>
      </c>
      <c r="G355" t="s">
        <v>715</v>
      </c>
      <c r="H355" s="2">
        <f t="shared" si="12"/>
        <v>377.56249999999994</v>
      </c>
      <c r="I355" s="2">
        <v>60.41</v>
      </c>
    </row>
    <row r="356" spans="1:11">
      <c r="A356" t="s">
        <v>1290</v>
      </c>
      <c r="B356" s="1">
        <v>42063</v>
      </c>
      <c r="C356" t="s">
        <v>1291</v>
      </c>
      <c r="D356">
        <v>1</v>
      </c>
      <c r="E356" t="s">
        <v>1292</v>
      </c>
      <c r="F356" t="s">
        <v>722</v>
      </c>
      <c r="G356" t="s">
        <v>723</v>
      </c>
      <c r="H356" s="2">
        <f t="shared" si="12"/>
        <v>445.6875</v>
      </c>
      <c r="I356" s="2">
        <v>71.31</v>
      </c>
    </row>
    <row r="357" spans="1:11">
      <c r="A357" t="s">
        <v>1290</v>
      </c>
      <c r="B357" s="1">
        <v>42063</v>
      </c>
      <c r="C357" t="s">
        <v>1291</v>
      </c>
      <c r="D357">
        <v>1</v>
      </c>
      <c r="E357" t="s">
        <v>1292</v>
      </c>
      <c r="F357" t="s">
        <v>879</v>
      </c>
      <c r="G357" t="s">
        <v>880</v>
      </c>
      <c r="H357" s="2">
        <f t="shared" si="12"/>
        <v>503.24999999999994</v>
      </c>
      <c r="I357" s="2">
        <v>80.52</v>
      </c>
    </row>
    <row r="358" spans="1:11">
      <c r="A358" t="s">
        <v>1290</v>
      </c>
      <c r="B358" s="1">
        <v>42063</v>
      </c>
      <c r="C358" t="s">
        <v>1291</v>
      </c>
      <c r="D358">
        <v>1</v>
      </c>
      <c r="E358" t="s">
        <v>1292</v>
      </c>
      <c r="F358" t="s">
        <v>749</v>
      </c>
      <c r="G358" t="s">
        <v>750</v>
      </c>
      <c r="H358" s="2">
        <f t="shared" si="12"/>
        <v>71.5625</v>
      </c>
      <c r="I358" s="2">
        <v>11.45</v>
      </c>
      <c r="J358" s="7">
        <f>1398.06-H355-H356-H357-H358</f>
        <v>-2.4999999999977263E-3</v>
      </c>
      <c r="K358" s="2">
        <f>223.69-I355-I356-I357-I358</f>
        <v>0</v>
      </c>
    </row>
    <row r="359" spans="1:11">
      <c r="A359" t="s">
        <v>1204</v>
      </c>
      <c r="B359" s="1">
        <v>42063</v>
      </c>
      <c r="C359" t="s">
        <v>1205</v>
      </c>
      <c r="D359">
        <v>1</v>
      </c>
      <c r="E359" t="s">
        <v>1206</v>
      </c>
      <c r="F359" t="s">
        <v>714</v>
      </c>
      <c r="G359" t="s">
        <v>715</v>
      </c>
      <c r="H359" s="2">
        <f t="shared" si="12"/>
        <v>914.6875</v>
      </c>
      <c r="I359" s="2">
        <v>146.35</v>
      </c>
    </row>
    <row r="360" spans="1:11">
      <c r="A360" t="s">
        <v>1204</v>
      </c>
      <c r="B360" s="1">
        <v>42063</v>
      </c>
      <c r="C360" t="s">
        <v>1205</v>
      </c>
      <c r="D360">
        <v>1</v>
      </c>
      <c r="E360" t="s">
        <v>1206</v>
      </c>
      <c r="F360" t="s">
        <v>1632</v>
      </c>
      <c r="G360" t="s">
        <v>1633</v>
      </c>
      <c r="H360" s="2">
        <f t="shared" si="12"/>
        <v>503.24999999999994</v>
      </c>
      <c r="I360" s="2">
        <v>80.52</v>
      </c>
      <c r="J360"/>
    </row>
    <row r="361" spans="1:11">
      <c r="A361" t="s">
        <v>1204</v>
      </c>
      <c r="B361" s="1">
        <v>42063</v>
      </c>
      <c r="C361" t="s">
        <v>1205</v>
      </c>
      <c r="D361">
        <v>1</v>
      </c>
      <c r="E361" t="s">
        <v>1206</v>
      </c>
      <c r="F361" t="s">
        <v>722</v>
      </c>
      <c r="G361" t="s">
        <v>723</v>
      </c>
      <c r="H361" s="2">
        <f t="shared" si="12"/>
        <v>47.4375</v>
      </c>
      <c r="I361" s="2">
        <v>7.59</v>
      </c>
    </row>
    <row r="362" spans="1:11">
      <c r="A362" t="s">
        <v>1204</v>
      </c>
      <c r="B362" s="1">
        <v>42063</v>
      </c>
      <c r="C362" t="s">
        <v>1205</v>
      </c>
      <c r="D362">
        <v>1</v>
      </c>
      <c r="E362" t="s">
        <v>1206</v>
      </c>
      <c r="F362" t="s">
        <v>1634</v>
      </c>
      <c r="G362" t="s">
        <v>1635</v>
      </c>
      <c r="H362" s="2">
        <f t="shared" si="12"/>
        <v>93.125</v>
      </c>
      <c r="I362" s="2">
        <v>14.9</v>
      </c>
      <c r="J362" s="7">
        <f>1558.5-H359-H360-H361-H362</f>
        <v>0</v>
      </c>
      <c r="K362" s="2">
        <f>249.36-I359-I360-I361-I362</f>
        <v>2.3092638912203256E-14</v>
      </c>
    </row>
    <row r="363" spans="1:11">
      <c r="A363" t="s">
        <v>1222</v>
      </c>
      <c r="B363" s="1">
        <v>42063</v>
      </c>
      <c r="C363" t="s">
        <v>1223</v>
      </c>
      <c r="D363">
        <v>1</v>
      </c>
      <c r="E363" t="s">
        <v>1224</v>
      </c>
      <c r="F363" t="s">
        <v>1632</v>
      </c>
      <c r="G363" t="s">
        <v>1633</v>
      </c>
      <c r="H363" s="2">
        <f t="shared" si="12"/>
        <v>419.37499999999994</v>
      </c>
      <c r="I363" s="2">
        <v>67.099999999999994</v>
      </c>
    </row>
    <row r="364" spans="1:11">
      <c r="A364" t="s">
        <v>1222</v>
      </c>
      <c r="B364" s="1">
        <v>42063</v>
      </c>
      <c r="C364" t="s">
        <v>1223</v>
      </c>
      <c r="D364">
        <v>1</v>
      </c>
      <c r="E364" t="s">
        <v>1224</v>
      </c>
      <c r="F364" t="s">
        <v>722</v>
      </c>
      <c r="G364" t="s">
        <v>723</v>
      </c>
      <c r="H364" s="2">
        <f t="shared" ref="H364:H376" si="13">I364/0.16</f>
        <v>47.4375</v>
      </c>
      <c r="I364" s="2">
        <v>7.59</v>
      </c>
    </row>
    <row r="365" spans="1:11">
      <c r="A365" t="s">
        <v>1222</v>
      </c>
      <c r="B365" s="1">
        <v>42063</v>
      </c>
      <c r="C365" t="s">
        <v>1223</v>
      </c>
      <c r="D365">
        <v>1</v>
      </c>
      <c r="E365" t="s">
        <v>1224</v>
      </c>
      <c r="F365" t="s">
        <v>1636</v>
      </c>
      <c r="G365" t="s">
        <v>1637</v>
      </c>
      <c r="H365" s="2">
        <f t="shared" si="13"/>
        <v>112.0625</v>
      </c>
      <c r="I365" s="2">
        <v>17.93</v>
      </c>
      <c r="J365" s="7">
        <f>578.88-H363-H364-H365</f>
        <v>5.0000000000522959E-3</v>
      </c>
      <c r="K365" s="2">
        <f>92.62-I363-I364-I365</f>
        <v>0</v>
      </c>
    </row>
    <row r="366" spans="1:11">
      <c r="A366" t="s">
        <v>1299</v>
      </c>
      <c r="B366" s="1">
        <v>42063</v>
      </c>
      <c r="C366" t="s">
        <v>1300</v>
      </c>
      <c r="D366">
        <v>1</v>
      </c>
      <c r="E366" t="s">
        <v>1301</v>
      </c>
      <c r="F366" t="s">
        <v>714</v>
      </c>
      <c r="G366" t="s">
        <v>715</v>
      </c>
      <c r="H366" s="2">
        <f t="shared" si="13"/>
        <v>205.18749999999997</v>
      </c>
      <c r="I366" s="2">
        <v>32.83</v>
      </c>
    </row>
    <row r="367" spans="1:11">
      <c r="A367" t="s">
        <v>1299</v>
      </c>
      <c r="B367" s="1">
        <v>42063</v>
      </c>
      <c r="C367" t="s">
        <v>1300</v>
      </c>
      <c r="D367">
        <v>1</v>
      </c>
      <c r="E367" t="s">
        <v>1301</v>
      </c>
      <c r="F367" t="s">
        <v>722</v>
      </c>
      <c r="G367" t="s">
        <v>723</v>
      </c>
      <c r="H367" s="2">
        <f t="shared" si="13"/>
        <v>176.8125</v>
      </c>
      <c r="I367" s="2">
        <v>28.29</v>
      </c>
    </row>
    <row r="368" spans="1:11">
      <c r="A368" t="s">
        <v>1299</v>
      </c>
      <c r="B368" s="1">
        <v>42063</v>
      </c>
      <c r="C368" t="s">
        <v>1300</v>
      </c>
      <c r="D368">
        <v>1</v>
      </c>
      <c r="E368" t="s">
        <v>1301</v>
      </c>
      <c r="F368" t="s">
        <v>935</v>
      </c>
      <c r="G368" t="s">
        <v>936</v>
      </c>
      <c r="H368" s="2">
        <f t="shared" si="13"/>
        <v>86.187499999999986</v>
      </c>
      <c r="I368" s="2">
        <v>13.79</v>
      </c>
    </row>
    <row r="369" spans="1:11">
      <c r="A369" t="s">
        <v>1299</v>
      </c>
      <c r="B369" s="1">
        <v>42063</v>
      </c>
      <c r="C369" t="s">
        <v>1300</v>
      </c>
      <c r="D369">
        <v>1</v>
      </c>
      <c r="E369" t="s">
        <v>1301</v>
      </c>
      <c r="F369" t="s">
        <v>780</v>
      </c>
      <c r="G369" t="s">
        <v>1616</v>
      </c>
      <c r="H369" s="2">
        <f t="shared" si="13"/>
        <v>335.5625</v>
      </c>
      <c r="I369" s="2">
        <v>53.69</v>
      </c>
      <c r="J369" s="7">
        <f>803.75-H366-H367-H368-H369</f>
        <v>0</v>
      </c>
      <c r="K369" s="2">
        <f>128.6-I366-I367-I368-I369</f>
        <v>0</v>
      </c>
    </row>
    <row r="370" spans="1:11">
      <c r="A370" t="s">
        <v>1302</v>
      </c>
      <c r="B370" s="1">
        <v>42063</v>
      </c>
      <c r="C370" t="s">
        <v>1303</v>
      </c>
      <c r="D370">
        <v>1</v>
      </c>
      <c r="E370" t="s">
        <v>1304</v>
      </c>
      <c r="F370" t="s">
        <v>714</v>
      </c>
      <c r="G370" t="s">
        <v>715</v>
      </c>
      <c r="H370" s="2">
        <f t="shared" si="13"/>
        <v>300.875</v>
      </c>
      <c r="I370" s="2">
        <v>48.14</v>
      </c>
    </row>
    <row r="371" spans="1:11">
      <c r="A371" t="s">
        <v>1302</v>
      </c>
      <c r="B371" s="1">
        <v>42063</v>
      </c>
      <c r="C371" t="s">
        <v>1303</v>
      </c>
      <c r="D371">
        <v>1</v>
      </c>
      <c r="E371" t="s">
        <v>1304</v>
      </c>
      <c r="F371" t="s">
        <v>1636</v>
      </c>
      <c r="G371" t="s">
        <v>1637</v>
      </c>
      <c r="H371" s="2">
        <f t="shared" si="13"/>
        <v>112.0625</v>
      </c>
      <c r="I371" s="2">
        <v>17.93</v>
      </c>
    </row>
    <row r="372" spans="1:11">
      <c r="A372" t="s">
        <v>1302</v>
      </c>
      <c r="B372" s="1">
        <v>42063</v>
      </c>
      <c r="C372" t="s">
        <v>1303</v>
      </c>
      <c r="D372">
        <v>1</v>
      </c>
      <c r="E372" t="s">
        <v>1304</v>
      </c>
      <c r="F372" t="s">
        <v>1632</v>
      </c>
      <c r="G372" t="s">
        <v>1633</v>
      </c>
      <c r="H372" s="2">
        <f t="shared" si="13"/>
        <v>398</v>
      </c>
      <c r="I372" s="2">
        <v>63.68</v>
      </c>
      <c r="J372" s="7">
        <f>810.94-H370-H371-H372</f>
        <v>2.5000000000545697E-3</v>
      </c>
      <c r="K372" s="2">
        <f>129.75-I370-I371-I372</f>
        <v>0</v>
      </c>
    </row>
    <row r="373" spans="1:11">
      <c r="A373" t="s">
        <v>1207</v>
      </c>
      <c r="B373" s="1">
        <v>42063</v>
      </c>
      <c r="C373" t="s">
        <v>1208</v>
      </c>
      <c r="D373">
        <v>1</v>
      </c>
      <c r="E373" t="s">
        <v>1209</v>
      </c>
      <c r="F373" t="s">
        <v>915</v>
      </c>
      <c r="G373" t="s">
        <v>916</v>
      </c>
      <c r="H373" s="2">
        <f t="shared" si="13"/>
        <v>732.75</v>
      </c>
      <c r="I373" s="2">
        <v>117.24</v>
      </c>
    </row>
    <row r="374" spans="1:11">
      <c r="A374" t="s">
        <v>1207</v>
      </c>
      <c r="B374" s="1">
        <v>42063</v>
      </c>
      <c r="C374" t="s">
        <v>1208</v>
      </c>
      <c r="D374">
        <v>1</v>
      </c>
      <c r="E374" t="s">
        <v>1209</v>
      </c>
      <c r="F374" t="s">
        <v>1638</v>
      </c>
      <c r="G374" t="s">
        <v>1639</v>
      </c>
      <c r="H374" s="2">
        <f t="shared" si="13"/>
        <v>729.8125</v>
      </c>
      <c r="I374" s="2">
        <v>116.77</v>
      </c>
    </row>
    <row r="375" spans="1:11">
      <c r="A375" t="s">
        <v>1207</v>
      </c>
      <c r="B375" s="1">
        <v>42063</v>
      </c>
      <c r="C375" t="s">
        <v>1208</v>
      </c>
      <c r="D375">
        <v>1</v>
      </c>
      <c r="E375" t="s">
        <v>1209</v>
      </c>
      <c r="F375" t="s">
        <v>722</v>
      </c>
      <c r="G375" t="s">
        <v>723</v>
      </c>
      <c r="H375" s="2">
        <f t="shared" si="13"/>
        <v>347.4375</v>
      </c>
      <c r="I375" s="2">
        <v>55.59</v>
      </c>
    </row>
    <row r="376" spans="1:11">
      <c r="A376" t="s">
        <v>1207</v>
      </c>
      <c r="B376" s="1">
        <v>42063</v>
      </c>
      <c r="C376" t="s">
        <v>1208</v>
      </c>
      <c r="D376">
        <v>1</v>
      </c>
      <c r="E376" t="s">
        <v>1209</v>
      </c>
      <c r="F376" t="s">
        <v>1640</v>
      </c>
      <c r="G376" t="s">
        <v>1641</v>
      </c>
      <c r="H376" s="2">
        <f t="shared" si="13"/>
        <v>713.6875</v>
      </c>
      <c r="I376" s="2">
        <v>114.19</v>
      </c>
      <c r="J376" s="7">
        <f>2523.69-H373-H374-H375-H376</f>
        <v>2.5000000000545697E-3</v>
      </c>
      <c r="K376" s="2">
        <f>403.79-I373-I374-I375-I376</f>
        <v>0</v>
      </c>
    </row>
    <row r="377" spans="1:11">
      <c r="A377" t="s">
        <v>1443</v>
      </c>
      <c r="B377" s="1">
        <v>42041</v>
      </c>
      <c r="C377" t="s">
        <v>1444</v>
      </c>
      <c r="D377">
        <v>1</v>
      </c>
      <c r="E377" t="s">
        <v>1445</v>
      </c>
      <c r="F377" t="s">
        <v>1642</v>
      </c>
      <c r="G377" t="s">
        <v>1445</v>
      </c>
      <c r="H377" s="7">
        <f t="shared" ref="H377:H382" si="14">+I377/0.16</f>
        <v>27006.5</v>
      </c>
      <c r="I377" s="2">
        <v>4321.04</v>
      </c>
    </row>
    <row r="378" spans="1:11">
      <c r="A378" t="s">
        <v>1028</v>
      </c>
      <c r="B378" s="1">
        <v>42053</v>
      </c>
      <c r="C378" t="s">
        <v>1029</v>
      </c>
      <c r="D378">
        <v>1</v>
      </c>
      <c r="E378" t="s">
        <v>1030</v>
      </c>
      <c r="F378" s="25" t="s">
        <v>1643</v>
      </c>
      <c r="G378" s="17" t="s">
        <v>1644</v>
      </c>
      <c r="H378" s="7">
        <f t="shared" si="14"/>
        <v>216023</v>
      </c>
      <c r="I378" s="2">
        <v>34563.68</v>
      </c>
    </row>
    <row r="379" spans="1:11">
      <c r="A379" t="s">
        <v>1479</v>
      </c>
      <c r="B379" s="1">
        <v>42061</v>
      </c>
      <c r="C379" t="s">
        <v>1480</v>
      </c>
      <c r="D379">
        <v>1</v>
      </c>
      <c r="E379" t="s">
        <v>642</v>
      </c>
      <c r="F379" t="s">
        <v>952</v>
      </c>
      <c r="G379" t="s">
        <v>642</v>
      </c>
      <c r="H379" s="7">
        <f t="shared" si="14"/>
        <v>2250</v>
      </c>
      <c r="I379">
        <v>360</v>
      </c>
    </row>
    <row r="380" spans="1:11">
      <c r="A380" t="s">
        <v>1440</v>
      </c>
      <c r="B380" s="1">
        <v>42041</v>
      </c>
      <c r="C380" t="s">
        <v>657</v>
      </c>
      <c r="D380">
        <v>2</v>
      </c>
      <c r="E380" t="s">
        <v>1441</v>
      </c>
      <c r="F380" t="s">
        <v>1645</v>
      </c>
      <c r="G380" t="s">
        <v>1441</v>
      </c>
      <c r="H380" s="7">
        <f t="shared" si="14"/>
        <v>3615.3125</v>
      </c>
      <c r="I380">
        <v>578.45000000000005</v>
      </c>
    </row>
    <row r="381" spans="1:11">
      <c r="A381" t="s">
        <v>542</v>
      </c>
      <c r="B381" s="1">
        <v>42041</v>
      </c>
      <c r="C381" t="s">
        <v>1442</v>
      </c>
      <c r="D381">
        <v>1</v>
      </c>
      <c r="E381" t="s">
        <v>1441</v>
      </c>
      <c r="F381" t="s">
        <v>1645</v>
      </c>
      <c r="G381" t="s">
        <v>1441</v>
      </c>
      <c r="H381" s="7">
        <f t="shared" si="14"/>
        <v>1907.9999999999998</v>
      </c>
      <c r="I381">
        <v>305.27999999999997</v>
      </c>
    </row>
    <row r="382" spans="1:11">
      <c r="A382" t="s">
        <v>580</v>
      </c>
      <c r="B382" s="1">
        <v>42048</v>
      </c>
      <c r="C382" t="s">
        <v>1505</v>
      </c>
      <c r="D382">
        <v>1</v>
      </c>
      <c r="E382" t="s">
        <v>1441</v>
      </c>
      <c r="F382" t="s">
        <v>1645</v>
      </c>
      <c r="G382" t="s">
        <v>1441</v>
      </c>
      <c r="H382" s="7">
        <f t="shared" si="14"/>
        <v>5223.125</v>
      </c>
      <c r="I382">
        <v>835.7</v>
      </c>
    </row>
    <row r="383" spans="1:11">
      <c r="H383" s="8"/>
      <c r="I383" s="8"/>
    </row>
    <row r="384" spans="1:11">
      <c r="H384" s="9">
        <f>SUM(H7:H382)</f>
        <v>21124339.6875</v>
      </c>
      <c r="I384" s="9">
        <f>SUM(I7:I383)</f>
        <v>3379894.3500000038</v>
      </c>
    </row>
    <row r="385" spans="1:10">
      <c r="H385" s="10">
        <f>4011666.02-527090.28</f>
        <v>3484575.74</v>
      </c>
      <c r="I385" s="7">
        <f>+H385-I384</f>
        <v>104681.38999999641</v>
      </c>
      <c r="J385" s="7" t="s">
        <v>960</v>
      </c>
    </row>
    <row r="386" spans="1:10" s="84" customFormat="1">
      <c r="A386" s="84" t="s">
        <v>1317</v>
      </c>
      <c r="B386" s="147">
        <v>42063</v>
      </c>
      <c r="C386" s="84" t="s">
        <v>1318</v>
      </c>
      <c r="D386" s="84">
        <v>1</v>
      </c>
      <c r="E386" s="84" t="s">
        <v>1319</v>
      </c>
      <c r="H386" s="148">
        <f>+I386/0.16</f>
        <v>646551.8125</v>
      </c>
      <c r="I386" s="112">
        <v>103448.29</v>
      </c>
      <c r="J386" s="148"/>
    </row>
    <row r="387" spans="1:10" s="84" customFormat="1">
      <c r="A387" s="84" t="s">
        <v>450</v>
      </c>
      <c r="B387" s="147">
        <v>42047</v>
      </c>
      <c r="C387" s="84" t="s">
        <v>1363</v>
      </c>
      <c r="D387" s="84">
        <v>1</v>
      </c>
      <c r="E387" s="84" t="s">
        <v>1364</v>
      </c>
      <c r="F387" s="163" t="s">
        <v>1559</v>
      </c>
      <c r="G387" s="84" t="s">
        <v>1364</v>
      </c>
      <c r="H387" s="148">
        <f>+I387/0.16</f>
        <v>6300</v>
      </c>
      <c r="I387" s="112">
        <v>1008</v>
      </c>
      <c r="J387" s="148" t="s">
        <v>7557</v>
      </c>
    </row>
    <row r="388" spans="1:10" s="84" customFormat="1">
      <c r="A388" s="84" t="s">
        <v>1042</v>
      </c>
      <c r="B388" s="147">
        <v>42054</v>
      </c>
      <c r="C388" s="84" t="s">
        <v>1043</v>
      </c>
      <c r="D388" s="84">
        <v>1</v>
      </c>
      <c r="E388" s="84" t="s">
        <v>1044</v>
      </c>
      <c r="F388" s="84" t="s">
        <v>729</v>
      </c>
      <c r="G388" s="84" t="s">
        <v>653</v>
      </c>
      <c r="H388" s="148">
        <f>+I388/0.16</f>
        <v>1406.875</v>
      </c>
      <c r="I388" s="112">
        <v>225.1</v>
      </c>
      <c r="J388" s="148" t="s">
        <v>7558</v>
      </c>
    </row>
    <row r="389" spans="1:10">
      <c r="I389" s="9">
        <f>+I388+I387+I386+I384</f>
        <v>3484575.7400000039</v>
      </c>
      <c r="J389" s="2">
        <f>+I388+I387+I386</f>
        <v>104681.39</v>
      </c>
    </row>
    <row r="390" spans="1:10">
      <c r="I390" s="9"/>
      <c r="J390" s="2"/>
    </row>
    <row r="391" spans="1:10">
      <c r="I391" s="9"/>
      <c r="J391" s="2"/>
    </row>
    <row r="392" spans="1:10">
      <c r="F392" s="11"/>
      <c r="J392"/>
    </row>
    <row r="393" spans="1:10">
      <c r="F393" s="12" t="s">
        <v>696</v>
      </c>
      <c r="J393"/>
    </row>
    <row r="394" spans="1:10">
      <c r="F394" s="13" t="s">
        <v>7286</v>
      </c>
      <c r="J394"/>
    </row>
    <row r="395" spans="1:10">
      <c r="F395" s="11"/>
      <c r="J395"/>
    </row>
    <row r="396" spans="1:10">
      <c r="A396" s="14"/>
      <c r="B396" s="14"/>
      <c r="C396" s="14"/>
      <c r="D396" s="14"/>
      <c r="E396" s="14"/>
      <c r="F396" s="14" t="s">
        <v>692</v>
      </c>
      <c r="G396" s="14" t="s">
        <v>693</v>
      </c>
      <c r="H396" s="15" t="s">
        <v>694</v>
      </c>
      <c r="I396" s="14" t="s">
        <v>695</v>
      </c>
      <c r="J396" s="14" t="s">
        <v>697</v>
      </c>
    </row>
    <row r="397" spans="1:10">
      <c r="A397" s="150" t="s">
        <v>7544</v>
      </c>
      <c r="B397">
        <v>85</v>
      </c>
      <c r="F397" t="s">
        <v>1604</v>
      </c>
      <c r="G397" t="s">
        <v>1501</v>
      </c>
      <c r="H397" s="7">
        <f>+I397/0.16</f>
        <v>4100</v>
      </c>
      <c r="I397" s="7">
        <f t="shared" ref="I397:I428" si="15">+SUMIF($F$7:$F$382,F397,$I$7:$I$382)</f>
        <v>656</v>
      </c>
    </row>
    <row r="398" spans="1:10">
      <c r="A398" s="150" t="s">
        <v>7544</v>
      </c>
      <c r="B398">
        <v>85</v>
      </c>
      <c r="F398" t="s">
        <v>7297</v>
      </c>
      <c r="G398" t="s">
        <v>7298</v>
      </c>
      <c r="H398" s="7">
        <f t="shared" ref="H398:H460" si="16">+I398/0.16</f>
        <v>211206.875</v>
      </c>
      <c r="I398" s="7">
        <f t="shared" si="15"/>
        <v>33793.1</v>
      </c>
    </row>
    <row r="399" spans="1:10">
      <c r="A399" s="150" t="s">
        <v>7544</v>
      </c>
      <c r="B399">
        <v>85</v>
      </c>
      <c r="F399" t="s">
        <v>7295</v>
      </c>
      <c r="G399" t="s">
        <v>7296</v>
      </c>
      <c r="H399" s="7">
        <f t="shared" si="16"/>
        <v>198275.875</v>
      </c>
      <c r="I399" s="7">
        <f t="shared" si="15"/>
        <v>31724.14</v>
      </c>
    </row>
    <row r="400" spans="1:10">
      <c r="A400" s="150" t="s">
        <v>7544</v>
      </c>
      <c r="B400">
        <v>85</v>
      </c>
      <c r="F400" t="s">
        <v>923</v>
      </c>
      <c r="G400" t="s">
        <v>924</v>
      </c>
      <c r="H400" s="7">
        <f t="shared" si="16"/>
        <v>1602.75</v>
      </c>
      <c r="I400" s="7">
        <f t="shared" si="15"/>
        <v>256.44</v>
      </c>
    </row>
    <row r="401" spans="1:9">
      <c r="A401" s="150" t="s">
        <v>7544</v>
      </c>
      <c r="B401">
        <v>85</v>
      </c>
      <c r="F401" s="23" t="s">
        <v>733</v>
      </c>
      <c r="G401" s="24" t="s">
        <v>734</v>
      </c>
      <c r="H401" s="7">
        <f t="shared" si="16"/>
        <v>1402.75</v>
      </c>
      <c r="I401" s="7">
        <f t="shared" si="15"/>
        <v>224.44</v>
      </c>
    </row>
    <row r="402" spans="1:9">
      <c r="A402" s="150" t="s">
        <v>7544</v>
      </c>
      <c r="B402">
        <v>85</v>
      </c>
      <c r="F402" t="s">
        <v>879</v>
      </c>
      <c r="G402" t="s">
        <v>880</v>
      </c>
      <c r="H402" s="7">
        <f t="shared" si="16"/>
        <v>503.24999999999994</v>
      </c>
      <c r="I402" s="7">
        <f t="shared" si="15"/>
        <v>80.52</v>
      </c>
    </row>
    <row r="403" spans="1:9">
      <c r="A403" s="150" t="s">
        <v>7544</v>
      </c>
      <c r="B403">
        <v>85</v>
      </c>
      <c r="F403" t="s">
        <v>7301</v>
      </c>
      <c r="G403" t="s">
        <v>7302</v>
      </c>
      <c r="H403" s="7">
        <f t="shared" si="16"/>
        <v>43965.499999999993</v>
      </c>
      <c r="I403" s="7">
        <f t="shared" si="15"/>
        <v>7034.48</v>
      </c>
    </row>
    <row r="404" spans="1:9">
      <c r="A404" s="150" t="s">
        <v>7544</v>
      </c>
      <c r="B404">
        <v>85</v>
      </c>
      <c r="F404" t="s">
        <v>711</v>
      </c>
      <c r="G404" t="s">
        <v>317</v>
      </c>
      <c r="H404" s="7">
        <f t="shared" si="16"/>
        <v>241.0625</v>
      </c>
      <c r="I404" s="7">
        <f t="shared" si="15"/>
        <v>38.57</v>
      </c>
    </row>
    <row r="405" spans="1:9">
      <c r="A405" s="150" t="s">
        <v>7544</v>
      </c>
      <c r="B405">
        <v>85</v>
      </c>
      <c r="F405" t="s">
        <v>745</v>
      </c>
      <c r="G405" t="s">
        <v>746</v>
      </c>
      <c r="H405" s="7">
        <f t="shared" si="16"/>
        <v>94.8125</v>
      </c>
      <c r="I405" s="7">
        <f t="shared" si="15"/>
        <v>15.17</v>
      </c>
    </row>
    <row r="406" spans="1:9">
      <c r="A406" s="150" t="s">
        <v>7544</v>
      </c>
      <c r="B406">
        <v>85</v>
      </c>
      <c r="F406" t="s">
        <v>1530</v>
      </c>
      <c r="G406" s="19" t="s">
        <v>1531</v>
      </c>
      <c r="H406" s="7">
        <f t="shared" si="16"/>
        <v>443904.93749999994</v>
      </c>
      <c r="I406" s="7">
        <f t="shared" si="15"/>
        <v>71024.789999999994</v>
      </c>
    </row>
    <row r="407" spans="1:9">
      <c r="A407" s="150" t="s">
        <v>7544</v>
      </c>
      <c r="B407">
        <v>85</v>
      </c>
      <c r="F407" t="s">
        <v>1529</v>
      </c>
      <c r="G407" t="s">
        <v>1192</v>
      </c>
      <c r="H407" s="7">
        <f t="shared" si="16"/>
        <v>471.0625</v>
      </c>
      <c r="I407" s="7">
        <f t="shared" si="15"/>
        <v>75.37</v>
      </c>
    </row>
    <row r="408" spans="1:9">
      <c r="A408" s="150" t="s">
        <v>7544</v>
      </c>
      <c r="B408">
        <v>85</v>
      </c>
      <c r="F408" t="s">
        <v>714</v>
      </c>
      <c r="G408" t="s">
        <v>715</v>
      </c>
      <c r="H408" s="7">
        <f t="shared" si="16"/>
        <v>5670.0625000000009</v>
      </c>
      <c r="I408" s="7">
        <f t="shared" si="15"/>
        <v>907.21000000000015</v>
      </c>
    </row>
    <row r="409" spans="1:9">
      <c r="A409" s="150" t="s">
        <v>7544</v>
      </c>
      <c r="B409">
        <v>85</v>
      </c>
      <c r="F409" t="s">
        <v>751</v>
      </c>
      <c r="G409" t="s">
        <v>752</v>
      </c>
      <c r="H409" s="7">
        <f t="shared" si="16"/>
        <v>1439.75</v>
      </c>
      <c r="I409" s="7">
        <f t="shared" si="15"/>
        <v>230.36</v>
      </c>
    </row>
    <row r="410" spans="1:9">
      <c r="A410" s="150" t="s">
        <v>7544</v>
      </c>
      <c r="B410">
        <v>85</v>
      </c>
      <c r="F410" s="16" t="s">
        <v>698</v>
      </c>
      <c r="G410" s="17" t="s">
        <v>699</v>
      </c>
      <c r="H410" s="7">
        <f t="shared" si="16"/>
        <v>401619</v>
      </c>
      <c r="I410" s="7">
        <f t="shared" si="15"/>
        <v>64259.040000000001</v>
      </c>
    </row>
    <row r="411" spans="1:9">
      <c r="A411" s="150" t="s">
        <v>7544</v>
      </c>
      <c r="B411">
        <v>85</v>
      </c>
      <c r="F411" t="s">
        <v>1628</v>
      </c>
      <c r="G411" t="s">
        <v>1629</v>
      </c>
      <c r="H411" s="7">
        <f t="shared" si="16"/>
        <v>503.24999999999994</v>
      </c>
      <c r="I411" s="7">
        <f t="shared" si="15"/>
        <v>80.52</v>
      </c>
    </row>
    <row r="412" spans="1:9">
      <c r="A412" s="150" t="s">
        <v>7544</v>
      </c>
      <c r="B412">
        <v>85</v>
      </c>
      <c r="F412" t="s">
        <v>749</v>
      </c>
      <c r="G412" t="s">
        <v>750</v>
      </c>
      <c r="H412" s="7">
        <f t="shared" si="16"/>
        <v>156.9375</v>
      </c>
      <c r="I412" s="7">
        <f t="shared" si="15"/>
        <v>25.11</v>
      </c>
    </row>
    <row r="413" spans="1:9">
      <c r="A413" s="150" t="s">
        <v>7544</v>
      </c>
      <c r="B413">
        <v>85</v>
      </c>
      <c r="F413" s="16" t="s">
        <v>713</v>
      </c>
      <c r="G413" t="s">
        <v>485</v>
      </c>
      <c r="H413" s="7">
        <f t="shared" si="16"/>
        <v>30172.4375</v>
      </c>
      <c r="I413" s="7">
        <f t="shared" si="15"/>
        <v>4827.59</v>
      </c>
    </row>
    <row r="414" spans="1:9">
      <c r="A414" s="150" t="s">
        <v>7544</v>
      </c>
      <c r="B414">
        <v>85</v>
      </c>
      <c r="F414" t="s">
        <v>786</v>
      </c>
      <c r="G414" t="s">
        <v>787</v>
      </c>
      <c r="H414" s="7">
        <f t="shared" si="16"/>
        <v>74.125</v>
      </c>
      <c r="I414" s="7">
        <f t="shared" si="15"/>
        <v>11.86</v>
      </c>
    </row>
    <row r="415" spans="1:9">
      <c r="A415" s="150" t="s">
        <v>7544</v>
      </c>
      <c r="B415">
        <v>85</v>
      </c>
      <c r="F415" t="s">
        <v>737</v>
      </c>
      <c r="G415" t="s">
        <v>738</v>
      </c>
      <c r="H415" s="7">
        <f t="shared" si="16"/>
        <v>18115.75</v>
      </c>
      <c r="I415" s="7">
        <f t="shared" si="15"/>
        <v>2898.52</v>
      </c>
    </row>
    <row r="416" spans="1:9">
      <c r="A416" s="150" t="s">
        <v>7544</v>
      </c>
      <c r="B416">
        <v>85</v>
      </c>
      <c r="F416" s="16" t="s">
        <v>735</v>
      </c>
      <c r="G416" s="25" t="s">
        <v>736</v>
      </c>
      <c r="H416" s="7">
        <f t="shared" si="16"/>
        <v>265</v>
      </c>
      <c r="I416" s="7">
        <f t="shared" si="15"/>
        <v>42.4</v>
      </c>
    </row>
    <row r="417" spans="1:10">
      <c r="A417" s="150" t="s">
        <v>7544</v>
      </c>
      <c r="B417">
        <v>85</v>
      </c>
      <c r="F417" t="s">
        <v>1532</v>
      </c>
      <c r="G417" t="s">
        <v>1234</v>
      </c>
      <c r="H417" s="7">
        <f t="shared" si="16"/>
        <v>150</v>
      </c>
      <c r="I417" s="7">
        <f t="shared" si="15"/>
        <v>24</v>
      </c>
    </row>
    <row r="418" spans="1:10">
      <c r="A418" s="150" t="s">
        <v>7544</v>
      </c>
      <c r="B418">
        <v>85</v>
      </c>
      <c r="F418" s="20" t="s">
        <v>741</v>
      </c>
      <c r="G418" s="26" t="s">
        <v>742</v>
      </c>
      <c r="H418" s="7">
        <f t="shared" si="16"/>
        <v>323</v>
      </c>
      <c r="I418" s="7">
        <f t="shared" si="15"/>
        <v>51.68</v>
      </c>
    </row>
    <row r="419" spans="1:10">
      <c r="A419" s="150" t="s">
        <v>7544</v>
      </c>
      <c r="B419">
        <v>85</v>
      </c>
      <c r="F419" s="20" t="s">
        <v>739</v>
      </c>
      <c r="G419" s="26" t="s">
        <v>740</v>
      </c>
      <c r="H419" s="7">
        <f t="shared" si="16"/>
        <v>4892.6249999999991</v>
      </c>
      <c r="I419" s="7">
        <f t="shared" si="15"/>
        <v>782.81999999999994</v>
      </c>
    </row>
    <row r="420" spans="1:10">
      <c r="A420" s="150" t="s">
        <v>7544</v>
      </c>
      <c r="B420">
        <v>85</v>
      </c>
      <c r="F420" s="16" t="s">
        <v>1533</v>
      </c>
      <c r="G420" t="s">
        <v>1518</v>
      </c>
      <c r="H420" s="7">
        <f t="shared" si="16"/>
        <v>3600</v>
      </c>
      <c r="I420" s="7">
        <f t="shared" si="15"/>
        <v>576</v>
      </c>
    </row>
    <row r="421" spans="1:10">
      <c r="A421" s="150" t="s">
        <v>7544</v>
      </c>
      <c r="B421">
        <v>85</v>
      </c>
      <c r="F421" s="20" t="s">
        <v>743</v>
      </c>
      <c r="G421" s="26" t="s">
        <v>744</v>
      </c>
      <c r="H421" s="7">
        <f t="shared" si="16"/>
        <v>239</v>
      </c>
      <c r="I421" s="7">
        <f t="shared" si="15"/>
        <v>38.24</v>
      </c>
    </row>
    <row r="422" spans="1:10">
      <c r="A422" s="150" t="s">
        <v>7544</v>
      </c>
      <c r="B422">
        <v>85</v>
      </c>
      <c r="F422" s="29" t="s">
        <v>790</v>
      </c>
      <c r="G422" t="s">
        <v>428</v>
      </c>
      <c r="H422" s="7">
        <f t="shared" si="16"/>
        <v>1352439.5000000002</v>
      </c>
      <c r="I422" s="7">
        <f t="shared" si="15"/>
        <v>216390.32000000004</v>
      </c>
    </row>
    <row r="423" spans="1:10">
      <c r="A423" s="150" t="s">
        <v>7544</v>
      </c>
      <c r="B423" s="150" t="s">
        <v>7566</v>
      </c>
      <c r="F423" t="s">
        <v>956</v>
      </c>
      <c r="G423" t="s">
        <v>957</v>
      </c>
      <c r="H423" s="7">
        <f t="shared" si="16"/>
        <v>36890.4375</v>
      </c>
      <c r="I423" s="7">
        <f t="shared" si="15"/>
        <v>5902.47</v>
      </c>
      <c r="J423" s="7">
        <v>3934.98</v>
      </c>
    </row>
    <row r="424" spans="1:10">
      <c r="A424" s="150" t="s">
        <v>7544</v>
      </c>
      <c r="B424">
        <v>85</v>
      </c>
      <c r="F424" s="42" t="s">
        <v>720</v>
      </c>
      <c r="G424" t="s">
        <v>660</v>
      </c>
      <c r="H424" s="7">
        <f t="shared" si="16"/>
        <v>1222.875</v>
      </c>
      <c r="I424" s="7">
        <f t="shared" si="15"/>
        <v>195.66</v>
      </c>
    </row>
    <row r="425" spans="1:10">
      <c r="A425" s="150" t="s">
        <v>7544</v>
      </c>
      <c r="B425">
        <v>85</v>
      </c>
      <c r="F425" t="s">
        <v>1576</v>
      </c>
      <c r="G425" t="s">
        <v>1198</v>
      </c>
      <c r="H425" s="7">
        <f t="shared" si="16"/>
        <v>96.5625</v>
      </c>
      <c r="I425" s="7">
        <f t="shared" si="15"/>
        <v>15.45</v>
      </c>
    </row>
    <row r="426" spans="1:10">
      <c r="A426" s="150" t="s">
        <v>7544</v>
      </c>
      <c r="B426">
        <v>85</v>
      </c>
      <c r="F426" t="s">
        <v>1590</v>
      </c>
      <c r="G426" t="s">
        <v>1270</v>
      </c>
      <c r="H426" s="7">
        <f t="shared" si="16"/>
        <v>120.68749999999999</v>
      </c>
      <c r="I426" s="7">
        <f t="shared" si="15"/>
        <v>19.309999999999999</v>
      </c>
    </row>
    <row r="427" spans="1:10">
      <c r="A427" s="150" t="s">
        <v>7544</v>
      </c>
      <c r="B427">
        <v>85</v>
      </c>
      <c r="F427" s="20" t="s">
        <v>724</v>
      </c>
      <c r="G427" s="17" t="s">
        <v>725</v>
      </c>
      <c r="H427" s="7">
        <f t="shared" si="16"/>
        <v>217060.9375</v>
      </c>
      <c r="I427" s="7">
        <f t="shared" si="15"/>
        <v>34729.75</v>
      </c>
    </row>
    <row r="428" spans="1:10">
      <c r="A428" s="150" t="s">
        <v>7544</v>
      </c>
      <c r="B428">
        <v>85</v>
      </c>
      <c r="F428" t="s">
        <v>895</v>
      </c>
      <c r="G428" t="s">
        <v>896</v>
      </c>
      <c r="H428" s="7">
        <f t="shared" si="16"/>
        <v>106.875</v>
      </c>
      <c r="I428" s="7">
        <f t="shared" si="15"/>
        <v>17.100000000000001</v>
      </c>
    </row>
    <row r="429" spans="1:10">
      <c r="A429" s="150" t="s">
        <v>7544</v>
      </c>
      <c r="B429">
        <v>85</v>
      </c>
      <c r="F429" t="s">
        <v>1543</v>
      </c>
      <c r="G429" t="s">
        <v>1544</v>
      </c>
      <c r="H429" s="7">
        <f t="shared" si="16"/>
        <v>172.4375</v>
      </c>
      <c r="I429" s="7">
        <f t="shared" ref="I429:I460" si="17">+SUMIF($F$7:$F$382,F429,$I$7:$I$382)</f>
        <v>27.59</v>
      </c>
    </row>
    <row r="430" spans="1:10">
      <c r="A430" s="150" t="s">
        <v>7544</v>
      </c>
      <c r="B430">
        <v>85</v>
      </c>
      <c r="F430" t="s">
        <v>1577</v>
      </c>
      <c r="G430" t="s">
        <v>1578</v>
      </c>
      <c r="H430" s="7">
        <f t="shared" si="16"/>
        <v>83.875</v>
      </c>
      <c r="I430" s="7">
        <f t="shared" si="17"/>
        <v>13.42</v>
      </c>
    </row>
    <row r="431" spans="1:10">
      <c r="A431" s="150" t="s">
        <v>7544</v>
      </c>
      <c r="B431">
        <v>85</v>
      </c>
      <c r="F431" t="s">
        <v>730</v>
      </c>
      <c r="G431" t="s">
        <v>476</v>
      </c>
      <c r="H431" s="7">
        <f t="shared" si="16"/>
        <v>3775.8750000000005</v>
      </c>
      <c r="I431" s="7">
        <f t="shared" si="17"/>
        <v>604.1400000000001</v>
      </c>
    </row>
    <row r="432" spans="1:10">
      <c r="A432" s="150" t="s">
        <v>7544</v>
      </c>
      <c r="B432">
        <v>85</v>
      </c>
      <c r="F432" t="s">
        <v>808</v>
      </c>
      <c r="G432" t="s">
        <v>489</v>
      </c>
      <c r="H432" s="7">
        <f t="shared" si="16"/>
        <v>17844.375</v>
      </c>
      <c r="I432" s="7">
        <f t="shared" si="17"/>
        <v>2855.1</v>
      </c>
    </row>
    <row r="433" spans="1:9">
      <c r="A433" s="150" t="s">
        <v>7544</v>
      </c>
      <c r="B433">
        <v>85</v>
      </c>
      <c r="F433" t="s">
        <v>729</v>
      </c>
      <c r="G433" t="s">
        <v>653</v>
      </c>
      <c r="H433" s="7">
        <f t="shared" si="16"/>
        <v>299607.75</v>
      </c>
      <c r="I433" s="7">
        <f t="shared" si="17"/>
        <v>47937.24</v>
      </c>
    </row>
    <row r="434" spans="1:9">
      <c r="A434" s="150" t="s">
        <v>7544</v>
      </c>
      <c r="B434">
        <v>85</v>
      </c>
      <c r="F434" t="s">
        <v>759</v>
      </c>
      <c r="G434" t="s">
        <v>270</v>
      </c>
      <c r="H434" s="7">
        <f t="shared" si="16"/>
        <v>193.8125</v>
      </c>
      <c r="I434" s="7">
        <f t="shared" si="17"/>
        <v>31.01</v>
      </c>
    </row>
    <row r="435" spans="1:9">
      <c r="A435" s="150" t="s">
        <v>7544</v>
      </c>
      <c r="B435">
        <v>85</v>
      </c>
      <c r="F435" t="s">
        <v>755</v>
      </c>
      <c r="G435" t="s">
        <v>1173</v>
      </c>
      <c r="H435" s="7">
        <f t="shared" si="16"/>
        <v>1079.25</v>
      </c>
      <c r="I435" s="7">
        <f t="shared" si="17"/>
        <v>172.68</v>
      </c>
    </row>
    <row r="436" spans="1:9">
      <c r="A436" s="150" t="s">
        <v>7544</v>
      </c>
      <c r="B436">
        <v>85</v>
      </c>
      <c r="F436" t="s">
        <v>1551</v>
      </c>
      <c r="G436" t="s">
        <v>1436</v>
      </c>
      <c r="H436" s="7">
        <f t="shared" si="16"/>
        <v>3176.5625</v>
      </c>
      <c r="I436" s="7">
        <f t="shared" si="17"/>
        <v>508.25</v>
      </c>
    </row>
    <row r="437" spans="1:9">
      <c r="A437" s="150" t="s">
        <v>7544</v>
      </c>
      <c r="B437">
        <v>85</v>
      </c>
      <c r="F437" s="34" t="s">
        <v>1554</v>
      </c>
      <c r="G437" s="34" t="s">
        <v>1555</v>
      </c>
      <c r="H437" s="7">
        <f t="shared" si="16"/>
        <v>974386.24999999988</v>
      </c>
      <c r="I437" s="7">
        <f t="shared" si="17"/>
        <v>155901.79999999999</v>
      </c>
    </row>
    <row r="438" spans="1:9">
      <c r="A438" s="150" t="s">
        <v>7544</v>
      </c>
      <c r="B438">
        <v>85</v>
      </c>
      <c r="F438" s="31" t="s">
        <v>797</v>
      </c>
      <c r="G438" s="31" t="s">
        <v>798</v>
      </c>
      <c r="H438" s="7">
        <f t="shared" si="16"/>
        <v>381915.87499999994</v>
      </c>
      <c r="I438" s="7">
        <f t="shared" si="17"/>
        <v>61106.539999999994</v>
      </c>
    </row>
    <row r="439" spans="1:9">
      <c r="A439" s="150" t="s">
        <v>7544</v>
      </c>
      <c r="B439">
        <v>85</v>
      </c>
      <c r="F439" s="31" t="s">
        <v>1556</v>
      </c>
      <c r="G439" s="31" t="s">
        <v>1557</v>
      </c>
      <c r="H439" s="7">
        <f t="shared" si="16"/>
        <v>248320.375</v>
      </c>
      <c r="I439" s="7">
        <f t="shared" si="17"/>
        <v>39731.26</v>
      </c>
    </row>
    <row r="440" spans="1:9">
      <c r="A440" s="150" t="s">
        <v>7544</v>
      </c>
      <c r="B440">
        <v>85</v>
      </c>
      <c r="F440" t="s">
        <v>1575</v>
      </c>
      <c r="G440" t="s">
        <v>1261</v>
      </c>
      <c r="H440" s="7">
        <f t="shared" si="16"/>
        <v>30.1875</v>
      </c>
      <c r="I440" s="7">
        <f t="shared" si="17"/>
        <v>4.83</v>
      </c>
    </row>
    <row r="441" spans="1:9">
      <c r="A441" s="150" t="s">
        <v>7544</v>
      </c>
      <c r="B441">
        <v>85</v>
      </c>
      <c r="F441" t="s">
        <v>1558</v>
      </c>
      <c r="G441" t="s">
        <v>1155</v>
      </c>
      <c r="H441" s="7">
        <f t="shared" si="16"/>
        <v>449.56250000000006</v>
      </c>
      <c r="I441" s="7">
        <f t="shared" si="17"/>
        <v>71.930000000000007</v>
      </c>
    </row>
    <row r="442" spans="1:9">
      <c r="A442" s="150" t="s">
        <v>7544</v>
      </c>
      <c r="B442">
        <v>85</v>
      </c>
      <c r="F442" t="s">
        <v>795</v>
      </c>
      <c r="G442" t="s">
        <v>638</v>
      </c>
      <c r="H442" s="7">
        <f t="shared" si="16"/>
        <v>103650</v>
      </c>
      <c r="I442" s="7">
        <f t="shared" si="17"/>
        <v>16584</v>
      </c>
    </row>
    <row r="443" spans="1:9">
      <c r="A443" s="150" t="s">
        <v>7544</v>
      </c>
      <c r="B443">
        <v>85</v>
      </c>
      <c r="F443" t="s">
        <v>704</v>
      </c>
      <c r="G443" t="s">
        <v>237</v>
      </c>
      <c r="H443" s="7">
        <f t="shared" si="16"/>
        <v>215.49999999999997</v>
      </c>
      <c r="I443" s="7">
        <f t="shared" si="17"/>
        <v>34.479999999999997</v>
      </c>
    </row>
    <row r="444" spans="1:9">
      <c r="A444" s="150" t="s">
        <v>7544</v>
      </c>
      <c r="B444">
        <v>85</v>
      </c>
      <c r="F444" t="s">
        <v>1562</v>
      </c>
      <c r="G444" t="s">
        <v>1196</v>
      </c>
      <c r="H444" s="7">
        <f t="shared" si="16"/>
        <v>999.5625</v>
      </c>
      <c r="I444" s="7">
        <f t="shared" si="17"/>
        <v>159.93</v>
      </c>
    </row>
    <row r="445" spans="1:9">
      <c r="A445" s="150" t="s">
        <v>7544</v>
      </c>
      <c r="B445">
        <v>85</v>
      </c>
      <c r="F445" t="s">
        <v>1564</v>
      </c>
      <c r="G445" t="s">
        <v>1412</v>
      </c>
      <c r="H445" s="7">
        <f t="shared" si="16"/>
        <v>86206.875</v>
      </c>
      <c r="I445" s="7">
        <f t="shared" si="17"/>
        <v>13793.1</v>
      </c>
    </row>
    <row r="446" spans="1:9">
      <c r="A446" s="150" t="s">
        <v>7544</v>
      </c>
      <c r="B446">
        <v>85</v>
      </c>
      <c r="F446" t="s">
        <v>1565</v>
      </c>
      <c r="G446" t="s">
        <v>1322</v>
      </c>
      <c r="H446" s="7">
        <f t="shared" si="16"/>
        <v>14740</v>
      </c>
      <c r="I446" s="7">
        <f t="shared" si="17"/>
        <v>2358.4</v>
      </c>
    </row>
    <row r="447" spans="1:9">
      <c r="A447" s="150" t="s">
        <v>7544</v>
      </c>
      <c r="B447">
        <v>85</v>
      </c>
      <c r="F447" t="s">
        <v>7299</v>
      </c>
      <c r="G447" t="s">
        <v>7300</v>
      </c>
      <c r="H447" s="7">
        <f t="shared" si="16"/>
        <v>116379.25</v>
      </c>
      <c r="I447" s="7">
        <f t="shared" si="17"/>
        <v>18620.68</v>
      </c>
    </row>
    <row r="448" spans="1:9">
      <c r="A448" s="150" t="s">
        <v>7544</v>
      </c>
      <c r="B448">
        <v>85</v>
      </c>
      <c r="F448" t="s">
        <v>1563</v>
      </c>
      <c r="G448" t="s">
        <v>1387</v>
      </c>
      <c r="H448" s="7">
        <f t="shared" si="16"/>
        <v>18421.125</v>
      </c>
      <c r="I448" s="7">
        <f t="shared" si="17"/>
        <v>2947.38</v>
      </c>
    </row>
    <row r="449" spans="1:10">
      <c r="A449" s="150" t="s">
        <v>7544</v>
      </c>
      <c r="B449">
        <v>85</v>
      </c>
      <c r="F449" t="s">
        <v>1561</v>
      </c>
      <c r="G449" t="s">
        <v>1188</v>
      </c>
      <c r="H449" s="7">
        <f t="shared" si="16"/>
        <v>1515.9374999999998</v>
      </c>
      <c r="I449" s="7">
        <f t="shared" si="17"/>
        <v>242.54999999999998</v>
      </c>
    </row>
    <row r="450" spans="1:10">
      <c r="A450" s="150" t="s">
        <v>7544</v>
      </c>
      <c r="B450">
        <v>85</v>
      </c>
      <c r="F450" t="s">
        <v>1560</v>
      </c>
      <c r="G450" t="s">
        <v>1279</v>
      </c>
      <c r="H450" s="7">
        <f t="shared" si="16"/>
        <v>911.18749999999989</v>
      </c>
      <c r="I450" s="7">
        <f t="shared" si="17"/>
        <v>145.79</v>
      </c>
    </row>
    <row r="451" spans="1:10">
      <c r="A451" s="150" t="s">
        <v>7544</v>
      </c>
      <c r="B451">
        <v>85</v>
      </c>
      <c r="F451" t="s">
        <v>961</v>
      </c>
      <c r="G451" t="s">
        <v>962</v>
      </c>
      <c r="H451" s="7">
        <f t="shared" si="16"/>
        <v>50.4375</v>
      </c>
      <c r="I451" s="7">
        <f t="shared" si="17"/>
        <v>8.07</v>
      </c>
    </row>
    <row r="452" spans="1:10">
      <c r="A452" s="150" t="s">
        <v>7544</v>
      </c>
      <c r="B452">
        <v>85</v>
      </c>
      <c r="F452" t="s">
        <v>1567</v>
      </c>
      <c r="G452" t="s">
        <v>1153</v>
      </c>
      <c r="H452" s="7">
        <f t="shared" si="16"/>
        <v>119.625</v>
      </c>
      <c r="I452" s="7">
        <f t="shared" si="17"/>
        <v>19.14</v>
      </c>
    </row>
    <row r="453" spans="1:10">
      <c r="A453" s="150" t="s">
        <v>7544</v>
      </c>
      <c r="B453">
        <v>85</v>
      </c>
      <c r="F453" t="s">
        <v>968</v>
      </c>
      <c r="G453" t="s">
        <v>496</v>
      </c>
      <c r="H453" s="7">
        <f t="shared" si="16"/>
        <v>65852.0625</v>
      </c>
      <c r="I453" s="7">
        <f t="shared" si="17"/>
        <v>10536.33</v>
      </c>
    </row>
    <row r="454" spans="1:10">
      <c r="A454" s="150" t="s">
        <v>7544</v>
      </c>
      <c r="B454">
        <v>85</v>
      </c>
      <c r="F454" t="s">
        <v>805</v>
      </c>
      <c r="G454" t="s">
        <v>1148</v>
      </c>
      <c r="H454" s="7">
        <f t="shared" si="16"/>
        <v>290</v>
      </c>
      <c r="I454" s="7">
        <f t="shared" si="17"/>
        <v>46.4</v>
      </c>
      <c r="J454" s="7">
        <v>11.6</v>
      </c>
    </row>
    <row r="455" spans="1:10">
      <c r="A455" s="150" t="s">
        <v>7544</v>
      </c>
      <c r="B455">
        <v>85</v>
      </c>
      <c r="F455" t="s">
        <v>804</v>
      </c>
      <c r="G455" t="s">
        <v>285</v>
      </c>
      <c r="H455" s="7">
        <f t="shared" si="16"/>
        <v>160.625</v>
      </c>
      <c r="I455" s="7">
        <f t="shared" si="17"/>
        <v>25.7</v>
      </c>
    </row>
    <row r="456" spans="1:10">
      <c r="A456" s="150" t="s">
        <v>7544</v>
      </c>
      <c r="B456">
        <v>85</v>
      </c>
      <c r="F456" t="s">
        <v>1568</v>
      </c>
      <c r="G456" t="s">
        <v>1281</v>
      </c>
      <c r="H456" s="7">
        <f t="shared" si="16"/>
        <v>12.937499999999998</v>
      </c>
      <c r="I456" s="7">
        <f t="shared" si="17"/>
        <v>2.0699999999999998</v>
      </c>
    </row>
    <row r="457" spans="1:10">
      <c r="A457" s="150" t="s">
        <v>7544</v>
      </c>
      <c r="B457">
        <v>85</v>
      </c>
      <c r="F457" t="s">
        <v>703</v>
      </c>
      <c r="G457" t="s">
        <v>273</v>
      </c>
      <c r="H457" s="7">
        <f t="shared" si="16"/>
        <v>39.625</v>
      </c>
      <c r="I457" s="7">
        <f t="shared" si="17"/>
        <v>6.34</v>
      </c>
    </row>
    <row r="458" spans="1:10">
      <c r="A458" s="150" t="s">
        <v>7544</v>
      </c>
      <c r="B458">
        <v>85</v>
      </c>
      <c r="F458" t="s">
        <v>1570</v>
      </c>
      <c r="G458" t="s">
        <v>1476</v>
      </c>
      <c r="H458" s="7">
        <f t="shared" si="16"/>
        <v>12337.5</v>
      </c>
      <c r="I458" s="7">
        <f t="shared" si="17"/>
        <v>1974</v>
      </c>
    </row>
    <row r="459" spans="1:10">
      <c r="A459" s="150" t="s">
        <v>7544</v>
      </c>
      <c r="B459">
        <v>85</v>
      </c>
      <c r="F459" t="s">
        <v>1542</v>
      </c>
      <c r="G459" t="s">
        <v>1542</v>
      </c>
      <c r="H459" s="7">
        <f t="shared" si="16"/>
        <v>150.875</v>
      </c>
      <c r="I459" s="7">
        <f t="shared" si="17"/>
        <v>24.14</v>
      </c>
    </row>
    <row r="460" spans="1:10">
      <c r="A460" s="150" t="s">
        <v>7544</v>
      </c>
      <c r="B460">
        <v>85</v>
      </c>
      <c r="F460" t="s">
        <v>815</v>
      </c>
      <c r="G460" t="s">
        <v>446</v>
      </c>
      <c r="H460" s="7">
        <f t="shared" si="16"/>
        <v>9194.125</v>
      </c>
      <c r="I460" s="7">
        <f t="shared" si="17"/>
        <v>1471.06</v>
      </c>
    </row>
    <row r="461" spans="1:10">
      <c r="A461" s="150" t="s">
        <v>7544</v>
      </c>
      <c r="B461">
        <v>85</v>
      </c>
      <c r="F461" t="s">
        <v>1571</v>
      </c>
      <c r="G461" t="s">
        <v>1159</v>
      </c>
      <c r="H461" s="7">
        <f t="shared" ref="H461:H524" si="18">+I461/0.16</f>
        <v>386</v>
      </c>
      <c r="I461" s="7">
        <f t="shared" ref="I461:I492" si="19">+SUMIF($F$7:$F$382,F461,$I$7:$I$382)</f>
        <v>61.76</v>
      </c>
    </row>
    <row r="462" spans="1:10">
      <c r="A462" s="150" t="s">
        <v>7544</v>
      </c>
      <c r="B462">
        <v>85</v>
      </c>
      <c r="F462" t="s">
        <v>1540</v>
      </c>
      <c r="G462" t="s">
        <v>1541</v>
      </c>
      <c r="H462" s="7">
        <f t="shared" si="18"/>
        <v>116.375</v>
      </c>
      <c r="I462" s="7">
        <f t="shared" si="19"/>
        <v>18.62</v>
      </c>
    </row>
    <row r="463" spans="1:10">
      <c r="A463" s="150" t="s">
        <v>7544</v>
      </c>
      <c r="B463">
        <v>85</v>
      </c>
      <c r="F463" t="s">
        <v>1583</v>
      </c>
      <c r="G463" t="s">
        <v>1584</v>
      </c>
      <c r="H463" s="7">
        <f t="shared" si="18"/>
        <v>461.37499999999994</v>
      </c>
      <c r="I463" s="7">
        <f t="shared" si="19"/>
        <v>73.819999999999993</v>
      </c>
    </row>
    <row r="464" spans="1:10">
      <c r="A464" s="150" t="s">
        <v>7544</v>
      </c>
      <c r="B464">
        <v>85</v>
      </c>
      <c r="F464" t="s">
        <v>722</v>
      </c>
      <c r="G464" t="s">
        <v>723</v>
      </c>
      <c r="H464" s="7">
        <f t="shared" si="18"/>
        <v>6987.6249999999973</v>
      </c>
      <c r="I464" s="7">
        <f t="shared" si="19"/>
        <v>1118.0199999999995</v>
      </c>
    </row>
    <row r="465" spans="1:10">
      <c r="A465" s="150" t="s">
        <v>7544</v>
      </c>
      <c r="B465">
        <v>85</v>
      </c>
      <c r="F465" t="s">
        <v>1638</v>
      </c>
      <c r="G465" t="s">
        <v>1639</v>
      </c>
      <c r="H465" s="7">
        <f t="shared" si="18"/>
        <v>729.8125</v>
      </c>
      <c r="I465" s="7">
        <f t="shared" si="19"/>
        <v>116.77</v>
      </c>
    </row>
    <row r="466" spans="1:10">
      <c r="A466" s="150" t="s">
        <v>7544</v>
      </c>
      <c r="B466">
        <v>85</v>
      </c>
      <c r="F466" t="s">
        <v>1569</v>
      </c>
      <c r="G466" t="s">
        <v>1163</v>
      </c>
      <c r="H466" s="7">
        <f t="shared" si="18"/>
        <v>134.0625</v>
      </c>
      <c r="I466" s="7">
        <f t="shared" si="19"/>
        <v>21.45</v>
      </c>
    </row>
    <row r="467" spans="1:10">
      <c r="A467" s="150" t="s">
        <v>7544</v>
      </c>
      <c r="B467">
        <v>85</v>
      </c>
      <c r="F467" t="s">
        <v>1626</v>
      </c>
      <c r="G467" t="s">
        <v>1627</v>
      </c>
      <c r="H467" s="7">
        <f t="shared" si="18"/>
        <v>68.9375</v>
      </c>
      <c r="I467" s="7">
        <f t="shared" si="19"/>
        <v>11.03</v>
      </c>
    </row>
    <row r="468" spans="1:10">
      <c r="A468" s="150" t="s">
        <v>7544</v>
      </c>
      <c r="B468">
        <v>85</v>
      </c>
      <c r="F468" t="s">
        <v>1608</v>
      </c>
      <c r="G468" t="s">
        <v>1609</v>
      </c>
      <c r="H468" s="7">
        <f t="shared" si="18"/>
        <v>335.5</v>
      </c>
      <c r="I468" s="7">
        <f t="shared" si="19"/>
        <v>53.68</v>
      </c>
    </row>
    <row r="469" spans="1:10">
      <c r="A469" s="150" t="s">
        <v>7544</v>
      </c>
      <c r="B469">
        <v>85</v>
      </c>
      <c r="F469" t="s">
        <v>820</v>
      </c>
      <c r="G469" t="s">
        <v>326</v>
      </c>
      <c r="H469" s="7">
        <f t="shared" si="18"/>
        <v>107.74999999999999</v>
      </c>
      <c r="I469" s="7">
        <f t="shared" si="19"/>
        <v>17.239999999999998</v>
      </c>
    </row>
    <row r="470" spans="1:10">
      <c r="A470" s="150" t="s">
        <v>7544</v>
      </c>
      <c r="B470">
        <v>85</v>
      </c>
      <c r="F470" t="s">
        <v>840</v>
      </c>
      <c r="G470" t="s">
        <v>409</v>
      </c>
      <c r="H470" s="7">
        <f t="shared" si="18"/>
        <v>257.4375</v>
      </c>
      <c r="I470" s="7">
        <f t="shared" si="19"/>
        <v>41.190000000000005</v>
      </c>
    </row>
    <row r="471" spans="1:10">
      <c r="A471" s="150" t="s">
        <v>7544</v>
      </c>
      <c r="B471">
        <v>85</v>
      </c>
      <c r="F471" t="s">
        <v>823</v>
      </c>
      <c r="G471" t="s">
        <v>455</v>
      </c>
      <c r="H471" s="7">
        <f t="shared" si="18"/>
        <v>40967.625</v>
      </c>
      <c r="I471" s="7">
        <f t="shared" si="19"/>
        <v>6554.82</v>
      </c>
    </row>
    <row r="472" spans="1:10">
      <c r="A472" s="150" t="s">
        <v>7544</v>
      </c>
      <c r="B472">
        <v>85</v>
      </c>
      <c r="F472" t="s">
        <v>1573</v>
      </c>
      <c r="G472" t="s">
        <v>1455</v>
      </c>
      <c r="H472" s="7">
        <f t="shared" si="18"/>
        <v>3000</v>
      </c>
      <c r="I472" s="7">
        <f t="shared" si="19"/>
        <v>480</v>
      </c>
    </row>
    <row r="473" spans="1:10">
      <c r="A473" s="150" t="s">
        <v>7544</v>
      </c>
      <c r="B473">
        <v>85</v>
      </c>
      <c r="F473" t="s">
        <v>821</v>
      </c>
      <c r="G473" t="s">
        <v>263</v>
      </c>
      <c r="H473" s="7">
        <f t="shared" si="18"/>
        <v>1379.25</v>
      </c>
      <c r="I473" s="7">
        <f t="shared" si="19"/>
        <v>220.68</v>
      </c>
    </row>
    <row r="474" spans="1:10">
      <c r="A474" s="150" t="s">
        <v>7544</v>
      </c>
      <c r="B474">
        <v>85</v>
      </c>
      <c r="F474" t="s">
        <v>1572</v>
      </c>
      <c r="G474" t="s">
        <v>1157</v>
      </c>
      <c r="H474" s="7">
        <f t="shared" si="18"/>
        <v>983.625</v>
      </c>
      <c r="I474" s="7">
        <f t="shared" si="19"/>
        <v>157.38</v>
      </c>
    </row>
    <row r="475" spans="1:10">
      <c r="A475" s="150" t="s">
        <v>7544</v>
      </c>
      <c r="B475">
        <v>85</v>
      </c>
      <c r="F475" t="s">
        <v>716</v>
      </c>
      <c r="G475" t="s">
        <v>717</v>
      </c>
      <c r="H475" s="7">
        <f t="shared" si="18"/>
        <v>10040.625</v>
      </c>
      <c r="I475" s="7">
        <f t="shared" si="19"/>
        <v>1606.5</v>
      </c>
    </row>
    <row r="476" spans="1:10">
      <c r="A476" s="150" t="s">
        <v>7544</v>
      </c>
      <c r="B476">
        <v>85</v>
      </c>
      <c r="F476" t="s">
        <v>1536</v>
      </c>
      <c r="G476" t="s">
        <v>1537</v>
      </c>
      <c r="H476" s="7">
        <f t="shared" si="18"/>
        <v>144.8125</v>
      </c>
      <c r="I476" s="7">
        <f t="shared" si="19"/>
        <v>23.17</v>
      </c>
    </row>
    <row r="477" spans="1:10">
      <c r="A477" s="150" t="s">
        <v>7544</v>
      </c>
      <c r="B477">
        <v>85</v>
      </c>
      <c r="F477" t="s">
        <v>1574</v>
      </c>
      <c r="G477" t="s">
        <v>1406</v>
      </c>
      <c r="H477" s="7">
        <f t="shared" si="18"/>
        <v>1658.625</v>
      </c>
      <c r="I477" s="7">
        <f t="shared" si="19"/>
        <v>265.38</v>
      </c>
      <c r="J477" s="7">
        <v>66.34</v>
      </c>
    </row>
    <row r="478" spans="1:10">
      <c r="A478" s="150" t="s">
        <v>7544</v>
      </c>
      <c r="B478">
        <v>85</v>
      </c>
      <c r="F478" t="s">
        <v>827</v>
      </c>
      <c r="G478" t="s">
        <v>650</v>
      </c>
      <c r="H478" s="7">
        <f t="shared" si="18"/>
        <v>8274</v>
      </c>
      <c r="I478" s="7">
        <f t="shared" si="19"/>
        <v>1323.8400000000001</v>
      </c>
    </row>
    <row r="479" spans="1:10">
      <c r="A479" s="150" t="s">
        <v>7544</v>
      </c>
      <c r="B479">
        <v>85</v>
      </c>
      <c r="F479" s="29" t="s">
        <v>828</v>
      </c>
      <c r="G479" t="s">
        <v>518</v>
      </c>
      <c r="H479" s="7">
        <f t="shared" si="18"/>
        <v>21226.749999999996</v>
      </c>
      <c r="I479" s="7">
        <f t="shared" si="19"/>
        <v>3396.2799999999997</v>
      </c>
    </row>
    <row r="480" spans="1:10">
      <c r="A480" s="150" t="s">
        <v>7544</v>
      </c>
      <c r="B480">
        <v>85</v>
      </c>
      <c r="F480" t="s">
        <v>830</v>
      </c>
      <c r="G480" t="s">
        <v>564</v>
      </c>
      <c r="H480" s="7">
        <f t="shared" si="18"/>
        <v>224831.37499999997</v>
      </c>
      <c r="I480" s="7">
        <f t="shared" si="19"/>
        <v>35973.019999999997</v>
      </c>
    </row>
    <row r="481" spans="1:10">
      <c r="A481" s="150" t="s">
        <v>7544</v>
      </c>
      <c r="B481">
        <v>85</v>
      </c>
      <c r="F481" t="s">
        <v>836</v>
      </c>
      <c r="G481" t="s">
        <v>472</v>
      </c>
      <c r="H481" s="7">
        <f t="shared" si="18"/>
        <v>8571.25</v>
      </c>
      <c r="I481" s="7">
        <f t="shared" si="19"/>
        <v>1371.4</v>
      </c>
    </row>
    <row r="482" spans="1:10">
      <c r="A482" s="150" t="s">
        <v>7544</v>
      </c>
      <c r="B482" s="150" t="s">
        <v>7566</v>
      </c>
      <c r="F482" s="20" t="s">
        <v>829</v>
      </c>
      <c r="G482" s="25" t="s">
        <v>529</v>
      </c>
      <c r="H482" s="7">
        <f t="shared" si="18"/>
        <v>132978.75</v>
      </c>
      <c r="I482" s="7">
        <f t="shared" si="19"/>
        <v>21276.6</v>
      </c>
      <c r="J482" s="7">
        <v>14285.71</v>
      </c>
    </row>
    <row r="483" spans="1:10">
      <c r="A483" s="150" t="s">
        <v>7544</v>
      </c>
      <c r="B483">
        <v>85</v>
      </c>
      <c r="F483" t="s">
        <v>1587</v>
      </c>
      <c r="G483" t="s">
        <v>1267</v>
      </c>
      <c r="H483" s="7">
        <f t="shared" si="18"/>
        <v>170</v>
      </c>
      <c r="I483" s="7">
        <f t="shared" si="19"/>
        <v>27.2</v>
      </c>
    </row>
    <row r="484" spans="1:10">
      <c r="A484" s="150" t="s">
        <v>7544</v>
      </c>
      <c r="B484">
        <v>85</v>
      </c>
      <c r="F484" t="s">
        <v>700</v>
      </c>
      <c r="G484" t="s">
        <v>301</v>
      </c>
      <c r="H484" s="7">
        <f t="shared" si="18"/>
        <v>269</v>
      </c>
      <c r="I484" s="7">
        <f t="shared" si="19"/>
        <v>43.04</v>
      </c>
    </row>
    <row r="485" spans="1:10">
      <c r="A485" s="150" t="s">
        <v>7544</v>
      </c>
      <c r="B485">
        <v>85</v>
      </c>
      <c r="F485" t="s">
        <v>1586</v>
      </c>
      <c r="G485" t="s">
        <v>1367</v>
      </c>
      <c r="H485" s="7">
        <f t="shared" si="18"/>
        <v>16500</v>
      </c>
      <c r="I485" s="7">
        <f t="shared" si="19"/>
        <v>2640</v>
      </c>
    </row>
    <row r="486" spans="1:10">
      <c r="A486" s="150" t="s">
        <v>7544</v>
      </c>
      <c r="B486">
        <v>85</v>
      </c>
      <c r="F486" t="s">
        <v>835</v>
      </c>
      <c r="G486" t="s">
        <v>585</v>
      </c>
      <c r="H486" s="7">
        <f t="shared" si="18"/>
        <v>1648.9999999999998</v>
      </c>
      <c r="I486" s="7">
        <f t="shared" si="19"/>
        <v>263.83999999999997</v>
      </c>
    </row>
    <row r="487" spans="1:10">
      <c r="A487" s="150" t="s">
        <v>7544</v>
      </c>
      <c r="B487">
        <v>85</v>
      </c>
      <c r="F487" t="s">
        <v>1619</v>
      </c>
      <c r="G487" t="s">
        <v>1620</v>
      </c>
      <c r="H487" s="7">
        <f t="shared" si="18"/>
        <v>55.125</v>
      </c>
      <c r="I487" s="7">
        <f t="shared" si="19"/>
        <v>8.82</v>
      </c>
    </row>
    <row r="488" spans="1:10">
      <c r="A488" s="150" t="s">
        <v>7544</v>
      </c>
      <c r="B488">
        <v>85</v>
      </c>
      <c r="F488" t="s">
        <v>1589</v>
      </c>
      <c r="G488" t="s">
        <v>1341</v>
      </c>
      <c r="H488" s="7">
        <f t="shared" si="18"/>
        <v>1720</v>
      </c>
      <c r="I488" s="7">
        <f t="shared" si="19"/>
        <v>275.2</v>
      </c>
    </row>
    <row r="489" spans="1:10">
      <c r="A489" s="150" t="s">
        <v>7544</v>
      </c>
      <c r="B489">
        <v>85</v>
      </c>
      <c r="F489" t="s">
        <v>1636</v>
      </c>
      <c r="G489" t="s">
        <v>1637</v>
      </c>
      <c r="H489" s="7">
        <f t="shared" si="18"/>
        <v>224.125</v>
      </c>
      <c r="I489" s="7">
        <f t="shared" si="19"/>
        <v>35.86</v>
      </c>
    </row>
    <row r="490" spans="1:10">
      <c r="A490" s="150" t="s">
        <v>7544</v>
      </c>
      <c r="B490">
        <v>85</v>
      </c>
      <c r="F490" t="s">
        <v>841</v>
      </c>
      <c r="G490" t="s">
        <v>544</v>
      </c>
      <c r="H490" s="7">
        <f t="shared" si="18"/>
        <v>4006</v>
      </c>
      <c r="I490" s="7">
        <f t="shared" si="19"/>
        <v>640.96</v>
      </c>
    </row>
    <row r="491" spans="1:10">
      <c r="A491" s="150" t="s">
        <v>7544</v>
      </c>
      <c r="B491">
        <v>85</v>
      </c>
      <c r="F491" t="s">
        <v>837</v>
      </c>
      <c r="G491" t="s">
        <v>261</v>
      </c>
      <c r="H491" s="7">
        <f t="shared" si="18"/>
        <v>697</v>
      </c>
      <c r="I491" s="7">
        <f t="shared" si="19"/>
        <v>111.52000000000001</v>
      </c>
    </row>
    <row r="492" spans="1:10">
      <c r="A492" s="150" t="s">
        <v>7544</v>
      </c>
      <c r="B492">
        <v>85</v>
      </c>
      <c r="F492" t="s">
        <v>1588</v>
      </c>
      <c r="G492" t="s">
        <v>1349</v>
      </c>
      <c r="H492" s="7">
        <f t="shared" si="18"/>
        <v>9500</v>
      </c>
      <c r="I492" s="7">
        <f t="shared" si="19"/>
        <v>1520</v>
      </c>
    </row>
    <row r="493" spans="1:10">
      <c r="A493" s="150" t="s">
        <v>7544</v>
      </c>
      <c r="B493">
        <v>85</v>
      </c>
      <c r="F493" t="s">
        <v>1579</v>
      </c>
      <c r="G493" t="s">
        <v>1580</v>
      </c>
      <c r="H493" s="7">
        <f t="shared" si="18"/>
        <v>352.75</v>
      </c>
      <c r="I493" s="7">
        <f t="shared" ref="I493:I524" si="20">+SUMIF($F$7:$F$382,F493,$I$7:$I$382)</f>
        <v>56.44</v>
      </c>
    </row>
    <row r="494" spans="1:10">
      <c r="A494" s="150" t="s">
        <v>7544</v>
      </c>
      <c r="B494">
        <v>85</v>
      </c>
      <c r="F494" t="s">
        <v>768</v>
      </c>
      <c r="G494" t="s">
        <v>283</v>
      </c>
      <c r="H494" s="7">
        <f t="shared" si="18"/>
        <v>857.31249999999989</v>
      </c>
      <c r="I494" s="7">
        <f t="shared" si="20"/>
        <v>137.16999999999999</v>
      </c>
    </row>
    <row r="495" spans="1:10">
      <c r="A495" s="150" t="s">
        <v>7544</v>
      </c>
      <c r="B495">
        <v>85</v>
      </c>
      <c r="F495" t="s">
        <v>1528</v>
      </c>
      <c r="G495" t="s">
        <v>1514</v>
      </c>
      <c r="H495" s="7">
        <f t="shared" si="18"/>
        <v>7350</v>
      </c>
      <c r="I495" s="7">
        <f t="shared" si="20"/>
        <v>1176</v>
      </c>
    </row>
    <row r="496" spans="1:10">
      <c r="A496" s="150" t="s">
        <v>7544</v>
      </c>
      <c r="B496">
        <v>85</v>
      </c>
      <c r="F496" t="s">
        <v>843</v>
      </c>
      <c r="G496" t="s">
        <v>470</v>
      </c>
      <c r="H496" s="7">
        <f t="shared" si="18"/>
        <v>2474</v>
      </c>
      <c r="I496" s="7">
        <f t="shared" si="20"/>
        <v>395.84</v>
      </c>
    </row>
    <row r="497" spans="1:10">
      <c r="A497" s="150" t="s">
        <v>7544</v>
      </c>
      <c r="B497">
        <v>85</v>
      </c>
      <c r="F497" t="s">
        <v>844</v>
      </c>
      <c r="G497" t="s">
        <v>665</v>
      </c>
      <c r="H497" s="7">
        <f t="shared" si="18"/>
        <v>6300</v>
      </c>
      <c r="I497" s="7">
        <f t="shared" si="20"/>
        <v>1008</v>
      </c>
    </row>
    <row r="498" spans="1:10">
      <c r="A498" s="150" t="s">
        <v>7544</v>
      </c>
      <c r="B498">
        <v>85</v>
      </c>
      <c r="F498" t="s">
        <v>846</v>
      </c>
      <c r="G498" t="s">
        <v>663</v>
      </c>
      <c r="H498" s="7">
        <f t="shared" si="18"/>
        <v>7425.6249999999991</v>
      </c>
      <c r="I498" s="7">
        <f t="shared" si="20"/>
        <v>1188.0999999999999</v>
      </c>
    </row>
    <row r="499" spans="1:10">
      <c r="A499" s="150" t="s">
        <v>7544</v>
      </c>
      <c r="B499" s="150" t="s">
        <v>7566</v>
      </c>
      <c r="F499" s="20" t="s">
        <v>845</v>
      </c>
      <c r="G499" s="25" t="s">
        <v>532</v>
      </c>
      <c r="H499" s="7">
        <f t="shared" si="18"/>
        <v>132978.75</v>
      </c>
      <c r="I499" s="7">
        <f t="shared" si="20"/>
        <v>21276.6</v>
      </c>
      <c r="J499" s="7">
        <v>14285.71</v>
      </c>
    </row>
    <row r="500" spans="1:10">
      <c r="A500" s="150" t="s">
        <v>7544</v>
      </c>
      <c r="B500">
        <v>85</v>
      </c>
      <c r="F500" t="s">
        <v>1534</v>
      </c>
      <c r="G500" t="s">
        <v>1535</v>
      </c>
      <c r="H500" s="7">
        <f t="shared" si="18"/>
        <v>167.24999999999997</v>
      </c>
      <c r="I500" s="7">
        <f t="shared" si="20"/>
        <v>26.759999999999998</v>
      </c>
    </row>
    <row r="501" spans="1:10">
      <c r="A501" s="150" t="s">
        <v>7544</v>
      </c>
      <c r="B501">
        <v>85</v>
      </c>
      <c r="F501" s="16" t="s">
        <v>1591</v>
      </c>
      <c r="G501" t="s">
        <v>1382</v>
      </c>
      <c r="H501" s="7">
        <f t="shared" si="18"/>
        <v>43103.4375</v>
      </c>
      <c r="I501" s="7">
        <f t="shared" si="20"/>
        <v>6896.55</v>
      </c>
    </row>
    <row r="502" spans="1:10">
      <c r="A502" s="150" t="s">
        <v>7544</v>
      </c>
      <c r="B502">
        <v>85</v>
      </c>
      <c r="F502" t="s">
        <v>847</v>
      </c>
      <c r="G502" t="s">
        <v>1167</v>
      </c>
      <c r="H502" s="7">
        <f t="shared" si="18"/>
        <v>189.5</v>
      </c>
      <c r="I502" s="7">
        <f t="shared" si="20"/>
        <v>30.32</v>
      </c>
    </row>
    <row r="503" spans="1:10">
      <c r="A503" s="150" t="s">
        <v>7544</v>
      </c>
      <c r="B503">
        <v>85</v>
      </c>
      <c r="F503" s="18" t="s">
        <v>849</v>
      </c>
      <c r="G503" s="19" t="s">
        <v>850</v>
      </c>
      <c r="H503" s="7">
        <f t="shared" si="18"/>
        <v>559570.24999999988</v>
      </c>
      <c r="I503" s="7">
        <f t="shared" si="20"/>
        <v>89531.239999999991</v>
      </c>
    </row>
    <row r="504" spans="1:10">
      <c r="A504" s="150" t="s">
        <v>7544</v>
      </c>
      <c r="B504">
        <v>85</v>
      </c>
      <c r="F504" t="s">
        <v>3689</v>
      </c>
      <c r="G504" t="s">
        <v>7344</v>
      </c>
      <c r="H504" s="7">
        <f t="shared" si="18"/>
        <v>323.3125</v>
      </c>
      <c r="I504" s="7">
        <f t="shared" si="20"/>
        <v>51.730000000000004</v>
      </c>
    </row>
    <row r="505" spans="1:10">
      <c r="A505" s="150" t="s">
        <v>7544</v>
      </c>
      <c r="B505">
        <v>85</v>
      </c>
      <c r="F505" t="s">
        <v>769</v>
      </c>
      <c r="G505" t="s">
        <v>321</v>
      </c>
      <c r="H505" s="7">
        <f t="shared" si="18"/>
        <v>13903.6875</v>
      </c>
      <c r="I505" s="7">
        <f t="shared" si="20"/>
        <v>2224.59</v>
      </c>
    </row>
    <row r="506" spans="1:10">
      <c r="A506" s="150" t="s">
        <v>7544</v>
      </c>
      <c r="B506">
        <v>85</v>
      </c>
      <c r="F506" t="s">
        <v>1538</v>
      </c>
      <c r="G506" t="s">
        <v>1539</v>
      </c>
      <c r="H506" s="7">
        <f t="shared" si="18"/>
        <v>85.375</v>
      </c>
      <c r="I506" s="7">
        <f t="shared" si="20"/>
        <v>13.66</v>
      </c>
    </row>
    <row r="507" spans="1:10">
      <c r="A507" s="150" t="s">
        <v>7544</v>
      </c>
      <c r="B507">
        <v>85</v>
      </c>
      <c r="F507" t="s">
        <v>1592</v>
      </c>
      <c r="G507" t="s">
        <v>1276</v>
      </c>
      <c r="H507" s="7">
        <f t="shared" si="18"/>
        <v>781</v>
      </c>
      <c r="I507" s="7">
        <f t="shared" si="20"/>
        <v>124.96</v>
      </c>
    </row>
    <row r="508" spans="1:10">
      <c r="A508" s="150" t="s">
        <v>7544</v>
      </c>
      <c r="B508">
        <v>85</v>
      </c>
      <c r="F508" t="s">
        <v>915</v>
      </c>
      <c r="G508" t="s">
        <v>916</v>
      </c>
      <c r="H508" s="7">
        <f t="shared" si="18"/>
        <v>732.75</v>
      </c>
      <c r="I508" s="7">
        <f t="shared" si="20"/>
        <v>117.24</v>
      </c>
    </row>
    <row r="509" spans="1:10">
      <c r="A509" s="150" t="s">
        <v>7544</v>
      </c>
      <c r="B509">
        <v>85</v>
      </c>
      <c r="F509" t="s">
        <v>848</v>
      </c>
      <c r="G509" t="s">
        <v>449</v>
      </c>
      <c r="H509" s="7">
        <f t="shared" si="18"/>
        <v>52500</v>
      </c>
      <c r="I509" s="7">
        <f t="shared" si="20"/>
        <v>8400</v>
      </c>
    </row>
    <row r="510" spans="1:10">
      <c r="A510" s="150" t="s">
        <v>7544</v>
      </c>
      <c r="B510">
        <v>85</v>
      </c>
      <c r="F510" s="20" t="s">
        <v>1593</v>
      </c>
      <c r="G510" t="s">
        <v>1358</v>
      </c>
      <c r="H510" s="7">
        <f t="shared" si="18"/>
        <v>350</v>
      </c>
      <c r="I510" s="7">
        <f t="shared" si="20"/>
        <v>56</v>
      </c>
    </row>
    <row r="511" spans="1:10">
      <c r="A511" s="150" t="s">
        <v>7544</v>
      </c>
      <c r="B511">
        <v>85</v>
      </c>
      <c r="F511" t="s">
        <v>1594</v>
      </c>
      <c r="G511" t="s">
        <v>1152</v>
      </c>
      <c r="H511" s="7">
        <f t="shared" si="18"/>
        <v>206.875</v>
      </c>
      <c r="I511" s="7">
        <f t="shared" si="20"/>
        <v>33.1</v>
      </c>
    </row>
    <row r="512" spans="1:10">
      <c r="A512" s="150" t="s">
        <v>7544</v>
      </c>
      <c r="B512">
        <v>85</v>
      </c>
      <c r="F512" t="s">
        <v>1596</v>
      </c>
      <c r="G512" t="s">
        <v>1403</v>
      </c>
      <c r="H512" s="7">
        <f t="shared" si="18"/>
        <v>15502.5</v>
      </c>
      <c r="I512" s="7">
        <f t="shared" si="20"/>
        <v>2480.4</v>
      </c>
    </row>
    <row r="513" spans="1:9">
      <c r="A513" s="150" t="s">
        <v>7544</v>
      </c>
      <c r="B513">
        <v>85</v>
      </c>
      <c r="F513" t="s">
        <v>1612</v>
      </c>
      <c r="G513" t="s">
        <v>1613</v>
      </c>
      <c r="H513" s="7">
        <f t="shared" si="18"/>
        <v>292.375</v>
      </c>
      <c r="I513" s="7">
        <f t="shared" si="20"/>
        <v>46.78</v>
      </c>
    </row>
    <row r="514" spans="1:9">
      <c r="A514" s="150" t="s">
        <v>7544</v>
      </c>
      <c r="B514">
        <v>85</v>
      </c>
      <c r="F514" t="s">
        <v>1595</v>
      </c>
      <c r="G514" t="s">
        <v>1200</v>
      </c>
      <c r="H514" s="7">
        <f t="shared" si="18"/>
        <v>808.1875</v>
      </c>
      <c r="I514" s="7">
        <f t="shared" si="20"/>
        <v>129.31</v>
      </c>
    </row>
    <row r="515" spans="1:9">
      <c r="A515" s="150" t="s">
        <v>7544</v>
      </c>
      <c r="B515">
        <v>85</v>
      </c>
      <c r="F515" t="s">
        <v>1581</v>
      </c>
      <c r="G515" t="s">
        <v>1582</v>
      </c>
      <c r="H515" s="7">
        <f t="shared" si="18"/>
        <v>674.125</v>
      </c>
      <c r="I515" s="7">
        <f t="shared" si="20"/>
        <v>107.86</v>
      </c>
    </row>
    <row r="516" spans="1:9">
      <c r="A516" s="150" t="s">
        <v>7544</v>
      </c>
      <c r="B516">
        <v>85</v>
      </c>
      <c r="F516" s="16" t="s">
        <v>854</v>
      </c>
      <c r="G516" s="19" t="s">
        <v>855</v>
      </c>
      <c r="H516" s="7">
        <f t="shared" si="18"/>
        <v>156584.1875</v>
      </c>
      <c r="I516" s="7">
        <f t="shared" si="20"/>
        <v>25053.47</v>
      </c>
    </row>
    <row r="517" spans="1:9">
      <c r="A517" s="150" t="s">
        <v>7544</v>
      </c>
      <c r="B517">
        <v>85</v>
      </c>
      <c r="F517" t="s">
        <v>1597</v>
      </c>
      <c r="G517" t="s">
        <v>1390</v>
      </c>
      <c r="H517" s="7">
        <f t="shared" si="18"/>
        <v>12750</v>
      </c>
      <c r="I517" s="7">
        <f t="shared" si="20"/>
        <v>2040</v>
      </c>
    </row>
    <row r="518" spans="1:9">
      <c r="A518" s="150" t="s">
        <v>7544</v>
      </c>
      <c r="B518">
        <v>85</v>
      </c>
      <c r="F518" t="s">
        <v>832</v>
      </c>
      <c r="G518" t="s">
        <v>1585</v>
      </c>
      <c r="H518" s="7">
        <f t="shared" si="18"/>
        <v>43010.375</v>
      </c>
      <c r="I518" s="7">
        <f t="shared" si="20"/>
        <v>6881.66</v>
      </c>
    </row>
    <row r="519" spans="1:9">
      <c r="A519" s="150" t="s">
        <v>7544</v>
      </c>
      <c r="B519">
        <v>85</v>
      </c>
      <c r="F519" t="s">
        <v>1598</v>
      </c>
      <c r="G519" t="s">
        <v>1512</v>
      </c>
      <c r="H519" s="7">
        <f t="shared" si="18"/>
        <v>8530</v>
      </c>
      <c r="I519" s="7">
        <f t="shared" si="20"/>
        <v>1364.8</v>
      </c>
    </row>
    <row r="520" spans="1:9">
      <c r="A520" s="150" t="s">
        <v>7544</v>
      </c>
      <c r="B520">
        <v>85</v>
      </c>
      <c r="F520" t="s">
        <v>860</v>
      </c>
      <c r="G520" t="s">
        <v>474</v>
      </c>
      <c r="H520" s="7">
        <f t="shared" si="18"/>
        <v>9300</v>
      </c>
      <c r="I520" s="7">
        <f t="shared" si="20"/>
        <v>1488</v>
      </c>
    </row>
    <row r="521" spans="1:9">
      <c r="A521" s="150" t="s">
        <v>7544</v>
      </c>
      <c r="B521">
        <v>85</v>
      </c>
      <c r="F521" t="s">
        <v>857</v>
      </c>
      <c r="G521" t="s">
        <v>1472</v>
      </c>
      <c r="H521" s="7">
        <f t="shared" si="18"/>
        <v>35159.4375</v>
      </c>
      <c r="I521" s="7">
        <f t="shared" si="20"/>
        <v>5625.51</v>
      </c>
    </row>
    <row r="522" spans="1:9">
      <c r="A522" s="150" t="s">
        <v>7544</v>
      </c>
      <c r="B522">
        <v>85</v>
      </c>
      <c r="F522" t="s">
        <v>858</v>
      </c>
      <c r="G522" t="s">
        <v>457</v>
      </c>
      <c r="H522" s="7">
        <f t="shared" si="18"/>
        <v>23450</v>
      </c>
      <c r="I522" s="7">
        <f t="shared" si="20"/>
        <v>3752</v>
      </c>
    </row>
    <row r="523" spans="1:9">
      <c r="A523" s="150" t="s">
        <v>7544</v>
      </c>
      <c r="B523">
        <v>85</v>
      </c>
      <c r="F523" t="s">
        <v>1599</v>
      </c>
      <c r="G523" t="s">
        <v>1273</v>
      </c>
      <c r="H523" s="7">
        <f t="shared" si="18"/>
        <v>1444.8125</v>
      </c>
      <c r="I523" s="7">
        <f t="shared" si="20"/>
        <v>231.17</v>
      </c>
    </row>
    <row r="524" spans="1:9">
      <c r="A524" s="150" t="s">
        <v>7544</v>
      </c>
      <c r="B524">
        <v>85</v>
      </c>
      <c r="F524" t="s">
        <v>929</v>
      </c>
      <c r="G524" t="s">
        <v>930</v>
      </c>
      <c r="H524" s="7">
        <f t="shared" si="18"/>
        <v>68.9375</v>
      </c>
      <c r="I524" s="7">
        <f t="shared" si="20"/>
        <v>11.03</v>
      </c>
    </row>
    <row r="525" spans="1:9">
      <c r="A525" s="150" t="s">
        <v>7544</v>
      </c>
      <c r="B525">
        <v>85</v>
      </c>
      <c r="F525" t="s">
        <v>1634</v>
      </c>
      <c r="G525" t="s">
        <v>1635</v>
      </c>
      <c r="H525" s="7">
        <f t="shared" ref="H525:H565" si="21">+I525/0.16</f>
        <v>93.125</v>
      </c>
      <c r="I525" s="7">
        <f t="shared" ref="I525:I556" si="22">+SUMIF($F$7:$F$382,F525,$I$7:$I$382)</f>
        <v>14.9</v>
      </c>
    </row>
    <row r="526" spans="1:9">
      <c r="A526" s="150" t="s">
        <v>7544</v>
      </c>
      <c r="B526">
        <v>85</v>
      </c>
      <c r="F526" t="s">
        <v>861</v>
      </c>
      <c r="G526" t="s">
        <v>287</v>
      </c>
      <c r="H526" s="7">
        <f t="shared" si="21"/>
        <v>1056.875</v>
      </c>
      <c r="I526" s="7">
        <f t="shared" si="22"/>
        <v>169.1</v>
      </c>
    </row>
    <row r="527" spans="1:9">
      <c r="A527" s="150" t="s">
        <v>7544</v>
      </c>
      <c r="B527">
        <v>85</v>
      </c>
      <c r="F527" t="s">
        <v>788</v>
      </c>
      <c r="G527" t="s">
        <v>789</v>
      </c>
      <c r="H527" s="7">
        <f t="shared" si="21"/>
        <v>726.6875</v>
      </c>
      <c r="I527" s="7">
        <f t="shared" si="22"/>
        <v>116.27000000000001</v>
      </c>
    </row>
    <row r="528" spans="1:9">
      <c r="A528" s="150" t="s">
        <v>7544</v>
      </c>
      <c r="B528">
        <v>85</v>
      </c>
      <c r="F528" t="s">
        <v>1566</v>
      </c>
      <c r="G528" t="s">
        <v>1194</v>
      </c>
      <c r="H528" s="7">
        <f t="shared" si="21"/>
        <v>140</v>
      </c>
      <c r="I528" s="7">
        <f t="shared" si="22"/>
        <v>22.4</v>
      </c>
    </row>
    <row r="529" spans="1:9">
      <c r="A529" s="150" t="s">
        <v>7544</v>
      </c>
      <c r="B529">
        <v>85</v>
      </c>
      <c r="F529" t="s">
        <v>1648</v>
      </c>
      <c r="G529" t="s">
        <v>1649</v>
      </c>
      <c r="H529" s="7">
        <f t="shared" si="21"/>
        <v>2010.9375</v>
      </c>
      <c r="I529" s="7">
        <f t="shared" si="22"/>
        <v>321.75</v>
      </c>
    </row>
    <row r="530" spans="1:9">
      <c r="A530" s="150" t="s">
        <v>7544</v>
      </c>
      <c r="B530">
        <v>85</v>
      </c>
      <c r="F530" t="s">
        <v>1549</v>
      </c>
      <c r="G530" t="s">
        <v>1550</v>
      </c>
      <c r="H530" s="7">
        <f t="shared" si="21"/>
        <v>403.4375</v>
      </c>
      <c r="I530" s="7">
        <f t="shared" si="22"/>
        <v>64.55</v>
      </c>
    </row>
    <row r="531" spans="1:9">
      <c r="A531" s="150" t="s">
        <v>7544</v>
      </c>
      <c r="B531">
        <v>85</v>
      </c>
      <c r="F531" t="s">
        <v>1624</v>
      </c>
      <c r="G531" t="s">
        <v>1625</v>
      </c>
      <c r="H531" s="7">
        <f t="shared" si="21"/>
        <v>853.62500000000011</v>
      </c>
      <c r="I531" s="7">
        <f t="shared" si="22"/>
        <v>136.58000000000001</v>
      </c>
    </row>
    <row r="532" spans="1:9">
      <c r="A532" s="150" t="s">
        <v>7544</v>
      </c>
      <c r="B532">
        <v>85</v>
      </c>
      <c r="F532" t="s">
        <v>909</v>
      </c>
      <c r="G532" t="s">
        <v>1623</v>
      </c>
      <c r="H532" s="7">
        <f t="shared" si="21"/>
        <v>629.0625</v>
      </c>
      <c r="I532" s="7">
        <f t="shared" si="22"/>
        <v>100.65</v>
      </c>
    </row>
    <row r="533" spans="1:9">
      <c r="A533" s="150" t="s">
        <v>7544</v>
      </c>
      <c r="B533">
        <v>85</v>
      </c>
      <c r="F533" t="s">
        <v>7303</v>
      </c>
      <c r="G533" t="s">
        <v>7304</v>
      </c>
      <c r="H533" s="7">
        <f t="shared" si="21"/>
        <v>3041.375</v>
      </c>
      <c r="I533" s="7">
        <f t="shared" si="22"/>
        <v>486.62</v>
      </c>
    </row>
    <row r="534" spans="1:9">
      <c r="A534" s="150" t="s">
        <v>7544</v>
      </c>
      <c r="B534">
        <v>85</v>
      </c>
      <c r="F534" t="s">
        <v>867</v>
      </c>
      <c r="G534" t="s">
        <v>517</v>
      </c>
      <c r="H534" s="7">
        <f t="shared" si="21"/>
        <v>431034.5</v>
      </c>
      <c r="I534" s="7">
        <f t="shared" si="22"/>
        <v>68965.52</v>
      </c>
    </row>
    <row r="535" spans="1:9">
      <c r="A535" s="150" t="s">
        <v>7544</v>
      </c>
      <c r="B535">
        <v>85</v>
      </c>
      <c r="F535" t="s">
        <v>1646</v>
      </c>
      <c r="G535" t="s">
        <v>1647</v>
      </c>
      <c r="H535" s="7">
        <f t="shared" si="21"/>
        <v>200</v>
      </c>
      <c r="I535" s="7">
        <f t="shared" si="22"/>
        <v>32</v>
      </c>
    </row>
    <row r="536" spans="1:9">
      <c r="A536" s="150" t="s">
        <v>7544</v>
      </c>
      <c r="B536">
        <v>85</v>
      </c>
      <c r="F536" t="s">
        <v>1605</v>
      </c>
      <c r="G536" t="s">
        <v>1190</v>
      </c>
      <c r="H536" s="7">
        <f t="shared" si="21"/>
        <v>187.9375</v>
      </c>
      <c r="I536" s="7">
        <f t="shared" si="22"/>
        <v>30.07</v>
      </c>
    </row>
    <row r="537" spans="1:9">
      <c r="A537" s="150" t="s">
        <v>7544</v>
      </c>
      <c r="B537">
        <v>85</v>
      </c>
      <c r="F537" t="s">
        <v>863</v>
      </c>
      <c r="G537" t="s">
        <v>967</v>
      </c>
      <c r="H537" s="7">
        <f t="shared" si="21"/>
        <v>105757.9375</v>
      </c>
      <c r="I537" s="7">
        <f t="shared" si="22"/>
        <v>16921.27</v>
      </c>
    </row>
    <row r="538" spans="1:9">
      <c r="A538" s="150" t="s">
        <v>7544</v>
      </c>
      <c r="B538">
        <v>85</v>
      </c>
      <c r="F538" t="s">
        <v>1640</v>
      </c>
      <c r="G538" t="s">
        <v>1641</v>
      </c>
      <c r="H538" s="7">
        <f t="shared" si="21"/>
        <v>713.6875</v>
      </c>
      <c r="I538" s="7">
        <f t="shared" si="22"/>
        <v>114.19</v>
      </c>
    </row>
    <row r="539" spans="1:9">
      <c r="A539" s="150" t="s">
        <v>7544</v>
      </c>
      <c r="B539">
        <v>85</v>
      </c>
      <c r="F539" t="s">
        <v>1617</v>
      </c>
      <c r="G539" t="s">
        <v>1618</v>
      </c>
      <c r="H539" s="7">
        <f t="shared" si="21"/>
        <v>377.4375</v>
      </c>
      <c r="I539" s="7">
        <f t="shared" si="22"/>
        <v>60.39</v>
      </c>
    </row>
    <row r="540" spans="1:9">
      <c r="A540" s="150" t="s">
        <v>7544</v>
      </c>
      <c r="B540">
        <v>85</v>
      </c>
      <c r="F540" t="s">
        <v>1602</v>
      </c>
      <c r="G540" t="s">
        <v>1244</v>
      </c>
      <c r="H540" s="7">
        <f t="shared" si="21"/>
        <v>531.4375</v>
      </c>
      <c r="I540" s="7">
        <f t="shared" si="22"/>
        <v>85.03</v>
      </c>
    </row>
    <row r="541" spans="1:9">
      <c r="A541" s="150" t="s">
        <v>7544</v>
      </c>
      <c r="B541">
        <v>85</v>
      </c>
      <c r="F541" s="20" t="s">
        <v>1552</v>
      </c>
      <c r="G541" s="17" t="s">
        <v>1553</v>
      </c>
      <c r="H541" s="7">
        <f t="shared" si="21"/>
        <v>95</v>
      </c>
      <c r="I541" s="7">
        <f t="shared" si="22"/>
        <v>15.2</v>
      </c>
    </row>
    <row r="542" spans="1:9">
      <c r="A542" s="150" t="s">
        <v>7544</v>
      </c>
      <c r="B542">
        <v>85</v>
      </c>
      <c r="F542" t="s">
        <v>1610</v>
      </c>
      <c r="G542" t="s">
        <v>1611</v>
      </c>
      <c r="H542" s="7">
        <f t="shared" si="21"/>
        <v>713.8125</v>
      </c>
      <c r="I542" s="7">
        <f t="shared" si="22"/>
        <v>114.21</v>
      </c>
    </row>
    <row r="543" spans="1:9">
      <c r="A543" s="150" t="s">
        <v>7544</v>
      </c>
      <c r="B543">
        <v>85</v>
      </c>
      <c r="F543" s="43" t="s">
        <v>1600</v>
      </c>
      <c r="G543" s="44" t="s">
        <v>1601</v>
      </c>
      <c r="H543" s="7">
        <f t="shared" si="21"/>
        <v>337213.375</v>
      </c>
      <c r="I543" s="7">
        <f t="shared" si="22"/>
        <v>53954.14</v>
      </c>
    </row>
    <row r="544" spans="1:9">
      <c r="A544" s="150" t="s">
        <v>7544</v>
      </c>
      <c r="B544">
        <v>85</v>
      </c>
      <c r="F544" t="s">
        <v>1603</v>
      </c>
      <c r="G544" t="s">
        <v>1250</v>
      </c>
      <c r="H544" s="7">
        <f t="shared" si="21"/>
        <v>754.06249999999989</v>
      </c>
      <c r="I544" s="7">
        <f t="shared" si="22"/>
        <v>120.64999999999999</v>
      </c>
    </row>
    <row r="545" spans="1:9">
      <c r="A545" s="150" t="s">
        <v>7544</v>
      </c>
      <c r="B545">
        <v>85</v>
      </c>
      <c r="F545" t="s">
        <v>1621</v>
      </c>
      <c r="G545" t="s">
        <v>1622</v>
      </c>
      <c r="H545" s="7">
        <f t="shared" si="21"/>
        <v>641.75</v>
      </c>
      <c r="I545" s="7">
        <f t="shared" si="22"/>
        <v>102.68</v>
      </c>
    </row>
    <row r="546" spans="1:9">
      <c r="A546" s="150" t="s">
        <v>7544</v>
      </c>
      <c r="B546">
        <v>85</v>
      </c>
      <c r="F546" t="s">
        <v>778</v>
      </c>
      <c r="G546" t="s">
        <v>779</v>
      </c>
      <c r="H546" s="7">
        <f t="shared" si="21"/>
        <v>293.75</v>
      </c>
      <c r="I546" s="7">
        <f t="shared" si="22"/>
        <v>47</v>
      </c>
    </row>
    <row r="547" spans="1:9">
      <c r="A547" s="150" t="s">
        <v>7544</v>
      </c>
      <c r="B547">
        <v>85</v>
      </c>
      <c r="F547" t="s">
        <v>1545</v>
      </c>
      <c r="G547" t="s">
        <v>1546</v>
      </c>
      <c r="H547" s="7">
        <f t="shared" si="21"/>
        <v>511.625</v>
      </c>
      <c r="I547" s="7">
        <f t="shared" si="22"/>
        <v>81.86</v>
      </c>
    </row>
    <row r="548" spans="1:9">
      <c r="A548" s="150" t="s">
        <v>7544</v>
      </c>
      <c r="B548">
        <v>85</v>
      </c>
      <c r="F548" t="s">
        <v>1547</v>
      </c>
      <c r="G548" t="s">
        <v>1548</v>
      </c>
      <c r="H548" s="7">
        <f t="shared" si="21"/>
        <v>629.06249999999989</v>
      </c>
      <c r="I548" s="7">
        <f t="shared" si="22"/>
        <v>100.64999999999999</v>
      </c>
    </row>
    <row r="549" spans="1:9">
      <c r="A549" s="150" t="s">
        <v>7544</v>
      </c>
      <c r="B549">
        <v>85</v>
      </c>
      <c r="F549" t="s">
        <v>780</v>
      </c>
      <c r="G549" t="s">
        <v>1616</v>
      </c>
      <c r="H549" s="7">
        <f t="shared" si="21"/>
        <v>1977.1875</v>
      </c>
      <c r="I549" s="7">
        <f t="shared" si="22"/>
        <v>316.35000000000002</v>
      </c>
    </row>
    <row r="550" spans="1:9">
      <c r="A550" s="150" t="s">
        <v>7544</v>
      </c>
      <c r="B550">
        <v>85</v>
      </c>
      <c r="F550" t="s">
        <v>1642</v>
      </c>
      <c r="G550" t="s">
        <v>1445</v>
      </c>
      <c r="H550" s="7">
        <f t="shared" si="21"/>
        <v>27006.5</v>
      </c>
      <c r="I550" s="7">
        <f t="shared" si="22"/>
        <v>4321.04</v>
      </c>
    </row>
    <row r="551" spans="1:9">
      <c r="A551" s="150" t="s">
        <v>7544</v>
      </c>
      <c r="B551">
        <v>85</v>
      </c>
      <c r="F551" s="32" t="s">
        <v>799</v>
      </c>
      <c r="G551" t="s">
        <v>0</v>
      </c>
      <c r="H551" s="7">
        <f t="shared" si="21"/>
        <v>11437611.250000006</v>
      </c>
      <c r="I551" s="7">
        <f t="shared" si="22"/>
        <v>1830017.800000001</v>
      </c>
    </row>
    <row r="552" spans="1:9">
      <c r="A552" s="150" t="s">
        <v>7544</v>
      </c>
      <c r="B552">
        <v>85</v>
      </c>
      <c r="F552" t="s">
        <v>868</v>
      </c>
      <c r="G552" t="s">
        <v>436</v>
      </c>
      <c r="H552" s="7">
        <f t="shared" si="21"/>
        <v>34956.125</v>
      </c>
      <c r="I552" s="7">
        <f t="shared" si="22"/>
        <v>5592.98</v>
      </c>
    </row>
    <row r="553" spans="1:9">
      <c r="A553" s="150" t="s">
        <v>7544</v>
      </c>
      <c r="B553">
        <v>85</v>
      </c>
      <c r="F553" s="18" t="s">
        <v>869</v>
      </c>
      <c r="G553" s="19" t="s">
        <v>870</v>
      </c>
      <c r="H553" s="7">
        <f t="shared" si="21"/>
        <v>156573.6875</v>
      </c>
      <c r="I553" s="7">
        <f t="shared" si="22"/>
        <v>25051.79</v>
      </c>
    </row>
    <row r="554" spans="1:9">
      <c r="A554" s="150" t="s">
        <v>7544</v>
      </c>
      <c r="B554">
        <v>85</v>
      </c>
      <c r="F554" s="35" t="s">
        <v>875</v>
      </c>
      <c r="G554" s="31" t="s">
        <v>877</v>
      </c>
      <c r="H554" s="7">
        <f t="shared" si="21"/>
        <v>473148.87500000006</v>
      </c>
      <c r="I554" s="7">
        <f t="shared" si="22"/>
        <v>75703.820000000007</v>
      </c>
    </row>
    <row r="555" spans="1:9">
      <c r="A555" s="150" t="s">
        <v>7544</v>
      </c>
      <c r="B555">
        <v>85</v>
      </c>
      <c r="F555" s="34" t="s">
        <v>871</v>
      </c>
      <c r="G555" s="34" t="s">
        <v>872</v>
      </c>
      <c r="H555" s="7">
        <f t="shared" si="21"/>
        <v>272863.9375</v>
      </c>
      <c r="I555" s="7">
        <f t="shared" si="22"/>
        <v>43658.23</v>
      </c>
    </row>
    <row r="556" spans="1:9">
      <c r="A556" s="150" t="s">
        <v>7544</v>
      </c>
      <c r="B556">
        <v>85</v>
      </c>
      <c r="F556" t="s">
        <v>1606</v>
      </c>
      <c r="G556" s="19" t="s">
        <v>1607</v>
      </c>
      <c r="H556" s="7">
        <f t="shared" si="21"/>
        <v>402186.68749999994</v>
      </c>
      <c r="I556" s="7">
        <f t="shared" si="22"/>
        <v>64349.869999999995</v>
      </c>
    </row>
    <row r="557" spans="1:9">
      <c r="A557" s="150" t="s">
        <v>7544</v>
      </c>
      <c r="B557">
        <v>85</v>
      </c>
      <c r="F557" t="s">
        <v>878</v>
      </c>
      <c r="G557" t="s">
        <v>414</v>
      </c>
      <c r="H557" s="7">
        <f t="shared" si="21"/>
        <v>730</v>
      </c>
      <c r="I557" s="7">
        <f t="shared" ref="I557:I565" si="23">+SUMIF($F$7:$F$382,F557,$I$7:$I$382)</f>
        <v>116.8</v>
      </c>
    </row>
    <row r="558" spans="1:9">
      <c r="A558" s="150" t="s">
        <v>7544</v>
      </c>
      <c r="B558">
        <v>85</v>
      </c>
      <c r="F558" t="s">
        <v>935</v>
      </c>
      <c r="G558" t="s">
        <v>936</v>
      </c>
      <c r="H558" s="7">
        <f t="shared" si="21"/>
        <v>603.31249999999977</v>
      </c>
      <c r="I558" s="7">
        <f t="shared" si="23"/>
        <v>96.529999999999973</v>
      </c>
    </row>
    <row r="559" spans="1:9">
      <c r="A559" s="150" t="s">
        <v>7544</v>
      </c>
      <c r="B559">
        <v>85</v>
      </c>
      <c r="F559" s="25" t="s">
        <v>1643</v>
      </c>
      <c r="G559" s="17" t="s">
        <v>1644</v>
      </c>
      <c r="H559" s="7">
        <f t="shared" si="21"/>
        <v>433084.875</v>
      </c>
      <c r="I559" s="7">
        <f t="shared" si="23"/>
        <v>69293.58</v>
      </c>
    </row>
    <row r="560" spans="1:9">
      <c r="A560" s="150" t="s">
        <v>7544</v>
      </c>
      <c r="B560">
        <v>85</v>
      </c>
      <c r="F560" t="s">
        <v>1632</v>
      </c>
      <c r="G560" t="s">
        <v>1633</v>
      </c>
      <c r="H560" s="7">
        <f t="shared" si="21"/>
        <v>1320.625</v>
      </c>
      <c r="I560" s="7">
        <f t="shared" si="23"/>
        <v>211.3</v>
      </c>
    </row>
    <row r="561" spans="1:11">
      <c r="A561" s="150" t="s">
        <v>7544</v>
      </c>
      <c r="B561">
        <v>85</v>
      </c>
      <c r="F561" t="s">
        <v>952</v>
      </c>
      <c r="G561" t="s">
        <v>642</v>
      </c>
      <c r="H561" s="7">
        <f t="shared" si="21"/>
        <v>2250</v>
      </c>
      <c r="I561" s="7">
        <f t="shared" si="23"/>
        <v>360</v>
      </c>
    </row>
    <row r="562" spans="1:11">
      <c r="A562" s="150" t="s">
        <v>7544</v>
      </c>
      <c r="B562">
        <v>85</v>
      </c>
      <c r="F562" t="s">
        <v>1630</v>
      </c>
      <c r="G562" t="s">
        <v>1631</v>
      </c>
      <c r="H562" s="7">
        <f t="shared" si="21"/>
        <v>81.875</v>
      </c>
      <c r="I562" s="7">
        <f t="shared" si="23"/>
        <v>13.1</v>
      </c>
    </row>
    <row r="563" spans="1:11">
      <c r="A563" s="150" t="s">
        <v>7544</v>
      </c>
      <c r="B563">
        <v>85</v>
      </c>
      <c r="F563" t="s">
        <v>802</v>
      </c>
      <c r="G563" t="s">
        <v>275</v>
      </c>
      <c r="H563" s="7">
        <f t="shared" si="21"/>
        <v>879.3125</v>
      </c>
      <c r="I563" s="7">
        <f t="shared" si="23"/>
        <v>140.69</v>
      </c>
    </row>
    <row r="564" spans="1:11">
      <c r="A564" s="150" t="s">
        <v>7544</v>
      </c>
      <c r="B564">
        <v>85</v>
      </c>
      <c r="F564" t="s">
        <v>1614</v>
      </c>
      <c r="G564" t="s">
        <v>1615</v>
      </c>
      <c r="H564" s="7">
        <f t="shared" si="21"/>
        <v>838.74999999999989</v>
      </c>
      <c r="I564" s="7">
        <f t="shared" si="23"/>
        <v>134.19999999999999</v>
      </c>
    </row>
    <row r="565" spans="1:11">
      <c r="A565" s="150" t="s">
        <v>7544</v>
      </c>
      <c r="B565">
        <v>85</v>
      </c>
      <c r="F565" t="s">
        <v>1645</v>
      </c>
      <c r="G565" t="s">
        <v>1441</v>
      </c>
      <c r="H565" s="7">
        <f t="shared" si="21"/>
        <v>10746.4375</v>
      </c>
      <c r="I565" s="7">
        <f t="shared" si="23"/>
        <v>1719.43</v>
      </c>
    </row>
    <row r="566" spans="1:11">
      <c r="H566" s="9">
        <f>SUM(H397:H565)</f>
        <v>21124339.687500007</v>
      </c>
      <c r="I566" s="9">
        <f>SUM(I397:I565)</f>
        <v>3379894.35</v>
      </c>
      <c r="J566" s="7">
        <f>SUM(J397:J565)</f>
        <v>32584.339999999997</v>
      </c>
    </row>
    <row r="567" spans="1:11">
      <c r="H567" s="151">
        <f>+H384</f>
        <v>21124339.6875</v>
      </c>
      <c r="I567" s="151">
        <f>+I384</f>
        <v>3379894.3500000038</v>
      </c>
    </row>
    <row r="568" spans="1:11">
      <c r="H568" s="149"/>
      <c r="I568" s="149"/>
    </row>
    <row r="569" spans="1:11" s="84" customFormat="1">
      <c r="A569" s="84" t="s">
        <v>1317</v>
      </c>
      <c r="B569" s="147">
        <v>42063</v>
      </c>
      <c r="C569" s="84" t="s">
        <v>1318</v>
      </c>
      <c r="D569" s="84">
        <v>1</v>
      </c>
      <c r="E569" s="84" t="s">
        <v>1319</v>
      </c>
      <c r="H569" s="148">
        <f>+I569/0.16</f>
        <v>646551.8125</v>
      </c>
      <c r="I569" s="112">
        <v>103448.29</v>
      </c>
      <c r="J569" s="148"/>
    </row>
    <row r="570" spans="1:11" s="84" customFormat="1">
      <c r="A570" s="84" t="s">
        <v>450</v>
      </c>
      <c r="B570" s="147">
        <v>42047</v>
      </c>
      <c r="C570" s="84" t="s">
        <v>1363</v>
      </c>
      <c r="D570" s="84">
        <v>1</v>
      </c>
      <c r="E570" s="84" t="s">
        <v>1364</v>
      </c>
      <c r="F570" s="163" t="s">
        <v>1559</v>
      </c>
      <c r="G570" s="84" t="s">
        <v>1364</v>
      </c>
      <c r="H570" s="148">
        <f>+I570/0.16</f>
        <v>6300</v>
      </c>
      <c r="I570" s="112">
        <v>1008</v>
      </c>
      <c r="J570" s="148" t="s">
        <v>7557</v>
      </c>
    </row>
    <row r="571" spans="1:11" s="84" customFormat="1">
      <c r="A571" s="84" t="s">
        <v>1042</v>
      </c>
      <c r="B571" s="147">
        <v>42054</v>
      </c>
      <c r="C571" s="84" t="s">
        <v>1043</v>
      </c>
      <c r="D571" s="84">
        <v>1</v>
      </c>
      <c r="E571" s="84" t="s">
        <v>1044</v>
      </c>
      <c r="F571" s="84" t="s">
        <v>729</v>
      </c>
      <c r="G571" s="84" t="s">
        <v>653</v>
      </c>
      <c r="H571" s="148">
        <f>+I571/0.16</f>
        <v>1406.875</v>
      </c>
      <c r="I571" s="112">
        <v>225.1</v>
      </c>
      <c r="J571" s="148" t="s">
        <v>7558</v>
      </c>
    </row>
    <row r="572" spans="1:11">
      <c r="I572" s="9">
        <f>+I571+I570+I569+I567</f>
        <v>3484575.7400000039</v>
      </c>
      <c r="J572" s="2">
        <f>+I571+I570+I569</f>
        <v>104681.39</v>
      </c>
      <c r="K572" t="s">
        <v>960</v>
      </c>
    </row>
  </sheetData>
  <autoFilter ref="A6:L382"/>
  <sortState ref="A7:L384">
    <sortCondition ref="E7:E384"/>
  </sortState>
  <conditionalFormatting sqref="F561:G565 F397:G559 G560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scale="24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30"/>
  <sheetViews>
    <sheetView topLeftCell="A509" workbookViewId="0">
      <selection activeCell="A365" sqref="A365:L531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1.28515625" bestFit="1" customWidth="1"/>
    <col min="4" max="4" width="2" bestFit="1" customWidth="1"/>
    <col min="5" max="5" width="36.5703125" customWidth="1"/>
    <col min="6" max="6" width="18.85546875" customWidth="1"/>
    <col min="7" max="7" width="18.140625" customWidth="1"/>
    <col min="8" max="8" width="17.28515625" style="7" customWidth="1"/>
    <col min="9" max="9" width="13.140625" style="7" bestFit="1" customWidth="1"/>
    <col min="10" max="10" width="15.5703125" style="7" customWidth="1"/>
    <col min="11" max="11" width="18.42578125" style="7" bestFit="1" customWidth="1"/>
  </cols>
  <sheetData>
    <row r="1" spans="1:9">
      <c r="A1" t="s">
        <v>684</v>
      </c>
    </row>
    <row r="2" spans="1:9">
      <c r="A2" t="s">
        <v>2185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2108</v>
      </c>
      <c r="B7" s="1">
        <v>42081</v>
      </c>
      <c r="C7" t="s">
        <v>2109</v>
      </c>
      <c r="D7">
        <v>1</v>
      </c>
      <c r="E7" t="s">
        <v>1514</v>
      </c>
      <c r="F7" t="s">
        <v>1528</v>
      </c>
      <c r="G7" t="s">
        <v>1514</v>
      </c>
      <c r="H7" s="7">
        <f>+I7/0.16</f>
        <v>7350</v>
      </c>
      <c r="I7" s="7">
        <v>1176</v>
      </c>
    </row>
    <row r="8" spans="1:9">
      <c r="A8" t="s">
        <v>1379</v>
      </c>
      <c r="B8" s="1">
        <v>42081</v>
      </c>
      <c r="C8" t="s">
        <v>2127</v>
      </c>
      <c r="D8">
        <v>1</v>
      </c>
      <c r="E8" t="s">
        <v>2128</v>
      </c>
      <c r="F8" t="s">
        <v>2186</v>
      </c>
      <c r="G8" t="s">
        <v>2128</v>
      </c>
      <c r="H8" s="7">
        <f t="shared" ref="H8:H70" si="0">+I8/0.16</f>
        <v>10800</v>
      </c>
      <c r="I8" s="7">
        <v>1728</v>
      </c>
    </row>
    <row r="9" spans="1:9">
      <c r="A9" t="s">
        <v>1738</v>
      </c>
      <c r="B9" s="1">
        <v>42088</v>
      </c>
      <c r="C9" t="s">
        <v>1739</v>
      </c>
      <c r="D9">
        <v>1</v>
      </c>
      <c r="E9" t="s">
        <v>1740</v>
      </c>
      <c r="F9" s="16" t="s">
        <v>2187</v>
      </c>
      <c r="G9" s="17" t="s">
        <v>2188</v>
      </c>
      <c r="H9" s="7">
        <f t="shared" si="0"/>
        <v>175535.0625</v>
      </c>
      <c r="I9" s="7">
        <v>28085.61</v>
      </c>
    </row>
    <row r="10" spans="1:9">
      <c r="A10" t="s">
        <v>1765</v>
      </c>
      <c r="B10" s="1">
        <v>42090</v>
      </c>
      <c r="C10" t="s">
        <v>1766</v>
      </c>
      <c r="D10">
        <v>1</v>
      </c>
      <c r="E10" t="s">
        <v>1767</v>
      </c>
      <c r="F10" s="16" t="s">
        <v>2187</v>
      </c>
      <c r="G10" s="17" t="s">
        <v>2188</v>
      </c>
      <c r="H10" s="7">
        <f t="shared" si="0"/>
        <v>225942.25</v>
      </c>
      <c r="I10" s="7">
        <v>36150.76</v>
      </c>
    </row>
    <row r="11" spans="1:9">
      <c r="A11" t="s">
        <v>2130</v>
      </c>
      <c r="B11" s="1">
        <v>42088</v>
      </c>
      <c r="C11" t="s">
        <v>2131</v>
      </c>
      <c r="D11">
        <v>1</v>
      </c>
      <c r="E11" t="s">
        <v>2132</v>
      </c>
      <c r="F11" s="32" t="s">
        <v>799</v>
      </c>
      <c r="G11" t="s">
        <v>0</v>
      </c>
      <c r="H11" s="7">
        <f t="shared" si="0"/>
        <v>8281.25</v>
      </c>
      <c r="I11" s="7">
        <v>1325</v>
      </c>
    </row>
    <row r="12" spans="1:9">
      <c r="A12" t="s">
        <v>1874</v>
      </c>
      <c r="B12" s="1">
        <v>42094</v>
      </c>
      <c r="C12">
        <v>11603</v>
      </c>
      <c r="D12">
        <v>1</v>
      </c>
      <c r="E12" t="s">
        <v>1875</v>
      </c>
      <c r="F12" t="s">
        <v>2189</v>
      </c>
      <c r="G12" t="s">
        <v>1875</v>
      </c>
      <c r="H12" s="7">
        <f t="shared" si="0"/>
        <v>500</v>
      </c>
      <c r="I12" s="7">
        <v>80</v>
      </c>
    </row>
    <row r="13" spans="1:9">
      <c r="A13" t="s">
        <v>1852</v>
      </c>
      <c r="B13" s="1">
        <v>42094</v>
      </c>
      <c r="C13">
        <v>11580</v>
      </c>
      <c r="D13">
        <v>1</v>
      </c>
      <c r="E13" t="s">
        <v>301</v>
      </c>
      <c r="F13" s="20" t="s">
        <v>700</v>
      </c>
      <c r="G13" t="s">
        <v>301</v>
      </c>
      <c r="H13" s="7">
        <f t="shared" si="0"/>
        <v>259.5</v>
      </c>
      <c r="I13" s="7">
        <v>41.52</v>
      </c>
    </row>
    <row r="14" spans="1:9">
      <c r="A14" t="s">
        <v>1945</v>
      </c>
      <c r="B14" s="1">
        <v>42094</v>
      </c>
      <c r="C14">
        <v>11653</v>
      </c>
      <c r="D14">
        <v>1</v>
      </c>
      <c r="E14" t="s">
        <v>1946</v>
      </c>
      <c r="F14" s="33" t="s">
        <v>2190</v>
      </c>
      <c r="G14" s="33" t="s">
        <v>1946</v>
      </c>
      <c r="H14" s="7">
        <f t="shared" si="0"/>
        <v>86.187499999999986</v>
      </c>
      <c r="I14" s="7">
        <v>13.79</v>
      </c>
    </row>
    <row r="15" spans="1:9">
      <c r="A15" t="s">
        <v>1838</v>
      </c>
      <c r="B15" s="1">
        <v>42094</v>
      </c>
      <c r="C15" t="s">
        <v>1839</v>
      </c>
      <c r="D15">
        <v>1</v>
      </c>
      <c r="E15" t="s">
        <v>237</v>
      </c>
      <c r="F15" s="20" t="s">
        <v>704</v>
      </c>
      <c r="G15" t="s">
        <v>237</v>
      </c>
      <c r="H15" s="7">
        <f t="shared" si="0"/>
        <v>215.49999999999997</v>
      </c>
      <c r="I15" s="7">
        <v>34.479999999999997</v>
      </c>
    </row>
    <row r="16" spans="1:9">
      <c r="A16" t="s">
        <v>1840</v>
      </c>
      <c r="B16" s="1">
        <v>42094</v>
      </c>
      <c r="C16" t="s">
        <v>1841</v>
      </c>
      <c r="D16">
        <v>1</v>
      </c>
      <c r="E16" t="s">
        <v>237</v>
      </c>
      <c r="F16" s="20" t="s">
        <v>704</v>
      </c>
      <c r="G16" t="s">
        <v>237</v>
      </c>
      <c r="H16" s="7">
        <f t="shared" si="0"/>
        <v>215.49999999999997</v>
      </c>
      <c r="I16" s="7">
        <v>34.479999999999997</v>
      </c>
    </row>
    <row r="17" spans="1:9">
      <c r="A17" t="s">
        <v>1842</v>
      </c>
      <c r="B17" s="1">
        <v>42094</v>
      </c>
      <c r="C17" t="s">
        <v>1843</v>
      </c>
      <c r="D17">
        <v>1</v>
      </c>
      <c r="E17" t="s">
        <v>237</v>
      </c>
      <c r="F17" s="20" t="s">
        <v>704</v>
      </c>
      <c r="G17" t="s">
        <v>237</v>
      </c>
      <c r="H17" s="7">
        <f t="shared" si="0"/>
        <v>215.49999999999997</v>
      </c>
      <c r="I17" s="7">
        <v>34.479999999999997</v>
      </c>
    </row>
    <row r="18" spans="1:9">
      <c r="A18" t="s">
        <v>1827</v>
      </c>
      <c r="B18" s="1">
        <v>42094</v>
      </c>
      <c r="C18" t="s">
        <v>1828</v>
      </c>
      <c r="D18">
        <v>1</v>
      </c>
      <c r="E18" t="s">
        <v>237</v>
      </c>
      <c r="F18" s="20" t="s">
        <v>704</v>
      </c>
      <c r="G18" t="s">
        <v>237</v>
      </c>
      <c r="H18" s="7">
        <f t="shared" si="0"/>
        <v>215.49999999999997</v>
      </c>
      <c r="I18" s="7">
        <v>34.479999999999997</v>
      </c>
    </row>
    <row r="19" spans="1:9">
      <c r="A19" t="s">
        <v>1844</v>
      </c>
      <c r="B19" s="1">
        <v>42094</v>
      </c>
      <c r="C19" t="s">
        <v>1845</v>
      </c>
      <c r="D19">
        <v>1</v>
      </c>
      <c r="E19" t="s">
        <v>237</v>
      </c>
      <c r="F19" s="20" t="s">
        <v>704</v>
      </c>
      <c r="G19" t="s">
        <v>237</v>
      </c>
      <c r="H19" s="7">
        <f t="shared" si="0"/>
        <v>215.49999999999997</v>
      </c>
      <c r="I19" s="7">
        <v>34.479999999999997</v>
      </c>
    </row>
    <row r="20" spans="1:9">
      <c r="A20" t="s">
        <v>1836</v>
      </c>
      <c r="B20" s="1">
        <v>42094</v>
      </c>
      <c r="C20" t="s">
        <v>1837</v>
      </c>
      <c r="D20">
        <v>1</v>
      </c>
      <c r="E20" t="s">
        <v>237</v>
      </c>
      <c r="F20" s="20" t="s">
        <v>704</v>
      </c>
      <c r="G20" t="s">
        <v>237</v>
      </c>
      <c r="H20" s="7">
        <f t="shared" si="0"/>
        <v>215.49999999999997</v>
      </c>
      <c r="I20" s="7">
        <v>34.479999999999997</v>
      </c>
    </row>
    <row r="21" spans="1:9">
      <c r="A21" t="s">
        <v>1825</v>
      </c>
      <c r="B21" s="1">
        <v>42094</v>
      </c>
      <c r="C21" t="s">
        <v>1826</v>
      </c>
      <c r="D21">
        <v>1</v>
      </c>
      <c r="E21" t="s">
        <v>237</v>
      </c>
      <c r="F21" s="20" t="s">
        <v>704</v>
      </c>
      <c r="G21" t="s">
        <v>237</v>
      </c>
      <c r="H21" s="7">
        <f t="shared" si="0"/>
        <v>215.49999999999997</v>
      </c>
      <c r="I21" s="7">
        <v>34.479999999999997</v>
      </c>
    </row>
    <row r="22" spans="1:9">
      <c r="A22" t="s">
        <v>1943</v>
      </c>
      <c r="B22" s="1">
        <v>42094</v>
      </c>
      <c r="C22">
        <v>11652</v>
      </c>
      <c r="D22">
        <v>1</v>
      </c>
      <c r="E22" t="s">
        <v>1944</v>
      </c>
      <c r="F22" s="33" t="s">
        <v>706</v>
      </c>
      <c r="G22" s="33" t="s">
        <v>1944</v>
      </c>
      <c r="H22" s="7">
        <f t="shared" si="0"/>
        <v>93.999999999999986</v>
      </c>
      <c r="I22" s="7">
        <v>15.04</v>
      </c>
    </row>
    <row r="23" spans="1:9">
      <c r="A23" t="s">
        <v>1916</v>
      </c>
      <c r="B23" s="1">
        <v>42094</v>
      </c>
      <c r="C23">
        <v>11618</v>
      </c>
      <c r="D23">
        <v>1</v>
      </c>
      <c r="E23" t="s">
        <v>1917</v>
      </c>
      <c r="F23" t="s">
        <v>2191</v>
      </c>
      <c r="G23" t="s">
        <v>1915</v>
      </c>
      <c r="H23" s="7">
        <f t="shared" si="0"/>
        <v>660</v>
      </c>
      <c r="I23" s="7">
        <v>105.6</v>
      </c>
    </row>
    <row r="24" spans="1:9">
      <c r="A24" t="s">
        <v>1921</v>
      </c>
      <c r="B24" s="1">
        <v>42094</v>
      </c>
      <c r="C24">
        <v>11619</v>
      </c>
      <c r="D24">
        <v>1</v>
      </c>
      <c r="E24" t="s">
        <v>1917</v>
      </c>
      <c r="F24" t="s">
        <v>2191</v>
      </c>
      <c r="G24" t="s">
        <v>1915</v>
      </c>
      <c r="H24" s="7">
        <f t="shared" si="0"/>
        <v>550</v>
      </c>
      <c r="I24" s="7">
        <v>88</v>
      </c>
    </row>
    <row r="25" spans="1:9">
      <c r="A25" t="s">
        <v>1937</v>
      </c>
      <c r="B25" s="1">
        <v>42094</v>
      </c>
      <c r="C25">
        <v>11635</v>
      </c>
      <c r="D25">
        <v>1</v>
      </c>
      <c r="E25" t="s">
        <v>1938</v>
      </c>
      <c r="F25" s="33" t="s">
        <v>2191</v>
      </c>
      <c r="G25" s="33" t="s">
        <v>1938</v>
      </c>
      <c r="H25" s="7">
        <f t="shared" si="0"/>
        <v>55</v>
      </c>
      <c r="I25" s="7">
        <v>8.8000000000000007</v>
      </c>
    </row>
    <row r="26" spans="1:9">
      <c r="A26" t="s">
        <v>1914</v>
      </c>
      <c r="B26" s="1">
        <v>42094</v>
      </c>
      <c r="C26">
        <v>11617</v>
      </c>
      <c r="D26">
        <v>1</v>
      </c>
      <c r="E26" t="s">
        <v>1915</v>
      </c>
      <c r="F26" t="s">
        <v>2191</v>
      </c>
      <c r="G26" t="s">
        <v>1915</v>
      </c>
      <c r="H26" s="7">
        <f t="shared" si="0"/>
        <v>550</v>
      </c>
      <c r="I26" s="7">
        <v>88</v>
      </c>
    </row>
    <row r="27" spans="1:9">
      <c r="A27" t="s">
        <v>96</v>
      </c>
      <c r="B27" s="1">
        <v>42081</v>
      </c>
      <c r="C27" t="s">
        <v>1111</v>
      </c>
      <c r="D27">
        <v>1</v>
      </c>
      <c r="E27" t="s">
        <v>1112</v>
      </c>
      <c r="F27" t="s">
        <v>1530</v>
      </c>
      <c r="G27" s="19" t="s">
        <v>1531</v>
      </c>
      <c r="H27" s="7">
        <f t="shared" si="0"/>
        <v>-443904.93749999994</v>
      </c>
      <c r="I27" s="7">
        <v>-71024.789999999994</v>
      </c>
    </row>
    <row r="28" spans="1:9">
      <c r="A28" t="s">
        <v>1026</v>
      </c>
      <c r="B28" s="1">
        <v>42081</v>
      </c>
      <c r="C28" t="s">
        <v>1696</v>
      </c>
      <c r="D28">
        <v>1</v>
      </c>
      <c r="E28" t="s">
        <v>1697</v>
      </c>
      <c r="F28" t="s">
        <v>1530</v>
      </c>
      <c r="G28" s="19" t="s">
        <v>1531</v>
      </c>
      <c r="H28" s="7">
        <f t="shared" si="0"/>
        <v>443904.93749999994</v>
      </c>
      <c r="I28" s="7">
        <v>71024.789999999994</v>
      </c>
    </row>
    <row r="29" spans="1:9">
      <c r="A29" t="s">
        <v>1809</v>
      </c>
      <c r="B29" s="1">
        <v>42093</v>
      </c>
      <c r="C29" t="s">
        <v>1810</v>
      </c>
      <c r="D29">
        <v>1</v>
      </c>
      <c r="E29" t="s">
        <v>1811</v>
      </c>
      <c r="F29" s="45" t="s">
        <v>707</v>
      </c>
      <c r="G29" s="19" t="s">
        <v>708</v>
      </c>
      <c r="H29" s="7">
        <f t="shared" si="0"/>
        <v>494282.25</v>
      </c>
      <c r="I29" s="7">
        <v>79085.16</v>
      </c>
    </row>
    <row r="30" spans="1:9">
      <c r="A30" t="s">
        <v>1682</v>
      </c>
      <c r="B30" s="1">
        <v>42073</v>
      </c>
      <c r="C30" t="s">
        <v>1683</v>
      </c>
      <c r="D30">
        <v>1</v>
      </c>
      <c r="E30" t="s">
        <v>1684</v>
      </c>
      <c r="F30" s="39" t="s">
        <v>958</v>
      </c>
      <c r="G30" s="31" t="s">
        <v>959</v>
      </c>
      <c r="H30" s="7">
        <f t="shared" si="0"/>
        <v>366800.25</v>
      </c>
      <c r="I30" s="7">
        <v>58688.04</v>
      </c>
    </row>
    <row r="31" spans="1:9">
      <c r="A31" t="s">
        <v>1762</v>
      </c>
      <c r="B31" s="1">
        <v>42090</v>
      </c>
      <c r="C31" t="s">
        <v>1763</v>
      </c>
      <c r="D31">
        <v>1</v>
      </c>
      <c r="E31" t="s">
        <v>1764</v>
      </c>
      <c r="F31" s="46" t="s">
        <v>2192</v>
      </c>
      <c r="G31" s="17" t="s">
        <v>2193</v>
      </c>
      <c r="H31" s="7">
        <f t="shared" si="0"/>
        <v>148652.125</v>
      </c>
      <c r="I31" s="7">
        <v>23784.34</v>
      </c>
    </row>
    <row r="32" spans="1:9">
      <c r="A32" t="s">
        <v>1851</v>
      </c>
      <c r="B32" s="1">
        <v>42094</v>
      </c>
      <c r="C32">
        <v>11579</v>
      </c>
      <c r="D32">
        <v>1</v>
      </c>
      <c r="E32" t="s">
        <v>317</v>
      </c>
      <c r="F32" s="20" t="s">
        <v>711</v>
      </c>
      <c r="G32" t="s">
        <v>317</v>
      </c>
      <c r="H32" s="7">
        <f t="shared" si="0"/>
        <v>51.687499999999993</v>
      </c>
      <c r="I32" s="7">
        <v>8.27</v>
      </c>
    </row>
    <row r="33" spans="1:9">
      <c r="A33" t="s">
        <v>1949</v>
      </c>
      <c r="B33" s="1">
        <v>42094</v>
      </c>
      <c r="C33">
        <v>11655</v>
      </c>
      <c r="D33">
        <v>1</v>
      </c>
      <c r="E33" t="s">
        <v>317</v>
      </c>
      <c r="F33" s="33" t="s">
        <v>711</v>
      </c>
      <c r="G33" s="33" t="s">
        <v>317</v>
      </c>
      <c r="H33" s="7">
        <f t="shared" si="0"/>
        <v>86.125</v>
      </c>
      <c r="I33" s="7">
        <v>13.78</v>
      </c>
    </row>
    <row r="34" spans="1:9">
      <c r="A34" t="s">
        <v>1961</v>
      </c>
      <c r="B34" s="1">
        <v>42094</v>
      </c>
      <c r="C34">
        <v>11676</v>
      </c>
      <c r="D34">
        <v>1</v>
      </c>
      <c r="E34" t="s">
        <v>317</v>
      </c>
      <c r="F34" s="33" t="s">
        <v>711</v>
      </c>
      <c r="G34" s="33" t="s">
        <v>317</v>
      </c>
      <c r="H34" s="7">
        <f t="shared" si="0"/>
        <v>137.8125</v>
      </c>
      <c r="I34" s="7">
        <v>22.05</v>
      </c>
    </row>
    <row r="35" spans="1:9">
      <c r="A35" t="s">
        <v>2027</v>
      </c>
      <c r="B35" s="1">
        <v>42094</v>
      </c>
      <c r="C35" t="s">
        <v>2028</v>
      </c>
      <c r="D35">
        <v>1</v>
      </c>
      <c r="E35" t="s">
        <v>2029</v>
      </c>
      <c r="F35" s="33" t="s">
        <v>2201</v>
      </c>
      <c r="G35" s="33" t="s">
        <v>1871</v>
      </c>
      <c r="H35" s="7">
        <f t="shared" si="0"/>
        <v>-67.25</v>
      </c>
      <c r="I35" s="7">
        <v>-10.76</v>
      </c>
    </row>
    <row r="36" spans="1:9">
      <c r="A36" t="s">
        <v>2135</v>
      </c>
      <c r="B36" s="1">
        <v>42089</v>
      </c>
      <c r="C36" t="s">
        <v>587</v>
      </c>
      <c r="D36">
        <v>1</v>
      </c>
      <c r="E36" t="s">
        <v>2136</v>
      </c>
      <c r="F36" s="20" t="s">
        <v>822</v>
      </c>
      <c r="G36" t="s">
        <v>1848</v>
      </c>
      <c r="H36" s="7">
        <f t="shared" si="0"/>
        <v>-227</v>
      </c>
      <c r="I36" s="7">
        <v>-36.32</v>
      </c>
    </row>
    <row r="37" spans="1:9">
      <c r="A37" t="s">
        <v>1923</v>
      </c>
      <c r="B37" s="1">
        <v>42094</v>
      </c>
      <c r="C37">
        <v>11623</v>
      </c>
      <c r="D37">
        <v>1</v>
      </c>
      <c r="E37" t="s">
        <v>1924</v>
      </c>
      <c r="F37" t="s">
        <v>2195</v>
      </c>
      <c r="G37" t="s">
        <v>1924</v>
      </c>
      <c r="H37" s="7">
        <f t="shared" si="0"/>
        <v>540.5</v>
      </c>
      <c r="I37" s="7">
        <v>86.48</v>
      </c>
    </row>
    <row r="38" spans="1:9">
      <c r="A38" t="s">
        <v>1861</v>
      </c>
      <c r="B38" s="1">
        <v>42094</v>
      </c>
      <c r="C38">
        <v>11588</v>
      </c>
      <c r="D38">
        <v>1</v>
      </c>
      <c r="E38" t="s">
        <v>312</v>
      </c>
      <c r="F38" s="20" t="s">
        <v>712</v>
      </c>
      <c r="G38" t="s">
        <v>312</v>
      </c>
      <c r="H38" s="7">
        <f t="shared" si="0"/>
        <v>1163.8125</v>
      </c>
      <c r="I38" s="7">
        <v>186.21</v>
      </c>
    </row>
    <row r="39" spans="1:9">
      <c r="A39" t="s">
        <v>1849</v>
      </c>
      <c r="B39" s="1">
        <v>42094</v>
      </c>
      <c r="C39" t="s">
        <v>1850</v>
      </c>
      <c r="D39">
        <v>1</v>
      </c>
      <c r="E39" t="s">
        <v>312</v>
      </c>
      <c r="F39" t="s">
        <v>712</v>
      </c>
      <c r="G39" t="s">
        <v>312</v>
      </c>
      <c r="H39" s="7">
        <f t="shared" si="0"/>
        <v>129.3125</v>
      </c>
      <c r="I39" s="7">
        <v>20.69</v>
      </c>
    </row>
    <row r="40" spans="1:9">
      <c r="A40" t="s">
        <v>2090</v>
      </c>
      <c r="B40" s="1">
        <v>42081</v>
      </c>
      <c r="C40" t="s">
        <v>2091</v>
      </c>
      <c r="D40">
        <v>1</v>
      </c>
      <c r="E40" t="s">
        <v>2092</v>
      </c>
      <c r="F40" t="s">
        <v>2196</v>
      </c>
      <c r="G40" t="s">
        <v>2092</v>
      </c>
      <c r="H40" s="7">
        <f t="shared" si="0"/>
        <v>8000</v>
      </c>
      <c r="I40" s="7">
        <v>1280</v>
      </c>
    </row>
    <row r="41" spans="1:9">
      <c r="A41" t="s">
        <v>558</v>
      </c>
      <c r="B41" s="1">
        <v>42093</v>
      </c>
      <c r="C41" t="s">
        <v>2161</v>
      </c>
      <c r="D41">
        <v>1</v>
      </c>
      <c r="E41" t="s">
        <v>660</v>
      </c>
      <c r="F41" t="s">
        <v>720</v>
      </c>
      <c r="G41" t="s">
        <v>660</v>
      </c>
      <c r="H41" s="7">
        <f t="shared" si="0"/>
        <v>381.375</v>
      </c>
      <c r="I41" s="7">
        <v>61.02</v>
      </c>
    </row>
    <row r="42" spans="1:9">
      <c r="A42" t="s">
        <v>2123</v>
      </c>
      <c r="B42" s="1">
        <v>42081</v>
      </c>
      <c r="C42" t="s">
        <v>2124</v>
      </c>
      <c r="D42">
        <v>1</v>
      </c>
      <c r="E42" t="s">
        <v>957</v>
      </c>
      <c r="F42" t="s">
        <v>956</v>
      </c>
      <c r="G42" t="s">
        <v>957</v>
      </c>
      <c r="H42" s="7">
        <f t="shared" si="0"/>
        <v>30000</v>
      </c>
      <c r="I42" s="7">
        <v>4800</v>
      </c>
    </row>
    <row r="43" spans="1:9">
      <c r="A43" t="s">
        <v>1929</v>
      </c>
      <c r="B43" s="1">
        <v>42094</v>
      </c>
      <c r="C43">
        <v>11628</v>
      </c>
      <c r="D43">
        <v>1</v>
      </c>
      <c r="E43" t="s">
        <v>306</v>
      </c>
      <c r="F43" t="s">
        <v>722</v>
      </c>
      <c r="G43" t="s">
        <v>723</v>
      </c>
      <c r="H43" s="7">
        <f t="shared" si="0"/>
        <v>367.375</v>
      </c>
      <c r="I43" s="7">
        <v>58.78</v>
      </c>
    </row>
    <row r="44" spans="1:9">
      <c r="A44" t="s">
        <v>1693</v>
      </c>
      <c r="B44" s="1">
        <v>42075</v>
      </c>
      <c r="C44" t="s">
        <v>1121</v>
      </c>
      <c r="D44">
        <v>1</v>
      </c>
      <c r="E44" t="s">
        <v>1122</v>
      </c>
      <c r="F44" s="20" t="s">
        <v>724</v>
      </c>
      <c r="G44" s="17" t="s">
        <v>725</v>
      </c>
      <c r="H44" s="7">
        <f t="shared" si="0"/>
        <v>-217060.9375</v>
      </c>
      <c r="I44" s="7">
        <v>-34729.75</v>
      </c>
    </row>
    <row r="45" spans="1:9">
      <c r="A45" t="s">
        <v>1694</v>
      </c>
      <c r="B45" s="1">
        <v>42075</v>
      </c>
      <c r="C45" t="s">
        <v>1695</v>
      </c>
      <c r="D45">
        <v>1</v>
      </c>
      <c r="E45" t="s">
        <v>1122</v>
      </c>
      <c r="F45" s="20" t="s">
        <v>724</v>
      </c>
      <c r="G45" s="17" t="s">
        <v>725</v>
      </c>
      <c r="H45" s="7">
        <f t="shared" si="0"/>
        <v>217060.87499999997</v>
      </c>
      <c r="I45" s="7">
        <v>34729.74</v>
      </c>
    </row>
    <row r="46" spans="1:9">
      <c r="A46" t="s">
        <v>1690</v>
      </c>
      <c r="B46" s="1">
        <v>42075</v>
      </c>
      <c r="C46" t="s">
        <v>1691</v>
      </c>
      <c r="D46">
        <v>1</v>
      </c>
      <c r="E46" t="s">
        <v>1692</v>
      </c>
      <c r="F46" s="20" t="s">
        <v>724</v>
      </c>
      <c r="G46" s="17" t="s">
        <v>725</v>
      </c>
      <c r="H46" s="7">
        <f t="shared" si="0"/>
        <v>217059.125</v>
      </c>
      <c r="I46" s="7">
        <v>34729.46</v>
      </c>
    </row>
    <row r="47" spans="1:9">
      <c r="A47" t="s">
        <v>1867</v>
      </c>
      <c r="B47" s="1">
        <v>42094</v>
      </c>
      <c r="C47">
        <v>11598</v>
      </c>
      <c r="D47">
        <v>1</v>
      </c>
      <c r="E47" t="s">
        <v>1868</v>
      </c>
      <c r="F47" t="s">
        <v>726</v>
      </c>
      <c r="G47" t="s">
        <v>1868</v>
      </c>
      <c r="H47" s="7">
        <f t="shared" si="0"/>
        <v>75.875</v>
      </c>
      <c r="I47" s="7">
        <v>12.14</v>
      </c>
    </row>
    <row r="48" spans="1:9">
      <c r="A48" t="s">
        <v>215</v>
      </c>
      <c r="B48" s="1">
        <v>42094</v>
      </c>
      <c r="C48">
        <v>11637</v>
      </c>
      <c r="D48">
        <v>1</v>
      </c>
      <c r="E48" t="s">
        <v>293</v>
      </c>
      <c r="F48" s="33" t="s">
        <v>726</v>
      </c>
      <c r="G48" s="33" t="s">
        <v>293</v>
      </c>
      <c r="H48" s="7">
        <f t="shared" si="0"/>
        <v>125</v>
      </c>
      <c r="I48" s="7">
        <v>20</v>
      </c>
    </row>
    <row r="49" spans="1:9">
      <c r="A49" t="s">
        <v>1674</v>
      </c>
      <c r="B49" s="1">
        <v>42070</v>
      </c>
      <c r="C49" t="s">
        <v>1675</v>
      </c>
      <c r="D49">
        <v>1</v>
      </c>
      <c r="E49" t="s">
        <v>1676</v>
      </c>
      <c r="F49" s="11" t="s">
        <v>727</v>
      </c>
      <c r="G49" s="19" t="s">
        <v>728</v>
      </c>
      <c r="H49" s="7">
        <f t="shared" si="0"/>
        <v>264824.5625</v>
      </c>
      <c r="I49" s="7">
        <v>42371.93</v>
      </c>
    </row>
    <row r="50" spans="1:9">
      <c r="A50" t="s">
        <v>2055</v>
      </c>
      <c r="B50" s="1">
        <v>42075</v>
      </c>
      <c r="C50" t="s">
        <v>2056</v>
      </c>
      <c r="D50">
        <v>1</v>
      </c>
      <c r="E50" t="s">
        <v>2057</v>
      </c>
      <c r="F50" s="16" t="s">
        <v>2197</v>
      </c>
      <c r="G50" t="s">
        <v>2057</v>
      </c>
      <c r="H50" s="7">
        <f t="shared" si="0"/>
        <v>1818.1875000000002</v>
      </c>
      <c r="I50" s="7">
        <v>290.91000000000003</v>
      </c>
    </row>
    <row r="51" spans="1:9">
      <c r="A51" t="s">
        <v>1872</v>
      </c>
      <c r="B51" s="1">
        <v>42094</v>
      </c>
      <c r="C51">
        <v>11602</v>
      </c>
      <c r="D51">
        <v>1</v>
      </c>
      <c r="E51" t="s">
        <v>1873</v>
      </c>
      <c r="F51" t="s">
        <v>2198</v>
      </c>
      <c r="G51" t="s">
        <v>1873</v>
      </c>
      <c r="H51" s="7">
        <f t="shared" si="0"/>
        <v>287.9375</v>
      </c>
      <c r="I51" s="7">
        <v>46.07</v>
      </c>
    </row>
    <row r="52" spans="1:9">
      <c r="A52" t="s">
        <v>563</v>
      </c>
      <c r="B52" s="1">
        <v>42094</v>
      </c>
      <c r="C52" t="s">
        <v>615</v>
      </c>
      <c r="D52">
        <v>1</v>
      </c>
      <c r="E52" t="s">
        <v>2177</v>
      </c>
      <c r="F52" s="23" t="s">
        <v>733</v>
      </c>
      <c r="G52" s="24" t="s">
        <v>734</v>
      </c>
      <c r="H52" s="7">
        <f t="shared" si="0"/>
        <v>949.4375</v>
      </c>
      <c r="I52" s="7">
        <v>151.91</v>
      </c>
    </row>
    <row r="53" spans="1:9">
      <c r="A53" t="s">
        <v>566</v>
      </c>
      <c r="B53" s="1">
        <v>42094</v>
      </c>
      <c r="C53" t="s">
        <v>606</v>
      </c>
      <c r="D53">
        <v>1</v>
      </c>
      <c r="E53" t="s">
        <v>2179</v>
      </c>
      <c r="F53" s="16" t="s">
        <v>735</v>
      </c>
      <c r="G53" s="25" t="s">
        <v>736</v>
      </c>
      <c r="H53" s="7">
        <f t="shared" si="0"/>
        <v>180</v>
      </c>
      <c r="I53" s="7">
        <v>28.8</v>
      </c>
    </row>
    <row r="54" spans="1:9">
      <c r="A54" t="s">
        <v>2180</v>
      </c>
      <c r="B54" s="1">
        <v>42094</v>
      </c>
      <c r="C54" t="s">
        <v>609</v>
      </c>
      <c r="D54">
        <v>1</v>
      </c>
      <c r="E54" t="s">
        <v>2181</v>
      </c>
      <c r="F54" s="20" t="s">
        <v>741</v>
      </c>
      <c r="G54" s="26" t="s">
        <v>742</v>
      </c>
      <c r="H54" s="7">
        <f t="shared" si="0"/>
        <v>200.99999999999997</v>
      </c>
      <c r="I54" s="7">
        <v>32.159999999999997</v>
      </c>
    </row>
    <row r="55" spans="1:9">
      <c r="A55" t="s">
        <v>565</v>
      </c>
      <c r="B55" s="1">
        <v>42094</v>
      </c>
      <c r="C55" t="s">
        <v>603</v>
      </c>
      <c r="D55">
        <v>1</v>
      </c>
      <c r="E55" t="s">
        <v>2178</v>
      </c>
      <c r="F55" s="20" t="s">
        <v>739</v>
      </c>
      <c r="G55" s="26" t="s">
        <v>740</v>
      </c>
      <c r="H55" s="7">
        <f t="shared" si="0"/>
        <v>6914.6874999999991</v>
      </c>
      <c r="I55" s="7">
        <v>1106.3499999999999</v>
      </c>
    </row>
    <row r="56" spans="1:9">
      <c r="A56" t="s">
        <v>1495</v>
      </c>
      <c r="B56" s="1">
        <v>42094</v>
      </c>
      <c r="C56" t="s">
        <v>612</v>
      </c>
      <c r="D56">
        <v>1</v>
      </c>
      <c r="E56" t="s">
        <v>2182</v>
      </c>
      <c r="F56" s="20" t="s">
        <v>743</v>
      </c>
      <c r="G56" s="26" t="s">
        <v>744</v>
      </c>
      <c r="H56" s="7">
        <f t="shared" si="0"/>
        <v>78</v>
      </c>
      <c r="I56" s="7">
        <v>12.48</v>
      </c>
    </row>
    <row r="57" spans="1:9">
      <c r="A57" t="s">
        <v>2076</v>
      </c>
      <c r="B57" s="1">
        <v>42069</v>
      </c>
      <c r="C57" t="s">
        <v>2077</v>
      </c>
      <c r="D57">
        <v>1</v>
      </c>
      <c r="E57" t="s">
        <v>2078</v>
      </c>
      <c r="F57" t="s">
        <v>2199</v>
      </c>
      <c r="G57" t="s">
        <v>2078</v>
      </c>
      <c r="H57" s="7">
        <f t="shared" si="0"/>
        <v>11758</v>
      </c>
      <c r="I57" s="7">
        <v>1881.28</v>
      </c>
    </row>
    <row r="58" spans="1:9">
      <c r="A58" t="s">
        <v>1941</v>
      </c>
      <c r="B58" s="1">
        <v>42094</v>
      </c>
      <c r="C58">
        <v>11642</v>
      </c>
      <c r="D58">
        <v>1</v>
      </c>
      <c r="E58" t="s">
        <v>1173</v>
      </c>
      <c r="F58" s="33" t="s">
        <v>755</v>
      </c>
      <c r="G58" s="33" t="s">
        <v>1173</v>
      </c>
      <c r="H58" s="7">
        <f t="shared" si="0"/>
        <v>1079.25</v>
      </c>
      <c r="I58" s="7">
        <v>172.68</v>
      </c>
    </row>
    <row r="59" spans="1:9">
      <c r="A59" t="s">
        <v>429</v>
      </c>
      <c r="B59" s="1">
        <v>42065</v>
      </c>
      <c r="C59" t="s">
        <v>2035</v>
      </c>
      <c r="D59">
        <v>1</v>
      </c>
      <c r="E59" t="s">
        <v>428</v>
      </c>
      <c r="F59" s="29" t="s">
        <v>790</v>
      </c>
      <c r="G59" t="s">
        <v>428</v>
      </c>
      <c r="H59" s="7">
        <f t="shared" si="0"/>
        <v>324.3125</v>
      </c>
      <c r="I59" s="7">
        <v>51.89</v>
      </c>
    </row>
    <row r="60" spans="1:9">
      <c r="A60" t="s">
        <v>2036</v>
      </c>
      <c r="B60" s="1">
        <v>42066</v>
      </c>
      <c r="C60" t="s">
        <v>2037</v>
      </c>
      <c r="D60">
        <v>1</v>
      </c>
      <c r="E60" t="s">
        <v>428</v>
      </c>
      <c r="F60" s="29" t="s">
        <v>790</v>
      </c>
      <c r="G60" t="s">
        <v>428</v>
      </c>
      <c r="H60" s="7">
        <f t="shared" si="0"/>
        <v>1812.6249999999998</v>
      </c>
      <c r="I60" s="7">
        <v>290.02</v>
      </c>
    </row>
    <row r="61" spans="1:9">
      <c r="A61" t="s">
        <v>2044</v>
      </c>
      <c r="B61" s="1">
        <v>42069</v>
      </c>
      <c r="C61" t="s">
        <v>2045</v>
      </c>
      <c r="D61">
        <v>1</v>
      </c>
      <c r="E61" t="s">
        <v>428</v>
      </c>
      <c r="F61" s="29" t="s">
        <v>790</v>
      </c>
      <c r="G61" t="s">
        <v>428</v>
      </c>
      <c r="H61" s="7">
        <f t="shared" si="0"/>
        <v>91805.6875</v>
      </c>
      <c r="I61" s="7">
        <v>14688.91</v>
      </c>
    </row>
    <row r="62" spans="1:9">
      <c r="A62" t="s">
        <v>2048</v>
      </c>
      <c r="B62" s="1">
        <v>42074</v>
      </c>
      <c r="C62" t="s">
        <v>2049</v>
      </c>
      <c r="D62">
        <v>1</v>
      </c>
      <c r="E62" t="s">
        <v>428</v>
      </c>
      <c r="F62" s="29" t="s">
        <v>790</v>
      </c>
      <c r="G62" t="s">
        <v>428</v>
      </c>
      <c r="H62" s="7">
        <f t="shared" si="0"/>
        <v>2244</v>
      </c>
      <c r="I62" s="7">
        <v>359.04</v>
      </c>
    </row>
    <row r="63" spans="1:9">
      <c r="A63" t="s">
        <v>2061</v>
      </c>
      <c r="B63" s="1">
        <v>42076</v>
      </c>
      <c r="C63" t="s">
        <v>2062</v>
      </c>
      <c r="D63">
        <v>1</v>
      </c>
      <c r="E63" t="s">
        <v>428</v>
      </c>
      <c r="F63" s="29" t="s">
        <v>790</v>
      </c>
      <c r="G63" t="s">
        <v>428</v>
      </c>
      <c r="H63" s="7">
        <f t="shared" si="0"/>
        <v>2200</v>
      </c>
      <c r="I63" s="7">
        <v>352</v>
      </c>
    </row>
    <row r="64" spans="1:9">
      <c r="A64" t="s">
        <v>2063</v>
      </c>
      <c r="B64" s="1">
        <v>42076</v>
      </c>
      <c r="C64" t="s">
        <v>2064</v>
      </c>
      <c r="D64">
        <v>1</v>
      </c>
      <c r="E64" t="s">
        <v>428</v>
      </c>
      <c r="F64" s="29" t="s">
        <v>790</v>
      </c>
      <c r="G64" t="s">
        <v>428</v>
      </c>
      <c r="H64" s="7">
        <f t="shared" si="0"/>
        <v>68609.25</v>
      </c>
      <c r="I64" s="7">
        <v>10977.48</v>
      </c>
    </row>
    <row r="65" spans="1:9">
      <c r="A65" t="s">
        <v>444</v>
      </c>
      <c r="B65" s="1">
        <v>42076</v>
      </c>
      <c r="C65" t="s">
        <v>2065</v>
      </c>
      <c r="D65">
        <v>1</v>
      </c>
      <c r="E65" t="s">
        <v>428</v>
      </c>
      <c r="F65" s="29" t="s">
        <v>790</v>
      </c>
      <c r="G65" t="s">
        <v>428</v>
      </c>
      <c r="H65" s="7">
        <f t="shared" si="0"/>
        <v>366840.9375</v>
      </c>
      <c r="I65" s="7">
        <v>58694.55</v>
      </c>
    </row>
    <row r="66" spans="1:9">
      <c r="A66" t="s">
        <v>447</v>
      </c>
      <c r="B66" s="1">
        <v>42076</v>
      </c>
      <c r="C66" t="s">
        <v>2066</v>
      </c>
      <c r="D66">
        <v>1</v>
      </c>
      <c r="E66" t="s">
        <v>428</v>
      </c>
      <c r="F66" s="29" t="s">
        <v>790</v>
      </c>
      <c r="G66" t="s">
        <v>428</v>
      </c>
      <c r="H66" s="7">
        <f t="shared" si="0"/>
        <v>5363.4375</v>
      </c>
      <c r="I66" s="7">
        <v>858.15</v>
      </c>
    </row>
    <row r="67" spans="1:9">
      <c r="A67" t="s">
        <v>468</v>
      </c>
      <c r="B67" s="1">
        <v>42081</v>
      </c>
      <c r="C67" t="s">
        <v>2070</v>
      </c>
      <c r="D67">
        <v>1</v>
      </c>
      <c r="E67" t="s">
        <v>428</v>
      </c>
      <c r="F67" s="29" t="s">
        <v>790</v>
      </c>
      <c r="G67" t="s">
        <v>428</v>
      </c>
      <c r="H67" s="7">
        <f t="shared" si="0"/>
        <v>34155</v>
      </c>
      <c r="I67" s="7">
        <v>5464.8</v>
      </c>
    </row>
    <row r="68" spans="1:9">
      <c r="A68" t="s">
        <v>2071</v>
      </c>
      <c r="B68" s="1">
        <v>42081</v>
      </c>
      <c r="C68" t="s">
        <v>2072</v>
      </c>
      <c r="D68">
        <v>1</v>
      </c>
      <c r="E68" t="s">
        <v>428</v>
      </c>
      <c r="F68" s="29" t="s">
        <v>790</v>
      </c>
      <c r="G68" t="s">
        <v>428</v>
      </c>
      <c r="H68" s="7">
        <f t="shared" si="0"/>
        <v>31738.625</v>
      </c>
      <c r="I68" s="7">
        <v>5078.18</v>
      </c>
    </row>
    <row r="69" spans="1:9">
      <c r="A69" t="s">
        <v>475</v>
      </c>
      <c r="B69" s="1">
        <v>42083</v>
      </c>
      <c r="C69" t="s">
        <v>2075</v>
      </c>
      <c r="D69">
        <v>1</v>
      </c>
      <c r="E69" t="s">
        <v>428</v>
      </c>
      <c r="F69" s="29" t="s">
        <v>790</v>
      </c>
      <c r="G69" t="s">
        <v>428</v>
      </c>
      <c r="H69" s="7">
        <f t="shared" si="0"/>
        <v>51404.6875</v>
      </c>
      <c r="I69" s="7">
        <v>8224.75</v>
      </c>
    </row>
    <row r="70" spans="1:9">
      <c r="A70" t="s">
        <v>2142</v>
      </c>
      <c r="B70" s="1">
        <v>42090</v>
      </c>
      <c r="C70" t="s">
        <v>2143</v>
      </c>
      <c r="D70">
        <v>1</v>
      </c>
      <c r="E70" t="s">
        <v>428</v>
      </c>
      <c r="F70" s="29" t="s">
        <v>790</v>
      </c>
      <c r="G70" t="s">
        <v>428</v>
      </c>
      <c r="H70" s="7">
        <f t="shared" si="0"/>
        <v>89284.75</v>
      </c>
      <c r="I70" s="7">
        <v>14285.56</v>
      </c>
    </row>
    <row r="71" spans="1:9">
      <c r="A71" t="s">
        <v>1446</v>
      </c>
      <c r="B71" s="1">
        <v>42093</v>
      </c>
      <c r="C71" t="s">
        <v>2154</v>
      </c>
      <c r="D71">
        <v>1</v>
      </c>
      <c r="E71" t="s">
        <v>428</v>
      </c>
      <c r="F71" s="29" t="s">
        <v>790</v>
      </c>
      <c r="G71" t="s">
        <v>428</v>
      </c>
      <c r="H71" s="7">
        <f t="shared" ref="H71:H132" si="1">+I71/0.16</f>
        <v>176453.875</v>
      </c>
      <c r="I71" s="7">
        <v>28232.62</v>
      </c>
    </row>
    <row r="72" spans="1:9">
      <c r="A72" t="s">
        <v>552</v>
      </c>
      <c r="B72" s="1">
        <v>42094</v>
      </c>
      <c r="C72" t="s">
        <v>2158</v>
      </c>
      <c r="D72">
        <v>1</v>
      </c>
      <c r="E72" t="s">
        <v>428</v>
      </c>
      <c r="F72" s="29" t="s">
        <v>790</v>
      </c>
      <c r="G72" t="s">
        <v>428</v>
      </c>
      <c r="H72" s="7">
        <f t="shared" si="1"/>
        <v>161783.25</v>
      </c>
      <c r="I72" s="7">
        <v>25885.32</v>
      </c>
    </row>
    <row r="73" spans="1:9">
      <c r="A73" t="s">
        <v>2079</v>
      </c>
      <c r="B73" s="1">
        <v>42069</v>
      </c>
      <c r="C73" t="s">
        <v>2080</v>
      </c>
      <c r="D73">
        <v>1</v>
      </c>
      <c r="E73" t="s">
        <v>428</v>
      </c>
      <c r="F73" s="29" t="s">
        <v>790</v>
      </c>
      <c r="G73" t="s">
        <v>428</v>
      </c>
      <c r="H73" s="7">
        <f t="shared" si="1"/>
        <v>11428.5</v>
      </c>
      <c r="I73" s="7">
        <v>1828.56</v>
      </c>
    </row>
    <row r="74" spans="1:9">
      <c r="A74" t="s">
        <v>2093</v>
      </c>
      <c r="B74" s="1">
        <v>42081</v>
      </c>
      <c r="C74" t="s">
        <v>2094</v>
      </c>
      <c r="D74">
        <v>1</v>
      </c>
      <c r="E74" t="s">
        <v>428</v>
      </c>
      <c r="F74" s="29" t="s">
        <v>790</v>
      </c>
      <c r="G74" t="s">
        <v>428</v>
      </c>
      <c r="H74" s="7">
        <f t="shared" si="1"/>
        <v>5714.25</v>
      </c>
      <c r="I74" s="7">
        <v>914.28</v>
      </c>
    </row>
    <row r="75" spans="1:9">
      <c r="A75" t="s">
        <v>1477</v>
      </c>
      <c r="B75" s="1">
        <v>42094</v>
      </c>
      <c r="C75" t="s">
        <v>2172</v>
      </c>
      <c r="D75">
        <v>1</v>
      </c>
      <c r="E75" t="s">
        <v>428</v>
      </c>
      <c r="F75" s="29" t="s">
        <v>790</v>
      </c>
      <c r="G75" t="s">
        <v>428</v>
      </c>
      <c r="H75" s="7">
        <f t="shared" si="1"/>
        <v>11428.5</v>
      </c>
      <c r="I75" s="7">
        <v>1828.56</v>
      </c>
    </row>
    <row r="76" spans="1:9">
      <c r="A76" t="s">
        <v>1853</v>
      </c>
      <c r="B76" s="1">
        <v>42094</v>
      </c>
      <c r="C76">
        <v>11581</v>
      </c>
      <c r="D76">
        <v>1</v>
      </c>
      <c r="E76" t="s">
        <v>1854</v>
      </c>
      <c r="F76" s="20" t="s">
        <v>2200</v>
      </c>
      <c r="G76" t="s">
        <v>1854</v>
      </c>
      <c r="H76" s="7">
        <f t="shared" si="1"/>
        <v>273.25</v>
      </c>
      <c r="I76" s="7">
        <v>43.72</v>
      </c>
    </row>
    <row r="77" spans="1:9">
      <c r="A77" t="s">
        <v>1932</v>
      </c>
      <c r="B77" s="1">
        <v>42094</v>
      </c>
      <c r="C77">
        <v>11631</v>
      </c>
      <c r="D77">
        <v>1</v>
      </c>
      <c r="E77" t="s">
        <v>270</v>
      </c>
      <c r="F77" t="s">
        <v>759</v>
      </c>
      <c r="G77" t="s">
        <v>270</v>
      </c>
      <c r="H77" s="7">
        <f t="shared" si="1"/>
        <v>103.49999999999999</v>
      </c>
      <c r="I77" s="7">
        <v>16.559999999999999</v>
      </c>
    </row>
    <row r="78" spans="1:9">
      <c r="A78" t="s">
        <v>1662</v>
      </c>
      <c r="B78" s="1">
        <v>42069</v>
      </c>
      <c r="C78" t="s">
        <v>1059</v>
      </c>
      <c r="D78">
        <v>1</v>
      </c>
      <c r="E78" t="s">
        <v>1093</v>
      </c>
      <c r="F78" s="34" t="s">
        <v>1554</v>
      </c>
      <c r="G78" s="34" t="s">
        <v>1555</v>
      </c>
      <c r="H78" s="7">
        <f t="shared" si="1"/>
        <v>-156583.1875</v>
      </c>
      <c r="I78" s="7">
        <v>-25053.31</v>
      </c>
    </row>
    <row r="79" spans="1:9">
      <c r="A79" t="s">
        <v>1650</v>
      </c>
      <c r="B79" s="1">
        <v>42065</v>
      </c>
      <c r="C79" t="s">
        <v>1651</v>
      </c>
      <c r="D79">
        <v>1</v>
      </c>
      <c r="E79" t="s">
        <v>1652</v>
      </c>
      <c r="F79" s="34" t="s">
        <v>1554</v>
      </c>
      <c r="G79" s="34" t="s">
        <v>1555</v>
      </c>
      <c r="H79" s="7">
        <f t="shared" si="1"/>
        <v>301014.625</v>
      </c>
      <c r="I79" s="7">
        <v>48162.34</v>
      </c>
    </row>
    <row r="80" spans="1:9">
      <c r="A80" t="s">
        <v>1424</v>
      </c>
      <c r="B80" s="1">
        <v>42091</v>
      </c>
      <c r="C80" t="s">
        <v>2150</v>
      </c>
      <c r="D80">
        <v>1</v>
      </c>
      <c r="E80" t="s">
        <v>638</v>
      </c>
      <c r="F80" t="s">
        <v>795</v>
      </c>
      <c r="G80" t="s">
        <v>638</v>
      </c>
      <c r="H80" s="7">
        <f t="shared" si="1"/>
        <v>113568.93749999999</v>
      </c>
      <c r="I80" s="7">
        <v>18171.03</v>
      </c>
    </row>
    <row r="81" spans="1:9">
      <c r="A81" t="s">
        <v>2163</v>
      </c>
      <c r="B81" s="1">
        <v>42093</v>
      </c>
      <c r="C81" t="s">
        <v>2164</v>
      </c>
      <c r="D81">
        <v>1</v>
      </c>
      <c r="E81" t="s">
        <v>638</v>
      </c>
      <c r="F81" t="s">
        <v>795</v>
      </c>
      <c r="G81" t="s">
        <v>638</v>
      </c>
      <c r="H81" s="7">
        <f t="shared" si="1"/>
        <v>62569.000000000007</v>
      </c>
      <c r="I81" s="7">
        <v>10011.040000000001</v>
      </c>
    </row>
    <row r="82" spans="1:9">
      <c r="A82" t="s">
        <v>1717</v>
      </c>
      <c r="B82" s="1">
        <v>42084</v>
      </c>
      <c r="C82" t="s">
        <v>1718</v>
      </c>
      <c r="D82">
        <v>1</v>
      </c>
      <c r="E82" t="s">
        <v>1719</v>
      </c>
      <c r="F82" s="31" t="s">
        <v>797</v>
      </c>
      <c r="G82" s="31" t="s">
        <v>798</v>
      </c>
      <c r="H82" s="7">
        <f t="shared" si="1"/>
        <v>207462.8125</v>
      </c>
      <c r="I82" s="7">
        <v>33194.050000000003</v>
      </c>
    </row>
    <row r="83" spans="1:9">
      <c r="A83" t="s">
        <v>1870</v>
      </c>
      <c r="B83" s="1">
        <v>42094</v>
      </c>
      <c r="C83">
        <v>11601</v>
      </c>
      <c r="D83">
        <v>1</v>
      </c>
      <c r="E83" t="s">
        <v>1871</v>
      </c>
      <c r="F83" t="s">
        <v>2201</v>
      </c>
      <c r="G83" t="s">
        <v>1871</v>
      </c>
      <c r="H83" s="7">
        <f t="shared" si="1"/>
        <v>67.25</v>
      </c>
      <c r="I83" s="7">
        <v>10.76</v>
      </c>
    </row>
    <row r="84" spans="1:9">
      <c r="A84" t="s">
        <v>1969</v>
      </c>
      <c r="B84" s="1">
        <v>42094</v>
      </c>
      <c r="C84">
        <v>11685</v>
      </c>
      <c r="D84">
        <v>1</v>
      </c>
      <c r="E84" t="s">
        <v>1871</v>
      </c>
      <c r="F84" s="33" t="s">
        <v>2201</v>
      </c>
      <c r="G84" s="33" t="s">
        <v>1871</v>
      </c>
      <c r="H84" s="7">
        <f t="shared" si="1"/>
        <v>67.25</v>
      </c>
      <c r="I84" s="7">
        <v>10.76</v>
      </c>
    </row>
    <row r="85" spans="1:9">
      <c r="A85" t="s">
        <v>1966</v>
      </c>
      <c r="B85" s="1">
        <v>42094</v>
      </c>
      <c r="C85">
        <v>11683</v>
      </c>
      <c r="D85">
        <v>1</v>
      </c>
      <c r="E85" t="s">
        <v>1967</v>
      </c>
      <c r="F85" s="33" t="s">
        <v>2202</v>
      </c>
      <c r="G85" s="33" t="s">
        <v>1967</v>
      </c>
      <c r="H85" s="7">
        <f t="shared" si="1"/>
        <v>130.1875</v>
      </c>
      <c r="I85" s="7">
        <v>20.83</v>
      </c>
    </row>
    <row r="86" spans="1:9">
      <c r="A86" t="s">
        <v>1963</v>
      </c>
      <c r="B86" s="1">
        <v>42094</v>
      </c>
      <c r="C86">
        <v>11679</v>
      </c>
      <c r="D86">
        <v>1</v>
      </c>
      <c r="E86" t="s">
        <v>1188</v>
      </c>
      <c r="F86" s="33" t="s">
        <v>1561</v>
      </c>
      <c r="G86" s="33" t="s">
        <v>1188</v>
      </c>
      <c r="H86" s="7">
        <f t="shared" si="1"/>
        <v>387.9375</v>
      </c>
      <c r="I86" s="7">
        <v>62.07</v>
      </c>
    </row>
    <row r="87" spans="1:9">
      <c r="A87" t="s">
        <v>1964</v>
      </c>
      <c r="B87" s="1">
        <v>42094</v>
      </c>
      <c r="C87">
        <v>11680</v>
      </c>
      <c r="D87">
        <v>1</v>
      </c>
      <c r="E87" t="s">
        <v>1188</v>
      </c>
      <c r="F87" s="33" t="s">
        <v>1561</v>
      </c>
      <c r="G87" s="33" t="s">
        <v>1188</v>
      </c>
      <c r="H87" s="7">
        <f t="shared" si="1"/>
        <v>124.1875</v>
      </c>
      <c r="I87" s="7">
        <v>19.87</v>
      </c>
    </row>
    <row r="88" spans="1:9">
      <c r="A88" t="s">
        <v>1858</v>
      </c>
      <c r="B88" s="1">
        <v>42094</v>
      </c>
      <c r="C88">
        <v>11585</v>
      </c>
      <c r="D88">
        <v>1</v>
      </c>
      <c r="E88" t="s">
        <v>1859</v>
      </c>
      <c r="F88" t="s">
        <v>2203</v>
      </c>
      <c r="G88" t="s">
        <v>1859</v>
      </c>
      <c r="H88" s="7">
        <f t="shared" si="1"/>
        <v>644.5</v>
      </c>
      <c r="I88" s="7">
        <v>103.12</v>
      </c>
    </row>
    <row r="89" spans="1:9">
      <c r="A89" t="s">
        <v>1869</v>
      </c>
      <c r="B89" s="1">
        <v>42094</v>
      </c>
      <c r="C89">
        <v>11600</v>
      </c>
      <c r="D89">
        <v>1</v>
      </c>
      <c r="E89" t="s">
        <v>1859</v>
      </c>
      <c r="F89" t="s">
        <v>2203</v>
      </c>
      <c r="G89" t="s">
        <v>1859</v>
      </c>
      <c r="H89" s="7">
        <f t="shared" si="1"/>
        <v>825.50000000000011</v>
      </c>
      <c r="I89" s="7">
        <v>132.08000000000001</v>
      </c>
    </row>
    <row r="90" spans="1:9">
      <c r="A90" t="s">
        <v>1883</v>
      </c>
      <c r="B90" s="1">
        <v>42094</v>
      </c>
      <c r="C90">
        <v>11607</v>
      </c>
      <c r="D90">
        <v>1</v>
      </c>
      <c r="E90" t="s">
        <v>275</v>
      </c>
      <c r="F90" t="s">
        <v>802</v>
      </c>
      <c r="G90" t="s">
        <v>275</v>
      </c>
      <c r="H90" s="7">
        <f t="shared" si="1"/>
        <v>310.375</v>
      </c>
      <c r="I90" s="7">
        <v>49.66</v>
      </c>
    </row>
    <row r="91" spans="1:9">
      <c r="A91" t="s">
        <v>463</v>
      </c>
      <c r="B91" s="1">
        <v>42081</v>
      </c>
      <c r="C91" t="s">
        <v>2067</v>
      </c>
      <c r="D91">
        <v>1</v>
      </c>
      <c r="E91" t="s">
        <v>625</v>
      </c>
      <c r="F91" s="16" t="s">
        <v>803</v>
      </c>
      <c r="G91" t="s">
        <v>625</v>
      </c>
      <c r="H91" s="7">
        <f t="shared" si="1"/>
        <v>6052.9375</v>
      </c>
      <c r="I91" s="7">
        <v>968.47</v>
      </c>
    </row>
    <row r="92" spans="1:9">
      <c r="A92" t="s">
        <v>213</v>
      </c>
      <c r="B92" s="1">
        <v>42094</v>
      </c>
      <c r="C92">
        <v>11610</v>
      </c>
      <c r="D92">
        <v>1</v>
      </c>
      <c r="E92" t="s">
        <v>1885</v>
      </c>
      <c r="F92" t="s">
        <v>2204</v>
      </c>
      <c r="G92" t="s">
        <v>1885</v>
      </c>
      <c r="H92" s="7">
        <f t="shared" si="1"/>
        <v>539.875</v>
      </c>
      <c r="I92" s="7">
        <v>86.38</v>
      </c>
    </row>
    <row r="93" spans="1:9">
      <c r="A93" t="s">
        <v>1962</v>
      </c>
      <c r="B93" s="1">
        <v>42094</v>
      </c>
      <c r="C93">
        <v>11677</v>
      </c>
      <c r="D93">
        <v>1</v>
      </c>
      <c r="E93" t="s">
        <v>285</v>
      </c>
      <c r="F93" s="33" t="s">
        <v>804</v>
      </c>
      <c r="G93" s="33" t="s">
        <v>285</v>
      </c>
      <c r="H93" s="7">
        <f t="shared" si="1"/>
        <v>109</v>
      </c>
      <c r="I93" s="7">
        <v>17.440000000000001</v>
      </c>
    </row>
    <row r="94" spans="1:9">
      <c r="A94" t="s">
        <v>1975</v>
      </c>
      <c r="B94" s="1">
        <v>42094</v>
      </c>
      <c r="C94">
        <v>11689</v>
      </c>
      <c r="D94">
        <v>1</v>
      </c>
      <c r="E94" t="s">
        <v>1976</v>
      </c>
      <c r="F94" s="33" t="s">
        <v>1568</v>
      </c>
      <c r="G94" s="33" t="s">
        <v>1974</v>
      </c>
      <c r="H94" s="7">
        <f t="shared" si="1"/>
        <v>67.6875</v>
      </c>
      <c r="I94" s="7">
        <v>10.83</v>
      </c>
    </row>
    <row r="95" spans="1:9">
      <c r="A95" t="s">
        <v>1973</v>
      </c>
      <c r="B95" s="1">
        <v>42094</v>
      </c>
      <c r="C95">
        <v>11688</v>
      </c>
      <c r="D95">
        <v>1</v>
      </c>
      <c r="E95" t="s">
        <v>1974</v>
      </c>
      <c r="F95" s="33" t="s">
        <v>1568</v>
      </c>
      <c r="G95" s="33" t="s">
        <v>1974</v>
      </c>
      <c r="H95" s="7">
        <f t="shared" si="1"/>
        <v>69.8125</v>
      </c>
      <c r="I95" s="7">
        <v>11.17</v>
      </c>
    </row>
    <row r="96" spans="1:9">
      <c r="A96" t="s">
        <v>2053</v>
      </c>
      <c r="B96" s="1">
        <v>42075</v>
      </c>
      <c r="C96" t="s">
        <v>2054</v>
      </c>
      <c r="D96">
        <v>1</v>
      </c>
      <c r="E96" t="s">
        <v>503</v>
      </c>
      <c r="F96" s="16" t="s">
        <v>806</v>
      </c>
      <c r="G96" t="s">
        <v>503</v>
      </c>
      <c r="H96" s="7">
        <f t="shared" si="1"/>
        <v>34330.125</v>
      </c>
      <c r="I96" s="7">
        <v>5492.82</v>
      </c>
    </row>
    <row r="97" spans="1:9">
      <c r="A97" t="s">
        <v>539</v>
      </c>
      <c r="B97" s="1">
        <v>42093</v>
      </c>
      <c r="C97" t="s">
        <v>2151</v>
      </c>
      <c r="D97">
        <v>1</v>
      </c>
      <c r="E97" t="s">
        <v>2152</v>
      </c>
      <c r="F97" t="s">
        <v>809</v>
      </c>
      <c r="G97" t="s">
        <v>2152</v>
      </c>
      <c r="H97" s="7">
        <f t="shared" si="1"/>
        <v>1651.7499999999998</v>
      </c>
      <c r="I97" s="7">
        <v>264.27999999999997</v>
      </c>
    </row>
    <row r="98" spans="1:9">
      <c r="A98" t="s">
        <v>1927</v>
      </c>
      <c r="B98" s="1">
        <v>42094</v>
      </c>
      <c r="C98">
        <v>11625</v>
      </c>
      <c r="D98">
        <v>1</v>
      </c>
      <c r="E98" t="s">
        <v>1928</v>
      </c>
      <c r="F98" t="s">
        <v>2205</v>
      </c>
      <c r="G98" t="s">
        <v>2206</v>
      </c>
      <c r="H98" s="7">
        <f t="shared" si="1"/>
        <v>365</v>
      </c>
      <c r="I98" s="7">
        <v>58.4</v>
      </c>
    </row>
    <row r="99" spans="1:9">
      <c r="A99" t="s">
        <v>203</v>
      </c>
      <c r="B99" s="1">
        <v>42094</v>
      </c>
      <c r="C99">
        <v>11583</v>
      </c>
      <c r="D99">
        <v>1</v>
      </c>
      <c r="E99" t="s">
        <v>1856</v>
      </c>
      <c r="F99" t="s">
        <v>2207</v>
      </c>
      <c r="G99" t="s">
        <v>1856</v>
      </c>
      <c r="H99" s="7">
        <f t="shared" si="1"/>
        <v>137.9375</v>
      </c>
      <c r="I99" s="7">
        <v>22.07</v>
      </c>
    </row>
    <row r="100" spans="1:9">
      <c r="A100" t="s">
        <v>2106</v>
      </c>
      <c r="B100" s="1">
        <v>42081</v>
      </c>
      <c r="C100" t="s">
        <v>2107</v>
      </c>
      <c r="D100">
        <v>1</v>
      </c>
      <c r="E100" t="s">
        <v>1476</v>
      </c>
      <c r="F100" t="s">
        <v>1570</v>
      </c>
      <c r="G100" t="s">
        <v>1476</v>
      </c>
      <c r="H100" s="7">
        <f t="shared" si="1"/>
        <v>2496</v>
      </c>
      <c r="I100" s="7">
        <v>399.36</v>
      </c>
    </row>
    <row r="101" spans="1:9">
      <c r="A101" t="s">
        <v>560</v>
      </c>
      <c r="B101" s="1">
        <v>42093</v>
      </c>
      <c r="C101" t="s">
        <v>2168</v>
      </c>
      <c r="D101">
        <v>1</v>
      </c>
      <c r="E101" t="s">
        <v>1476</v>
      </c>
      <c r="F101" t="s">
        <v>1570</v>
      </c>
      <c r="G101" t="s">
        <v>1476</v>
      </c>
      <c r="H101" s="7">
        <f t="shared" si="1"/>
        <v>2516</v>
      </c>
      <c r="I101" s="7">
        <v>402.56</v>
      </c>
    </row>
    <row r="102" spans="1:9">
      <c r="A102" t="s">
        <v>2120</v>
      </c>
      <c r="B102" s="1">
        <v>42081</v>
      </c>
      <c r="C102" t="s">
        <v>2121</v>
      </c>
      <c r="D102">
        <v>2</v>
      </c>
      <c r="E102" t="s">
        <v>2122</v>
      </c>
      <c r="F102" t="s">
        <v>2208</v>
      </c>
      <c r="G102" t="s">
        <v>2122</v>
      </c>
      <c r="H102" s="7">
        <f t="shared" si="1"/>
        <v>8990</v>
      </c>
      <c r="I102" s="7">
        <v>1438.4</v>
      </c>
    </row>
    <row r="103" spans="1:9">
      <c r="A103" t="s">
        <v>1470</v>
      </c>
      <c r="B103" s="1">
        <v>42093</v>
      </c>
      <c r="C103" t="s">
        <v>2167</v>
      </c>
      <c r="D103">
        <v>1</v>
      </c>
      <c r="E103" t="s">
        <v>446</v>
      </c>
      <c r="F103" t="s">
        <v>815</v>
      </c>
      <c r="G103" t="s">
        <v>446</v>
      </c>
      <c r="H103" s="7">
        <f t="shared" si="1"/>
        <v>2983.5625</v>
      </c>
      <c r="I103" s="7">
        <v>477.37</v>
      </c>
    </row>
    <row r="104" spans="1:9">
      <c r="A104" t="s">
        <v>1865</v>
      </c>
      <c r="B104" s="1">
        <v>42094</v>
      </c>
      <c r="C104">
        <v>11596</v>
      </c>
      <c r="D104">
        <v>1</v>
      </c>
      <c r="E104" t="s">
        <v>1159</v>
      </c>
      <c r="F104" t="s">
        <v>1571</v>
      </c>
      <c r="G104" t="s">
        <v>1159</v>
      </c>
      <c r="H104" s="7">
        <f t="shared" si="1"/>
        <v>435.50000000000006</v>
      </c>
      <c r="I104" s="7">
        <v>69.680000000000007</v>
      </c>
    </row>
    <row r="105" spans="1:9">
      <c r="A105" t="s">
        <v>2137</v>
      </c>
      <c r="B105" s="1">
        <v>42089</v>
      </c>
      <c r="C105" t="s">
        <v>2138</v>
      </c>
      <c r="D105">
        <v>1</v>
      </c>
      <c r="E105" t="s">
        <v>2139</v>
      </c>
      <c r="F105" t="s">
        <v>2209</v>
      </c>
      <c r="G105" t="s">
        <v>2139</v>
      </c>
      <c r="H105" s="7">
        <f t="shared" si="1"/>
        <v>7291.1874999999991</v>
      </c>
      <c r="I105" s="7">
        <v>1166.5899999999999</v>
      </c>
    </row>
    <row r="106" spans="1:9">
      <c r="A106" t="s">
        <v>1866</v>
      </c>
      <c r="B106" s="1">
        <v>42094</v>
      </c>
      <c r="C106">
        <v>11597</v>
      </c>
      <c r="D106">
        <v>1</v>
      </c>
      <c r="E106" t="s">
        <v>324</v>
      </c>
      <c r="F106" t="s">
        <v>820</v>
      </c>
      <c r="G106" t="s">
        <v>324</v>
      </c>
      <c r="H106" s="7">
        <f t="shared" si="1"/>
        <v>145.625</v>
      </c>
      <c r="I106" s="7">
        <v>23.3</v>
      </c>
    </row>
    <row r="107" spans="1:9">
      <c r="A107" t="s">
        <v>218</v>
      </c>
      <c r="B107" s="1">
        <v>42094</v>
      </c>
      <c r="C107">
        <v>11638</v>
      </c>
      <c r="D107">
        <v>1</v>
      </c>
      <c r="E107" t="s">
        <v>324</v>
      </c>
      <c r="F107" s="33" t="s">
        <v>820</v>
      </c>
      <c r="G107" s="33" t="s">
        <v>324</v>
      </c>
      <c r="H107" s="7">
        <f t="shared" si="1"/>
        <v>534.5</v>
      </c>
      <c r="I107" s="7">
        <v>85.52</v>
      </c>
    </row>
    <row r="108" spans="1:9">
      <c r="A108" t="s">
        <v>2081</v>
      </c>
      <c r="B108" s="1">
        <v>42069</v>
      </c>
      <c r="C108" t="s">
        <v>2082</v>
      </c>
      <c r="D108">
        <v>1</v>
      </c>
      <c r="E108" t="s">
        <v>1455</v>
      </c>
      <c r="F108" t="s">
        <v>1573</v>
      </c>
      <c r="G108" t="s">
        <v>1455</v>
      </c>
      <c r="H108" s="7">
        <f t="shared" si="1"/>
        <v>4350</v>
      </c>
      <c r="I108" s="7">
        <v>696</v>
      </c>
    </row>
    <row r="109" spans="1:9">
      <c r="A109" t="s">
        <v>211</v>
      </c>
      <c r="B109" s="1">
        <v>42094</v>
      </c>
      <c r="C109">
        <v>11608</v>
      </c>
      <c r="D109">
        <v>1</v>
      </c>
      <c r="E109" t="s">
        <v>263</v>
      </c>
      <c r="F109" t="s">
        <v>821</v>
      </c>
      <c r="G109" t="s">
        <v>263</v>
      </c>
      <c r="H109" s="7">
        <f t="shared" si="1"/>
        <v>344.8125</v>
      </c>
      <c r="I109" s="7">
        <v>55.17</v>
      </c>
    </row>
    <row r="110" spans="1:9">
      <c r="A110" t="s">
        <v>1931</v>
      </c>
      <c r="B110" s="1">
        <v>42094</v>
      </c>
      <c r="C110">
        <v>11630</v>
      </c>
      <c r="D110">
        <v>1</v>
      </c>
      <c r="E110" t="s">
        <v>263</v>
      </c>
      <c r="F110" t="s">
        <v>821</v>
      </c>
      <c r="G110" t="s">
        <v>406</v>
      </c>
      <c r="H110" s="7">
        <f t="shared" si="1"/>
        <v>344.8125</v>
      </c>
      <c r="I110" s="7">
        <v>55.17</v>
      </c>
    </row>
    <row r="111" spans="1:9">
      <c r="A111" t="s">
        <v>1930</v>
      </c>
      <c r="B111" s="1">
        <v>42094</v>
      </c>
      <c r="C111">
        <v>11629</v>
      </c>
      <c r="D111">
        <v>1</v>
      </c>
      <c r="E111" t="s">
        <v>406</v>
      </c>
      <c r="F111" t="s">
        <v>821</v>
      </c>
      <c r="G111" t="s">
        <v>406</v>
      </c>
      <c r="H111" s="7">
        <f t="shared" si="1"/>
        <v>344.8125</v>
      </c>
      <c r="I111" s="7">
        <v>55.17</v>
      </c>
    </row>
    <row r="112" spans="1:9">
      <c r="A112" t="s">
        <v>1878</v>
      </c>
      <c r="B112" s="1">
        <v>42094</v>
      </c>
      <c r="C112">
        <v>11605</v>
      </c>
      <c r="D112">
        <v>1</v>
      </c>
      <c r="E112" t="s">
        <v>1879</v>
      </c>
      <c r="F112" t="s">
        <v>821</v>
      </c>
      <c r="G112" t="s">
        <v>1879</v>
      </c>
      <c r="H112" s="7">
        <f t="shared" si="1"/>
        <v>344.8125</v>
      </c>
      <c r="I112" s="7">
        <v>55.17</v>
      </c>
    </row>
    <row r="113" spans="1:9">
      <c r="A113" t="s">
        <v>1922</v>
      </c>
      <c r="B113" s="1">
        <v>42094</v>
      </c>
      <c r="C113">
        <v>11622</v>
      </c>
      <c r="D113">
        <v>1</v>
      </c>
      <c r="E113" t="s">
        <v>1879</v>
      </c>
      <c r="F113" t="s">
        <v>821</v>
      </c>
      <c r="G113" t="s">
        <v>1879</v>
      </c>
      <c r="H113" s="7">
        <f t="shared" si="1"/>
        <v>344.8125</v>
      </c>
      <c r="I113" s="7">
        <v>55.17</v>
      </c>
    </row>
    <row r="114" spans="1:9">
      <c r="A114" t="s">
        <v>1846</v>
      </c>
      <c r="B114" s="1">
        <v>42094</v>
      </c>
      <c r="C114" t="s">
        <v>1847</v>
      </c>
      <c r="D114">
        <v>1</v>
      </c>
      <c r="E114" t="s">
        <v>1848</v>
      </c>
      <c r="F114" s="20" t="s">
        <v>822</v>
      </c>
      <c r="G114" t="s">
        <v>1848</v>
      </c>
      <c r="H114" s="7">
        <f t="shared" si="1"/>
        <v>227</v>
      </c>
      <c r="I114" s="7">
        <v>36.32</v>
      </c>
    </row>
    <row r="115" spans="1:9">
      <c r="A115" t="s">
        <v>1352</v>
      </c>
      <c r="B115" s="1">
        <v>42075</v>
      </c>
      <c r="C115" t="s">
        <v>2050</v>
      </c>
      <c r="D115">
        <v>1</v>
      </c>
      <c r="E115" t="s">
        <v>588</v>
      </c>
      <c r="F115" s="16" t="s">
        <v>822</v>
      </c>
      <c r="G115" t="s">
        <v>588</v>
      </c>
      <c r="H115" s="7">
        <f t="shared" si="1"/>
        <v>414.25</v>
      </c>
      <c r="I115" s="7">
        <v>66.28</v>
      </c>
    </row>
    <row r="116" spans="1:9">
      <c r="A116" t="s">
        <v>2083</v>
      </c>
      <c r="B116" s="1">
        <v>42069</v>
      </c>
      <c r="C116" t="s">
        <v>1507</v>
      </c>
      <c r="D116">
        <v>2</v>
      </c>
      <c r="E116" t="s">
        <v>455</v>
      </c>
      <c r="F116" t="s">
        <v>823</v>
      </c>
      <c r="G116" t="s">
        <v>455</v>
      </c>
      <c r="H116" s="7">
        <f t="shared" si="1"/>
        <v>2898</v>
      </c>
      <c r="I116" s="7">
        <v>463.68</v>
      </c>
    </row>
    <row r="117" spans="1:9">
      <c r="A117" t="s">
        <v>2118</v>
      </c>
      <c r="B117" s="1">
        <v>42081</v>
      </c>
      <c r="C117" t="s">
        <v>2119</v>
      </c>
      <c r="D117">
        <v>2</v>
      </c>
      <c r="E117" t="s">
        <v>455</v>
      </c>
      <c r="F117" t="s">
        <v>823</v>
      </c>
      <c r="G117" t="s">
        <v>455</v>
      </c>
      <c r="H117" s="7">
        <f t="shared" si="1"/>
        <v>2227.5625</v>
      </c>
      <c r="I117" s="7">
        <v>356.41</v>
      </c>
    </row>
    <row r="118" spans="1:9">
      <c r="A118" t="s">
        <v>2162</v>
      </c>
      <c r="B118" s="1">
        <v>42093</v>
      </c>
      <c r="C118" t="s">
        <v>2077</v>
      </c>
      <c r="D118">
        <v>2</v>
      </c>
      <c r="E118" t="s">
        <v>455</v>
      </c>
      <c r="F118" t="s">
        <v>823</v>
      </c>
      <c r="G118" t="s">
        <v>455</v>
      </c>
      <c r="H118" s="7">
        <f t="shared" si="1"/>
        <v>33675.9375</v>
      </c>
      <c r="I118" s="7">
        <v>5388.15</v>
      </c>
    </row>
    <row r="119" spans="1:9">
      <c r="A119" t="s">
        <v>1934</v>
      </c>
      <c r="B119" s="1">
        <v>42094</v>
      </c>
      <c r="C119">
        <v>11633</v>
      </c>
      <c r="D119">
        <v>1</v>
      </c>
      <c r="E119" t="s">
        <v>1935</v>
      </c>
      <c r="F119" s="33" t="s">
        <v>2210</v>
      </c>
      <c r="G119" s="33" t="s">
        <v>1935</v>
      </c>
      <c r="H119" s="7">
        <f t="shared" si="1"/>
        <v>83.875</v>
      </c>
      <c r="I119" s="7">
        <v>13.42</v>
      </c>
    </row>
    <row r="120" spans="1:9">
      <c r="A120" t="s">
        <v>1335</v>
      </c>
      <c r="B120" s="1">
        <v>42069</v>
      </c>
      <c r="C120" t="s">
        <v>2046</v>
      </c>
      <c r="D120">
        <v>1</v>
      </c>
      <c r="E120" t="s">
        <v>2047</v>
      </c>
      <c r="F120" s="20" t="s">
        <v>2211</v>
      </c>
      <c r="G120" t="s">
        <v>2047</v>
      </c>
      <c r="H120" s="7">
        <f t="shared" si="1"/>
        <v>2173.25</v>
      </c>
      <c r="I120" s="7">
        <v>347.72</v>
      </c>
    </row>
    <row r="121" spans="1:9">
      <c r="A121" t="s">
        <v>2095</v>
      </c>
      <c r="B121" s="1">
        <v>42081</v>
      </c>
      <c r="C121" t="s">
        <v>2096</v>
      </c>
      <c r="D121">
        <v>1</v>
      </c>
      <c r="E121" t="s">
        <v>2097</v>
      </c>
      <c r="F121" t="s">
        <v>2212</v>
      </c>
      <c r="G121" t="s">
        <v>2097</v>
      </c>
      <c r="H121" s="7">
        <f t="shared" si="1"/>
        <v>11800</v>
      </c>
      <c r="I121" s="7">
        <v>1888</v>
      </c>
    </row>
    <row r="122" spans="1:9">
      <c r="A122" t="s">
        <v>480</v>
      </c>
      <c r="B122" s="1">
        <v>42069</v>
      </c>
      <c r="C122" t="s">
        <v>1506</v>
      </c>
      <c r="D122">
        <v>2</v>
      </c>
      <c r="E122" t="s">
        <v>650</v>
      </c>
      <c r="F122" t="s">
        <v>827</v>
      </c>
      <c r="G122" t="s">
        <v>650</v>
      </c>
      <c r="H122" s="7">
        <f t="shared" si="1"/>
        <v>1903.9999999999998</v>
      </c>
      <c r="I122" s="7">
        <v>304.64</v>
      </c>
    </row>
    <row r="123" spans="1:9">
      <c r="A123" t="s">
        <v>504</v>
      </c>
      <c r="B123" s="1">
        <v>42088</v>
      </c>
      <c r="C123" t="s">
        <v>2147</v>
      </c>
      <c r="D123">
        <v>2</v>
      </c>
      <c r="E123" t="s">
        <v>650</v>
      </c>
      <c r="F123" t="s">
        <v>827</v>
      </c>
      <c r="G123" t="s">
        <v>650</v>
      </c>
      <c r="H123" s="7">
        <f t="shared" si="1"/>
        <v>1652</v>
      </c>
      <c r="I123" s="7">
        <v>264.32</v>
      </c>
    </row>
    <row r="124" spans="1:9">
      <c r="A124" t="s">
        <v>1479</v>
      </c>
      <c r="B124" s="1">
        <v>42094</v>
      </c>
      <c r="C124" t="s">
        <v>2080</v>
      </c>
      <c r="D124">
        <v>2</v>
      </c>
      <c r="E124" t="s">
        <v>650</v>
      </c>
      <c r="F124" t="s">
        <v>827</v>
      </c>
      <c r="G124" t="s">
        <v>650</v>
      </c>
      <c r="H124" s="7">
        <f t="shared" si="1"/>
        <v>1046.5</v>
      </c>
      <c r="I124" s="7">
        <v>167.44</v>
      </c>
    </row>
    <row r="125" spans="1:9">
      <c r="A125" t="s">
        <v>1862</v>
      </c>
      <c r="B125" s="1">
        <v>42094</v>
      </c>
      <c r="C125" t="s">
        <v>1863</v>
      </c>
      <c r="D125">
        <v>1</v>
      </c>
      <c r="E125" t="s">
        <v>1864</v>
      </c>
      <c r="F125" t="s">
        <v>2213</v>
      </c>
      <c r="G125" t="s">
        <v>1864</v>
      </c>
      <c r="H125" s="7">
        <f t="shared" si="1"/>
        <v>600</v>
      </c>
      <c r="I125" s="7">
        <v>96</v>
      </c>
    </row>
    <row r="126" spans="1:9">
      <c r="A126" t="s">
        <v>1888</v>
      </c>
      <c r="B126" s="1">
        <v>42094</v>
      </c>
      <c r="C126" t="s">
        <v>1889</v>
      </c>
      <c r="D126">
        <v>1</v>
      </c>
      <c r="E126" t="s">
        <v>1171</v>
      </c>
      <c r="F126" t="s">
        <v>828</v>
      </c>
      <c r="G126" t="s">
        <v>1171</v>
      </c>
      <c r="H126" s="7">
        <f t="shared" si="1"/>
        <v>52.0625</v>
      </c>
      <c r="I126" s="7">
        <v>8.33</v>
      </c>
    </row>
    <row r="127" spans="1:9">
      <c r="A127" t="s">
        <v>1977</v>
      </c>
      <c r="B127" s="1">
        <v>42094</v>
      </c>
      <c r="C127" t="s">
        <v>1978</v>
      </c>
      <c r="D127">
        <v>1</v>
      </c>
      <c r="E127" t="s">
        <v>1171</v>
      </c>
      <c r="F127" s="33" t="s">
        <v>828</v>
      </c>
      <c r="G127" s="33" t="s">
        <v>1171</v>
      </c>
      <c r="H127" s="7">
        <f t="shared" si="1"/>
        <v>51.4375</v>
      </c>
      <c r="I127" s="7">
        <v>8.23</v>
      </c>
    </row>
    <row r="128" spans="1:9">
      <c r="A128" t="s">
        <v>465</v>
      </c>
      <c r="B128" s="1">
        <v>42081</v>
      </c>
      <c r="C128" t="s">
        <v>2068</v>
      </c>
      <c r="D128">
        <v>1</v>
      </c>
      <c r="E128" t="s">
        <v>2069</v>
      </c>
      <c r="F128" s="16" t="s">
        <v>2214</v>
      </c>
      <c r="G128" t="s">
        <v>2069</v>
      </c>
      <c r="H128" s="7">
        <f t="shared" si="1"/>
        <v>3277.5</v>
      </c>
      <c r="I128" s="7">
        <v>524.4</v>
      </c>
    </row>
    <row r="129" spans="1:12">
      <c r="A129" t="s">
        <v>499</v>
      </c>
      <c r="B129" s="1">
        <v>42090</v>
      </c>
      <c r="C129" t="s">
        <v>2140</v>
      </c>
      <c r="D129">
        <v>1</v>
      </c>
      <c r="E129" t="s">
        <v>529</v>
      </c>
      <c r="F129" s="20" t="s">
        <v>829</v>
      </c>
      <c r="G129" s="25" t="s">
        <v>529</v>
      </c>
      <c r="H129" s="7">
        <f t="shared" si="1"/>
        <v>107758.625</v>
      </c>
      <c r="I129" s="7">
        <v>17241.38</v>
      </c>
    </row>
    <row r="130" spans="1:12">
      <c r="A130" t="s">
        <v>1720</v>
      </c>
      <c r="B130" s="1">
        <v>42084</v>
      </c>
      <c r="C130" t="s">
        <v>1721</v>
      </c>
      <c r="D130">
        <v>1</v>
      </c>
      <c r="E130" t="s">
        <v>1722</v>
      </c>
      <c r="F130" t="s">
        <v>830</v>
      </c>
      <c r="G130" t="s">
        <v>564</v>
      </c>
      <c r="H130" s="7">
        <f t="shared" si="1"/>
        <v>402861.5625</v>
      </c>
      <c r="I130" s="7">
        <v>64457.85</v>
      </c>
      <c r="J130" s="7" t="s">
        <v>2194</v>
      </c>
    </row>
    <row r="131" spans="1:12">
      <c r="A131" t="s">
        <v>483</v>
      </c>
      <c r="B131" s="1">
        <v>42081</v>
      </c>
      <c r="C131" t="s">
        <v>2099</v>
      </c>
      <c r="D131">
        <v>1</v>
      </c>
      <c r="E131" t="s">
        <v>564</v>
      </c>
      <c r="F131" t="s">
        <v>830</v>
      </c>
      <c r="G131" t="s">
        <v>564</v>
      </c>
      <c r="H131" s="7">
        <f t="shared" si="1"/>
        <v>1724.125</v>
      </c>
      <c r="I131" s="7">
        <v>275.86</v>
      </c>
    </row>
    <row r="132" spans="1:12">
      <c r="A132" t="s">
        <v>1679</v>
      </c>
      <c r="B132" s="1">
        <v>42072</v>
      </c>
      <c r="C132" t="s">
        <v>1680</v>
      </c>
      <c r="D132">
        <v>1</v>
      </c>
      <c r="E132" t="s">
        <v>1681</v>
      </c>
      <c r="F132" s="46" t="s">
        <v>2192</v>
      </c>
      <c r="G132" s="17" t="s">
        <v>2193</v>
      </c>
      <c r="H132" s="7">
        <f t="shared" si="1"/>
        <v>301015.5625</v>
      </c>
      <c r="I132" s="7">
        <v>48162.49</v>
      </c>
    </row>
    <row r="133" spans="1:12">
      <c r="A133" t="s">
        <v>1500</v>
      </c>
      <c r="B133" s="1">
        <v>42094</v>
      </c>
      <c r="C133" t="s">
        <v>2183</v>
      </c>
      <c r="D133">
        <v>1</v>
      </c>
      <c r="E133" t="s">
        <v>2184</v>
      </c>
      <c r="F133" s="32" t="s">
        <v>799</v>
      </c>
      <c r="G133" t="s">
        <v>0</v>
      </c>
      <c r="H133" s="7">
        <f t="shared" ref="H133:H196" si="2">+I133/0.16</f>
        <v>512460.12499999994</v>
      </c>
      <c r="I133" s="7">
        <v>81993.62</v>
      </c>
    </row>
    <row r="134" spans="1:12">
      <c r="A134" t="s">
        <v>2040</v>
      </c>
      <c r="B134" s="1">
        <v>42068</v>
      </c>
      <c r="C134" t="s">
        <v>2041</v>
      </c>
      <c r="D134">
        <v>1</v>
      </c>
      <c r="E134" t="s">
        <v>1344</v>
      </c>
      <c r="F134" t="s">
        <v>808</v>
      </c>
      <c r="G134" t="s">
        <v>489</v>
      </c>
      <c r="H134" s="7">
        <f t="shared" si="2"/>
        <v>18245.9375</v>
      </c>
      <c r="I134" s="7">
        <v>2919.35</v>
      </c>
    </row>
    <row r="135" spans="1:12">
      <c r="A135" t="s">
        <v>1487</v>
      </c>
      <c r="B135" s="1">
        <v>42094</v>
      </c>
      <c r="C135" t="s">
        <v>546</v>
      </c>
      <c r="D135">
        <v>1</v>
      </c>
      <c r="E135" t="s">
        <v>2176</v>
      </c>
      <c r="F135" s="20" t="s">
        <v>737</v>
      </c>
      <c r="G135" s="25" t="s">
        <v>738</v>
      </c>
      <c r="H135" s="7">
        <f t="shared" si="2"/>
        <v>12995.5625</v>
      </c>
      <c r="I135" s="7">
        <v>2079.29</v>
      </c>
      <c r="J135" s="7">
        <f>+H135-[1]MARZO.2015!$H$64</f>
        <v>-122.37499999999818</v>
      </c>
      <c r="K135" s="7">
        <f>+I135-[1]MARZO.2015!$I$64</f>
        <v>-19.579999999999927</v>
      </c>
      <c r="L135" t="s">
        <v>960</v>
      </c>
    </row>
    <row r="136" spans="1:12">
      <c r="A136" t="s">
        <v>1325</v>
      </c>
      <c r="B136" s="1">
        <v>42065</v>
      </c>
      <c r="C136" t="s">
        <v>2033</v>
      </c>
      <c r="D136">
        <v>1</v>
      </c>
      <c r="E136" t="s">
        <v>2034</v>
      </c>
      <c r="F136" t="s">
        <v>7305</v>
      </c>
      <c r="G136" t="s">
        <v>7306</v>
      </c>
      <c r="H136" s="7">
        <f t="shared" si="2"/>
        <v>155172.4375</v>
      </c>
      <c r="I136" s="7">
        <v>24827.59</v>
      </c>
    </row>
    <row r="137" spans="1:12">
      <c r="A137" t="s">
        <v>1787</v>
      </c>
      <c r="B137" s="1">
        <v>42093</v>
      </c>
      <c r="C137" t="s">
        <v>1788</v>
      </c>
      <c r="D137">
        <v>1</v>
      </c>
      <c r="E137" t="s">
        <v>1789</v>
      </c>
      <c r="F137" s="32" t="s">
        <v>799</v>
      </c>
      <c r="G137" t="s">
        <v>0</v>
      </c>
      <c r="H137" s="7">
        <f t="shared" si="2"/>
        <v>1266.1875</v>
      </c>
      <c r="I137" s="7">
        <v>202.59</v>
      </c>
    </row>
    <row r="138" spans="1:12">
      <c r="A138" t="s">
        <v>1657</v>
      </c>
      <c r="B138" s="1">
        <v>42067</v>
      </c>
      <c r="C138">
        <v>685</v>
      </c>
      <c r="D138">
        <v>2</v>
      </c>
      <c r="E138" t="s">
        <v>197</v>
      </c>
      <c r="F138" t="s">
        <v>704</v>
      </c>
      <c r="G138" t="s">
        <v>576</v>
      </c>
      <c r="H138" s="7">
        <f t="shared" si="2"/>
        <v>215.49999999999997</v>
      </c>
      <c r="I138" s="7">
        <v>34.479999999999997</v>
      </c>
    </row>
    <row r="139" spans="1:12">
      <c r="A139" t="s">
        <v>1925</v>
      </c>
      <c r="B139" s="1">
        <v>42094</v>
      </c>
      <c r="C139">
        <v>11624</v>
      </c>
      <c r="D139">
        <v>1</v>
      </c>
      <c r="E139" t="s">
        <v>1926</v>
      </c>
      <c r="F139" t="s">
        <v>2205</v>
      </c>
      <c r="G139" t="s">
        <v>2206</v>
      </c>
      <c r="H139" s="7">
        <f t="shared" si="2"/>
        <v>461.37499999999994</v>
      </c>
      <c r="I139" s="7">
        <v>73.819999999999993</v>
      </c>
    </row>
    <row r="140" spans="1:12">
      <c r="A140" t="s">
        <v>1793</v>
      </c>
      <c r="B140" s="1">
        <v>42093</v>
      </c>
      <c r="C140" t="s">
        <v>1794</v>
      </c>
      <c r="D140">
        <v>1</v>
      </c>
      <c r="E140" t="s">
        <v>1795</v>
      </c>
      <c r="F140" s="32" t="s">
        <v>799</v>
      </c>
      <c r="G140" t="s">
        <v>0</v>
      </c>
      <c r="H140" s="7">
        <f t="shared" si="2"/>
        <v>3583.9374999999995</v>
      </c>
      <c r="I140" s="7">
        <v>573.42999999999995</v>
      </c>
    </row>
    <row r="141" spans="1:12">
      <c r="A141" t="s">
        <v>1396</v>
      </c>
      <c r="B141" s="1">
        <v>42089</v>
      </c>
      <c r="C141" t="s">
        <v>2133</v>
      </c>
      <c r="D141">
        <v>1</v>
      </c>
      <c r="E141" t="s">
        <v>2134</v>
      </c>
      <c r="F141" s="139" t="s">
        <v>7568</v>
      </c>
      <c r="G141" t="s">
        <v>7307</v>
      </c>
      <c r="H141" s="7">
        <f t="shared" si="2"/>
        <v>94827.5625</v>
      </c>
      <c r="I141" s="7">
        <v>15172.41</v>
      </c>
    </row>
    <row r="142" spans="1:12">
      <c r="A142" t="s">
        <v>1485</v>
      </c>
      <c r="B142" s="1">
        <v>42094</v>
      </c>
      <c r="C142" t="s">
        <v>2174</v>
      </c>
      <c r="D142">
        <v>1</v>
      </c>
      <c r="E142" t="s">
        <v>2175</v>
      </c>
      <c r="F142" t="s">
        <v>7308</v>
      </c>
      <c r="G142" t="s">
        <v>7309</v>
      </c>
      <c r="H142" s="7">
        <f t="shared" si="2"/>
        <v>222413.8125</v>
      </c>
      <c r="I142" s="7">
        <v>35586.21</v>
      </c>
    </row>
    <row r="143" spans="1:12">
      <c r="A143" t="s">
        <v>471</v>
      </c>
      <c r="B143" s="1">
        <v>42082</v>
      </c>
      <c r="C143" t="s">
        <v>2073</v>
      </c>
      <c r="D143">
        <v>1</v>
      </c>
      <c r="E143" t="s">
        <v>2074</v>
      </c>
      <c r="F143" t="s">
        <v>7345</v>
      </c>
      <c r="G143" t="s">
        <v>7346</v>
      </c>
      <c r="H143" s="7">
        <f t="shared" si="2"/>
        <v>120689.68749999999</v>
      </c>
      <c r="I143" s="7">
        <v>19310.349999999999</v>
      </c>
    </row>
    <row r="144" spans="1:12">
      <c r="A144" t="s">
        <v>505</v>
      </c>
      <c r="B144" s="1">
        <v>42088</v>
      </c>
      <c r="C144" t="s">
        <v>2148</v>
      </c>
      <c r="D144">
        <v>1</v>
      </c>
      <c r="E144" t="s">
        <v>2149</v>
      </c>
      <c r="F144" t="s">
        <v>2252</v>
      </c>
      <c r="G144" t="s">
        <v>2253</v>
      </c>
      <c r="H144" s="7">
        <f t="shared" si="2"/>
        <v>384.0625</v>
      </c>
      <c r="I144" s="7">
        <v>61.45</v>
      </c>
    </row>
    <row r="145" spans="1:12">
      <c r="A145" t="s">
        <v>2025</v>
      </c>
      <c r="B145" s="1">
        <v>42082</v>
      </c>
      <c r="C145">
        <v>120</v>
      </c>
      <c r="D145">
        <v>1</v>
      </c>
      <c r="E145" t="s">
        <v>1237</v>
      </c>
      <c r="F145" t="s">
        <v>832</v>
      </c>
      <c r="G145" t="s">
        <v>7310</v>
      </c>
      <c r="H145" s="7">
        <f t="shared" si="2"/>
        <v>3571.125</v>
      </c>
      <c r="I145" s="7">
        <v>571.38</v>
      </c>
    </row>
    <row r="146" spans="1:12">
      <c r="A146" t="s">
        <v>2024</v>
      </c>
      <c r="B146" s="1">
        <v>42093</v>
      </c>
      <c r="C146">
        <v>124</v>
      </c>
      <c r="D146">
        <v>1</v>
      </c>
      <c r="E146" t="s">
        <v>1237</v>
      </c>
      <c r="F146" t="s">
        <v>832</v>
      </c>
      <c r="G146" t="s">
        <v>7310</v>
      </c>
      <c r="H146" s="7">
        <f t="shared" si="2"/>
        <v>1587.625</v>
      </c>
      <c r="I146" s="7">
        <v>254.02</v>
      </c>
    </row>
    <row r="147" spans="1:12">
      <c r="A147" t="s">
        <v>2026</v>
      </c>
      <c r="B147" s="1">
        <v>42087</v>
      </c>
      <c r="C147">
        <v>136</v>
      </c>
      <c r="D147">
        <v>1</v>
      </c>
      <c r="E147" t="s">
        <v>1237</v>
      </c>
      <c r="F147" t="s">
        <v>832</v>
      </c>
      <c r="G147" t="s">
        <v>7310</v>
      </c>
      <c r="H147" s="7">
        <f t="shared" si="2"/>
        <v>18383.625</v>
      </c>
      <c r="I147" s="7">
        <v>2941.38</v>
      </c>
    </row>
    <row r="148" spans="1:12">
      <c r="A148" t="s">
        <v>1377</v>
      </c>
      <c r="B148" s="1">
        <v>42069</v>
      </c>
      <c r="C148" t="s">
        <v>2089</v>
      </c>
      <c r="D148">
        <v>1</v>
      </c>
      <c r="E148" t="s">
        <v>1461</v>
      </c>
      <c r="F148" t="s">
        <v>1648</v>
      </c>
      <c r="G148" t="s">
        <v>1649</v>
      </c>
      <c r="H148" s="7">
        <f t="shared" si="2"/>
        <v>1172.3125</v>
      </c>
      <c r="I148" s="7">
        <v>187.57</v>
      </c>
    </row>
    <row r="149" spans="1:12">
      <c r="A149" t="s">
        <v>2110</v>
      </c>
      <c r="B149" s="1">
        <v>42081</v>
      </c>
      <c r="C149" t="s">
        <v>2111</v>
      </c>
      <c r="D149">
        <v>1</v>
      </c>
      <c r="E149" t="s">
        <v>1461</v>
      </c>
      <c r="F149" t="s">
        <v>1648</v>
      </c>
      <c r="G149" t="s">
        <v>1649</v>
      </c>
      <c r="H149" s="7">
        <f t="shared" si="2"/>
        <v>668.1875</v>
      </c>
      <c r="I149" s="7">
        <v>106.91</v>
      </c>
    </row>
    <row r="150" spans="1:12">
      <c r="A150" t="s">
        <v>2125</v>
      </c>
      <c r="B150" s="1">
        <v>42081</v>
      </c>
      <c r="C150" t="s">
        <v>2126</v>
      </c>
      <c r="D150">
        <v>1</v>
      </c>
      <c r="E150" t="s">
        <v>452</v>
      </c>
      <c r="F150" t="s">
        <v>863</v>
      </c>
      <c r="G150" t="s">
        <v>967</v>
      </c>
      <c r="H150" s="7">
        <f t="shared" si="2"/>
        <v>13530.812499999998</v>
      </c>
      <c r="I150" s="7">
        <v>2164.9299999999998</v>
      </c>
    </row>
    <row r="151" spans="1:12">
      <c r="A151" t="s">
        <v>2165</v>
      </c>
      <c r="B151" s="1">
        <v>42093</v>
      </c>
      <c r="C151" t="s">
        <v>2166</v>
      </c>
      <c r="D151">
        <v>1</v>
      </c>
      <c r="E151" t="s">
        <v>452</v>
      </c>
      <c r="F151" t="s">
        <v>863</v>
      </c>
      <c r="G151" t="s">
        <v>967</v>
      </c>
      <c r="H151" s="7">
        <f t="shared" si="2"/>
        <v>36284.875</v>
      </c>
      <c r="I151" s="7">
        <v>5805.58</v>
      </c>
    </row>
    <row r="152" spans="1:12">
      <c r="A152" t="s">
        <v>1790</v>
      </c>
      <c r="B152" s="1">
        <v>42093</v>
      </c>
      <c r="C152" t="s">
        <v>1791</v>
      </c>
      <c r="D152">
        <v>1</v>
      </c>
      <c r="E152" t="s">
        <v>1792</v>
      </c>
      <c r="F152" s="32" t="s">
        <v>799</v>
      </c>
      <c r="G152" t="s">
        <v>0</v>
      </c>
      <c r="H152" s="7">
        <f t="shared" si="2"/>
        <v>44571.8125</v>
      </c>
      <c r="I152" s="7">
        <v>7131.49</v>
      </c>
    </row>
    <row r="153" spans="1:12">
      <c r="A153" t="s">
        <v>1708</v>
      </c>
      <c r="B153" s="1">
        <v>42082</v>
      </c>
      <c r="C153" t="s">
        <v>1709</v>
      </c>
      <c r="D153">
        <v>1</v>
      </c>
      <c r="E153" t="s">
        <v>173</v>
      </c>
      <c r="F153" s="16" t="s">
        <v>873</v>
      </c>
      <c r="G153" s="17" t="s">
        <v>874</v>
      </c>
      <c r="H153" s="7">
        <f t="shared" si="2"/>
        <v>175535.125</v>
      </c>
      <c r="I153" s="7">
        <v>28085.62</v>
      </c>
    </row>
    <row r="154" spans="1:12">
      <c r="A154" t="s">
        <v>1673</v>
      </c>
      <c r="B154" s="1">
        <v>42069</v>
      </c>
      <c r="C154" t="s">
        <v>1655</v>
      </c>
      <c r="D154">
        <v>1</v>
      </c>
      <c r="E154" t="s">
        <v>107</v>
      </c>
      <c r="F154" s="32" t="s">
        <v>799</v>
      </c>
      <c r="G154" t="s">
        <v>0</v>
      </c>
      <c r="H154" s="7">
        <f t="shared" si="2"/>
        <v>329117.9375</v>
      </c>
      <c r="I154" s="7">
        <v>52658.87</v>
      </c>
      <c r="J154" s="7">
        <f>+H154-[1]MARZO.2015!$H$233</f>
        <v>-1.75</v>
      </c>
      <c r="K154" s="7">
        <f>+I154-[1]MARZO.2015!$I$233</f>
        <v>-0.27999999999883585</v>
      </c>
      <c r="L154" t="s">
        <v>960</v>
      </c>
    </row>
    <row r="155" spans="1:12">
      <c r="A155" t="s">
        <v>2021</v>
      </c>
      <c r="B155" s="1">
        <v>42094</v>
      </c>
      <c r="C155" t="s">
        <v>2022</v>
      </c>
      <c r="D155">
        <v>1</v>
      </c>
      <c r="E155" t="s">
        <v>2023</v>
      </c>
      <c r="F155" t="s">
        <v>722</v>
      </c>
      <c r="G155" s="33" t="s">
        <v>723</v>
      </c>
      <c r="H155" s="7">
        <f t="shared" si="2"/>
        <v>56.0625</v>
      </c>
      <c r="I155" s="7">
        <v>8.9700000000000006</v>
      </c>
    </row>
    <row r="156" spans="1:12">
      <c r="A156" t="s">
        <v>2098</v>
      </c>
      <c r="B156" s="1">
        <v>42081</v>
      </c>
      <c r="C156" t="s">
        <v>1509</v>
      </c>
      <c r="D156">
        <v>2</v>
      </c>
      <c r="E156" t="s">
        <v>472</v>
      </c>
      <c r="F156" t="s">
        <v>836</v>
      </c>
      <c r="G156" t="s">
        <v>472</v>
      </c>
      <c r="H156" s="7">
        <f t="shared" si="2"/>
        <v>6888.6875</v>
      </c>
      <c r="I156" s="7">
        <v>1102.19</v>
      </c>
    </row>
    <row r="157" spans="1:12">
      <c r="A157" t="s">
        <v>1936</v>
      </c>
      <c r="B157" s="1">
        <v>42094</v>
      </c>
      <c r="C157">
        <v>11634</v>
      </c>
      <c r="D157">
        <v>1</v>
      </c>
      <c r="E157" t="s">
        <v>261</v>
      </c>
      <c r="F157" s="33" t="s">
        <v>837</v>
      </c>
      <c r="G157" s="33" t="s">
        <v>261</v>
      </c>
      <c r="H157" s="7">
        <f t="shared" si="2"/>
        <v>549.9375</v>
      </c>
      <c r="I157" s="7">
        <v>87.99</v>
      </c>
    </row>
    <row r="158" spans="1:12">
      <c r="A158" t="s">
        <v>1829</v>
      </c>
      <c r="B158" s="1">
        <v>42094</v>
      </c>
      <c r="C158" t="s">
        <v>1830</v>
      </c>
      <c r="D158">
        <v>1</v>
      </c>
      <c r="E158" t="s">
        <v>1148</v>
      </c>
      <c r="F158" s="20" t="s">
        <v>805</v>
      </c>
      <c r="G158" t="s">
        <v>1148</v>
      </c>
      <c r="H158" s="7">
        <f t="shared" si="2"/>
        <v>290</v>
      </c>
      <c r="I158" s="7">
        <v>46.4</v>
      </c>
    </row>
    <row r="159" spans="1:12">
      <c r="A159" t="s">
        <v>1886</v>
      </c>
      <c r="B159" s="1">
        <v>42094</v>
      </c>
      <c r="C159" t="s">
        <v>1887</v>
      </c>
      <c r="D159">
        <v>1</v>
      </c>
      <c r="E159" t="s">
        <v>1833</v>
      </c>
      <c r="F159" s="20" t="s">
        <v>805</v>
      </c>
      <c r="G159" t="s">
        <v>1148</v>
      </c>
      <c r="H159" s="7">
        <f t="shared" si="2"/>
        <v>290</v>
      </c>
      <c r="I159" s="7">
        <v>46.4</v>
      </c>
    </row>
    <row r="160" spans="1:12">
      <c r="A160" t="s">
        <v>1834</v>
      </c>
      <c r="B160" s="1">
        <v>42094</v>
      </c>
      <c r="C160" t="s">
        <v>1835</v>
      </c>
      <c r="D160">
        <v>1</v>
      </c>
      <c r="E160" t="s">
        <v>1833</v>
      </c>
      <c r="F160" s="20" t="s">
        <v>805</v>
      </c>
      <c r="G160" t="s">
        <v>1148</v>
      </c>
      <c r="H160" s="7">
        <f t="shared" si="2"/>
        <v>290</v>
      </c>
      <c r="I160" s="7">
        <v>46.4</v>
      </c>
    </row>
    <row r="161" spans="1:9">
      <c r="A161" t="s">
        <v>1831</v>
      </c>
      <c r="B161" s="1">
        <v>42094</v>
      </c>
      <c r="C161" t="s">
        <v>1832</v>
      </c>
      <c r="D161">
        <v>1</v>
      </c>
      <c r="E161" t="s">
        <v>1833</v>
      </c>
      <c r="F161" t="s">
        <v>805</v>
      </c>
      <c r="G161" t="s">
        <v>1833</v>
      </c>
      <c r="H161" s="7">
        <f t="shared" si="2"/>
        <v>290</v>
      </c>
      <c r="I161" s="7">
        <v>46.4</v>
      </c>
    </row>
    <row r="162" spans="1:9">
      <c r="A162" t="s">
        <v>205</v>
      </c>
      <c r="B162" s="1">
        <v>42094</v>
      </c>
      <c r="C162">
        <v>11584</v>
      </c>
      <c r="D162">
        <v>1</v>
      </c>
      <c r="E162" t="s">
        <v>1857</v>
      </c>
      <c r="F162" t="s">
        <v>2215</v>
      </c>
      <c r="G162" t="s">
        <v>1857</v>
      </c>
      <c r="H162" s="7">
        <f t="shared" si="2"/>
        <v>39.1875</v>
      </c>
      <c r="I162" s="7">
        <v>6.27</v>
      </c>
    </row>
    <row r="163" spans="1:9">
      <c r="A163" t="s">
        <v>1453</v>
      </c>
      <c r="B163" s="1">
        <v>42087</v>
      </c>
      <c r="C163" t="s">
        <v>2156</v>
      </c>
      <c r="D163">
        <v>1</v>
      </c>
      <c r="E163" t="s">
        <v>2157</v>
      </c>
      <c r="F163" s="16" t="s">
        <v>2216</v>
      </c>
      <c r="G163" t="s">
        <v>2157</v>
      </c>
      <c r="H163" s="7">
        <f t="shared" si="2"/>
        <v>7758.4999999999991</v>
      </c>
      <c r="I163" s="7">
        <v>1241.3599999999999</v>
      </c>
    </row>
    <row r="164" spans="1:9">
      <c r="A164" t="s">
        <v>1942</v>
      </c>
      <c r="B164" s="1">
        <v>42094</v>
      </c>
      <c r="C164">
        <v>11643</v>
      </c>
      <c r="D164">
        <v>1</v>
      </c>
      <c r="E164" t="s">
        <v>283</v>
      </c>
      <c r="F164" s="33" t="s">
        <v>768</v>
      </c>
      <c r="G164" s="33" t="s">
        <v>283</v>
      </c>
      <c r="H164" s="7">
        <f t="shared" si="2"/>
        <v>353.375</v>
      </c>
      <c r="I164" s="7">
        <v>56.54</v>
      </c>
    </row>
    <row r="165" spans="1:9">
      <c r="A165" t="s">
        <v>1950</v>
      </c>
      <c r="B165" s="1">
        <v>42094</v>
      </c>
      <c r="C165">
        <v>11657</v>
      </c>
      <c r="D165">
        <v>1</v>
      </c>
      <c r="E165" t="s">
        <v>283</v>
      </c>
      <c r="F165" s="33" t="s">
        <v>768</v>
      </c>
      <c r="G165" s="33" t="s">
        <v>283</v>
      </c>
      <c r="H165" s="7">
        <f t="shared" si="2"/>
        <v>276</v>
      </c>
      <c r="I165" s="7">
        <v>44.16</v>
      </c>
    </row>
    <row r="166" spans="1:9">
      <c r="A166" t="s">
        <v>1951</v>
      </c>
      <c r="B166" s="1">
        <v>42094</v>
      </c>
      <c r="C166">
        <v>11658</v>
      </c>
      <c r="D166">
        <v>1</v>
      </c>
      <c r="E166" t="s">
        <v>283</v>
      </c>
      <c r="F166" s="33" t="s">
        <v>768</v>
      </c>
      <c r="G166" s="33" t="s">
        <v>283</v>
      </c>
      <c r="H166" s="7">
        <f t="shared" si="2"/>
        <v>387.375</v>
      </c>
      <c r="I166" s="7">
        <v>61.98</v>
      </c>
    </row>
    <row r="167" spans="1:9">
      <c r="A167" t="s">
        <v>2086</v>
      </c>
      <c r="B167" s="1">
        <v>42069</v>
      </c>
      <c r="C167" t="s">
        <v>2087</v>
      </c>
      <c r="D167">
        <v>1</v>
      </c>
      <c r="E167" t="s">
        <v>467</v>
      </c>
      <c r="F167" t="s">
        <v>838</v>
      </c>
      <c r="G167" t="s">
        <v>467</v>
      </c>
      <c r="H167" s="7">
        <f t="shared" si="2"/>
        <v>8382.6875</v>
      </c>
      <c r="I167" s="7">
        <v>1341.23</v>
      </c>
    </row>
    <row r="168" spans="1:9">
      <c r="A168" t="s">
        <v>2112</v>
      </c>
      <c r="B168" s="1">
        <v>42081</v>
      </c>
      <c r="C168" t="s">
        <v>2113</v>
      </c>
      <c r="D168">
        <v>1</v>
      </c>
      <c r="E168" t="s">
        <v>467</v>
      </c>
      <c r="F168" t="s">
        <v>838</v>
      </c>
      <c r="G168" t="s">
        <v>467</v>
      </c>
      <c r="H168" s="7">
        <f t="shared" si="2"/>
        <v>2205</v>
      </c>
      <c r="I168" s="7">
        <v>352.8</v>
      </c>
    </row>
    <row r="169" spans="1:9">
      <c r="A169" t="s">
        <v>1462</v>
      </c>
      <c r="B169" s="1">
        <v>42093</v>
      </c>
      <c r="C169" t="s">
        <v>2159</v>
      </c>
      <c r="D169">
        <v>1</v>
      </c>
      <c r="E169" t="s">
        <v>467</v>
      </c>
      <c r="F169" t="s">
        <v>838</v>
      </c>
      <c r="G169" t="s">
        <v>467</v>
      </c>
      <c r="H169" s="7">
        <f t="shared" si="2"/>
        <v>3649.4999999999995</v>
      </c>
      <c r="I169" s="7">
        <v>583.91999999999996</v>
      </c>
    </row>
    <row r="170" spans="1:9">
      <c r="A170" t="s">
        <v>1328</v>
      </c>
      <c r="B170" s="1">
        <v>42068</v>
      </c>
      <c r="C170" t="s">
        <v>2042</v>
      </c>
      <c r="D170">
        <v>1</v>
      </c>
      <c r="E170" t="s">
        <v>2043</v>
      </c>
      <c r="F170" t="s">
        <v>961</v>
      </c>
      <c r="G170" t="s">
        <v>962</v>
      </c>
      <c r="H170" s="7">
        <f t="shared" si="2"/>
        <v>185.3125</v>
      </c>
      <c r="I170" s="7">
        <v>29.65</v>
      </c>
    </row>
    <row r="171" spans="1:9">
      <c r="A171" t="s">
        <v>1959</v>
      </c>
      <c r="B171" s="1">
        <v>42094</v>
      </c>
      <c r="C171">
        <v>11674</v>
      </c>
      <c r="D171">
        <v>1</v>
      </c>
      <c r="E171" t="s">
        <v>1267</v>
      </c>
      <c r="F171" s="33" t="s">
        <v>1587</v>
      </c>
      <c r="G171" s="33" t="s">
        <v>1267</v>
      </c>
      <c r="H171" s="7">
        <f t="shared" si="2"/>
        <v>1000</v>
      </c>
      <c r="I171" s="7">
        <v>160</v>
      </c>
    </row>
    <row r="172" spans="1:9">
      <c r="A172" t="s">
        <v>1375</v>
      </c>
      <c r="B172" s="1">
        <v>42069</v>
      </c>
      <c r="C172" t="s">
        <v>2088</v>
      </c>
      <c r="D172">
        <v>1</v>
      </c>
      <c r="E172" t="s">
        <v>1341</v>
      </c>
      <c r="F172" t="s">
        <v>1589</v>
      </c>
      <c r="G172" t="s">
        <v>1341</v>
      </c>
      <c r="H172" s="7">
        <f t="shared" si="2"/>
        <v>2580</v>
      </c>
      <c r="I172" s="7">
        <v>412.8</v>
      </c>
    </row>
    <row r="173" spans="1:9">
      <c r="A173" t="s">
        <v>488</v>
      </c>
      <c r="B173" s="1">
        <v>42081</v>
      </c>
      <c r="C173" t="s">
        <v>2114</v>
      </c>
      <c r="D173">
        <v>1</v>
      </c>
      <c r="E173" t="s">
        <v>1341</v>
      </c>
      <c r="F173" t="s">
        <v>1589</v>
      </c>
      <c r="G173" t="s">
        <v>1341</v>
      </c>
      <c r="H173" s="7">
        <f t="shared" si="2"/>
        <v>2580</v>
      </c>
      <c r="I173" s="7">
        <v>412.8</v>
      </c>
    </row>
    <row r="174" spans="1:9">
      <c r="A174" t="s">
        <v>2084</v>
      </c>
      <c r="B174" s="1">
        <v>42069</v>
      </c>
      <c r="C174" t="s">
        <v>2085</v>
      </c>
      <c r="D174">
        <v>1</v>
      </c>
      <c r="E174" t="s">
        <v>470</v>
      </c>
      <c r="F174" t="s">
        <v>843</v>
      </c>
      <c r="G174" t="s">
        <v>470</v>
      </c>
      <c r="H174" s="7">
        <f t="shared" si="2"/>
        <v>3733.3125</v>
      </c>
      <c r="I174" s="7">
        <v>597.33000000000004</v>
      </c>
    </row>
    <row r="175" spans="1:9">
      <c r="A175" t="s">
        <v>494</v>
      </c>
      <c r="B175" s="1">
        <v>42081</v>
      </c>
      <c r="C175" t="s">
        <v>2129</v>
      </c>
      <c r="D175">
        <v>1</v>
      </c>
      <c r="E175" t="s">
        <v>470</v>
      </c>
      <c r="F175" t="s">
        <v>843</v>
      </c>
      <c r="G175" t="s">
        <v>470</v>
      </c>
      <c r="H175" s="7">
        <f t="shared" si="2"/>
        <v>3379.9999999999995</v>
      </c>
      <c r="I175" s="7">
        <v>540.79999999999995</v>
      </c>
    </row>
    <row r="176" spans="1:9">
      <c r="A176" t="s">
        <v>501</v>
      </c>
      <c r="B176" s="1">
        <v>42090</v>
      </c>
      <c r="C176" t="s">
        <v>2141</v>
      </c>
      <c r="D176">
        <v>1</v>
      </c>
      <c r="E176" t="s">
        <v>532</v>
      </c>
      <c r="F176" s="20" t="s">
        <v>845</v>
      </c>
      <c r="G176" s="25" t="s">
        <v>532</v>
      </c>
      <c r="H176" s="7">
        <f t="shared" si="2"/>
        <v>107758.625</v>
      </c>
      <c r="I176" s="7">
        <v>17241.38</v>
      </c>
    </row>
    <row r="177" spans="1:9">
      <c r="A177" t="s">
        <v>555</v>
      </c>
      <c r="B177" s="1">
        <v>42093</v>
      </c>
      <c r="C177" t="s">
        <v>2160</v>
      </c>
      <c r="D177">
        <v>1</v>
      </c>
      <c r="E177" t="s">
        <v>663</v>
      </c>
      <c r="F177" t="s">
        <v>846</v>
      </c>
      <c r="G177" t="s">
        <v>663</v>
      </c>
      <c r="H177" s="7">
        <f t="shared" si="2"/>
        <v>3785.625</v>
      </c>
      <c r="I177" s="7">
        <v>605.70000000000005</v>
      </c>
    </row>
    <row r="178" spans="1:9">
      <c r="A178" t="s">
        <v>1876</v>
      </c>
      <c r="B178" s="1">
        <v>42094</v>
      </c>
      <c r="C178">
        <v>11604</v>
      </c>
      <c r="D178">
        <v>1</v>
      </c>
      <c r="E178" t="s">
        <v>1877</v>
      </c>
      <c r="F178" t="s">
        <v>847</v>
      </c>
      <c r="G178" t="s">
        <v>1877</v>
      </c>
      <c r="H178" s="7">
        <f t="shared" si="2"/>
        <v>38.8125</v>
      </c>
      <c r="I178" s="7">
        <v>6.21</v>
      </c>
    </row>
    <row r="179" spans="1:9">
      <c r="A179" t="s">
        <v>207</v>
      </c>
      <c r="B179" s="1">
        <v>42094</v>
      </c>
      <c r="C179">
        <v>11586</v>
      </c>
      <c r="D179">
        <v>1</v>
      </c>
      <c r="E179" t="s">
        <v>1860</v>
      </c>
      <c r="F179" t="s">
        <v>847</v>
      </c>
      <c r="G179" t="s">
        <v>1860</v>
      </c>
      <c r="H179" s="7">
        <f t="shared" si="2"/>
        <v>125.875</v>
      </c>
      <c r="I179" s="7">
        <v>20.14</v>
      </c>
    </row>
    <row r="180" spans="1:9">
      <c r="A180" t="s">
        <v>490</v>
      </c>
      <c r="B180" s="1">
        <v>42081</v>
      </c>
      <c r="C180" t="s">
        <v>2115</v>
      </c>
      <c r="D180">
        <v>1</v>
      </c>
      <c r="E180" t="s">
        <v>449</v>
      </c>
      <c r="F180" t="s">
        <v>848</v>
      </c>
      <c r="G180" t="s">
        <v>449</v>
      </c>
      <c r="H180" s="7">
        <f t="shared" si="2"/>
        <v>6200</v>
      </c>
      <c r="I180" s="7">
        <v>992</v>
      </c>
    </row>
    <row r="181" spans="1:9">
      <c r="A181" t="s">
        <v>2169</v>
      </c>
      <c r="B181" s="1">
        <v>42093</v>
      </c>
      <c r="C181" t="s">
        <v>2170</v>
      </c>
      <c r="D181">
        <v>1</v>
      </c>
      <c r="E181" t="s">
        <v>449</v>
      </c>
      <c r="F181" t="s">
        <v>848</v>
      </c>
      <c r="G181" t="s">
        <v>449</v>
      </c>
      <c r="H181" s="7">
        <f t="shared" si="2"/>
        <v>4200</v>
      </c>
      <c r="I181" s="7">
        <v>672</v>
      </c>
    </row>
    <row r="182" spans="1:9">
      <c r="A182" t="s">
        <v>2116</v>
      </c>
      <c r="B182" s="1">
        <v>42081</v>
      </c>
      <c r="C182" t="s">
        <v>2117</v>
      </c>
      <c r="D182">
        <v>1</v>
      </c>
      <c r="E182" t="s">
        <v>645</v>
      </c>
      <c r="F182" t="s">
        <v>769</v>
      </c>
      <c r="G182" t="s">
        <v>645</v>
      </c>
      <c r="H182" s="7">
        <f t="shared" si="2"/>
        <v>797.4375</v>
      </c>
      <c r="I182" s="7">
        <v>127.59</v>
      </c>
    </row>
    <row r="183" spans="1:9">
      <c r="A183" t="s">
        <v>1473</v>
      </c>
      <c r="B183" s="1">
        <v>42093</v>
      </c>
      <c r="C183" t="s">
        <v>2171</v>
      </c>
      <c r="D183">
        <v>1</v>
      </c>
      <c r="E183" t="s">
        <v>645</v>
      </c>
      <c r="F183" t="s">
        <v>769</v>
      </c>
      <c r="G183" t="s">
        <v>645</v>
      </c>
      <c r="H183" s="7">
        <f t="shared" si="2"/>
        <v>5404.375</v>
      </c>
      <c r="I183" s="7">
        <v>864.7</v>
      </c>
    </row>
    <row r="184" spans="1:9">
      <c r="A184" t="s">
        <v>1933</v>
      </c>
      <c r="B184" s="1">
        <v>42094</v>
      </c>
      <c r="C184">
        <v>11632</v>
      </c>
      <c r="D184">
        <v>1</v>
      </c>
      <c r="E184" t="s">
        <v>321</v>
      </c>
      <c r="F184" s="33" t="s">
        <v>769</v>
      </c>
      <c r="G184" s="33" t="s">
        <v>321</v>
      </c>
      <c r="H184" s="7">
        <f t="shared" si="2"/>
        <v>128.4375</v>
      </c>
      <c r="I184" s="7">
        <v>20.55</v>
      </c>
    </row>
    <row r="185" spans="1:9">
      <c r="A185" t="s">
        <v>1970</v>
      </c>
      <c r="B185" s="1">
        <v>42094</v>
      </c>
      <c r="C185">
        <v>11686</v>
      </c>
      <c r="D185">
        <v>1</v>
      </c>
      <c r="E185" t="s">
        <v>321</v>
      </c>
      <c r="F185" s="33" t="s">
        <v>769</v>
      </c>
      <c r="G185" s="33" t="s">
        <v>321</v>
      </c>
      <c r="H185" s="7">
        <f t="shared" si="2"/>
        <v>299.125</v>
      </c>
      <c r="I185" s="7">
        <v>47.86</v>
      </c>
    </row>
    <row r="186" spans="1:9">
      <c r="A186" t="s">
        <v>1939</v>
      </c>
      <c r="B186" s="1">
        <v>42094</v>
      </c>
      <c r="C186">
        <v>11636</v>
      </c>
      <c r="D186">
        <v>1</v>
      </c>
      <c r="E186" t="s">
        <v>1940</v>
      </c>
      <c r="F186" s="33" t="s">
        <v>2217</v>
      </c>
      <c r="G186" s="33" t="s">
        <v>1940</v>
      </c>
      <c r="H186" s="7">
        <f t="shared" si="2"/>
        <v>270.6875</v>
      </c>
      <c r="I186" s="7">
        <v>43.31</v>
      </c>
    </row>
    <row r="187" spans="1:9">
      <c r="A187" t="s">
        <v>9</v>
      </c>
      <c r="B187" s="1">
        <v>42065</v>
      </c>
      <c r="C187" t="s">
        <v>1653</v>
      </c>
      <c r="D187">
        <v>1</v>
      </c>
      <c r="E187" t="s">
        <v>1654</v>
      </c>
      <c r="F187" t="s">
        <v>965</v>
      </c>
      <c r="G187" s="19" t="s">
        <v>966</v>
      </c>
      <c r="H187" s="7">
        <f t="shared" si="2"/>
        <v>248318.5</v>
      </c>
      <c r="I187" s="7">
        <v>39730.959999999999</v>
      </c>
    </row>
    <row r="188" spans="1:9">
      <c r="A188" t="s">
        <v>1735</v>
      </c>
      <c r="B188" s="1">
        <v>42087</v>
      </c>
      <c r="C188" t="s">
        <v>1736</v>
      </c>
      <c r="D188">
        <v>1</v>
      </c>
      <c r="E188" t="s">
        <v>1737</v>
      </c>
      <c r="F188" s="18" t="s">
        <v>849</v>
      </c>
      <c r="G188" s="19" t="s">
        <v>850</v>
      </c>
      <c r="H188" s="7">
        <f t="shared" si="2"/>
        <v>238392.8125</v>
      </c>
      <c r="I188" s="7">
        <v>38142.85</v>
      </c>
    </row>
    <row r="189" spans="1:9">
      <c r="A189" t="s">
        <v>1971</v>
      </c>
      <c r="B189" s="1">
        <v>42094</v>
      </c>
      <c r="C189">
        <v>11687</v>
      </c>
      <c r="D189">
        <v>1</v>
      </c>
      <c r="E189" t="s">
        <v>1972</v>
      </c>
      <c r="F189" s="33" t="s">
        <v>2218</v>
      </c>
      <c r="G189" s="33" t="s">
        <v>1972</v>
      </c>
      <c r="H189" s="7">
        <f t="shared" si="2"/>
        <v>486.56249999999994</v>
      </c>
      <c r="I189" s="7">
        <v>77.849999999999994</v>
      </c>
    </row>
    <row r="190" spans="1:9">
      <c r="A190" t="s">
        <v>1855</v>
      </c>
      <c r="B190" s="1">
        <v>42094</v>
      </c>
      <c r="C190">
        <v>11582</v>
      </c>
      <c r="D190">
        <v>1</v>
      </c>
      <c r="E190" t="s">
        <v>1200</v>
      </c>
      <c r="F190" t="s">
        <v>1595</v>
      </c>
      <c r="G190" t="s">
        <v>1200</v>
      </c>
      <c r="H190" s="7">
        <f t="shared" si="2"/>
        <v>206.875</v>
      </c>
      <c r="I190" s="7">
        <v>33.1</v>
      </c>
    </row>
    <row r="191" spans="1:9">
      <c r="A191" t="s">
        <v>1955</v>
      </c>
      <c r="B191" s="1">
        <v>42094</v>
      </c>
      <c r="C191">
        <v>11671</v>
      </c>
      <c r="D191">
        <v>1</v>
      </c>
      <c r="E191" t="s">
        <v>333</v>
      </c>
      <c r="F191" s="33" t="s">
        <v>852</v>
      </c>
      <c r="G191" s="33" t="s">
        <v>333</v>
      </c>
      <c r="H191" s="7">
        <f t="shared" si="2"/>
        <v>52.625</v>
      </c>
      <c r="I191" s="7">
        <v>8.42</v>
      </c>
    </row>
    <row r="192" spans="1:9">
      <c r="A192" t="s">
        <v>1958</v>
      </c>
      <c r="B192" s="1">
        <v>42094</v>
      </c>
      <c r="C192">
        <v>11673</v>
      </c>
      <c r="D192">
        <v>1</v>
      </c>
      <c r="E192" t="s">
        <v>333</v>
      </c>
      <c r="F192" s="33" t="s">
        <v>852</v>
      </c>
      <c r="G192" s="33" t="s">
        <v>333</v>
      </c>
      <c r="H192" s="7">
        <f t="shared" si="2"/>
        <v>50</v>
      </c>
      <c r="I192" s="7">
        <v>8</v>
      </c>
    </row>
    <row r="193" spans="1:9">
      <c r="A193" t="s">
        <v>1960</v>
      </c>
      <c r="B193" s="1">
        <v>42094</v>
      </c>
      <c r="C193">
        <v>11675</v>
      </c>
      <c r="D193">
        <v>1</v>
      </c>
      <c r="E193" t="s">
        <v>333</v>
      </c>
      <c r="F193" s="33" t="s">
        <v>852</v>
      </c>
      <c r="G193" s="33" t="s">
        <v>333</v>
      </c>
      <c r="H193" s="7">
        <f t="shared" si="2"/>
        <v>64.625</v>
      </c>
      <c r="I193" s="7">
        <v>10.34</v>
      </c>
    </row>
    <row r="194" spans="1:9">
      <c r="A194" t="s">
        <v>1751</v>
      </c>
      <c r="B194" s="1">
        <v>42089</v>
      </c>
      <c r="C194" t="s">
        <v>1752</v>
      </c>
      <c r="D194">
        <v>1</v>
      </c>
      <c r="E194" t="s">
        <v>1753</v>
      </c>
      <c r="F194" t="s">
        <v>2219</v>
      </c>
      <c r="G194" t="s">
        <v>2220</v>
      </c>
      <c r="H194" s="7">
        <f t="shared" si="2"/>
        <v>322076.9375</v>
      </c>
      <c r="I194" s="7">
        <v>51532.31</v>
      </c>
    </row>
    <row r="195" spans="1:9">
      <c r="A195" t="s">
        <v>209</v>
      </c>
      <c r="B195" s="1">
        <v>42094</v>
      </c>
      <c r="C195">
        <v>11587</v>
      </c>
      <c r="D195">
        <v>1</v>
      </c>
      <c r="E195" t="s">
        <v>297</v>
      </c>
      <c r="F195" t="s">
        <v>853</v>
      </c>
      <c r="G195" t="s">
        <v>297</v>
      </c>
      <c r="H195" s="7">
        <f t="shared" si="2"/>
        <v>284</v>
      </c>
      <c r="I195" s="7">
        <v>45.44</v>
      </c>
    </row>
    <row r="196" spans="1:9">
      <c r="A196" t="s">
        <v>1918</v>
      </c>
      <c r="B196" s="1">
        <v>42094</v>
      </c>
      <c r="C196" t="s">
        <v>1919</v>
      </c>
      <c r="D196">
        <v>1</v>
      </c>
      <c r="E196" t="s">
        <v>1920</v>
      </c>
      <c r="F196" t="s">
        <v>2221</v>
      </c>
      <c r="G196" t="s">
        <v>1920</v>
      </c>
      <c r="H196" s="7">
        <f t="shared" si="2"/>
        <v>330</v>
      </c>
      <c r="I196" s="7">
        <v>52.8</v>
      </c>
    </row>
    <row r="197" spans="1:9">
      <c r="A197" t="s">
        <v>1880</v>
      </c>
      <c r="B197" s="1">
        <v>42094</v>
      </c>
      <c r="C197" t="s">
        <v>1881</v>
      </c>
      <c r="D197">
        <v>1</v>
      </c>
      <c r="E197" t="s">
        <v>1882</v>
      </c>
      <c r="F197" t="s">
        <v>2221</v>
      </c>
      <c r="G197" t="s">
        <v>1882</v>
      </c>
      <c r="H197" s="7">
        <f t="shared" ref="H197:H260" si="3">+I197/0.16</f>
        <v>450</v>
      </c>
      <c r="I197" s="7">
        <v>72</v>
      </c>
    </row>
    <row r="198" spans="1:9">
      <c r="A198" t="s">
        <v>2104</v>
      </c>
      <c r="B198" s="1">
        <v>42081</v>
      </c>
      <c r="C198" t="s">
        <v>1511</v>
      </c>
      <c r="D198">
        <v>2</v>
      </c>
      <c r="E198" t="s">
        <v>2105</v>
      </c>
      <c r="F198" t="s">
        <v>2222</v>
      </c>
      <c r="G198" t="s">
        <v>2105</v>
      </c>
      <c r="H198" s="7">
        <f t="shared" si="3"/>
        <v>5900</v>
      </c>
      <c r="I198" s="7">
        <v>944</v>
      </c>
    </row>
    <row r="199" spans="1:9">
      <c r="A199" t="s">
        <v>1965</v>
      </c>
      <c r="B199" s="1">
        <v>42094</v>
      </c>
      <c r="C199">
        <v>11681</v>
      </c>
      <c r="D199">
        <v>1</v>
      </c>
      <c r="E199" t="s">
        <v>315</v>
      </c>
      <c r="F199" s="33" t="s">
        <v>857</v>
      </c>
      <c r="G199" s="33" t="s">
        <v>315</v>
      </c>
      <c r="H199" s="7">
        <f t="shared" si="3"/>
        <v>88.8125</v>
      </c>
      <c r="I199" s="7">
        <v>14.21</v>
      </c>
    </row>
    <row r="200" spans="1:9">
      <c r="A200" t="s">
        <v>2058</v>
      </c>
      <c r="B200" s="1">
        <v>42075</v>
      </c>
      <c r="C200" t="s">
        <v>2059</v>
      </c>
      <c r="D200">
        <v>1</v>
      </c>
      <c r="E200" t="s">
        <v>457</v>
      </c>
      <c r="F200" s="31" t="s">
        <v>951</v>
      </c>
      <c r="G200" s="139" t="s">
        <v>3714</v>
      </c>
      <c r="H200" s="7">
        <f t="shared" si="3"/>
        <v>1700</v>
      </c>
      <c r="I200" s="7">
        <v>272</v>
      </c>
    </row>
    <row r="201" spans="1:9">
      <c r="A201" t="s">
        <v>1359</v>
      </c>
      <c r="B201" s="1">
        <v>42075</v>
      </c>
      <c r="C201" t="s">
        <v>2060</v>
      </c>
      <c r="D201">
        <v>2</v>
      </c>
      <c r="E201" t="s">
        <v>457</v>
      </c>
      <c r="F201" s="16" t="s">
        <v>858</v>
      </c>
      <c r="G201" t="s">
        <v>457</v>
      </c>
      <c r="H201" s="7">
        <f t="shared" si="3"/>
        <v>16700</v>
      </c>
      <c r="I201" s="7">
        <v>2672</v>
      </c>
    </row>
    <row r="202" spans="1:9">
      <c r="A202" t="s">
        <v>1434</v>
      </c>
      <c r="B202" s="1">
        <v>42093</v>
      </c>
      <c r="C202" t="s">
        <v>2153</v>
      </c>
      <c r="D202">
        <v>2</v>
      </c>
      <c r="E202" t="s">
        <v>457</v>
      </c>
      <c r="F202" s="16" t="s">
        <v>858</v>
      </c>
      <c r="G202" t="s">
        <v>457</v>
      </c>
      <c r="H202" s="7">
        <f t="shared" si="3"/>
        <v>16500</v>
      </c>
      <c r="I202" s="7">
        <v>2640</v>
      </c>
    </row>
    <row r="203" spans="1:9">
      <c r="A203" t="s">
        <v>2103</v>
      </c>
      <c r="B203" s="1">
        <v>42081</v>
      </c>
      <c r="C203" t="s">
        <v>1510</v>
      </c>
      <c r="D203">
        <v>2</v>
      </c>
      <c r="E203" t="s">
        <v>474</v>
      </c>
      <c r="F203" t="s">
        <v>860</v>
      </c>
      <c r="G203" t="s">
        <v>474</v>
      </c>
      <c r="H203" s="7">
        <f t="shared" si="3"/>
        <v>9450</v>
      </c>
      <c r="I203" s="7">
        <v>1512</v>
      </c>
    </row>
    <row r="204" spans="1:9">
      <c r="A204" t="s">
        <v>1956</v>
      </c>
      <c r="B204" s="1">
        <v>42094</v>
      </c>
      <c r="C204">
        <v>11672</v>
      </c>
      <c r="D204">
        <v>1</v>
      </c>
      <c r="E204" t="s">
        <v>1957</v>
      </c>
      <c r="F204" s="33" t="s">
        <v>2223</v>
      </c>
      <c r="G204" s="33" t="s">
        <v>1957</v>
      </c>
      <c r="H204" s="7">
        <f t="shared" si="3"/>
        <v>525.125</v>
      </c>
      <c r="I204" s="7">
        <v>84.02</v>
      </c>
    </row>
    <row r="205" spans="1:9">
      <c r="A205" t="s">
        <v>492</v>
      </c>
      <c r="B205" s="1">
        <v>42081</v>
      </c>
      <c r="C205" t="s">
        <v>1513</v>
      </c>
      <c r="D205">
        <v>2</v>
      </c>
      <c r="E205" t="s">
        <v>1501</v>
      </c>
      <c r="F205" t="s">
        <v>1604</v>
      </c>
      <c r="G205" t="s">
        <v>1501</v>
      </c>
      <c r="H205" s="7">
        <f t="shared" si="3"/>
        <v>6300</v>
      </c>
      <c r="I205" s="7">
        <v>1008</v>
      </c>
    </row>
    <row r="206" spans="1:9">
      <c r="A206" t="s">
        <v>2038</v>
      </c>
      <c r="B206" s="1">
        <v>42066</v>
      </c>
      <c r="C206" t="s">
        <v>2039</v>
      </c>
      <c r="D206">
        <v>1</v>
      </c>
      <c r="E206" t="s">
        <v>517</v>
      </c>
      <c r="F206" t="s">
        <v>867</v>
      </c>
      <c r="G206" t="s">
        <v>517</v>
      </c>
      <c r="H206" s="7">
        <f t="shared" si="3"/>
        <v>163713.0625</v>
      </c>
      <c r="I206" s="7">
        <v>26194.09</v>
      </c>
    </row>
    <row r="207" spans="1:9">
      <c r="A207" t="s">
        <v>1947</v>
      </c>
      <c r="B207" s="1">
        <v>42094</v>
      </c>
      <c r="C207">
        <v>11654</v>
      </c>
      <c r="D207">
        <v>1</v>
      </c>
      <c r="E207" t="s">
        <v>1948</v>
      </c>
      <c r="F207" s="33" t="s">
        <v>2224</v>
      </c>
      <c r="G207" s="33" t="s">
        <v>1948</v>
      </c>
      <c r="H207" s="7">
        <f t="shared" si="3"/>
        <v>84.5625</v>
      </c>
      <c r="I207" s="7">
        <v>13.53</v>
      </c>
    </row>
    <row r="208" spans="1:9">
      <c r="A208" t="s">
        <v>2144</v>
      </c>
      <c r="B208" s="1">
        <v>42090</v>
      </c>
      <c r="C208" t="s">
        <v>2145</v>
      </c>
      <c r="D208">
        <v>1</v>
      </c>
      <c r="E208" t="s">
        <v>436</v>
      </c>
      <c r="F208" t="s">
        <v>868</v>
      </c>
      <c r="G208" t="s">
        <v>436</v>
      </c>
      <c r="H208" s="7">
        <f t="shared" si="3"/>
        <v>6445</v>
      </c>
      <c r="I208" s="7">
        <v>1031.2</v>
      </c>
    </row>
    <row r="209" spans="1:9">
      <c r="A209" t="s">
        <v>1409</v>
      </c>
      <c r="B209" s="1">
        <v>42090</v>
      </c>
      <c r="C209" t="s">
        <v>2146</v>
      </c>
      <c r="D209">
        <v>1</v>
      </c>
      <c r="E209" t="s">
        <v>436</v>
      </c>
      <c r="F209" t="s">
        <v>868</v>
      </c>
      <c r="G209" t="s">
        <v>436</v>
      </c>
      <c r="H209" s="7">
        <f t="shared" si="3"/>
        <v>10920.6875</v>
      </c>
      <c r="I209" s="7">
        <v>1747.31</v>
      </c>
    </row>
    <row r="210" spans="1:9">
      <c r="A210" t="s">
        <v>2100</v>
      </c>
      <c r="B210" s="1">
        <v>42081</v>
      </c>
      <c r="C210" t="s">
        <v>2101</v>
      </c>
      <c r="D210">
        <v>1</v>
      </c>
      <c r="E210" t="s">
        <v>2102</v>
      </c>
      <c r="F210" t="s">
        <v>871</v>
      </c>
      <c r="G210" t="s">
        <v>2102</v>
      </c>
      <c r="H210" s="7">
        <f t="shared" si="3"/>
        <v>1500</v>
      </c>
      <c r="I210" s="7">
        <v>240</v>
      </c>
    </row>
    <row r="211" spans="1:9">
      <c r="A211" t="s">
        <v>1741</v>
      </c>
      <c r="B211" s="1">
        <v>42088</v>
      </c>
      <c r="C211" t="s">
        <v>1742</v>
      </c>
      <c r="D211">
        <v>1</v>
      </c>
      <c r="E211" t="s">
        <v>1743</v>
      </c>
      <c r="F211" s="25" t="s">
        <v>875</v>
      </c>
      <c r="G211" s="17" t="s">
        <v>876</v>
      </c>
      <c r="H211" s="7">
        <f t="shared" si="3"/>
        <v>301014.625</v>
      </c>
      <c r="I211" s="7">
        <v>48162.34</v>
      </c>
    </row>
    <row r="212" spans="1:9">
      <c r="A212" t="s">
        <v>1685</v>
      </c>
      <c r="B212" s="1">
        <v>42073</v>
      </c>
      <c r="C212" t="s">
        <v>1686</v>
      </c>
      <c r="D212">
        <v>1</v>
      </c>
      <c r="E212" t="s">
        <v>98</v>
      </c>
      <c r="F212" s="35" t="s">
        <v>875</v>
      </c>
      <c r="G212" s="31" t="s">
        <v>877</v>
      </c>
      <c r="H212" s="7">
        <f t="shared" si="3"/>
        <v>479370.3125</v>
      </c>
      <c r="I212" s="7">
        <v>76699.25</v>
      </c>
    </row>
    <row r="213" spans="1:9">
      <c r="A213" t="s">
        <v>1659</v>
      </c>
      <c r="B213" s="1">
        <v>42068</v>
      </c>
      <c r="C213" t="s">
        <v>1660</v>
      </c>
      <c r="D213">
        <v>1</v>
      </c>
      <c r="E213" t="s">
        <v>56</v>
      </c>
      <c r="F213" s="35" t="s">
        <v>875</v>
      </c>
      <c r="G213" s="31" t="s">
        <v>877</v>
      </c>
      <c r="H213" s="7">
        <f t="shared" si="3"/>
        <v>156584.0625</v>
      </c>
      <c r="I213" s="7">
        <v>25053.45</v>
      </c>
    </row>
    <row r="214" spans="1:9">
      <c r="A214" t="s">
        <v>1715</v>
      </c>
      <c r="B214" s="1">
        <v>42084</v>
      </c>
      <c r="C214" t="s">
        <v>1716</v>
      </c>
      <c r="D214">
        <v>1</v>
      </c>
      <c r="E214" t="s">
        <v>56</v>
      </c>
      <c r="F214" s="35" t="s">
        <v>875</v>
      </c>
      <c r="G214" s="31" t="s">
        <v>877</v>
      </c>
      <c r="H214" s="7">
        <f t="shared" si="3"/>
        <v>264764.9375</v>
      </c>
      <c r="I214" s="7">
        <v>42362.39</v>
      </c>
    </row>
    <row r="215" spans="1:9">
      <c r="A215" t="s">
        <v>1726</v>
      </c>
      <c r="B215" s="1">
        <v>42086</v>
      </c>
      <c r="C215" t="s">
        <v>1117</v>
      </c>
      <c r="D215">
        <v>1</v>
      </c>
      <c r="E215" t="s">
        <v>0</v>
      </c>
      <c r="F215" s="32" t="s">
        <v>799</v>
      </c>
      <c r="G215" t="s">
        <v>0</v>
      </c>
      <c r="H215" s="7">
        <f t="shared" si="3"/>
        <v>-264764.8125</v>
      </c>
      <c r="I215" s="7">
        <v>-42362.37</v>
      </c>
    </row>
    <row r="216" spans="1:9">
      <c r="A216" t="s">
        <v>1744</v>
      </c>
      <c r="B216" s="1">
        <v>42088</v>
      </c>
      <c r="C216" t="s">
        <v>1117</v>
      </c>
      <c r="D216">
        <v>1</v>
      </c>
      <c r="E216" t="s">
        <v>0</v>
      </c>
      <c r="F216" s="32" t="s">
        <v>799</v>
      </c>
      <c r="G216" t="s">
        <v>0</v>
      </c>
      <c r="H216" s="7">
        <f t="shared" si="3"/>
        <v>264765</v>
      </c>
      <c r="I216" s="7">
        <v>42362.400000000001</v>
      </c>
    </row>
    <row r="217" spans="1:9">
      <c r="A217" t="s">
        <v>1698</v>
      </c>
      <c r="B217" s="1">
        <v>42082</v>
      </c>
      <c r="C217" t="s">
        <v>1128</v>
      </c>
      <c r="D217">
        <v>1</v>
      </c>
      <c r="E217" t="s">
        <v>0</v>
      </c>
      <c r="F217" s="32" t="s">
        <v>799</v>
      </c>
      <c r="G217" t="s">
        <v>0</v>
      </c>
      <c r="H217" s="7">
        <f t="shared" si="3"/>
        <v>-318084.5</v>
      </c>
      <c r="I217" s="7">
        <v>-50893.52</v>
      </c>
    </row>
    <row r="218" spans="1:9">
      <c r="A218" t="s">
        <v>1701</v>
      </c>
      <c r="B218" s="1">
        <v>42082</v>
      </c>
      <c r="C218" t="s">
        <v>1656</v>
      </c>
      <c r="D218">
        <v>1</v>
      </c>
      <c r="E218" t="s">
        <v>0</v>
      </c>
      <c r="F218" s="32" t="s">
        <v>799</v>
      </c>
      <c r="G218" t="s">
        <v>0</v>
      </c>
      <c r="H218" s="7">
        <f t="shared" si="3"/>
        <v>163936.625</v>
      </c>
      <c r="I218" s="7">
        <v>26229.86</v>
      </c>
    </row>
    <row r="219" spans="1:9">
      <c r="A219" t="s">
        <v>138</v>
      </c>
      <c r="B219" s="1">
        <v>42091</v>
      </c>
      <c r="C219" t="s">
        <v>1658</v>
      </c>
      <c r="D219">
        <v>1</v>
      </c>
      <c r="E219" t="s">
        <v>0</v>
      </c>
      <c r="F219" s="32" t="s">
        <v>799</v>
      </c>
      <c r="G219" t="s">
        <v>0</v>
      </c>
      <c r="H219" s="7">
        <f t="shared" si="3"/>
        <v>318084.5</v>
      </c>
      <c r="I219" s="7">
        <v>50893.52</v>
      </c>
    </row>
    <row r="220" spans="1:9">
      <c r="A220" t="s">
        <v>1725</v>
      </c>
      <c r="B220" s="1">
        <v>42086</v>
      </c>
      <c r="C220" t="s">
        <v>1661</v>
      </c>
      <c r="D220">
        <v>1</v>
      </c>
      <c r="E220" t="s">
        <v>0</v>
      </c>
      <c r="F220" s="32" t="s">
        <v>799</v>
      </c>
      <c r="G220" t="s">
        <v>0</v>
      </c>
      <c r="H220" s="7">
        <f t="shared" si="3"/>
        <v>148652.125</v>
      </c>
      <c r="I220" s="7">
        <v>23784.34</v>
      </c>
    </row>
    <row r="221" spans="1:9">
      <c r="A221" t="s">
        <v>1663</v>
      </c>
      <c r="B221" s="1">
        <v>42069</v>
      </c>
      <c r="C221" t="s">
        <v>1664</v>
      </c>
      <c r="D221">
        <v>1</v>
      </c>
      <c r="E221" t="s">
        <v>0</v>
      </c>
      <c r="F221" s="32" t="s">
        <v>799</v>
      </c>
      <c r="G221" t="s">
        <v>0</v>
      </c>
      <c r="H221" s="7">
        <f t="shared" si="3"/>
        <v>167890.8125</v>
      </c>
      <c r="I221" s="7">
        <v>26862.53</v>
      </c>
    </row>
    <row r="222" spans="1:9">
      <c r="A222" t="s">
        <v>1665</v>
      </c>
      <c r="B222" s="1">
        <v>42069</v>
      </c>
      <c r="C222" t="s">
        <v>1666</v>
      </c>
      <c r="D222">
        <v>1</v>
      </c>
      <c r="E222" t="s">
        <v>0</v>
      </c>
      <c r="F222" s="32" t="s">
        <v>799</v>
      </c>
      <c r="G222" t="s">
        <v>0</v>
      </c>
      <c r="H222" s="7">
        <f t="shared" si="3"/>
        <v>207461.06249999997</v>
      </c>
      <c r="I222" s="7">
        <v>33193.769999999997</v>
      </c>
    </row>
    <row r="223" spans="1:9">
      <c r="A223" t="s">
        <v>1667</v>
      </c>
      <c r="B223" s="1">
        <v>42069</v>
      </c>
      <c r="C223" t="s">
        <v>1668</v>
      </c>
      <c r="D223">
        <v>1</v>
      </c>
      <c r="E223" t="s">
        <v>0</v>
      </c>
      <c r="F223" s="32" t="s">
        <v>799</v>
      </c>
      <c r="G223" t="s">
        <v>0</v>
      </c>
      <c r="H223" s="7">
        <f t="shared" si="3"/>
        <v>367965.625</v>
      </c>
      <c r="I223" s="7">
        <v>58874.5</v>
      </c>
    </row>
    <row r="224" spans="1:9">
      <c r="A224" t="s">
        <v>1671</v>
      </c>
      <c r="B224" s="1">
        <v>42069</v>
      </c>
      <c r="C224" t="s">
        <v>1672</v>
      </c>
      <c r="D224">
        <v>1</v>
      </c>
      <c r="E224" t="s">
        <v>0</v>
      </c>
      <c r="F224" s="32" t="s">
        <v>799</v>
      </c>
      <c r="G224" t="s">
        <v>0</v>
      </c>
      <c r="H224" s="7">
        <f t="shared" si="3"/>
        <v>191300.1875</v>
      </c>
      <c r="I224" s="7">
        <v>30608.03</v>
      </c>
    </row>
    <row r="225" spans="1:9">
      <c r="A225" t="s">
        <v>1669</v>
      </c>
      <c r="B225" s="1">
        <v>42069</v>
      </c>
      <c r="C225" t="s">
        <v>1670</v>
      </c>
      <c r="D225">
        <v>1</v>
      </c>
      <c r="E225" t="s">
        <v>0</v>
      </c>
      <c r="F225" s="32" t="s">
        <v>799</v>
      </c>
      <c r="G225" t="s">
        <v>0</v>
      </c>
      <c r="H225" s="7">
        <f t="shared" si="3"/>
        <v>274943</v>
      </c>
      <c r="I225" s="7">
        <v>43990.879999999997</v>
      </c>
    </row>
    <row r="226" spans="1:9">
      <c r="A226" t="s">
        <v>1677</v>
      </c>
      <c r="B226" s="1">
        <v>42072</v>
      </c>
      <c r="C226" t="s">
        <v>1678</v>
      </c>
      <c r="D226">
        <v>1</v>
      </c>
      <c r="E226" t="s">
        <v>0</v>
      </c>
      <c r="F226" s="32" t="s">
        <v>799</v>
      </c>
      <c r="G226" t="s">
        <v>0</v>
      </c>
      <c r="H226" s="7">
        <f t="shared" si="3"/>
        <v>225940.56249999997</v>
      </c>
      <c r="I226" s="7">
        <v>36150.49</v>
      </c>
    </row>
    <row r="227" spans="1:9">
      <c r="A227" t="s">
        <v>1687</v>
      </c>
      <c r="B227" s="1">
        <v>42073</v>
      </c>
      <c r="C227" t="s">
        <v>1688</v>
      </c>
      <c r="D227">
        <v>1</v>
      </c>
      <c r="E227" t="s">
        <v>0</v>
      </c>
      <c r="F227" s="32" t="s">
        <v>799</v>
      </c>
      <c r="G227" t="s">
        <v>0</v>
      </c>
      <c r="H227" s="7">
        <f t="shared" si="3"/>
        <v>272689.8125</v>
      </c>
      <c r="I227" s="7">
        <v>43630.37</v>
      </c>
    </row>
    <row r="228" spans="1:9">
      <c r="A228" t="s">
        <v>1010</v>
      </c>
      <c r="B228" s="1">
        <v>42074</v>
      </c>
      <c r="C228" t="s">
        <v>1689</v>
      </c>
      <c r="D228">
        <v>1</v>
      </c>
      <c r="E228" t="s">
        <v>0</v>
      </c>
      <c r="F228" s="32" t="s">
        <v>799</v>
      </c>
      <c r="G228" t="s">
        <v>0</v>
      </c>
      <c r="H228" s="7">
        <f t="shared" si="3"/>
        <v>225942.25</v>
      </c>
      <c r="I228" s="7">
        <v>36150.76</v>
      </c>
    </row>
    <row r="229" spans="1:9">
      <c r="A229" t="s">
        <v>1699</v>
      </c>
      <c r="B229" s="1">
        <v>42082</v>
      </c>
      <c r="C229" t="s">
        <v>1700</v>
      </c>
      <c r="D229">
        <v>1</v>
      </c>
      <c r="E229" t="s">
        <v>0</v>
      </c>
      <c r="F229" s="32" t="s">
        <v>799</v>
      </c>
      <c r="G229" t="s">
        <v>0</v>
      </c>
      <c r="H229" s="7">
        <f t="shared" si="3"/>
        <v>318084.5</v>
      </c>
      <c r="I229" s="7">
        <v>50893.52</v>
      </c>
    </row>
    <row r="230" spans="1:9">
      <c r="A230" t="s">
        <v>1702</v>
      </c>
      <c r="B230" s="1">
        <v>42082</v>
      </c>
      <c r="C230" t="s">
        <v>1703</v>
      </c>
      <c r="D230">
        <v>1</v>
      </c>
      <c r="E230" t="s">
        <v>0</v>
      </c>
      <c r="F230" s="32" t="s">
        <v>799</v>
      </c>
      <c r="G230" t="s">
        <v>0</v>
      </c>
      <c r="H230" s="7">
        <f t="shared" si="3"/>
        <v>225942.25</v>
      </c>
      <c r="I230" s="7">
        <v>36150.76</v>
      </c>
    </row>
    <row r="231" spans="1:9">
      <c r="A231" t="s">
        <v>1704</v>
      </c>
      <c r="B231" s="1">
        <v>42082</v>
      </c>
      <c r="C231" t="s">
        <v>1705</v>
      </c>
      <c r="D231">
        <v>1</v>
      </c>
      <c r="E231" t="s">
        <v>0</v>
      </c>
      <c r="F231" s="32" t="s">
        <v>799</v>
      </c>
      <c r="G231" t="s">
        <v>0</v>
      </c>
      <c r="H231" s="7">
        <f t="shared" si="3"/>
        <v>217060.87499999997</v>
      </c>
      <c r="I231" s="7">
        <v>34729.74</v>
      </c>
    </row>
    <row r="232" spans="1:9">
      <c r="A232" t="s">
        <v>1706</v>
      </c>
      <c r="B232" s="1">
        <v>42082</v>
      </c>
      <c r="C232" t="s">
        <v>1707</v>
      </c>
      <c r="D232">
        <v>1</v>
      </c>
      <c r="E232" t="s">
        <v>0</v>
      </c>
      <c r="F232" s="32" t="s">
        <v>799</v>
      </c>
      <c r="G232" t="s">
        <v>0</v>
      </c>
      <c r="H232" s="7">
        <f t="shared" si="3"/>
        <v>225942.4375</v>
      </c>
      <c r="I232" s="7">
        <v>36150.79</v>
      </c>
    </row>
    <row r="233" spans="1:9">
      <c r="A233" t="s">
        <v>1710</v>
      </c>
      <c r="B233" s="1">
        <v>42083</v>
      </c>
      <c r="C233" t="s">
        <v>1711</v>
      </c>
      <c r="D233">
        <v>1</v>
      </c>
      <c r="E233" t="s">
        <v>0</v>
      </c>
      <c r="F233" s="32" t="s">
        <v>799</v>
      </c>
      <c r="G233" t="s">
        <v>0</v>
      </c>
      <c r="H233" s="7">
        <f t="shared" si="3"/>
        <v>225942.4375</v>
      </c>
      <c r="I233" s="7">
        <v>36150.79</v>
      </c>
    </row>
    <row r="234" spans="1:9">
      <c r="A234" t="s">
        <v>1772</v>
      </c>
      <c r="B234" s="1">
        <v>42091</v>
      </c>
      <c r="C234" t="s">
        <v>1712</v>
      </c>
      <c r="D234">
        <v>1</v>
      </c>
      <c r="E234" t="s">
        <v>0</v>
      </c>
      <c r="F234" s="32" t="s">
        <v>799</v>
      </c>
      <c r="G234" t="s">
        <v>0</v>
      </c>
      <c r="H234" s="7">
        <f t="shared" si="3"/>
        <v>318084.5</v>
      </c>
      <c r="I234" s="7">
        <v>50893.52</v>
      </c>
    </row>
    <row r="235" spans="1:9">
      <c r="A235" t="s">
        <v>1713</v>
      </c>
      <c r="B235" s="1">
        <v>42084</v>
      </c>
      <c r="C235" t="s">
        <v>1714</v>
      </c>
      <c r="D235">
        <v>1</v>
      </c>
      <c r="E235" t="s">
        <v>0</v>
      </c>
      <c r="F235" s="32" t="s">
        <v>799</v>
      </c>
      <c r="G235" t="s">
        <v>0</v>
      </c>
      <c r="H235" s="7">
        <f t="shared" si="3"/>
        <v>301014.625</v>
      </c>
      <c r="I235" s="7">
        <v>48162.34</v>
      </c>
    </row>
    <row r="236" spans="1:9">
      <c r="A236" t="s">
        <v>1723</v>
      </c>
      <c r="B236" s="1">
        <v>42086</v>
      </c>
      <c r="C236" t="s">
        <v>1724</v>
      </c>
      <c r="D236">
        <v>1</v>
      </c>
      <c r="E236" t="s">
        <v>0</v>
      </c>
      <c r="F236" s="32" t="s">
        <v>799</v>
      </c>
      <c r="G236" t="s">
        <v>0</v>
      </c>
      <c r="H236" s="7">
        <f t="shared" si="3"/>
        <v>479372.0625</v>
      </c>
      <c r="I236" s="7">
        <v>76699.53</v>
      </c>
    </row>
    <row r="237" spans="1:9">
      <c r="A237" t="s">
        <v>1727</v>
      </c>
      <c r="B237" s="1">
        <v>42086</v>
      </c>
      <c r="C237" t="s">
        <v>1728</v>
      </c>
      <c r="D237">
        <v>1</v>
      </c>
      <c r="E237" t="s">
        <v>0</v>
      </c>
      <c r="F237" s="32" t="s">
        <v>799</v>
      </c>
      <c r="G237" t="s">
        <v>0</v>
      </c>
      <c r="H237" s="7">
        <f t="shared" si="3"/>
        <v>177356.3125</v>
      </c>
      <c r="I237" s="7">
        <v>28377.01</v>
      </c>
    </row>
    <row r="238" spans="1:9">
      <c r="A238" t="s">
        <v>1729</v>
      </c>
      <c r="B238" s="1">
        <v>42086</v>
      </c>
      <c r="C238" t="s">
        <v>1730</v>
      </c>
      <c r="D238">
        <v>1</v>
      </c>
      <c r="E238" t="s">
        <v>0</v>
      </c>
      <c r="F238" s="32" t="s">
        <v>799</v>
      </c>
      <c r="G238" t="s">
        <v>0</v>
      </c>
      <c r="H238" s="7">
        <f t="shared" si="3"/>
        <v>156409.0625</v>
      </c>
      <c r="I238" s="7">
        <v>25025.45</v>
      </c>
    </row>
    <row r="239" spans="1:9">
      <c r="A239" t="s">
        <v>1731</v>
      </c>
      <c r="B239" s="1">
        <v>42086</v>
      </c>
      <c r="C239" t="s">
        <v>1732</v>
      </c>
      <c r="D239">
        <v>1</v>
      </c>
      <c r="E239" t="s">
        <v>0</v>
      </c>
      <c r="F239" s="32" t="s">
        <v>799</v>
      </c>
      <c r="G239" t="s">
        <v>0</v>
      </c>
      <c r="H239" s="7">
        <f t="shared" si="3"/>
        <v>156409.0625</v>
      </c>
      <c r="I239" s="7">
        <v>25025.45</v>
      </c>
    </row>
    <row r="240" spans="1:9">
      <c r="A240" t="s">
        <v>1733</v>
      </c>
      <c r="B240" s="1">
        <v>42087</v>
      </c>
      <c r="C240" t="s">
        <v>1734</v>
      </c>
      <c r="D240">
        <v>1</v>
      </c>
      <c r="E240" t="s">
        <v>0</v>
      </c>
      <c r="F240" s="32" t="s">
        <v>799</v>
      </c>
      <c r="G240" t="s">
        <v>0</v>
      </c>
      <c r="H240" s="7">
        <f t="shared" si="3"/>
        <v>301014.625</v>
      </c>
      <c r="I240" s="7">
        <v>48162.34</v>
      </c>
    </row>
    <row r="241" spans="1:9">
      <c r="A241" t="s">
        <v>1745</v>
      </c>
      <c r="B241" s="1">
        <v>42088</v>
      </c>
      <c r="C241" t="s">
        <v>1746</v>
      </c>
      <c r="D241">
        <v>1</v>
      </c>
      <c r="E241" t="s">
        <v>0</v>
      </c>
      <c r="F241" s="32" t="s">
        <v>799</v>
      </c>
      <c r="G241" t="s">
        <v>0</v>
      </c>
      <c r="H241" s="7">
        <f t="shared" si="3"/>
        <v>207461.06249999997</v>
      </c>
      <c r="I241" s="7">
        <v>33193.769999999997</v>
      </c>
    </row>
    <row r="242" spans="1:9">
      <c r="A242" t="s">
        <v>1747</v>
      </c>
      <c r="B242" s="1">
        <v>42088</v>
      </c>
      <c r="C242" t="s">
        <v>1748</v>
      </c>
      <c r="D242">
        <v>1</v>
      </c>
      <c r="E242" t="s">
        <v>0</v>
      </c>
      <c r="F242" s="32" t="s">
        <v>799</v>
      </c>
      <c r="G242" t="s">
        <v>0</v>
      </c>
      <c r="H242" s="7">
        <f t="shared" si="3"/>
        <v>301794.3125</v>
      </c>
      <c r="I242" s="7">
        <v>48287.09</v>
      </c>
    </row>
    <row r="243" spans="1:9">
      <c r="A243" t="s">
        <v>1754</v>
      </c>
      <c r="B243" s="1">
        <v>42089</v>
      </c>
      <c r="C243" t="s">
        <v>1755</v>
      </c>
      <c r="D243">
        <v>1</v>
      </c>
      <c r="E243" t="s">
        <v>0</v>
      </c>
      <c r="F243" s="32" t="s">
        <v>799</v>
      </c>
      <c r="G243" t="s">
        <v>0</v>
      </c>
      <c r="H243" s="7">
        <f t="shared" si="3"/>
        <v>301014.625</v>
      </c>
      <c r="I243" s="7">
        <v>48162.34</v>
      </c>
    </row>
    <row r="244" spans="1:9">
      <c r="A244" t="s">
        <v>1756</v>
      </c>
      <c r="B244" s="1">
        <v>42089</v>
      </c>
      <c r="C244" t="s">
        <v>1757</v>
      </c>
      <c r="D244">
        <v>1</v>
      </c>
      <c r="E244" t="s">
        <v>0</v>
      </c>
      <c r="F244" s="32" t="s">
        <v>799</v>
      </c>
      <c r="G244" t="s">
        <v>0</v>
      </c>
      <c r="H244" s="7">
        <f t="shared" si="3"/>
        <v>156409.0625</v>
      </c>
      <c r="I244" s="7">
        <v>25025.45</v>
      </c>
    </row>
    <row r="245" spans="1:9">
      <c r="A245" t="s">
        <v>1758</v>
      </c>
      <c r="B245" s="1">
        <v>42089</v>
      </c>
      <c r="C245" t="s">
        <v>1759</v>
      </c>
      <c r="D245">
        <v>1</v>
      </c>
      <c r="E245" t="s">
        <v>0</v>
      </c>
      <c r="F245" s="32" t="s">
        <v>799</v>
      </c>
      <c r="G245" t="s">
        <v>0</v>
      </c>
      <c r="H245" s="7">
        <f t="shared" si="3"/>
        <v>186123.9375</v>
      </c>
      <c r="I245" s="7">
        <v>29779.83</v>
      </c>
    </row>
    <row r="246" spans="1:9">
      <c r="A246" t="s">
        <v>1760</v>
      </c>
      <c r="B246" s="1">
        <v>42089</v>
      </c>
      <c r="C246" t="s">
        <v>1761</v>
      </c>
      <c r="D246">
        <v>1</v>
      </c>
      <c r="E246" t="s">
        <v>0</v>
      </c>
      <c r="F246" s="32" t="s">
        <v>799</v>
      </c>
      <c r="G246" t="s">
        <v>0</v>
      </c>
      <c r="H246" s="7">
        <f t="shared" si="3"/>
        <v>177356.3125</v>
      </c>
      <c r="I246" s="7">
        <v>28377.01</v>
      </c>
    </row>
    <row r="247" spans="1:9">
      <c r="A247" t="s">
        <v>1768</v>
      </c>
      <c r="B247" s="1">
        <v>42090</v>
      </c>
      <c r="C247" t="s">
        <v>1769</v>
      </c>
      <c r="D247">
        <v>1</v>
      </c>
      <c r="E247" t="s">
        <v>0</v>
      </c>
      <c r="F247" s="32" t="s">
        <v>799</v>
      </c>
      <c r="G247" t="s">
        <v>0</v>
      </c>
      <c r="H247" s="7">
        <f t="shared" si="3"/>
        <v>301014.625</v>
      </c>
      <c r="I247" s="7">
        <v>48162.34</v>
      </c>
    </row>
    <row r="248" spans="1:9">
      <c r="A248" t="s">
        <v>1770</v>
      </c>
      <c r="B248" s="1">
        <v>42090</v>
      </c>
      <c r="C248" t="s">
        <v>1771</v>
      </c>
      <c r="D248">
        <v>1</v>
      </c>
      <c r="E248" t="s">
        <v>0</v>
      </c>
      <c r="F248" s="32" t="s">
        <v>799</v>
      </c>
      <c r="G248" t="s">
        <v>0</v>
      </c>
      <c r="H248" s="7">
        <f t="shared" si="3"/>
        <v>402859.875</v>
      </c>
      <c r="I248" s="7">
        <v>64457.58</v>
      </c>
    </row>
    <row r="249" spans="1:9">
      <c r="A249" t="s">
        <v>1773</v>
      </c>
      <c r="B249" s="1">
        <v>42091</v>
      </c>
      <c r="C249" t="s">
        <v>1774</v>
      </c>
      <c r="D249">
        <v>1</v>
      </c>
      <c r="E249" t="s">
        <v>0</v>
      </c>
      <c r="F249" s="32" t="s">
        <v>799</v>
      </c>
      <c r="G249" t="s">
        <v>0</v>
      </c>
      <c r="H249" s="7">
        <f t="shared" si="3"/>
        <v>156410.75</v>
      </c>
      <c r="I249" s="7">
        <v>25025.72</v>
      </c>
    </row>
    <row r="250" spans="1:9">
      <c r="A250" t="s">
        <v>1775</v>
      </c>
      <c r="B250" s="1">
        <v>42091</v>
      </c>
      <c r="C250" t="s">
        <v>1776</v>
      </c>
      <c r="D250">
        <v>1</v>
      </c>
      <c r="E250" t="s">
        <v>0</v>
      </c>
      <c r="F250" s="32" t="s">
        <v>799</v>
      </c>
      <c r="G250" t="s">
        <v>0</v>
      </c>
      <c r="H250" s="7">
        <f t="shared" si="3"/>
        <v>163934.875</v>
      </c>
      <c r="I250" s="7">
        <v>26229.58</v>
      </c>
    </row>
    <row r="251" spans="1:9">
      <c r="A251" t="s">
        <v>1777</v>
      </c>
      <c r="B251" s="1">
        <v>42091</v>
      </c>
      <c r="C251" t="s">
        <v>1778</v>
      </c>
      <c r="D251">
        <v>1</v>
      </c>
      <c r="E251" t="s">
        <v>0</v>
      </c>
      <c r="F251" s="32" t="s">
        <v>799</v>
      </c>
      <c r="G251" t="s">
        <v>0</v>
      </c>
      <c r="H251" s="7">
        <f t="shared" si="3"/>
        <v>156409.0625</v>
      </c>
      <c r="I251" s="7">
        <v>25025.45</v>
      </c>
    </row>
    <row r="252" spans="1:9">
      <c r="A252" t="s">
        <v>1779</v>
      </c>
      <c r="B252" s="1">
        <v>42091</v>
      </c>
      <c r="C252" t="s">
        <v>1780</v>
      </c>
      <c r="D252">
        <v>1</v>
      </c>
      <c r="E252" t="s">
        <v>0</v>
      </c>
      <c r="F252" s="32" t="s">
        <v>799</v>
      </c>
      <c r="G252" t="s">
        <v>0</v>
      </c>
      <c r="H252" s="7">
        <f t="shared" si="3"/>
        <v>156409.0625</v>
      </c>
      <c r="I252" s="7">
        <v>25025.45</v>
      </c>
    </row>
    <row r="253" spans="1:9">
      <c r="A253" t="s">
        <v>1781</v>
      </c>
      <c r="B253" s="1">
        <v>42091</v>
      </c>
      <c r="C253" t="s">
        <v>1782</v>
      </c>
      <c r="D253">
        <v>1</v>
      </c>
      <c r="E253" t="s">
        <v>0</v>
      </c>
      <c r="F253" s="32" t="s">
        <v>799</v>
      </c>
      <c r="G253" t="s">
        <v>0</v>
      </c>
      <c r="H253" s="7">
        <f t="shared" si="3"/>
        <v>163934.875</v>
      </c>
      <c r="I253" s="7">
        <v>26229.58</v>
      </c>
    </row>
    <row r="254" spans="1:9">
      <c r="A254" t="s">
        <v>1783</v>
      </c>
      <c r="B254" s="1">
        <v>42091</v>
      </c>
      <c r="C254" t="s">
        <v>1784</v>
      </c>
      <c r="D254">
        <v>1</v>
      </c>
      <c r="E254" t="s">
        <v>0</v>
      </c>
      <c r="F254" s="32" t="s">
        <v>799</v>
      </c>
      <c r="G254" t="s">
        <v>0</v>
      </c>
      <c r="H254" s="7">
        <f t="shared" si="3"/>
        <v>163934.875</v>
      </c>
      <c r="I254" s="7">
        <v>26229.58</v>
      </c>
    </row>
    <row r="255" spans="1:9">
      <c r="A255" t="s">
        <v>1785</v>
      </c>
      <c r="B255" s="1">
        <v>42091</v>
      </c>
      <c r="C255" t="s">
        <v>1786</v>
      </c>
      <c r="D255">
        <v>1</v>
      </c>
      <c r="E255" t="s">
        <v>0</v>
      </c>
      <c r="F255" s="32" t="s">
        <v>799</v>
      </c>
      <c r="G255" t="s">
        <v>0</v>
      </c>
      <c r="H255" s="7">
        <f t="shared" si="3"/>
        <v>163934.875</v>
      </c>
      <c r="I255" s="7">
        <v>26229.58</v>
      </c>
    </row>
    <row r="256" spans="1:9">
      <c r="A256" t="s">
        <v>1801</v>
      </c>
      <c r="B256" s="1">
        <v>42093</v>
      </c>
      <c r="C256" t="s">
        <v>1802</v>
      </c>
      <c r="D256">
        <v>1</v>
      </c>
      <c r="E256" t="s">
        <v>0</v>
      </c>
      <c r="F256" s="32" t="s">
        <v>799</v>
      </c>
      <c r="G256" t="s">
        <v>0</v>
      </c>
      <c r="H256" s="7">
        <f t="shared" si="3"/>
        <v>163934.875</v>
      </c>
      <c r="I256" s="7">
        <v>26229.58</v>
      </c>
    </row>
    <row r="257" spans="1:9">
      <c r="A257" t="s">
        <v>1803</v>
      </c>
      <c r="B257" s="1">
        <v>42093</v>
      </c>
      <c r="C257" t="s">
        <v>1804</v>
      </c>
      <c r="D257">
        <v>1</v>
      </c>
      <c r="E257" t="s">
        <v>0</v>
      </c>
      <c r="F257" s="32" t="s">
        <v>799</v>
      </c>
      <c r="G257" t="s">
        <v>0</v>
      </c>
      <c r="H257" s="7">
        <f t="shared" si="3"/>
        <v>163934.875</v>
      </c>
      <c r="I257" s="7">
        <v>26229.58</v>
      </c>
    </row>
    <row r="258" spans="1:9">
      <c r="A258" t="s">
        <v>1799</v>
      </c>
      <c r="B258" s="1">
        <v>42093</v>
      </c>
      <c r="C258" t="s">
        <v>1800</v>
      </c>
      <c r="D258">
        <v>1</v>
      </c>
      <c r="E258" t="s">
        <v>0</v>
      </c>
      <c r="F258" s="32" t="s">
        <v>799</v>
      </c>
      <c r="G258" t="s">
        <v>0</v>
      </c>
      <c r="H258" s="7">
        <f t="shared" si="3"/>
        <v>186123.9375</v>
      </c>
      <c r="I258" s="7">
        <v>29779.83</v>
      </c>
    </row>
    <row r="259" spans="1:9">
      <c r="A259" t="s">
        <v>1805</v>
      </c>
      <c r="B259" s="1">
        <v>42093</v>
      </c>
      <c r="C259" t="s">
        <v>1806</v>
      </c>
      <c r="D259">
        <v>1</v>
      </c>
      <c r="E259" t="s">
        <v>0</v>
      </c>
      <c r="F259" s="32" t="s">
        <v>799</v>
      </c>
      <c r="G259" t="s">
        <v>0</v>
      </c>
      <c r="H259" s="7">
        <f t="shared" si="3"/>
        <v>186123.9375</v>
      </c>
      <c r="I259" s="7">
        <v>29779.83</v>
      </c>
    </row>
    <row r="260" spans="1:9">
      <c r="A260" t="s">
        <v>1823</v>
      </c>
      <c r="B260" s="1">
        <v>42094</v>
      </c>
      <c r="C260" t="s">
        <v>1824</v>
      </c>
      <c r="D260">
        <v>1</v>
      </c>
      <c r="E260" t="s">
        <v>0</v>
      </c>
      <c r="F260" s="32" t="s">
        <v>799</v>
      </c>
      <c r="G260" t="s">
        <v>0</v>
      </c>
      <c r="H260" s="7">
        <f t="shared" si="3"/>
        <v>186123.9375</v>
      </c>
      <c r="I260" s="7">
        <v>29779.83</v>
      </c>
    </row>
    <row r="261" spans="1:9">
      <c r="A261" t="s">
        <v>1807</v>
      </c>
      <c r="B261" s="1">
        <v>42093</v>
      </c>
      <c r="C261" t="s">
        <v>1808</v>
      </c>
      <c r="D261">
        <v>1</v>
      </c>
      <c r="E261" t="s">
        <v>0</v>
      </c>
      <c r="F261" s="32" t="s">
        <v>799</v>
      </c>
      <c r="G261" t="s">
        <v>0</v>
      </c>
      <c r="H261" s="7">
        <f t="shared" ref="H261:H354" si="4">+I261/0.16</f>
        <v>387492.9375</v>
      </c>
      <c r="I261" s="7">
        <v>61998.87</v>
      </c>
    </row>
    <row r="262" spans="1:9">
      <c r="A262" t="s">
        <v>1812</v>
      </c>
      <c r="B262" s="1">
        <v>42094</v>
      </c>
      <c r="C262" t="s">
        <v>1813</v>
      </c>
      <c r="D262">
        <v>1</v>
      </c>
      <c r="E262" t="s">
        <v>0</v>
      </c>
      <c r="F262" s="32" t="s">
        <v>799</v>
      </c>
      <c r="G262" t="s">
        <v>0</v>
      </c>
      <c r="H262" s="7">
        <f t="shared" si="4"/>
        <v>207461.06249999997</v>
      </c>
      <c r="I262" s="7">
        <v>33193.769999999997</v>
      </c>
    </row>
    <row r="263" spans="1:9">
      <c r="A263" t="s">
        <v>1814</v>
      </c>
      <c r="B263" s="1">
        <v>42094</v>
      </c>
      <c r="C263" t="s">
        <v>1815</v>
      </c>
      <c r="D263">
        <v>1</v>
      </c>
      <c r="E263" t="s">
        <v>0</v>
      </c>
      <c r="F263" s="32" t="s">
        <v>799</v>
      </c>
      <c r="G263" t="s">
        <v>0</v>
      </c>
      <c r="H263" s="7">
        <f t="shared" si="4"/>
        <v>156410.75</v>
      </c>
      <c r="I263" s="7">
        <v>25025.72</v>
      </c>
    </row>
    <row r="264" spans="1:9">
      <c r="A264" t="s">
        <v>1189</v>
      </c>
      <c r="B264" s="1">
        <v>42094</v>
      </c>
      <c r="C264" t="s">
        <v>1816</v>
      </c>
      <c r="D264">
        <v>1</v>
      </c>
      <c r="E264" t="s">
        <v>0</v>
      </c>
      <c r="F264" s="32" t="s">
        <v>799</v>
      </c>
      <c r="G264" t="s">
        <v>0</v>
      </c>
      <c r="H264" s="7">
        <f t="shared" si="4"/>
        <v>338214.5</v>
      </c>
      <c r="I264" s="7">
        <v>54114.32</v>
      </c>
    </row>
    <row r="265" spans="1:9">
      <c r="A265" t="s">
        <v>1219</v>
      </c>
      <c r="B265" s="1">
        <v>42094</v>
      </c>
      <c r="C265" t="s">
        <v>1817</v>
      </c>
      <c r="D265">
        <v>1</v>
      </c>
      <c r="E265" t="s">
        <v>0</v>
      </c>
      <c r="F265" s="32" t="s">
        <v>799</v>
      </c>
      <c r="G265" t="s">
        <v>0</v>
      </c>
      <c r="H265" s="7">
        <f t="shared" si="4"/>
        <v>167890.8125</v>
      </c>
      <c r="I265" s="7">
        <v>26862.53</v>
      </c>
    </row>
    <row r="266" spans="1:9">
      <c r="A266" t="s">
        <v>1222</v>
      </c>
      <c r="B266" s="1">
        <v>42094</v>
      </c>
      <c r="C266" t="s">
        <v>1818</v>
      </c>
      <c r="D266">
        <v>1</v>
      </c>
      <c r="E266" t="s">
        <v>0</v>
      </c>
      <c r="F266" s="32" t="s">
        <v>799</v>
      </c>
      <c r="G266" t="s">
        <v>0</v>
      </c>
      <c r="H266" s="7">
        <f t="shared" si="4"/>
        <v>177356.3125</v>
      </c>
      <c r="I266" s="7">
        <v>28377.01</v>
      </c>
    </row>
    <row r="267" spans="1:9">
      <c r="A267" t="s">
        <v>1819</v>
      </c>
      <c r="B267" s="1">
        <v>42094</v>
      </c>
      <c r="C267" t="s">
        <v>1820</v>
      </c>
      <c r="D267">
        <v>1</v>
      </c>
      <c r="E267" t="s">
        <v>0</v>
      </c>
      <c r="F267" s="32" t="s">
        <v>799</v>
      </c>
      <c r="G267" t="s">
        <v>0</v>
      </c>
      <c r="H267" s="7">
        <f t="shared" si="4"/>
        <v>177356.3125</v>
      </c>
      <c r="I267" s="7">
        <v>28377.01</v>
      </c>
    </row>
    <row r="268" spans="1:9">
      <c r="A268" t="s">
        <v>1235</v>
      </c>
      <c r="B268" s="1">
        <v>42094</v>
      </c>
      <c r="C268" t="s">
        <v>1822</v>
      </c>
      <c r="D268">
        <v>1</v>
      </c>
      <c r="E268" t="s">
        <v>0</v>
      </c>
      <c r="F268" s="32" t="s">
        <v>799</v>
      </c>
      <c r="G268" t="s">
        <v>0</v>
      </c>
      <c r="H268" s="7">
        <f t="shared" si="4"/>
        <v>329117.9375</v>
      </c>
      <c r="I268" s="7">
        <v>52658.87</v>
      </c>
    </row>
    <row r="269" spans="1:9">
      <c r="A269" t="s">
        <v>191</v>
      </c>
      <c r="B269" s="1">
        <v>42094</v>
      </c>
      <c r="C269" t="s">
        <v>1821</v>
      </c>
      <c r="D269">
        <v>1</v>
      </c>
      <c r="E269" t="s">
        <v>0</v>
      </c>
      <c r="F269" s="32" t="s">
        <v>799</v>
      </c>
      <c r="G269" t="s">
        <v>0</v>
      </c>
      <c r="H269" s="7">
        <f t="shared" si="4"/>
        <v>186123.9375</v>
      </c>
      <c r="I269" s="7">
        <v>29779.83</v>
      </c>
    </row>
    <row r="270" spans="1:9">
      <c r="A270" t="s">
        <v>1451</v>
      </c>
      <c r="B270" s="1">
        <v>42093</v>
      </c>
      <c r="C270" t="s">
        <v>2155</v>
      </c>
      <c r="D270">
        <v>1</v>
      </c>
      <c r="E270" t="s">
        <v>1361</v>
      </c>
      <c r="F270" s="32" t="s">
        <v>799</v>
      </c>
      <c r="G270" t="s">
        <v>0</v>
      </c>
      <c r="H270" s="7">
        <f t="shared" si="4"/>
        <v>592831.9375</v>
      </c>
      <c r="I270" s="7">
        <v>94853.11</v>
      </c>
    </row>
    <row r="271" spans="1:9">
      <c r="A271" t="s">
        <v>1884</v>
      </c>
      <c r="B271" s="1">
        <v>42094</v>
      </c>
      <c r="C271">
        <v>11609</v>
      </c>
      <c r="D271">
        <v>1</v>
      </c>
      <c r="E271" t="s">
        <v>414</v>
      </c>
      <c r="F271" t="s">
        <v>878</v>
      </c>
      <c r="G271" t="s">
        <v>414</v>
      </c>
      <c r="H271" s="7">
        <f t="shared" si="4"/>
        <v>380</v>
      </c>
      <c r="I271" s="7">
        <v>60.8</v>
      </c>
    </row>
    <row r="272" spans="1:9">
      <c r="A272" t="s">
        <v>1968</v>
      </c>
      <c r="B272" s="1">
        <v>42094</v>
      </c>
      <c r="C272">
        <v>11684</v>
      </c>
      <c r="D272">
        <v>1</v>
      </c>
      <c r="E272" t="s">
        <v>414</v>
      </c>
      <c r="F272" s="33" t="s">
        <v>878</v>
      </c>
      <c r="G272" s="33" t="s">
        <v>414</v>
      </c>
      <c r="H272" s="7">
        <f t="shared" si="4"/>
        <v>380</v>
      </c>
      <c r="I272" s="7">
        <v>60.8</v>
      </c>
    </row>
    <row r="273" spans="1:11">
      <c r="A273" t="s">
        <v>1952</v>
      </c>
      <c r="B273" s="1">
        <v>42094</v>
      </c>
      <c r="C273" t="s">
        <v>1953</v>
      </c>
      <c r="D273">
        <v>1</v>
      </c>
      <c r="E273" t="s">
        <v>1954</v>
      </c>
      <c r="F273" t="s">
        <v>722</v>
      </c>
      <c r="G273" s="33" t="s">
        <v>723</v>
      </c>
      <c r="H273" s="7">
        <f t="shared" si="4"/>
        <v>56.0625</v>
      </c>
      <c r="I273" s="7">
        <v>8.9700000000000006</v>
      </c>
    </row>
    <row r="274" spans="1:11">
      <c r="A274" t="s">
        <v>1902</v>
      </c>
      <c r="B274" s="1">
        <v>42094</v>
      </c>
      <c r="C274" t="s">
        <v>1903</v>
      </c>
      <c r="D274">
        <v>1</v>
      </c>
      <c r="E274" t="s">
        <v>1904</v>
      </c>
      <c r="F274" t="s">
        <v>749</v>
      </c>
      <c r="G274" t="s">
        <v>750</v>
      </c>
      <c r="H274" s="2">
        <v>75</v>
      </c>
      <c r="I274" s="2">
        <v>12</v>
      </c>
    </row>
    <row r="275" spans="1:11">
      <c r="A275" t="s">
        <v>1902</v>
      </c>
      <c r="B275" s="1">
        <v>42094</v>
      </c>
      <c r="C275" t="s">
        <v>1903</v>
      </c>
      <c r="D275">
        <v>1</v>
      </c>
      <c r="E275" t="s">
        <v>1904</v>
      </c>
      <c r="F275" t="s">
        <v>722</v>
      </c>
      <c r="G275" t="s">
        <v>723</v>
      </c>
      <c r="H275" s="2">
        <v>382.75</v>
      </c>
      <c r="I275" s="2">
        <v>61.24</v>
      </c>
    </row>
    <row r="276" spans="1:11">
      <c r="A276" t="s">
        <v>1902</v>
      </c>
      <c r="B276" s="1">
        <v>42094</v>
      </c>
      <c r="C276" t="s">
        <v>1903</v>
      </c>
      <c r="D276">
        <v>1</v>
      </c>
      <c r="E276" t="s">
        <v>1904</v>
      </c>
      <c r="F276" t="s">
        <v>915</v>
      </c>
      <c r="G276" t="s">
        <v>916</v>
      </c>
      <c r="H276" s="2">
        <v>681.0625</v>
      </c>
      <c r="I276" s="2">
        <v>108.97</v>
      </c>
    </row>
    <row r="277" spans="1:11">
      <c r="A277" t="s">
        <v>1902</v>
      </c>
      <c r="B277" s="1">
        <v>42094</v>
      </c>
      <c r="C277" t="s">
        <v>1903</v>
      </c>
      <c r="D277">
        <v>1</v>
      </c>
      <c r="E277" t="s">
        <v>1904</v>
      </c>
      <c r="F277" t="s">
        <v>945</v>
      </c>
      <c r="G277" t="s">
        <v>946</v>
      </c>
      <c r="H277" s="2">
        <v>887.875</v>
      </c>
      <c r="I277" s="2">
        <v>142.06</v>
      </c>
    </row>
    <row r="278" spans="1:11">
      <c r="A278" t="s">
        <v>1902</v>
      </c>
      <c r="B278" s="1">
        <v>42094</v>
      </c>
      <c r="C278" t="s">
        <v>1903</v>
      </c>
      <c r="D278">
        <v>1</v>
      </c>
      <c r="E278" t="s">
        <v>1904</v>
      </c>
      <c r="F278" t="s">
        <v>947</v>
      </c>
      <c r="G278" t="s">
        <v>948</v>
      </c>
      <c r="H278" s="2">
        <v>419.375</v>
      </c>
      <c r="I278" s="2">
        <v>67.099999999999994</v>
      </c>
      <c r="J278" s="7">
        <f>2446.06-H274-H275-H276-H277-H278</f>
        <v>-2.5000000000545697E-3</v>
      </c>
      <c r="K278" s="7">
        <f>391.37-I274-I275-I276-I277-I278</f>
        <v>0</v>
      </c>
    </row>
    <row r="279" spans="1:11">
      <c r="A279" t="s">
        <v>1979</v>
      </c>
      <c r="B279" s="1">
        <v>42094</v>
      </c>
      <c r="C279" t="s">
        <v>1980</v>
      </c>
      <c r="D279">
        <v>1</v>
      </c>
      <c r="E279" t="s">
        <v>1981</v>
      </c>
      <c r="F279" t="s">
        <v>722</v>
      </c>
      <c r="G279" s="33" t="s">
        <v>723</v>
      </c>
      <c r="H279" s="7">
        <f>+I279/0.16</f>
        <v>80.1875</v>
      </c>
      <c r="I279" s="7">
        <v>12.83</v>
      </c>
    </row>
    <row r="280" spans="1:11">
      <c r="A280" t="s">
        <v>1893</v>
      </c>
      <c r="B280" s="1">
        <v>42094</v>
      </c>
      <c r="C280" t="s">
        <v>1894</v>
      </c>
      <c r="D280">
        <v>1</v>
      </c>
      <c r="E280" t="s">
        <v>1895</v>
      </c>
      <c r="F280" t="s">
        <v>722</v>
      </c>
      <c r="G280" t="s">
        <v>723</v>
      </c>
      <c r="H280" s="2">
        <v>644</v>
      </c>
      <c r="I280" s="2">
        <v>103.04</v>
      </c>
    </row>
    <row r="281" spans="1:11">
      <c r="A281" t="s">
        <v>1893</v>
      </c>
      <c r="B281" s="1">
        <v>42094</v>
      </c>
      <c r="C281" t="s">
        <v>1894</v>
      </c>
      <c r="D281">
        <v>1</v>
      </c>
      <c r="E281" t="s">
        <v>1895</v>
      </c>
      <c r="F281" t="s">
        <v>2225</v>
      </c>
      <c r="G281" t="s">
        <v>2226</v>
      </c>
      <c r="H281" s="2">
        <v>755.3125</v>
      </c>
      <c r="I281" s="2">
        <v>120.85</v>
      </c>
    </row>
    <row r="282" spans="1:11">
      <c r="A282" t="s">
        <v>1893</v>
      </c>
      <c r="B282" s="1">
        <v>42094</v>
      </c>
      <c r="C282" t="s">
        <v>1894</v>
      </c>
      <c r="D282">
        <v>1</v>
      </c>
      <c r="E282" t="s">
        <v>1895</v>
      </c>
      <c r="F282" t="s">
        <v>915</v>
      </c>
      <c r="G282" t="s">
        <v>916</v>
      </c>
      <c r="H282" s="2">
        <v>681.0625</v>
      </c>
      <c r="I282" s="2">
        <v>108.97</v>
      </c>
    </row>
    <row r="283" spans="1:11">
      <c r="A283" t="s">
        <v>1893</v>
      </c>
      <c r="B283" s="1">
        <v>42094</v>
      </c>
      <c r="C283" t="s">
        <v>1894</v>
      </c>
      <c r="D283">
        <v>1</v>
      </c>
      <c r="E283" t="s">
        <v>1895</v>
      </c>
      <c r="F283" t="s">
        <v>2227</v>
      </c>
      <c r="G283" t="s">
        <v>2228</v>
      </c>
      <c r="H283" s="2">
        <v>110.3125</v>
      </c>
      <c r="I283" s="2">
        <v>17.649999999999999</v>
      </c>
    </row>
    <row r="284" spans="1:11">
      <c r="A284" t="s">
        <v>1893</v>
      </c>
      <c r="B284" s="1">
        <v>42094</v>
      </c>
      <c r="C284" t="s">
        <v>1894</v>
      </c>
      <c r="D284">
        <v>1</v>
      </c>
      <c r="E284" t="s">
        <v>1895</v>
      </c>
      <c r="F284" t="s">
        <v>2229</v>
      </c>
      <c r="G284" t="s">
        <v>2230</v>
      </c>
      <c r="H284" s="2">
        <v>838.8125</v>
      </c>
      <c r="I284" s="2">
        <v>134.21</v>
      </c>
      <c r="J284" s="7">
        <f>3029.5-H280-H281-H282-H283-H284</f>
        <v>0</v>
      </c>
      <c r="K284" s="7">
        <f>484.72-I280-I281-I282-I283-I284</f>
        <v>0</v>
      </c>
    </row>
    <row r="285" spans="1:11">
      <c r="A285" t="s">
        <v>1905</v>
      </c>
      <c r="B285" s="1">
        <v>42094</v>
      </c>
      <c r="C285" t="s">
        <v>1906</v>
      </c>
      <c r="D285">
        <v>1</v>
      </c>
      <c r="E285" t="s">
        <v>1907</v>
      </c>
      <c r="F285" t="s">
        <v>714</v>
      </c>
      <c r="G285" t="s">
        <v>715</v>
      </c>
      <c r="H285" s="2">
        <v>158.625</v>
      </c>
      <c r="I285" s="2">
        <v>25.38</v>
      </c>
    </row>
    <row r="286" spans="1:11">
      <c r="A286" t="s">
        <v>1905</v>
      </c>
      <c r="B286" s="1">
        <v>42094</v>
      </c>
      <c r="C286" t="s">
        <v>1906</v>
      </c>
      <c r="D286">
        <v>1</v>
      </c>
      <c r="E286" t="s">
        <v>1907</v>
      </c>
      <c r="F286" t="s">
        <v>722</v>
      </c>
      <c r="G286" t="s">
        <v>723</v>
      </c>
      <c r="H286" s="2">
        <v>56.0625</v>
      </c>
      <c r="I286" s="2">
        <v>8.9700000000000006</v>
      </c>
    </row>
    <row r="287" spans="1:11">
      <c r="A287" t="s">
        <v>1905</v>
      </c>
      <c r="B287" s="1">
        <v>42094</v>
      </c>
      <c r="C287" t="s">
        <v>1906</v>
      </c>
      <c r="D287">
        <v>1</v>
      </c>
      <c r="E287" t="s">
        <v>1907</v>
      </c>
      <c r="F287" t="s">
        <v>929</v>
      </c>
      <c r="G287" t="s">
        <v>930</v>
      </c>
      <c r="H287" s="2">
        <v>68.9375</v>
      </c>
      <c r="I287" s="2">
        <v>11.03</v>
      </c>
    </row>
    <row r="288" spans="1:11">
      <c r="A288" t="s">
        <v>1905</v>
      </c>
      <c r="B288" s="1">
        <v>42094</v>
      </c>
      <c r="C288" t="s">
        <v>1906</v>
      </c>
      <c r="D288">
        <v>1</v>
      </c>
      <c r="E288" t="s">
        <v>1907</v>
      </c>
      <c r="F288" t="s">
        <v>778</v>
      </c>
      <c r="G288" t="s">
        <v>779</v>
      </c>
      <c r="H288" s="2">
        <v>293.75</v>
      </c>
      <c r="I288" s="2">
        <v>47</v>
      </c>
      <c r="J288" s="7">
        <f>577.38-H285-H286-H287-H288</f>
        <v>4.9999999999954525E-3</v>
      </c>
      <c r="K288" s="7">
        <f>92.38-I285-I286-I287-I288</f>
        <v>0</v>
      </c>
    </row>
    <row r="289" spans="1:11">
      <c r="A289" t="s">
        <v>1908</v>
      </c>
      <c r="B289" s="1">
        <v>42094</v>
      </c>
      <c r="C289" t="s">
        <v>1909</v>
      </c>
      <c r="D289">
        <v>1</v>
      </c>
      <c r="E289" t="s">
        <v>1910</v>
      </c>
      <c r="F289" t="s">
        <v>714</v>
      </c>
      <c r="G289" t="s">
        <v>715</v>
      </c>
      <c r="H289" s="2">
        <v>300.875</v>
      </c>
      <c r="I289" s="2">
        <v>48.14</v>
      </c>
    </row>
    <row r="290" spans="1:11">
      <c r="A290" t="s">
        <v>1908</v>
      </c>
      <c r="B290" s="1">
        <v>42094</v>
      </c>
      <c r="C290" t="s">
        <v>1909</v>
      </c>
      <c r="D290">
        <v>1</v>
      </c>
      <c r="E290" t="s">
        <v>1910</v>
      </c>
      <c r="F290" t="s">
        <v>1636</v>
      </c>
      <c r="G290" t="s">
        <v>1637</v>
      </c>
      <c r="H290" s="2">
        <v>107.75</v>
      </c>
      <c r="I290" s="2">
        <v>17.239999999999998</v>
      </c>
    </row>
    <row r="291" spans="1:11">
      <c r="A291" t="s">
        <v>1908</v>
      </c>
      <c r="B291" s="1">
        <v>42094</v>
      </c>
      <c r="C291" t="s">
        <v>1909</v>
      </c>
      <c r="D291">
        <v>1</v>
      </c>
      <c r="E291" t="s">
        <v>1910</v>
      </c>
      <c r="F291" t="s">
        <v>1632</v>
      </c>
      <c r="G291" t="s">
        <v>1633</v>
      </c>
      <c r="H291" s="2">
        <v>419.4375</v>
      </c>
      <c r="I291" s="2">
        <v>67.11</v>
      </c>
      <c r="J291" s="7">
        <f>828.06-H289-H290-H291</f>
        <v>-2.5000000000545697E-3</v>
      </c>
      <c r="K291" s="7">
        <f>132.49-I289-I290-I291</f>
        <v>0</v>
      </c>
    </row>
    <row r="292" spans="1:11">
      <c r="A292" t="s">
        <v>1911</v>
      </c>
      <c r="B292" s="1">
        <v>42094</v>
      </c>
      <c r="C292" t="s">
        <v>1912</v>
      </c>
      <c r="D292">
        <v>1</v>
      </c>
      <c r="E292" t="s">
        <v>1913</v>
      </c>
      <c r="F292" t="s">
        <v>749</v>
      </c>
      <c r="G292" t="s">
        <v>750</v>
      </c>
      <c r="H292" s="2">
        <v>88.8125</v>
      </c>
      <c r="I292" s="2">
        <v>14.21</v>
      </c>
    </row>
    <row r="293" spans="1:11">
      <c r="A293" t="s">
        <v>1911</v>
      </c>
      <c r="B293" s="1">
        <v>42094</v>
      </c>
      <c r="C293" t="s">
        <v>1912</v>
      </c>
      <c r="D293">
        <v>1</v>
      </c>
      <c r="E293" t="s">
        <v>1913</v>
      </c>
      <c r="F293" t="s">
        <v>714</v>
      </c>
      <c r="G293" t="s">
        <v>715</v>
      </c>
      <c r="H293" s="2">
        <v>377.5625</v>
      </c>
      <c r="I293" s="2">
        <v>60.41</v>
      </c>
    </row>
    <row r="294" spans="1:11">
      <c r="A294" t="s">
        <v>1911</v>
      </c>
      <c r="B294" s="1">
        <v>42094</v>
      </c>
      <c r="C294" t="s">
        <v>1912</v>
      </c>
      <c r="D294">
        <v>1</v>
      </c>
      <c r="E294" t="s">
        <v>1913</v>
      </c>
      <c r="F294" t="s">
        <v>879</v>
      </c>
      <c r="G294" t="s">
        <v>880</v>
      </c>
      <c r="H294" s="2">
        <v>419.375</v>
      </c>
      <c r="I294" s="2">
        <v>67.099999999999994</v>
      </c>
    </row>
    <row r="295" spans="1:11">
      <c r="A295" t="s">
        <v>1911</v>
      </c>
      <c r="B295" s="1">
        <v>42094</v>
      </c>
      <c r="C295" t="s">
        <v>1912</v>
      </c>
      <c r="D295">
        <v>1</v>
      </c>
      <c r="E295" t="s">
        <v>1913</v>
      </c>
      <c r="F295" t="s">
        <v>722</v>
      </c>
      <c r="G295" t="s">
        <v>723</v>
      </c>
      <c r="H295" s="2">
        <v>445.6875</v>
      </c>
      <c r="I295" s="2">
        <v>71.31</v>
      </c>
      <c r="J295" s="7">
        <f>1331.44-H292-H293-H294-H295</f>
        <v>2.5000000000545697E-3</v>
      </c>
      <c r="K295" s="7">
        <f>213.03-I292-I293-I294-I295</f>
        <v>0</v>
      </c>
    </row>
    <row r="296" spans="1:11">
      <c r="A296" t="s">
        <v>1899</v>
      </c>
      <c r="B296" s="1">
        <v>42094</v>
      </c>
      <c r="C296" t="s">
        <v>1900</v>
      </c>
      <c r="D296">
        <v>1</v>
      </c>
      <c r="E296" t="s">
        <v>1901</v>
      </c>
      <c r="F296" t="s">
        <v>745</v>
      </c>
      <c r="G296" t="s">
        <v>746</v>
      </c>
      <c r="H296" s="2">
        <v>73.25</v>
      </c>
      <c r="I296" s="2">
        <v>11.72</v>
      </c>
    </row>
    <row r="297" spans="1:11">
      <c r="A297" t="s">
        <v>1899</v>
      </c>
      <c r="B297" s="1">
        <v>42094</v>
      </c>
      <c r="C297" t="s">
        <v>1900</v>
      </c>
      <c r="D297">
        <v>1</v>
      </c>
      <c r="E297" t="s">
        <v>1901</v>
      </c>
      <c r="F297" t="s">
        <v>714</v>
      </c>
      <c r="G297" t="s">
        <v>715</v>
      </c>
      <c r="H297" s="2">
        <v>56.0625</v>
      </c>
      <c r="I297" s="2">
        <v>8.9700000000000006</v>
      </c>
    </row>
    <row r="298" spans="1:11">
      <c r="A298" t="s">
        <v>1899</v>
      </c>
      <c r="B298" s="1">
        <v>42094</v>
      </c>
      <c r="C298" t="s">
        <v>1900</v>
      </c>
      <c r="D298">
        <v>1</v>
      </c>
      <c r="E298" t="s">
        <v>1901</v>
      </c>
      <c r="F298" t="s">
        <v>722</v>
      </c>
      <c r="G298" t="s">
        <v>723</v>
      </c>
      <c r="H298" s="2">
        <v>118.1875</v>
      </c>
      <c r="I298" s="2">
        <v>18.91</v>
      </c>
    </row>
    <row r="299" spans="1:11">
      <c r="A299" t="s">
        <v>1899</v>
      </c>
      <c r="B299" s="1">
        <v>42094</v>
      </c>
      <c r="C299" t="s">
        <v>1900</v>
      </c>
      <c r="D299">
        <v>1</v>
      </c>
      <c r="E299" t="s">
        <v>1901</v>
      </c>
      <c r="F299" t="s">
        <v>764</v>
      </c>
      <c r="G299" t="s">
        <v>765</v>
      </c>
      <c r="H299" s="2">
        <v>215.5</v>
      </c>
      <c r="I299" s="2">
        <v>34.479999999999997</v>
      </c>
    </row>
    <row r="300" spans="1:11">
      <c r="A300" t="s">
        <v>1899</v>
      </c>
      <c r="B300" s="1">
        <v>42094</v>
      </c>
      <c r="C300" t="s">
        <v>1900</v>
      </c>
      <c r="D300">
        <v>1</v>
      </c>
      <c r="E300" t="s">
        <v>1901</v>
      </c>
      <c r="F300" t="s">
        <v>2231</v>
      </c>
      <c r="G300" t="s">
        <v>2232</v>
      </c>
      <c r="H300" s="2">
        <v>209.6875</v>
      </c>
      <c r="I300" s="2">
        <v>33.549999999999997</v>
      </c>
      <c r="J300" s="7">
        <f>672.69-H296-H297-H298-H299-H300</f>
        <v>2.5000000000545697E-3</v>
      </c>
      <c r="K300" s="7">
        <f>107.63-I296-I297-I298-I299-I300</f>
        <v>0</v>
      </c>
    </row>
    <row r="301" spans="1:11">
      <c r="A301" t="s">
        <v>1896</v>
      </c>
      <c r="B301" s="1">
        <v>42094</v>
      </c>
      <c r="C301" t="s">
        <v>1897</v>
      </c>
      <c r="D301">
        <v>1</v>
      </c>
      <c r="E301" t="s">
        <v>1898</v>
      </c>
      <c r="F301" t="s">
        <v>714</v>
      </c>
      <c r="G301" t="s">
        <v>715</v>
      </c>
      <c r="H301" s="2">
        <v>312.9375</v>
      </c>
      <c r="I301" s="2">
        <v>50.07</v>
      </c>
    </row>
    <row r="302" spans="1:11">
      <c r="A302" t="s">
        <v>1896</v>
      </c>
      <c r="B302" s="1">
        <v>42094</v>
      </c>
      <c r="C302" t="s">
        <v>1897</v>
      </c>
      <c r="D302">
        <v>1</v>
      </c>
      <c r="E302" t="s">
        <v>1898</v>
      </c>
      <c r="F302" t="s">
        <v>722</v>
      </c>
      <c r="G302" t="s">
        <v>723</v>
      </c>
      <c r="H302" s="2">
        <v>176.8125</v>
      </c>
      <c r="I302" s="2">
        <v>28.29</v>
      </c>
    </row>
    <row r="303" spans="1:11">
      <c r="A303" t="s">
        <v>1896</v>
      </c>
      <c r="B303" s="1">
        <v>42094</v>
      </c>
      <c r="C303" t="s">
        <v>1897</v>
      </c>
      <c r="D303">
        <v>1</v>
      </c>
      <c r="E303" t="s">
        <v>1898</v>
      </c>
      <c r="F303" t="s">
        <v>1626</v>
      </c>
      <c r="G303" t="s">
        <v>1627</v>
      </c>
      <c r="H303" s="2">
        <v>86.1875</v>
      </c>
      <c r="I303" s="2">
        <v>13.79</v>
      </c>
    </row>
    <row r="304" spans="1:11">
      <c r="A304" t="s">
        <v>1896</v>
      </c>
      <c r="B304" s="1">
        <v>42094</v>
      </c>
      <c r="C304" t="s">
        <v>1897</v>
      </c>
      <c r="D304">
        <v>1</v>
      </c>
      <c r="E304" t="s">
        <v>1898</v>
      </c>
      <c r="F304" t="s">
        <v>2233</v>
      </c>
      <c r="G304" t="s">
        <v>2234</v>
      </c>
      <c r="H304" s="2">
        <v>517.3125</v>
      </c>
      <c r="I304" s="2">
        <v>82.77</v>
      </c>
      <c r="J304" s="7">
        <f>1093.25-H301-H302-H303-H304</f>
        <v>0</v>
      </c>
      <c r="K304" s="7">
        <f>174.92-I301-I302-I303-I304</f>
        <v>0</v>
      </c>
    </row>
    <row r="305" spans="1:11">
      <c r="A305" t="s">
        <v>1890</v>
      </c>
      <c r="B305" s="1">
        <v>42094</v>
      </c>
      <c r="C305" t="s">
        <v>1891</v>
      </c>
      <c r="D305">
        <v>1</v>
      </c>
      <c r="E305" t="s">
        <v>1892</v>
      </c>
      <c r="F305" t="s">
        <v>714</v>
      </c>
      <c r="G305" t="s">
        <v>715</v>
      </c>
      <c r="H305" s="2">
        <v>377.5625</v>
      </c>
      <c r="I305" s="2">
        <v>60.41</v>
      </c>
    </row>
    <row r="306" spans="1:11">
      <c r="A306" t="s">
        <v>1890</v>
      </c>
      <c r="B306" s="1">
        <v>42094</v>
      </c>
      <c r="C306" t="s">
        <v>1891</v>
      </c>
      <c r="D306">
        <v>1</v>
      </c>
      <c r="E306" t="s">
        <v>1892</v>
      </c>
      <c r="F306" t="s">
        <v>714</v>
      </c>
      <c r="G306" t="s">
        <v>715</v>
      </c>
      <c r="H306" s="2">
        <v>317.25</v>
      </c>
      <c r="I306" s="2">
        <v>50.76</v>
      </c>
    </row>
    <row r="307" spans="1:11">
      <c r="A307" t="s">
        <v>1890</v>
      </c>
      <c r="B307" s="1">
        <v>42094</v>
      </c>
      <c r="C307" t="s">
        <v>1891</v>
      </c>
      <c r="D307">
        <v>1</v>
      </c>
      <c r="E307" t="s">
        <v>1892</v>
      </c>
      <c r="F307" t="s">
        <v>879</v>
      </c>
      <c r="G307" t="s">
        <v>880</v>
      </c>
      <c r="H307" s="2">
        <v>335.5</v>
      </c>
      <c r="I307" s="2">
        <v>53.68</v>
      </c>
    </row>
    <row r="308" spans="1:11">
      <c r="A308" t="s">
        <v>1890</v>
      </c>
      <c r="B308" s="1">
        <v>42094</v>
      </c>
      <c r="C308" t="s">
        <v>1891</v>
      </c>
      <c r="D308">
        <v>1</v>
      </c>
      <c r="E308" t="s">
        <v>1892</v>
      </c>
      <c r="F308" t="s">
        <v>881</v>
      </c>
      <c r="G308" t="s">
        <v>882</v>
      </c>
      <c r="H308" s="2">
        <v>54.75</v>
      </c>
      <c r="I308" s="2">
        <v>8.76</v>
      </c>
    </row>
    <row r="309" spans="1:11">
      <c r="A309" t="s">
        <v>1890</v>
      </c>
      <c r="B309" s="1">
        <v>42094</v>
      </c>
      <c r="C309" t="s">
        <v>1891</v>
      </c>
      <c r="D309">
        <v>1</v>
      </c>
      <c r="E309" t="s">
        <v>1892</v>
      </c>
      <c r="F309" t="s">
        <v>722</v>
      </c>
      <c r="G309" t="s">
        <v>723</v>
      </c>
      <c r="H309" s="2">
        <v>676.75</v>
      </c>
      <c r="I309" s="2">
        <v>108.28</v>
      </c>
    </row>
    <row r="310" spans="1:11">
      <c r="A310" t="s">
        <v>1890</v>
      </c>
      <c r="B310" s="1">
        <v>42094</v>
      </c>
      <c r="C310" t="s">
        <v>1891</v>
      </c>
      <c r="D310">
        <v>1</v>
      </c>
      <c r="E310" t="s">
        <v>1892</v>
      </c>
      <c r="F310" t="s">
        <v>883</v>
      </c>
      <c r="G310" t="s">
        <v>884</v>
      </c>
      <c r="H310" s="2">
        <v>887.8125</v>
      </c>
      <c r="I310" s="2">
        <v>142.05000000000001</v>
      </c>
      <c r="J310" s="7">
        <f>2649.63-H305-H306-H307-H308-H309-H310</f>
        <v>5.0000000001091394E-3</v>
      </c>
      <c r="K310" s="7">
        <f>423.94-I305-I306-I307-I308-I309-I310</f>
        <v>0</v>
      </c>
    </row>
    <row r="311" spans="1:11">
      <c r="A311" t="s">
        <v>2012</v>
      </c>
      <c r="B311" s="1">
        <v>42094</v>
      </c>
      <c r="C311" t="s">
        <v>2013</v>
      </c>
      <c r="D311">
        <v>1</v>
      </c>
      <c r="E311" t="s">
        <v>2014</v>
      </c>
      <c r="F311" s="33" t="s">
        <v>714</v>
      </c>
      <c r="G311" s="33" t="s">
        <v>715</v>
      </c>
      <c r="H311" s="47">
        <v>323.25</v>
      </c>
      <c r="I311" s="33">
        <v>51.72</v>
      </c>
    </row>
    <row r="312" spans="1:11">
      <c r="A312" t="s">
        <v>2012</v>
      </c>
      <c r="B312" s="1">
        <v>42094</v>
      </c>
      <c r="C312" t="s">
        <v>2013</v>
      </c>
      <c r="D312">
        <v>1</v>
      </c>
      <c r="E312" t="s">
        <v>2014</v>
      </c>
      <c r="F312" t="s">
        <v>722</v>
      </c>
      <c r="G312" s="33" t="s">
        <v>723</v>
      </c>
      <c r="H312" s="47">
        <v>176.8125</v>
      </c>
      <c r="I312" s="33">
        <v>28.29</v>
      </c>
    </row>
    <row r="313" spans="1:11">
      <c r="A313" t="s">
        <v>2012</v>
      </c>
      <c r="B313" s="1">
        <v>42094</v>
      </c>
      <c r="C313" t="s">
        <v>2013</v>
      </c>
      <c r="D313">
        <v>1</v>
      </c>
      <c r="E313" t="s">
        <v>2014</v>
      </c>
      <c r="F313" s="33" t="s">
        <v>2233</v>
      </c>
      <c r="G313" s="33" t="s">
        <v>2234</v>
      </c>
      <c r="H313" s="47">
        <v>603.4375</v>
      </c>
      <c r="I313" s="33">
        <v>96.55</v>
      </c>
      <c r="J313" s="7">
        <f>1103.5-H311-H312-H313</f>
        <v>0</v>
      </c>
      <c r="K313" s="7">
        <f>176.56-I311-I312-I313</f>
        <v>0</v>
      </c>
    </row>
    <row r="314" spans="1:11">
      <c r="A314" t="s">
        <v>2015</v>
      </c>
      <c r="B314" s="1">
        <v>42094</v>
      </c>
      <c r="C314" t="s">
        <v>2016</v>
      </c>
      <c r="D314">
        <v>1</v>
      </c>
      <c r="E314" t="s">
        <v>2017</v>
      </c>
      <c r="F314" s="33" t="s">
        <v>714</v>
      </c>
      <c r="G314" s="33" t="s">
        <v>715</v>
      </c>
      <c r="H314" s="47">
        <v>62.9375</v>
      </c>
      <c r="I314" s="33">
        <v>10.07</v>
      </c>
    </row>
    <row r="315" spans="1:11">
      <c r="A315" t="s">
        <v>2015</v>
      </c>
      <c r="B315" s="1">
        <v>42094</v>
      </c>
      <c r="C315" t="s">
        <v>2016</v>
      </c>
      <c r="D315">
        <v>1</v>
      </c>
      <c r="E315" t="s">
        <v>2017</v>
      </c>
      <c r="F315" t="s">
        <v>722</v>
      </c>
      <c r="G315" s="33" t="s">
        <v>723</v>
      </c>
      <c r="H315" s="47">
        <v>56.0625</v>
      </c>
      <c r="I315" s="33">
        <v>8.9700000000000006</v>
      </c>
    </row>
    <row r="316" spans="1:11">
      <c r="A316" t="s">
        <v>2015</v>
      </c>
      <c r="B316" s="1">
        <v>42094</v>
      </c>
      <c r="C316" t="s">
        <v>2016</v>
      </c>
      <c r="D316">
        <v>1</v>
      </c>
      <c r="E316" t="s">
        <v>2017</v>
      </c>
      <c r="F316" s="33" t="s">
        <v>937</v>
      </c>
      <c r="G316" s="33" t="s">
        <v>938</v>
      </c>
      <c r="H316" s="47">
        <v>209.6875</v>
      </c>
      <c r="I316" s="33">
        <v>33.549999999999997</v>
      </c>
      <c r="J316" s="7">
        <f>328.69-H314-H315-H316</f>
        <v>2.4999999999977263E-3</v>
      </c>
      <c r="K316" s="7">
        <f>52.59-I314-I315-I316</f>
        <v>0</v>
      </c>
    </row>
    <row r="317" spans="1:11">
      <c r="A317" t="s">
        <v>1994</v>
      </c>
      <c r="B317" s="1">
        <v>42094</v>
      </c>
      <c r="C317" t="s">
        <v>1995</v>
      </c>
      <c r="D317">
        <v>1</v>
      </c>
      <c r="E317" t="s">
        <v>1996</v>
      </c>
      <c r="F317" s="33" t="s">
        <v>749</v>
      </c>
      <c r="G317" s="33" t="s">
        <v>750</v>
      </c>
      <c r="H317" s="47">
        <v>88.8125</v>
      </c>
      <c r="I317" s="33">
        <v>14.21</v>
      </c>
    </row>
    <row r="318" spans="1:11">
      <c r="A318" t="s">
        <v>1994</v>
      </c>
      <c r="B318" s="1">
        <v>42094</v>
      </c>
      <c r="C318" t="s">
        <v>1995</v>
      </c>
      <c r="D318">
        <v>1</v>
      </c>
      <c r="E318" t="s">
        <v>1996</v>
      </c>
      <c r="F318" t="s">
        <v>722</v>
      </c>
      <c r="G318" s="33" t="s">
        <v>723</v>
      </c>
      <c r="H318" s="47">
        <v>382.8125</v>
      </c>
      <c r="I318" s="33">
        <v>61.25</v>
      </c>
    </row>
    <row r="319" spans="1:11">
      <c r="A319" t="s">
        <v>1994</v>
      </c>
      <c r="B319" s="1">
        <v>42094</v>
      </c>
      <c r="C319" t="s">
        <v>1995</v>
      </c>
      <c r="D319">
        <v>1</v>
      </c>
      <c r="E319" t="s">
        <v>1996</v>
      </c>
      <c r="F319" s="33" t="s">
        <v>2235</v>
      </c>
      <c r="G319" s="33" t="s">
        <v>2236</v>
      </c>
      <c r="H319" s="47">
        <v>541.4375</v>
      </c>
      <c r="I319" s="33">
        <v>86.63</v>
      </c>
    </row>
    <row r="320" spans="1:11">
      <c r="A320" t="s">
        <v>1994</v>
      </c>
      <c r="B320" s="1">
        <v>42094</v>
      </c>
      <c r="C320" t="s">
        <v>1995</v>
      </c>
      <c r="D320">
        <v>1</v>
      </c>
      <c r="E320" t="s">
        <v>1996</v>
      </c>
      <c r="F320" s="33" t="s">
        <v>915</v>
      </c>
      <c r="G320" s="33" t="s">
        <v>916</v>
      </c>
      <c r="H320" s="47">
        <v>681.0625</v>
      </c>
      <c r="I320" s="33">
        <v>108.97</v>
      </c>
    </row>
    <row r="321" spans="1:11">
      <c r="A321" t="s">
        <v>1994</v>
      </c>
      <c r="B321" s="1">
        <v>42094</v>
      </c>
      <c r="C321" t="s">
        <v>1995</v>
      </c>
      <c r="D321">
        <v>1</v>
      </c>
      <c r="E321" t="s">
        <v>1996</v>
      </c>
      <c r="F321" s="33" t="s">
        <v>947</v>
      </c>
      <c r="G321" s="33" t="s">
        <v>948</v>
      </c>
      <c r="H321" s="47">
        <v>335.5</v>
      </c>
      <c r="I321" s="33">
        <v>53.68</v>
      </c>
      <c r="J321" s="7">
        <f>2029.63-H317-H318-H319-H320-H321</f>
        <v>5.0000000001091394E-3</v>
      </c>
      <c r="K321" s="7">
        <f>324.74-I317-I318-I319-I320-I321</f>
        <v>0</v>
      </c>
    </row>
    <row r="322" spans="1:11">
      <c r="A322" t="s">
        <v>2006</v>
      </c>
      <c r="B322" s="1">
        <v>42094</v>
      </c>
      <c r="C322" t="s">
        <v>2007</v>
      </c>
      <c r="D322">
        <v>1</v>
      </c>
      <c r="E322" t="s">
        <v>2008</v>
      </c>
      <c r="F322" s="33" t="s">
        <v>714</v>
      </c>
      <c r="G322" s="33" t="s">
        <v>715</v>
      </c>
      <c r="H322" s="47">
        <v>158.625</v>
      </c>
      <c r="I322" s="33">
        <v>25.38</v>
      </c>
    </row>
    <row r="323" spans="1:11">
      <c r="A323" t="s">
        <v>2006</v>
      </c>
      <c r="B323" s="1">
        <v>42094</v>
      </c>
      <c r="C323" t="s">
        <v>2007</v>
      </c>
      <c r="D323">
        <v>1</v>
      </c>
      <c r="E323" t="s">
        <v>2008</v>
      </c>
      <c r="F323" s="33" t="s">
        <v>714</v>
      </c>
      <c r="G323" s="33" t="s">
        <v>715</v>
      </c>
      <c r="H323" s="47">
        <v>152.5625</v>
      </c>
      <c r="I323" s="33">
        <v>24.41</v>
      </c>
    </row>
    <row r="324" spans="1:11">
      <c r="A324" t="s">
        <v>2006</v>
      </c>
      <c r="B324" s="1">
        <v>42094</v>
      </c>
      <c r="C324" t="s">
        <v>2007</v>
      </c>
      <c r="D324">
        <v>1</v>
      </c>
      <c r="E324" t="s">
        <v>2008</v>
      </c>
      <c r="F324" t="s">
        <v>722</v>
      </c>
      <c r="G324" s="33" t="s">
        <v>723</v>
      </c>
      <c r="H324" s="47">
        <v>274.1875</v>
      </c>
      <c r="I324" s="33">
        <v>43.87</v>
      </c>
    </row>
    <row r="325" spans="1:11">
      <c r="A325" t="s">
        <v>2006</v>
      </c>
      <c r="B325" s="1">
        <v>42094</v>
      </c>
      <c r="C325" t="s">
        <v>2007</v>
      </c>
      <c r="D325">
        <v>1</v>
      </c>
      <c r="E325" t="s">
        <v>2008</v>
      </c>
      <c r="F325" s="33" t="s">
        <v>2237</v>
      </c>
      <c r="G325" s="33" t="s">
        <v>2238</v>
      </c>
      <c r="H325" s="47">
        <v>461.3125</v>
      </c>
      <c r="I325" s="33">
        <v>73.81</v>
      </c>
      <c r="J325" s="7">
        <f>1046.69-H322-H323-H324-H325</f>
        <v>2.5000000000545697E-3</v>
      </c>
      <c r="K325" s="7">
        <f>167.47-I322-I323-I324-I325</f>
        <v>0</v>
      </c>
    </row>
    <row r="326" spans="1:11">
      <c r="A326" t="s">
        <v>1985</v>
      </c>
      <c r="B326" s="1">
        <v>42094</v>
      </c>
      <c r="C326" t="s">
        <v>1986</v>
      </c>
      <c r="D326">
        <v>1</v>
      </c>
      <c r="E326" t="s">
        <v>1987</v>
      </c>
      <c r="F326" s="33" t="s">
        <v>714</v>
      </c>
      <c r="G326" s="33" t="s">
        <v>715</v>
      </c>
      <c r="H326" s="47">
        <v>62.9375</v>
      </c>
      <c r="I326" s="33">
        <v>10.07</v>
      </c>
    </row>
    <row r="327" spans="1:11">
      <c r="A327" t="s">
        <v>1985</v>
      </c>
      <c r="B327" s="1">
        <v>42094</v>
      </c>
      <c r="C327" t="s">
        <v>1986</v>
      </c>
      <c r="D327">
        <v>1</v>
      </c>
      <c r="E327" t="s">
        <v>1987</v>
      </c>
      <c r="F327" t="s">
        <v>722</v>
      </c>
      <c r="G327" s="33" t="s">
        <v>723</v>
      </c>
      <c r="H327" s="47">
        <v>56.0625</v>
      </c>
      <c r="I327" s="33">
        <v>8.9700000000000006</v>
      </c>
    </row>
    <row r="328" spans="1:11">
      <c r="A328" t="s">
        <v>1985</v>
      </c>
      <c r="B328" s="1">
        <v>42094</v>
      </c>
      <c r="C328" t="s">
        <v>1986</v>
      </c>
      <c r="D328">
        <v>1</v>
      </c>
      <c r="E328" t="s">
        <v>1987</v>
      </c>
      <c r="F328" s="33" t="s">
        <v>937</v>
      </c>
      <c r="G328" s="33" t="s">
        <v>938</v>
      </c>
      <c r="H328" s="47">
        <v>136.5625</v>
      </c>
      <c r="I328" s="33">
        <v>21.85</v>
      </c>
      <c r="J328" s="7">
        <f>255.56-H326-H327-H328</f>
        <v>-2.4999999999977263E-3</v>
      </c>
      <c r="K328" s="7">
        <f>40.89-I326-I327-I328</f>
        <v>0</v>
      </c>
    </row>
    <row r="329" spans="1:11">
      <c r="A329" t="s">
        <v>1991</v>
      </c>
      <c r="B329" s="1">
        <v>42094</v>
      </c>
      <c r="C329" t="s">
        <v>1992</v>
      </c>
      <c r="D329">
        <v>1</v>
      </c>
      <c r="E329" t="s">
        <v>1993</v>
      </c>
      <c r="F329" s="33" t="s">
        <v>714</v>
      </c>
      <c r="G329" s="33" t="s">
        <v>715</v>
      </c>
      <c r="H329" s="47">
        <v>311.1875</v>
      </c>
      <c r="I329" s="33">
        <v>49.79</v>
      </c>
    </row>
    <row r="330" spans="1:11">
      <c r="A330" t="s">
        <v>1991</v>
      </c>
      <c r="B330" s="1">
        <v>42094</v>
      </c>
      <c r="C330" t="s">
        <v>1992</v>
      </c>
      <c r="D330">
        <v>1</v>
      </c>
      <c r="E330" t="s">
        <v>1993</v>
      </c>
      <c r="F330" t="s">
        <v>722</v>
      </c>
      <c r="G330" s="33" t="s">
        <v>723</v>
      </c>
      <c r="H330" s="47">
        <v>274.1875</v>
      </c>
      <c r="I330" s="33">
        <v>43.87</v>
      </c>
    </row>
    <row r="331" spans="1:11">
      <c r="A331" t="s">
        <v>1991</v>
      </c>
      <c r="B331" s="1">
        <v>42094</v>
      </c>
      <c r="C331" t="s">
        <v>1992</v>
      </c>
      <c r="D331">
        <v>1</v>
      </c>
      <c r="E331" t="s">
        <v>1993</v>
      </c>
      <c r="F331" s="33" t="s">
        <v>929</v>
      </c>
      <c r="G331" s="33" t="s">
        <v>930</v>
      </c>
      <c r="H331" s="47">
        <v>68.9375</v>
      </c>
      <c r="I331" s="33">
        <v>11.03</v>
      </c>
    </row>
    <row r="332" spans="1:11">
      <c r="A332" t="s">
        <v>1991</v>
      </c>
      <c r="B332" s="1">
        <v>42094</v>
      </c>
      <c r="C332" t="s">
        <v>1992</v>
      </c>
      <c r="D332">
        <v>1</v>
      </c>
      <c r="E332" t="s">
        <v>1993</v>
      </c>
      <c r="F332" s="33" t="s">
        <v>2239</v>
      </c>
      <c r="G332" s="33" t="s">
        <v>2240</v>
      </c>
      <c r="H332" s="47">
        <v>335.5</v>
      </c>
      <c r="I332" s="33">
        <v>53.68</v>
      </c>
      <c r="J332" s="7">
        <f>989.81-H329-H330-H331-H332</f>
        <v>-2.5000000000545697E-3</v>
      </c>
      <c r="K332" s="7">
        <f>158.37-I329-I330-I331-I332</f>
        <v>0</v>
      </c>
    </row>
    <row r="333" spans="1:11">
      <c r="A333" t="s">
        <v>1988</v>
      </c>
      <c r="B333" s="1">
        <v>42094</v>
      </c>
      <c r="C333" t="s">
        <v>1989</v>
      </c>
      <c r="D333">
        <v>1</v>
      </c>
      <c r="E333" t="s">
        <v>1990</v>
      </c>
      <c r="F333" s="33" t="s">
        <v>2241</v>
      </c>
      <c r="G333" s="33" t="s">
        <v>2242</v>
      </c>
      <c r="H333" s="47">
        <v>81.875</v>
      </c>
      <c r="I333" s="33">
        <v>13.1</v>
      </c>
    </row>
    <row r="334" spans="1:11">
      <c r="A334" t="s">
        <v>1988</v>
      </c>
      <c r="B334" s="1">
        <v>42094</v>
      </c>
      <c r="C334" t="s">
        <v>1989</v>
      </c>
      <c r="D334">
        <v>1</v>
      </c>
      <c r="E334" t="s">
        <v>1990</v>
      </c>
      <c r="F334" t="s">
        <v>722</v>
      </c>
      <c r="G334" s="33" t="s">
        <v>723</v>
      </c>
      <c r="H334" s="47">
        <v>125.875</v>
      </c>
      <c r="I334" s="33">
        <v>20.14</v>
      </c>
    </row>
    <row r="335" spans="1:11">
      <c r="A335" t="s">
        <v>1988</v>
      </c>
      <c r="B335" s="1">
        <v>42094</v>
      </c>
      <c r="C335" t="s">
        <v>1989</v>
      </c>
      <c r="D335">
        <v>1</v>
      </c>
      <c r="E335" t="s">
        <v>1990</v>
      </c>
      <c r="F335" s="33" t="s">
        <v>2243</v>
      </c>
      <c r="G335" s="33" t="s">
        <v>2244</v>
      </c>
      <c r="H335" s="47">
        <v>765.75</v>
      </c>
      <c r="I335" s="33">
        <v>122.52</v>
      </c>
    </row>
    <row r="336" spans="1:11">
      <c r="A336" t="s">
        <v>1988</v>
      </c>
      <c r="B336" s="1">
        <v>42094</v>
      </c>
      <c r="C336" t="s">
        <v>1989</v>
      </c>
      <c r="D336">
        <v>1</v>
      </c>
      <c r="E336" t="s">
        <v>1990</v>
      </c>
      <c r="F336" s="33" t="s">
        <v>915</v>
      </c>
      <c r="G336" s="33" t="s">
        <v>916</v>
      </c>
      <c r="H336" s="47">
        <v>504.3125</v>
      </c>
      <c r="I336" s="33">
        <v>80.69</v>
      </c>
    </row>
    <row r="337" spans="1:11">
      <c r="A337" t="s">
        <v>1988</v>
      </c>
      <c r="B337" s="1">
        <v>42094</v>
      </c>
      <c r="C337" t="s">
        <v>1989</v>
      </c>
      <c r="D337">
        <v>1</v>
      </c>
      <c r="E337" t="s">
        <v>1990</v>
      </c>
      <c r="F337" s="33" t="s">
        <v>2245</v>
      </c>
      <c r="G337" s="33" t="s">
        <v>2246</v>
      </c>
      <c r="H337" s="47">
        <v>335.4375</v>
      </c>
      <c r="I337" s="33">
        <v>53.67</v>
      </c>
      <c r="J337" s="7">
        <f>1813.25-H333-H334-H335-H336-H337</f>
        <v>0</v>
      </c>
      <c r="K337" s="7">
        <f>290.12-I333-I334-I335-I336-I337</f>
        <v>0</v>
      </c>
    </row>
    <row r="338" spans="1:11">
      <c r="A338" t="s">
        <v>1982</v>
      </c>
      <c r="B338" s="1">
        <v>42094</v>
      </c>
      <c r="C338" t="s">
        <v>1983</v>
      </c>
      <c r="D338">
        <v>1</v>
      </c>
      <c r="E338" t="s">
        <v>1984</v>
      </c>
      <c r="F338" s="33" t="s">
        <v>714</v>
      </c>
      <c r="G338" s="33" t="s">
        <v>715</v>
      </c>
      <c r="H338" s="47">
        <v>158.625</v>
      </c>
      <c r="I338" s="33">
        <v>25.38</v>
      </c>
    </row>
    <row r="339" spans="1:11">
      <c r="A339" t="s">
        <v>1982</v>
      </c>
      <c r="B339" s="1">
        <v>42094</v>
      </c>
      <c r="C339" t="s">
        <v>1983</v>
      </c>
      <c r="D339">
        <v>1</v>
      </c>
      <c r="E339" t="s">
        <v>1984</v>
      </c>
      <c r="F339" t="s">
        <v>722</v>
      </c>
      <c r="G339" s="33" t="s">
        <v>723</v>
      </c>
      <c r="H339" s="47">
        <v>56.0625</v>
      </c>
      <c r="I339" s="33">
        <v>8.9700000000000006</v>
      </c>
    </row>
    <row r="340" spans="1:11">
      <c r="A340" t="s">
        <v>1982</v>
      </c>
      <c r="B340" s="1">
        <v>42094</v>
      </c>
      <c r="C340" t="s">
        <v>1983</v>
      </c>
      <c r="D340">
        <v>1</v>
      </c>
      <c r="E340" t="s">
        <v>1984</v>
      </c>
      <c r="F340" s="33" t="s">
        <v>929</v>
      </c>
      <c r="G340" s="33" t="s">
        <v>930</v>
      </c>
      <c r="H340" s="47">
        <v>68.9375</v>
      </c>
      <c r="I340" s="33">
        <v>11.03</v>
      </c>
    </row>
    <row r="341" spans="1:11">
      <c r="A341" t="s">
        <v>1982</v>
      </c>
      <c r="B341" s="1">
        <v>42094</v>
      </c>
      <c r="C341" t="s">
        <v>1983</v>
      </c>
      <c r="D341">
        <v>1</v>
      </c>
      <c r="E341" t="s">
        <v>1984</v>
      </c>
      <c r="F341" s="33" t="s">
        <v>778</v>
      </c>
      <c r="G341" s="33" t="s">
        <v>779</v>
      </c>
      <c r="H341" s="47">
        <v>209.8125</v>
      </c>
      <c r="I341" s="33">
        <v>33.57</v>
      </c>
      <c r="J341" s="7">
        <f>493.44-H338-H339-H340-H341</f>
        <v>2.4999999999977263E-3</v>
      </c>
      <c r="K341" s="7">
        <f>78.95-I338-I339-I340-I341</f>
        <v>0</v>
      </c>
    </row>
    <row r="342" spans="1:11">
      <c r="A342" t="s">
        <v>2009</v>
      </c>
      <c r="B342" s="1">
        <v>42094</v>
      </c>
      <c r="C342" t="s">
        <v>2010</v>
      </c>
      <c r="D342">
        <v>1</v>
      </c>
      <c r="E342" t="s">
        <v>2011</v>
      </c>
      <c r="F342" t="s">
        <v>722</v>
      </c>
      <c r="G342" s="33" t="s">
        <v>723</v>
      </c>
      <c r="H342" s="47">
        <v>407.8125</v>
      </c>
      <c r="I342" s="33">
        <v>65.25</v>
      </c>
    </row>
    <row r="343" spans="1:11">
      <c r="A343" t="s">
        <v>2009</v>
      </c>
      <c r="B343" s="1">
        <v>42094</v>
      </c>
      <c r="C343" t="s">
        <v>2010</v>
      </c>
      <c r="D343">
        <v>1</v>
      </c>
      <c r="E343" t="s">
        <v>2011</v>
      </c>
      <c r="F343" s="33" t="s">
        <v>2247</v>
      </c>
      <c r="G343" s="33" t="s">
        <v>2248</v>
      </c>
      <c r="H343" s="47">
        <v>455.3125</v>
      </c>
      <c r="I343" s="33">
        <v>72.849999999999994</v>
      </c>
    </row>
    <row r="344" spans="1:11">
      <c r="A344" t="s">
        <v>2009</v>
      </c>
      <c r="B344" s="1">
        <v>42094</v>
      </c>
      <c r="C344" t="s">
        <v>2010</v>
      </c>
      <c r="D344">
        <v>1</v>
      </c>
      <c r="E344" t="s">
        <v>2011</v>
      </c>
      <c r="F344" s="33" t="s">
        <v>935</v>
      </c>
      <c r="G344" s="33" t="s">
        <v>936</v>
      </c>
      <c r="H344" s="47">
        <v>86.1875</v>
      </c>
      <c r="I344" s="33">
        <v>13.79</v>
      </c>
      <c r="J344" s="7">
        <f>949.31-H342-H343-H344</f>
        <v>-2.5000000000545697E-3</v>
      </c>
      <c r="K344" s="7">
        <f>151.89-I342-I343-I344</f>
        <v>0</v>
      </c>
    </row>
    <row r="345" spans="1:11">
      <c r="A345" t="s">
        <v>2018</v>
      </c>
      <c r="B345" s="1">
        <v>42094</v>
      </c>
      <c r="C345" t="s">
        <v>2019</v>
      </c>
      <c r="D345">
        <v>1</v>
      </c>
      <c r="E345" t="s">
        <v>2020</v>
      </c>
      <c r="F345" t="s">
        <v>722</v>
      </c>
      <c r="G345" s="33" t="s">
        <v>723</v>
      </c>
      <c r="H345" s="7">
        <f>+I345/0.16</f>
        <v>56.0625</v>
      </c>
      <c r="I345" s="7">
        <v>8.9700000000000006</v>
      </c>
    </row>
    <row r="346" spans="1:11">
      <c r="A346" t="s">
        <v>1997</v>
      </c>
      <c r="B346" s="1">
        <v>42094</v>
      </c>
      <c r="C346" t="s">
        <v>1998</v>
      </c>
      <c r="D346">
        <v>1</v>
      </c>
      <c r="E346" t="s">
        <v>1999</v>
      </c>
      <c r="F346" t="s">
        <v>722</v>
      </c>
      <c r="G346" s="33" t="s">
        <v>723</v>
      </c>
      <c r="H346" s="47">
        <v>407.8125</v>
      </c>
      <c r="I346" s="33">
        <v>65.25</v>
      </c>
    </row>
    <row r="347" spans="1:11">
      <c r="A347" t="s">
        <v>1997</v>
      </c>
      <c r="B347" s="1">
        <v>42094</v>
      </c>
      <c r="C347" t="s">
        <v>1998</v>
      </c>
      <c r="D347">
        <v>1</v>
      </c>
      <c r="E347" t="s">
        <v>1999</v>
      </c>
      <c r="F347" s="33" t="s">
        <v>2249</v>
      </c>
      <c r="G347" s="33" t="s">
        <v>2250</v>
      </c>
      <c r="H347" s="47">
        <v>41.9375</v>
      </c>
      <c r="I347" s="33">
        <v>6.71</v>
      </c>
    </row>
    <row r="348" spans="1:11">
      <c r="A348" t="s">
        <v>1997</v>
      </c>
      <c r="B348" s="1">
        <v>42094</v>
      </c>
      <c r="C348" t="s">
        <v>1998</v>
      </c>
      <c r="D348">
        <v>1</v>
      </c>
      <c r="E348" t="s">
        <v>1999</v>
      </c>
      <c r="F348" s="33" t="s">
        <v>935</v>
      </c>
      <c r="G348" s="33" t="s">
        <v>936</v>
      </c>
      <c r="H348" s="47">
        <v>86.1875</v>
      </c>
      <c r="I348" s="33">
        <v>13.79</v>
      </c>
      <c r="J348" s="7">
        <f>535.94-H346-H347-H348</f>
        <v>2.5000000000545697E-3</v>
      </c>
      <c r="K348" s="7">
        <f>85.75-I346-I347-I348</f>
        <v>0</v>
      </c>
    </row>
    <row r="349" spans="1:11">
      <c r="A349" t="s">
        <v>2003</v>
      </c>
      <c r="B349" s="1">
        <v>42094</v>
      </c>
      <c r="C349" t="s">
        <v>2004</v>
      </c>
      <c r="D349">
        <v>1</v>
      </c>
      <c r="E349" t="s">
        <v>2005</v>
      </c>
      <c r="F349" t="s">
        <v>722</v>
      </c>
      <c r="G349" s="33" t="s">
        <v>723</v>
      </c>
      <c r="H349" s="47">
        <v>56.0625</v>
      </c>
      <c r="I349" s="33">
        <v>8.9700000000000006</v>
      </c>
    </row>
    <row r="350" spans="1:11">
      <c r="A350" t="s">
        <v>2003</v>
      </c>
      <c r="B350" s="1">
        <v>42094</v>
      </c>
      <c r="C350" t="s">
        <v>2004</v>
      </c>
      <c r="D350">
        <v>1</v>
      </c>
      <c r="E350" t="s">
        <v>2005</v>
      </c>
      <c r="F350" s="33" t="s">
        <v>885</v>
      </c>
      <c r="G350" s="33" t="s">
        <v>2251</v>
      </c>
      <c r="H350" s="47">
        <v>113.8125</v>
      </c>
      <c r="I350" s="33">
        <v>18.21</v>
      </c>
      <c r="J350" s="7">
        <f>169.88-H349-H350</f>
        <v>4.9999999999954525E-3</v>
      </c>
      <c r="K350" s="7">
        <f>27.18-I349-I350</f>
        <v>0</v>
      </c>
    </row>
    <row r="351" spans="1:11">
      <c r="A351" t="s">
        <v>2000</v>
      </c>
      <c r="B351" s="1">
        <v>42094</v>
      </c>
      <c r="C351" t="s">
        <v>2001</v>
      </c>
      <c r="D351">
        <v>1</v>
      </c>
      <c r="E351" t="s">
        <v>2002</v>
      </c>
      <c r="F351" t="s">
        <v>722</v>
      </c>
      <c r="G351" s="33" t="s">
        <v>723</v>
      </c>
      <c r="H351" s="7">
        <f t="shared" si="4"/>
        <v>56.0625</v>
      </c>
      <c r="I351" s="7">
        <v>8.9700000000000006</v>
      </c>
    </row>
    <row r="352" spans="1:11">
      <c r="A352" t="s">
        <v>1796</v>
      </c>
      <c r="B352" s="1">
        <v>42093</v>
      </c>
      <c r="C352" t="s">
        <v>1797</v>
      </c>
      <c r="D352">
        <v>1</v>
      </c>
      <c r="E352" t="s">
        <v>1798</v>
      </c>
      <c r="F352" s="25" t="s">
        <v>1643</v>
      </c>
      <c r="G352" s="17" t="s">
        <v>1644</v>
      </c>
      <c r="H352" s="7">
        <f t="shared" si="4"/>
        <v>191601.875</v>
      </c>
      <c r="I352" s="7">
        <v>30656.3</v>
      </c>
    </row>
    <row r="353" spans="1:11">
      <c r="A353" t="s">
        <v>1749</v>
      </c>
      <c r="B353" s="1">
        <v>42089</v>
      </c>
      <c r="C353" t="s">
        <v>1750</v>
      </c>
      <c r="D353">
        <v>1</v>
      </c>
      <c r="E353" t="s">
        <v>1644</v>
      </c>
      <c r="F353" s="25" t="s">
        <v>1643</v>
      </c>
      <c r="G353" s="17" t="s">
        <v>1644</v>
      </c>
      <c r="H353" s="7">
        <f t="shared" si="4"/>
        <v>274943</v>
      </c>
      <c r="I353" s="7">
        <v>43990.879999999997</v>
      </c>
    </row>
    <row r="354" spans="1:11">
      <c r="A354" t="s">
        <v>1481</v>
      </c>
      <c r="B354" s="1">
        <v>42094</v>
      </c>
      <c r="C354" t="s">
        <v>2173</v>
      </c>
      <c r="D354">
        <v>1</v>
      </c>
      <c r="E354" t="s">
        <v>1441</v>
      </c>
      <c r="F354" t="s">
        <v>1645</v>
      </c>
      <c r="G354" t="s">
        <v>1441</v>
      </c>
      <c r="H354" s="7">
        <f t="shared" si="4"/>
        <v>2755</v>
      </c>
      <c r="I354" s="7">
        <v>440.8</v>
      </c>
    </row>
    <row r="356" spans="1:11">
      <c r="H356" s="8"/>
      <c r="I356" s="8"/>
    </row>
    <row r="357" spans="1:11">
      <c r="H357" s="9">
        <f>SUM(H7:H356)</f>
        <v>21382707.625</v>
      </c>
      <c r="I357" s="9">
        <f>SUM(I7:I356)</f>
        <v>3421233.2200000025</v>
      </c>
    </row>
    <row r="358" spans="1:11">
      <c r="H358" s="10">
        <f>4884786.21-818073.2</f>
        <v>4066713.01</v>
      </c>
      <c r="I358" s="7">
        <f>+H358-I357</f>
        <v>645479.78999999724</v>
      </c>
      <c r="J358" s="7" t="s">
        <v>960</v>
      </c>
    </row>
    <row r="359" spans="1:11" s="84" customFormat="1">
      <c r="A359" s="84" t="s">
        <v>2030</v>
      </c>
      <c r="B359" s="147">
        <v>42093</v>
      </c>
      <c r="C359" s="84" t="s">
        <v>2031</v>
      </c>
      <c r="D359" s="84">
        <v>1</v>
      </c>
      <c r="E359" s="84" t="s">
        <v>2032</v>
      </c>
      <c r="H359" s="148">
        <f>+I359/0.16</f>
        <v>4013190.0625</v>
      </c>
      <c r="I359" s="148">
        <v>642110.41</v>
      </c>
      <c r="J359" s="148"/>
      <c r="K359" s="148"/>
    </row>
    <row r="360" spans="1:11" s="84" customFormat="1">
      <c r="A360" s="84" t="s">
        <v>1354</v>
      </c>
      <c r="B360" s="147">
        <v>42075</v>
      </c>
      <c r="C360" s="84" t="s">
        <v>2051</v>
      </c>
      <c r="D360" s="84">
        <v>1</v>
      </c>
      <c r="E360" s="84" t="s">
        <v>1364</v>
      </c>
      <c r="F360" s="164" t="s">
        <v>1559</v>
      </c>
      <c r="G360" s="84" t="s">
        <v>1364</v>
      </c>
      <c r="H360" s="148">
        <f>+I360/0.16</f>
        <v>11608.625</v>
      </c>
      <c r="I360" s="148">
        <v>1857.38</v>
      </c>
      <c r="J360" s="84" t="s">
        <v>7557</v>
      </c>
      <c r="K360" s="148"/>
    </row>
    <row r="361" spans="1:11" s="84" customFormat="1">
      <c r="A361" s="84" t="s">
        <v>1356</v>
      </c>
      <c r="B361" s="147">
        <v>42075</v>
      </c>
      <c r="C361" s="84" t="s">
        <v>2052</v>
      </c>
      <c r="D361" s="84">
        <v>1</v>
      </c>
      <c r="E361" s="84" t="s">
        <v>1364</v>
      </c>
      <c r="F361" s="164" t="s">
        <v>1559</v>
      </c>
      <c r="G361" s="84" t="s">
        <v>1364</v>
      </c>
      <c r="H361" s="148">
        <f>+I361/0.16</f>
        <v>9450</v>
      </c>
      <c r="I361" s="148">
        <v>1512</v>
      </c>
      <c r="J361" s="84" t="s">
        <v>7557</v>
      </c>
      <c r="K361" s="148">
        <f>+I361+I360+I359</f>
        <v>645479.79</v>
      </c>
    </row>
    <row r="362" spans="1:11">
      <c r="F362" s="11"/>
      <c r="I362" s="9">
        <f>+I361+I360+I359+I357</f>
        <v>4066713.0100000026</v>
      </c>
      <c r="J362" s="7">
        <v>645479.78999999724</v>
      </c>
      <c r="K362" s="7" t="s">
        <v>960</v>
      </c>
    </row>
    <row r="363" spans="1:11">
      <c r="F363" s="11"/>
      <c r="J363"/>
    </row>
    <row r="364" spans="1:11">
      <c r="F364" s="11"/>
      <c r="J364"/>
    </row>
    <row r="365" spans="1:11">
      <c r="F365" s="11"/>
      <c r="J365"/>
    </row>
    <row r="366" spans="1:11">
      <c r="F366" s="11"/>
      <c r="J366"/>
    </row>
    <row r="367" spans="1:11">
      <c r="F367" s="12" t="s">
        <v>696</v>
      </c>
      <c r="J367"/>
    </row>
    <row r="368" spans="1:11">
      <c r="F368" s="13" t="s">
        <v>7287</v>
      </c>
      <c r="J368"/>
    </row>
    <row r="369" spans="1:10">
      <c r="F369" s="11"/>
      <c r="J369"/>
    </row>
    <row r="370" spans="1:10">
      <c r="A370" s="14"/>
      <c r="B370" s="14"/>
      <c r="C370" s="14"/>
      <c r="D370" s="14"/>
      <c r="E370" s="14"/>
      <c r="F370" s="14" t="s">
        <v>692</v>
      </c>
      <c r="G370" s="14" t="s">
        <v>693</v>
      </c>
      <c r="H370" s="15" t="s">
        <v>694</v>
      </c>
      <c r="I370" s="14" t="s">
        <v>695</v>
      </c>
      <c r="J370" s="14" t="s">
        <v>697</v>
      </c>
    </row>
    <row r="371" spans="1:10">
      <c r="A371" s="150" t="s">
        <v>7544</v>
      </c>
      <c r="B371">
        <v>85</v>
      </c>
      <c r="F371" t="s">
        <v>2215</v>
      </c>
      <c r="G371" t="s">
        <v>1857</v>
      </c>
      <c r="H371" s="7">
        <f>+I371/0.16</f>
        <v>39.1875</v>
      </c>
      <c r="I371" s="7">
        <f t="shared" ref="I371:I402" si="5">+SUMIF($F$7:$F$354,F371,$I$7:$I$354)</f>
        <v>6.27</v>
      </c>
    </row>
    <row r="372" spans="1:10">
      <c r="A372" s="150" t="s">
        <v>7544</v>
      </c>
      <c r="B372">
        <v>85</v>
      </c>
      <c r="F372" t="s">
        <v>1604</v>
      </c>
      <c r="G372" t="s">
        <v>1501</v>
      </c>
      <c r="H372" s="7">
        <f t="shared" ref="H372:H433" si="6">+I372/0.16</f>
        <v>6300</v>
      </c>
      <c r="I372" s="7">
        <f t="shared" si="5"/>
        <v>1008</v>
      </c>
    </row>
    <row r="373" spans="1:10">
      <c r="A373" s="150" t="s">
        <v>7544</v>
      </c>
      <c r="B373">
        <v>85</v>
      </c>
      <c r="F373" s="23" t="s">
        <v>733</v>
      </c>
      <c r="G373" s="24" t="s">
        <v>734</v>
      </c>
      <c r="H373" s="7">
        <f t="shared" si="6"/>
        <v>949.4375</v>
      </c>
      <c r="I373" s="7">
        <f t="shared" si="5"/>
        <v>151.91</v>
      </c>
    </row>
    <row r="374" spans="1:10">
      <c r="A374" s="150" t="s">
        <v>7544</v>
      </c>
      <c r="B374">
        <v>85</v>
      </c>
      <c r="F374" t="s">
        <v>879</v>
      </c>
      <c r="G374" t="s">
        <v>880</v>
      </c>
      <c r="H374" s="7">
        <f t="shared" si="6"/>
        <v>754.875</v>
      </c>
      <c r="I374" s="7">
        <f t="shared" si="5"/>
        <v>120.78</v>
      </c>
    </row>
    <row r="375" spans="1:10">
      <c r="A375" s="150" t="s">
        <v>7544</v>
      </c>
      <c r="B375">
        <v>85</v>
      </c>
      <c r="F375" s="33" t="s">
        <v>2241</v>
      </c>
      <c r="G375" s="33" t="s">
        <v>2242</v>
      </c>
      <c r="H375" s="7">
        <f t="shared" si="6"/>
        <v>81.875</v>
      </c>
      <c r="I375" s="7">
        <f t="shared" si="5"/>
        <v>13.1</v>
      </c>
    </row>
    <row r="376" spans="1:10">
      <c r="A376" s="150" t="s">
        <v>7544</v>
      </c>
      <c r="B376">
        <v>85</v>
      </c>
      <c r="F376" t="s">
        <v>2191</v>
      </c>
      <c r="G376" t="s">
        <v>1915</v>
      </c>
      <c r="H376" s="7">
        <f t="shared" si="6"/>
        <v>1814.9999999999998</v>
      </c>
      <c r="I376" s="7">
        <f t="shared" si="5"/>
        <v>290.39999999999998</v>
      </c>
    </row>
    <row r="377" spans="1:10">
      <c r="A377" s="150" t="s">
        <v>7544</v>
      </c>
      <c r="B377">
        <v>85</v>
      </c>
      <c r="F377" s="20" t="s">
        <v>711</v>
      </c>
      <c r="G377" t="s">
        <v>317</v>
      </c>
      <c r="H377" s="7">
        <f t="shared" si="6"/>
        <v>275.62499999999994</v>
      </c>
      <c r="I377" s="7">
        <f t="shared" si="5"/>
        <v>44.099999999999994</v>
      </c>
    </row>
    <row r="378" spans="1:10">
      <c r="A378" s="150" t="s">
        <v>7544</v>
      </c>
      <c r="B378">
        <v>85</v>
      </c>
      <c r="F378" t="s">
        <v>745</v>
      </c>
      <c r="G378" t="s">
        <v>746</v>
      </c>
      <c r="H378" s="7">
        <f t="shared" si="6"/>
        <v>73.25</v>
      </c>
      <c r="I378" s="7">
        <f t="shared" si="5"/>
        <v>11.72</v>
      </c>
    </row>
    <row r="379" spans="1:10">
      <c r="A379" s="150" t="s">
        <v>7544</v>
      </c>
      <c r="B379">
        <v>85</v>
      </c>
      <c r="F379" s="45" t="s">
        <v>707</v>
      </c>
      <c r="G379" s="19" t="s">
        <v>708</v>
      </c>
      <c r="H379" s="7">
        <f t="shared" si="6"/>
        <v>494282.25</v>
      </c>
      <c r="I379" s="7">
        <f t="shared" si="5"/>
        <v>79085.16</v>
      </c>
    </row>
    <row r="380" spans="1:10">
      <c r="A380" s="150" t="s">
        <v>7544</v>
      </c>
      <c r="B380">
        <v>85</v>
      </c>
      <c r="F380" t="s">
        <v>714</v>
      </c>
      <c r="G380" t="s">
        <v>715</v>
      </c>
      <c r="H380" s="7">
        <f t="shared" si="6"/>
        <v>3131</v>
      </c>
      <c r="I380" s="7">
        <f t="shared" si="5"/>
        <v>500.96000000000004</v>
      </c>
    </row>
    <row r="381" spans="1:10">
      <c r="A381" s="150" t="s">
        <v>7544</v>
      </c>
      <c r="B381">
        <v>85</v>
      </c>
      <c r="F381" s="16" t="s">
        <v>2187</v>
      </c>
      <c r="G381" s="17" t="s">
        <v>2188</v>
      </c>
      <c r="H381" s="7">
        <f t="shared" si="6"/>
        <v>401477.3125</v>
      </c>
      <c r="I381" s="7">
        <f t="shared" si="5"/>
        <v>64236.37</v>
      </c>
    </row>
    <row r="382" spans="1:10">
      <c r="A382" s="150" t="s">
        <v>7544</v>
      </c>
      <c r="B382">
        <v>85</v>
      </c>
      <c r="F382" s="33" t="s">
        <v>749</v>
      </c>
      <c r="G382" s="33" t="s">
        <v>750</v>
      </c>
      <c r="H382" s="7">
        <f t="shared" si="6"/>
        <v>252.625</v>
      </c>
      <c r="I382" s="7">
        <f t="shared" si="5"/>
        <v>40.42</v>
      </c>
    </row>
    <row r="383" spans="1:10">
      <c r="A383" s="150" t="s">
        <v>7544</v>
      </c>
      <c r="B383">
        <v>85</v>
      </c>
      <c r="F383" s="46" t="s">
        <v>2192</v>
      </c>
      <c r="G383" s="17" t="s">
        <v>2193</v>
      </c>
      <c r="H383" s="7">
        <f t="shared" si="6"/>
        <v>449667.6875</v>
      </c>
      <c r="I383" s="7">
        <f t="shared" si="5"/>
        <v>71946.83</v>
      </c>
    </row>
    <row r="384" spans="1:10">
      <c r="A384" s="150" t="s">
        <v>7544</v>
      </c>
      <c r="B384">
        <v>85</v>
      </c>
      <c r="F384" s="39" t="s">
        <v>958</v>
      </c>
      <c r="G384" s="31" t="s">
        <v>959</v>
      </c>
      <c r="H384" s="7">
        <f t="shared" si="6"/>
        <v>366800.25</v>
      </c>
      <c r="I384" s="7">
        <f t="shared" si="5"/>
        <v>58688.04</v>
      </c>
    </row>
    <row r="385" spans="1:10">
      <c r="A385" s="150" t="s">
        <v>7544</v>
      </c>
      <c r="B385">
        <v>85</v>
      </c>
      <c r="F385" t="s">
        <v>2195</v>
      </c>
      <c r="G385" t="s">
        <v>1924</v>
      </c>
      <c r="H385" s="7">
        <f t="shared" si="6"/>
        <v>540.5</v>
      </c>
      <c r="I385" s="7">
        <f t="shared" si="5"/>
        <v>86.48</v>
      </c>
    </row>
    <row r="386" spans="1:10">
      <c r="A386" s="150" t="s">
        <v>7544</v>
      </c>
      <c r="B386">
        <v>85</v>
      </c>
      <c r="F386" s="20" t="s">
        <v>737</v>
      </c>
      <c r="G386" s="25" t="s">
        <v>738</v>
      </c>
      <c r="H386" s="7">
        <f t="shared" si="6"/>
        <v>12995.5625</v>
      </c>
      <c r="I386" s="7">
        <f t="shared" si="5"/>
        <v>2079.29</v>
      </c>
    </row>
    <row r="387" spans="1:10">
      <c r="A387" s="150" t="s">
        <v>7544</v>
      </c>
      <c r="B387">
        <v>85</v>
      </c>
      <c r="F387" s="16" t="s">
        <v>735</v>
      </c>
      <c r="G387" s="25" t="s">
        <v>736</v>
      </c>
      <c r="H387" s="7">
        <f t="shared" si="6"/>
        <v>180</v>
      </c>
      <c r="I387" s="7">
        <f t="shared" si="5"/>
        <v>28.8</v>
      </c>
    </row>
    <row r="388" spans="1:10">
      <c r="A388" s="150" t="s">
        <v>7544</v>
      </c>
      <c r="B388">
        <v>85</v>
      </c>
      <c r="F388" t="s">
        <v>2196</v>
      </c>
      <c r="G388" t="s">
        <v>2092</v>
      </c>
      <c r="H388" s="7">
        <f t="shared" si="6"/>
        <v>8000</v>
      </c>
      <c r="I388" s="7">
        <f t="shared" si="5"/>
        <v>1280</v>
      </c>
    </row>
    <row r="389" spans="1:10">
      <c r="A389" s="150" t="s">
        <v>7544</v>
      </c>
      <c r="B389">
        <v>85</v>
      </c>
      <c r="F389" t="s">
        <v>2212</v>
      </c>
      <c r="G389" t="s">
        <v>2097</v>
      </c>
      <c r="H389" s="7">
        <f t="shared" si="6"/>
        <v>11800</v>
      </c>
      <c r="I389" s="7">
        <f t="shared" si="5"/>
        <v>1888</v>
      </c>
    </row>
    <row r="390" spans="1:10">
      <c r="A390" s="150" t="s">
        <v>7544</v>
      </c>
      <c r="B390">
        <v>85</v>
      </c>
      <c r="F390" s="20" t="s">
        <v>741</v>
      </c>
      <c r="G390" s="26" t="s">
        <v>742</v>
      </c>
      <c r="H390" s="7">
        <f t="shared" si="6"/>
        <v>200.99999999999997</v>
      </c>
      <c r="I390" s="7">
        <f t="shared" si="5"/>
        <v>32.159999999999997</v>
      </c>
    </row>
    <row r="391" spans="1:10">
      <c r="A391" s="150" t="s">
        <v>7544</v>
      </c>
      <c r="B391">
        <v>85</v>
      </c>
      <c r="F391" s="20" t="s">
        <v>739</v>
      </c>
      <c r="G391" s="26" t="s">
        <v>740</v>
      </c>
      <c r="H391" s="7">
        <f t="shared" si="6"/>
        <v>6914.6874999999991</v>
      </c>
      <c r="I391" s="7">
        <f t="shared" si="5"/>
        <v>1106.3499999999999</v>
      </c>
    </row>
    <row r="392" spans="1:10">
      <c r="A392" s="150" t="s">
        <v>7544</v>
      </c>
      <c r="B392">
        <v>85</v>
      </c>
      <c r="F392" s="20" t="s">
        <v>712</v>
      </c>
      <c r="G392" t="s">
        <v>312</v>
      </c>
      <c r="H392" s="7">
        <f t="shared" si="6"/>
        <v>1293.125</v>
      </c>
      <c r="I392" s="7">
        <f t="shared" si="5"/>
        <v>206.9</v>
      </c>
    </row>
    <row r="393" spans="1:10">
      <c r="A393" s="150" t="s">
        <v>7544</v>
      </c>
      <c r="B393">
        <v>85</v>
      </c>
      <c r="F393" s="20" t="s">
        <v>743</v>
      </c>
      <c r="G393" s="26" t="s">
        <v>744</v>
      </c>
      <c r="H393" s="7">
        <f t="shared" si="6"/>
        <v>78</v>
      </c>
      <c r="I393" s="7">
        <f t="shared" si="5"/>
        <v>12.48</v>
      </c>
    </row>
    <row r="394" spans="1:10">
      <c r="A394" s="150" t="s">
        <v>7544</v>
      </c>
      <c r="B394">
        <v>85</v>
      </c>
      <c r="F394" s="29" t="s">
        <v>790</v>
      </c>
      <c r="G394" t="s">
        <v>428</v>
      </c>
      <c r="H394" s="7">
        <f t="shared" si="6"/>
        <v>1112591.6874999998</v>
      </c>
      <c r="I394" s="7">
        <f t="shared" si="5"/>
        <v>178014.66999999998</v>
      </c>
    </row>
    <row r="395" spans="1:10">
      <c r="A395" s="150" t="s">
        <v>7544</v>
      </c>
      <c r="B395" s="150" t="s">
        <v>7566</v>
      </c>
      <c r="F395" t="s">
        <v>956</v>
      </c>
      <c r="G395" t="s">
        <v>957</v>
      </c>
      <c r="H395" s="7">
        <f t="shared" si="6"/>
        <v>30000</v>
      </c>
      <c r="I395" s="7">
        <f t="shared" si="5"/>
        <v>4800</v>
      </c>
      <c r="J395" s="7">
        <v>3934.98</v>
      </c>
    </row>
    <row r="396" spans="1:10">
      <c r="A396" s="150" t="s">
        <v>7544</v>
      </c>
      <c r="B396">
        <v>85</v>
      </c>
      <c r="F396" t="s">
        <v>720</v>
      </c>
      <c r="G396" t="s">
        <v>660</v>
      </c>
      <c r="H396" s="7">
        <f t="shared" si="6"/>
        <v>381.375</v>
      </c>
      <c r="I396" s="7">
        <f t="shared" si="5"/>
        <v>61.02</v>
      </c>
    </row>
    <row r="397" spans="1:10">
      <c r="A397" s="150" t="s">
        <v>7544</v>
      </c>
      <c r="B397">
        <v>85</v>
      </c>
      <c r="F397" t="s">
        <v>2221</v>
      </c>
      <c r="G397" t="s">
        <v>1882</v>
      </c>
      <c r="H397" s="7">
        <f t="shared" si="6"/>
        <v>780</v>
      </c>
      <c r="I397" s="7">
        <f t="shared" si="5"/>
        <v>124.8</v>
      </c>
      <c r="J397" s="7">
        <f>18+13.2</f>
        <v>31.2</v>
      </c>
    </row>
    <row r="398" spans="1:10">
      <c r="A398" s="150" t="s">
        <v>7544</v>
      </c>
      <c r="B398">
        <v>85</v>
      </c>
      <c r="F398" s="20" t="s">
        <v>724</v>
      </c>
      <c r="G398" s="17" t="s">
        <v>725</v>
      </c>
      <c r="H398" s="7">
        <f t="shared" si="6"/>
        <v>217059.06249999997</v>
      </c>
      <c r="I398" s="7">
        <f t="shared" si="5"/>
        <v>34729.449999999997</v>
      </c>
    </row>
    <row r="399" spans="1:10">
      <c r="A399" s="150" t="s">
        <v>7544</v>
      </c>
      <c r="B399">
        <v>85</v>
      </c>
      <c r="F399" s="16" t="s">
        <v>2197</v>
      </c>
      <c r="G399" t="s">
        <v>2057</v>
      </c>
      <c r="H399" s="7">
        <f t="shared" si="6"/>
        <v>1818.1875000000002</v>
      </c>
      <c r="I399" s="7">
        <f t="shared" si="5"/>
        <v>290.91000000000003</v>
      </c>
    </row>
    <row r="400" spans="1:10">
      <c r="A400" s="150" t="s">
        <v>7544</v>
      </c>
      <c r="B400">
        <v>85</v>
      </c>
      <c r="F400" t="s">
        <v>2198</v>
      </c>
      <c r="G400" t="s">
        <v>1873</v>
      </c>
      <c r="H400" s="7">
        <f t="shared" si="6"/>
        <v>287.9375</v>
      </c>
      <c r="I400" s="7">
        <f t="shared" si="5"/>
        <v>46.07</v>
      </c>
    </row>
    <row r="401" spans="1:9">
      <c r="A401" s="150" t="s">
        <v>7544</v>
      </c>
      <c r="B401">
        <v>85</v>
      </c>
      <c r="F401" t="s">
        <v>881</v>
      </c>
      <c r="G401" t="s">
        <v>882</v>
      </c>
      <c r="H401" s="7">
        <f t="shared" si="6"/>
        <v>54.75</v>
      </c>
      <c r="I401" s="7">
        <f t="shared" si="5"/>
        <v>8.76</v>
      </c>
    </row>
    <row r="402" spans="1:9">
      <c r="A402" s="150" t="s">
        <v>7544</v>
      </c>
      <c r="B402">
        <v>85</v>
      </c>
      <c r="F402" t="s">
        <v>808</v>
      </c>
      <c r="G402" t="s">
        <v>489</v>
      </c>
      <c r="H402" s="7">
        <f t="shared" si="6"/>
        <v>18245.9375</v>
      </c>
      <c r="I402" s="7">
        <f t="shared" si="5"/>
        <v>2919.35</v>
      </c>
    </row>
    <row r="403" spans="1:9">
      <c r="A403" s="150" t="s">
        <v>7544</v>
      </c>
      <c r="B403">
        <v>85</v>
      </c>
      <c r="F403" t="s">
        <v>7305</v>
      </c>
      <c r="G403" t="s">
        <v>7306</v>
      </c>
      <c r="H403" s="7">
        <f t="shared" si="6"/>
        <v>155172.4375</v>
      </c>
      <c r="I403" s="7">
        <f t="shared" ref="I403:I434" si="7">+SUMIF($F$7:$F$354,F403,$I$7:$I$354)</f>
        <v>24827.59</v>
      </c>
    </row>
    <row r="404" spans="1:9">
      <c r="A404" s="150" t="s">
        <v>7544</v>
      </c>
      <c r="B404">
        <v>85</v>
      </c>
      <c r="F404" t="s">
        <v>726</v>
      </c>
      <c r="G404" t="s">
        <v>1868</v>
      </c>
      <c r="H404" s="7">
        <f t="shared" si="6"/>
        <v>200.875</v>
      </c>
      <c r="I404" s="7">
        <f t="shared" si="7"/>
        <v>32.14</v>
      </c>
    </row>
    <row r="405" spans="1:9">
      <c r="A405" s="150" t="s">
        <v>7544</v>
      </c>
      <c r="B405">
        <v>85</v>
      </c>
      <c r="F405" t="s">
        <v>2199</v>
      </c>
      <c r="G405" t="s">
        <v>2078</v>
      </c>
      <c r="H405" s="7">
        <f t="shared" si="6"/>
        <v>11758</v>
      </c>
      <c r="I405" s="7">
        <f t="shared" si="7"/>
        <v>1881.28</v>
      </c>
    </row>
    <row r="406" spans="1:9">
      <c r="A406" s="150" t="s">
        <v>7544</v>
      </c>
      <c r="B406">
        <v>85</v>
      </c>
      <c r="F406" t="s">
        <v>759</v>
      </c>
      <c r="G406" t="s">
        <v>270</v>
      </c>
      <c r="H406" s="7">
        <f t="shared" si="6"/>
        <v>103.49999999999999</v>
      </c>
      <c r="I406" s="7">
        <f t="shared" si="7"/>
        <v>16.559999999999999</v>
      </c>
    </row>
    <row r="407" spans="1:9">
      <c r="A407" s="150" t="s">
        <v>7544</v>
      </c>
      <c r="B407">
        <v>85</v>
      </c>
      <c r="F407" s="33" t="s">
        <v>755</v>
      </c>
      <c r="G407" s="33" t="s">
        <v>1173</v>
      </c>
      <c r="H407" s="7">
        <f t="shared" si="6"/>
        <v>1079.25</v>
      </c>
      <c r="I407" s="7">
        <f t="shared" si="7"/>
        <v>172.68</v>
      </c>
    </row>
    <row r="408" spans="1:9">
      <c r="A408" s="150" t="s">
        <v>7544</v>
      </c>
      <c r="B408">
        <v>85</v>
      </c>
      <c r="F408" s="20" t="s">
        <v>2200</v>
      </c>
      <c r="G408" t="s">
        <v>1854</v>
      </c>
      <c r="H408" s="7">
        <f t="shared" si="6"/>
        <v>273.25</v>
      </c>
      <c r="I408" s="7">
        <f t="shared" si="7"/>
        <v>43.72</v>
      </c>
    </row>
    <row r="409" spans="1:9">
      <c r="A409" s="150" t="s">
        <v>7544</v>
      </c>
      <c r="B409">
        <v>85</v>
      </c>
      <c r="F409" s="11" t="s">
        <v>727</v>
      </c>
      <c r="G409" s="19" t="s">
        <v>728</v>
      </c>
      <c r="H409" s="7">
        <f t="shared" si="6"/>
        <v>264824.5625</v>
      </c>
      <c r="I409" s="7">
        <f t="shared" si="7"/>
        <v>42371.93</v>
      </c>
    </row>
    <row r="410" spans="1:9">
      <c r="A410" s="150" t="s">
        <v>7544</v>
      </c>
      <c r="B410">
        <v>85</v>
      </c>
      <c r="F410" s="34" t="s">
        <v>1554</v>
      </c>
      <c r="G410" s="34" t="s">
        <v>1555</v>
      </c>
      <c r="H410" s="7">
        <f t="shared" si="6"/>
        <v>144431.43749999997</v>
      </c>
      <c r="I410" s="7">
        <f t="shared" si="7"/>
        <v>23109.029999999995</v>
      </c>
    </row>
    <row r="411" spans="1:9">
      <c r="A411" s="150" t="s">
        <v>7544</v>
      </c>
      <c r="B411">
        <v>85</v>
      </c>
      <c r="F411" s="31" t="s">
        <v>797</v>
      </c>
      <c r="G411" s="31" t="s">
        <v>798</v>
      </c>
      <c r="H411" s="7">
        <f t="shared" si="6"/>
        <v>207462.8125</v>
      </c>
      <c r="I411" s="7">
        <f t="shared" si="7"/>
        <v>33194.050000000003</v>
      </c>
    </row>
    <row r="412" spans="1:9">
      <c r="A412" s="150" t="s">
        <v>7544</v>
      </c>
      <c r="B412">
        <v>85</v>
      </c>
      <c r="F412" t="s">
        <v>795</v>
      </c>
      <c r="G412" t="s">
        <v>638</v>
      </c>
      <c r="H412" s="7">
        <f t="shared" si="6"/>
        <v>176137.9375</v>
      </c>
      <c r="I412" s="7">
        <f t="shared" si="7"/>
        <v>28182.07</v>
      </c>
    </row>
    <row r="413" spans="1:9">
      <c r="A413" s="150" t="s">
        <v>7544</v>
      </c>
      <c r="B413">
        <v>85</v>
      </c>
      <c r="F413" s="33" t="s">
        <v>885</v>
      </c>
      <c r="G413" s="33" t="s">
        <v>2251</v>
      </c>
      <c r="H413" s="7">
        <f t="shared" si="6"/>
        <v>113.8125</v>
      </c>
      <c r="I413" s="7">
        <f t="shared" si="7"/>
        <v>18.21</v>
      </c>
    </row>
    <row r="414" spans="1:9">
      <c r="A414" s="150" t="s">
        <v>7544</v>
      </c>
      <c r="B414">
        <v>85</v>
      </c>
      <c r="F414" s="33" t="s">
        <v>2190</v>
      </c>
      <c r="G414" s="33" t="s">
        <v>1946</v>
      </c>
      <c r="H414" s="7">
        <f t="shared" si="6"/>
        <v>86.187499999999986</v>
      </c>
      <c r="I414" s="7">
        <f t="shared" si="7"/>
        <v>13.79</v>
      </c>
    </row>
    <row r="415" spans="1:9">
      <c r="A415" s="150" t="s">
        <v>7544</v>
      </c>
      <c r="B415">
        <v>85</v>
      </c>
      <c r="F415" s="20" t="s">
        <v>704</v>
      </c>
      <c r="G415" t="s">
        <v>237</v>
      </c>
      <c r="H415" s="7">
        <f t="shared" si="6"/>
        <v>1723.9999999999998</v>
      </c>
      <c r="I415" s="7">
        <f t="shared" si="7"/>
        <v>275.83999999999997</v>
      </c>
    </row>
    <row r="416" spans="1:9">
      <c r="A416" s="150" t="s">
        <v>7544</v>
      </c>
      <c r="B416">
        <v>85</v>
      </c>
      <c r="F416" s="33" t="s">
        <v>2201</v>
      </c>
      <c r="G416" s="33" t="s">
        <v>1871</v>
      </c>
      <c r="H416" s="7">
        <f t="shared" si="6"/>
        <v>67.25</v>
      </c>
      <c r="I416" s="7">
        <f t="shared" si="7"/>
        <v>10.76</v>
      </c>
    </row>
    <row r="417" spans="1:10">
      <c r="A417" s="150" t="s">
        <v>7544</v>
      </c>
      <c r="B417">
        <v>85</v>
      </c>
      <c r="F417" s="33" t="s">
        <v>1561</v>
      </c>
      <c r="G417" s="33" t="s">
        <v>1188</v>
      </c>
      <c r="H417" s="7">
        <f t="shared" si="6"/>
        <v>512.125</v>
      </c>
      <c r="I417" s="7">
        <f t="shared" si="7"/>
        <v>81.94</v>
      </c>
    </row>
    <row r="418" spans="1:10">
      <c r="A418" s="150" t="s">
        <v>7544</v>
      </c>
      <c r="B418">
        <v>85</v>
      </c>
      <c r="F418" t="s">
        <v>961</v>
      </c>
      <c r="G418" t="s">
        <v>962</v>
      </c>
      <c r="H418" s="7">
        <f t="shared" si="6"/>
        <v>185.3125</v>
      </c>
      <c r="I418" s="7">
        <f t="shared" si="7"/>
        <v>29.65</v>
      </c>
    </row>
    <row r="419" spans="1:10">
      <c r="A419" s="150" t="s">
        <v>7544</v>
      </c>
      <c r="B419">
        <v>85</v>
      </c>
      <c r="F419" s="33" t="s">
        <v>2249</v>
      </c>
      <c r="G419" s="33" t="s">
        <v>2250</v>
      </c>
      <c r="H419" s="7">
        <f t="shared" si="6"/>
        <v>41.9375</v>
      </c>
      <c r="I419" s="7">
        <f t="shared" si="7"/>
        <v>6.71</v>
      </c>
    </row>
    <row r="420" spans="1:10">
      <c r="A420" s="150" t="s">
        <v>7544</v>
      </c>
      <c r="B420">
        <v>85</v>
      </c>
      <c r="F420" t="s">
        <v>2204</v>
      </c>
      <c r="G420" t="s">
        <v>1885</v>
      </c>
      <c r="H420" s="7">
        <f t="shared" si="6"/>
        <v>539.875</v>
      </c>
      <c r="I420" s="7">
        <f t="shared" si="7"/>
        <v>86.38</v>
      </c>
    </row>
    <row r="421" spans="1:10">
      <c r="A421" s="150" t="s">
        <v>7544</v>
      </c>
      <c r="B421">
        <v>85</v>
      </c>
      <c r="F421" s="20" t="s">
        <v>805</v>
      </c>
      <c r="G421" t="s">
        <v>1148</v>
      </c>
      <c r="H421" s="7">
        <f t="shared" si="6"/>
        <v>1160</v>
      </c>
      <c r="I421" s="7">
        <f t="shared" si="7"/>
        <v>185.6</v>
      </c>
      <c r="J421" s="7">
        <f>11.6*4</f>
        <v>46.4</v>
      </c>
    </row>
    <row r="422" spans="1:10">
      <c r="A422" s="150" t="s">
        <v>7544</v>
      </c>
      <c r="B422">
        <v>85</v>
      </c>
      <c r="F422" s="33" t="s">
        <v>804</v>
      </c>
      <c r="G422" s="33" t="s">
        <v>285</v>
      </c>
      <c r="H422" s="7">
        <f t="shared" si="6"/>
        <v>109</v>
      </c>
      <c r="I422" s="7">
        <f t="shared" si="7"/>
        <v>17.440000000000001</v>
      </c>
    </row>
    <row r="423" spans="1:10">
      <c r="A423" s="150" t="s">
        <v>7544</v>
      </c>
      <c r="B423">
        <v>85</v>
      </c>
      <c r="F423" s="33" t="s">
        <v>1568</v>
      </c>
      <c r="G423" s="33" t="s">
        <v>1974</v>
      </c>
      <c r="H423" s="7">
        <f t="shared" si="6"/>
        <v>137.5</v>
      </c>
      <c r="I423" s="7">
        <f t="shared" si="7"/>
        <v>22</v>
      </c>
    </row>
    <row r="424" spans="1:10">
      <c r="A424" s="150" t="s">
        <v>7544</v>
      </c>
      <c r="B424">
        <v>85</v>
      </c>
      <c r="F424" t="s">
        <v>1570</v>
      </c>
      <c r="G424" t="s">
        <v>1476</v>
      </c>
      <c r="H424" s="7">
        <f t="shared" si="6"/>
        <v>5012</v>
      </c>
      <c r="I424" s="7">
        <f t="shared" si="7"/>
        <v>801.92000000000007</v>
      </c>
    </row>
    <row r="425" spans="1:10">
      <c r="A425" s="150" t="s">
        <v>7544</v>
      </c>
      <c r="B425">
        <v>85</v>
      </c>
      <c r="F425" s="33" t="s">
        <v>2235</v>
      </c>
      <c r="G425" s="33" t="s">
        <v>2236</v>
      </c>
      <c r="H425" s="7">
        <f t="shared" si="6"/>
        <v>541.4375</v>
      </c>
      <c r="I425" s="7">
        <f t="shared" si="7"/>
        <v>86.63</v>
      </c>
    </row>
    <row r="426" spans="1:10">
      <c r="A426" s="150" t="s">
        <v>7544</v>
      </c>
      <c r="B426">
        <v>85</v>
      </c>
      <c r="F426" t="s">
        <v>815</v>
      </c>
      <c r="G426" t="s">
        <v>446</v>
      </c>
      <c r="H426" s="7">
        <f t="shared" si="6"/>
        <v>2983.5625</v>
      </c>
      <c r="I426" s="7">
        <f t="shared" si="7"/>
        <v>477.37</v>
      </c>
    </row>
    <row r="427" spans="1:10">
      <c r="A427" s="150" t="s">
        <v>7544</v>
      </c>
      <c r="B427">
        <v>85</v>
      </c>
      <c r="F427" t="s">
        <v>1571</v>
      </c>
      <c r="G427" t="s">
        <v>1159</v>
      </c>
      <c r="H427" s="7">
        <f t="shared" si="6"/>
        <v>435.50000000000006</v>
      </c>
      <c r="I427" s="7">
        <f t="shared" si="7"/>
        <v>69.680000000000007</v>
      </c>
    </row>
    <row r="428" spans="1:10">
      <c r="A428" s="150" t="s">
        <v>7544</v>
      </c>
      <c r="B428">
        <v>85</v>
      </c>
      <c r="F428" t="s">
        <v>764</v>
      </c>
      <c r="G428" t="s">
        <v>765</v>
      </c>
      <c r="H428" s="7">
        <f t="shared" si="6"/>
        <v>215.49999999999997</v>
      </c>
      <c r="I428" s="7">
        <f t="shared" si="7"/>
        <v>34.479999999999997</v>
      </c>
    </row>
    <row r="429" spans="1:10">
      <c r="A429" s="150" t="s">
        <v>7544</v>
      </c>
      <c r="B429">
        <v>85</v>
      </c>
      <c r="F429" s="33" t="s">
        <v>937</v>
      </c>
      <c r="G429" s="33" t="s">
        <v>938</v>
      </c>
      <c r="H429" s="7">
        <f t="shared" si="6"/>
        <v>346.25</v>
      </c>
      <c r="I429" s="7">
        <f t="shared" si="7"/>
        <v>55.4</v>
      </c>
    </row>
    <row r="430" spans="1:10">
      <c r="A430" s="150" t="s">
        <v>7544</v>
      </c>
      <c r="B430">
        <v>85</v>
      </c>
      <c r="F430" t="s">
        <v>722</v>
      </c>
      <c r="G430" t="s">
        <v>723</v>
      </c>
      <c r="H430" s="7">
        <f t="shared" si="6"/>
        <v>5445.8125000000018</v>
      </c>
      <c r="I430" s="7">
        <f t="shared" si="7"/>
        <v>871.33000000000027</v>
      </c>
    </row>
    <row r="431" spans="1:10">
      <c r="A431" s="150" t="s">
        <v>7544</v>
      </c>
      <c r="B431">
        <v>85</v>
      </c>
      <c r="F431" s="33" t="s">
        <v>2243</v>
      </c>
      <c r="G431" s="33" t="s">
        <v>2244</v>
      </c>
      <c r="H431" s="7">
        <f t="shared" si="6"/>
        <v>765.75</v>
      </c>
      <c r="I431" s="7">
        <f t="shared" si="7"/>
        <v>122.52</v>
      </c>
    </row>
    <row r="432" spans="1:10">
      <c r="A432" s="150" t="s">
        <v>7544</v>
      </c>
      <c r="B432">
        <v>85</v>
      </c>
      <c r="F432" t="s">
        <v>2205</v>
      </c>
      <c r="G432" t="s">
        <v>2206</v>
      </c>
      <c r="H432" s="7">
        <f t="shared" si="6"/>
        <v>826.375</v>
      </c>
      <c r="I432" s="7">
        <f t="shared" si="7"/>
        <v>132.22</v>
      </c>
    </row>
    <row r="433" spans="1:11">
      <c r="A433" s="150" t="s">
        <v>7544</v>
      </c>
      <c r="B433">
        <v>85</v>
      </c>
      <c r="F433" t="s">
        <v>2208</v>
      </c>
      <c r="G433" t="s">
        <v>2122</v>
      </c>
      <c r="H433" s="7">
        <f t="shared" si="6"/>
        <v>8990</v>
      </c>
      <c r="I433" s="7">
        <f t="shared" si="7"/>
        <v>1438.4</v>
      </c>
    </row>
    <row r="434" spans="1:11">
      <c r="A434" s="150" t="s">
        <v>7544</v>
      </c>
      <c r="B434">
        <v>85</v>
      </c>
      <c r="F434" t="s">
        <v>1626</v>
      </c>
      <c r="G434" t="s">
        <v>1627</v>
      </c>
      <c r="H434" s="7">
        <f t="shared" ref="H434:H497" si="8">+I434/0.16</f>
        <v>86.187499999999986</v>
      </c>
      <c r="I434" s="7">
        <f t="shared" si="7"/>
        <v>13.79</v>
      </c>
    </row>
    <row r="435" spans="1:11">
      <c r="A435" s="150" t="s">
        <v>7544</v>
      </c>
      <c r="B435">
        <v>85</v>
      </c>
      <c r="F435" t="s">
        <v>2225</v>
      </c>
      <c r="G435" t="s">
        <v>2226</v>
      </c>
      <c r="H435" s="7">
        <f t="shared" si="8"/>
        <v>755.3125</v>
      </c>
      <c r="I435" s="7">
        <f t="shared" ref="I435:I466" si="9">+SUMIF($F$7:$F$354,F435,$I$7:$I$354)</f>
        <v>120.85</v>
      </c>
    </row>
    <row r="436" spans="1:11">
      <c r="A436" s="150" t="s">
        <v>7544</v>
      </c>
      <c r="B436">
        <v>85</v>
      </c>
      <c r="F436" s="16" t="s">
        <v>806</v>
      </c>
      <c r="G436" t="s">
        <v>503</v>
      </c>
      <c r="H436" s="7">
        <f t="shared" si="8"/>
        <v>34330.125</v>
      </c>
      <c r="I436" s="7">
        <f t="shared" si="9"/>
        <v>5492.82</v>
      </c>
    </row>
    <row r="437" spans="1:11">
      <c r="A437" s="150" t="s">
        <v>7544</v>
      </c>
      <c r="B437">
        <v>85</v>
      </c>
      <c r="F437" t="s">
        <v>820</v>
      </c>
      <c r="G437" t="s">
        <v>324</v>
      </c>
      <c r="H437" s="7">
        <f t="shared" si="8"/>
        <v>680.125</v>
      </c>
      <c r="I437" s="7">
        <f t="shared" si="9"/>
        <v>108.82</v>
      </c>
    </row>
    <row r="438" spans="1:11">
      <c r="A438" s="150" t="s">
        <v>7544</v>
      </c>
      <c r="B438">
        <v>85</v>
      </c>
      <c r="F438" t="s">
        <v>2209</v>
      </c>
      <c r="G438" t="s">
        <v>2139</v>
      </c>
      <c r="H438" s="7">
        <f t="shared" si="8"/>
        <v>7291.1874999999991</v>
      </c>
      <c r="I438" s="7">
        <f t="shared" si="9"/>
        <v>1166.5899999999999</v>
      </c>
    </row>
    <row r="439" spans="1:11">
      <c r="A439" s="150" t="s">
        <v>7544</v>
      </c>
      <c r="B439">
        <v>85</v>
      </c>
      <c r="F439" t="s">
        <v>823</v>
      </c>
      <c r="G439" t="s">
        <v>455</v>
      </c>
      <c r="H439" s="7">
        <f t="shared" si="8"/>
        <v>38801.5</v>
      </c>
      <c r="I439" s="7">
        <f t="shared" si="9"/>
        <v>6208.24</v>
      </c>
    </row>
    <row r="440" spans="1:11">
      <c r="A440" s="150" t="s">
        <v>7544</v>
      </c>
      <c r="B440">
        <v>85</v>
      </c>
      <c r="F440" s="20" t="s">
        <v>2211</v>
      </c>
      <c r="G440" t="s">
        <v>2047</v>
      </c>
      <c r="H440" s="7">
        <f t="shared" si="8"/>
        <v>2173.25</v>
      </c>
      <c r="I440" s="7">
        <f t="shared" si="9"/>
        <v>347.72</v>
      </c>
    </row>
    <row r="441" spans="1:11">
      <c r="A441" s="150" t="s">
        <v>7544</v>
      </c>
      <c r="B441">
        <v>85</v>
      </c>
      <c r="F441" t="s">
        <v>809</v>
      </c>
      <c r="G441" t="s">
        <v>2152</v>
      </c>
      <c r="H441" s="7">
        <f t="shared" si="8"/>
        <v>1651.7499999999998</v>
      </c>
      <c r="I441" s="7">
        <f t="shared" si="9"/>
        <v>264.27999999999997</v>
      </c>
    </row>
    <row r="442" spans="1:11">
      <c r="A442" s="150" t="s">
        <v>7544</v>
      </c>
      <c r="B442">
        <v>85</v>
      </c>
      <c r="F442" t="s">
        <v>1573</v>
      </c>
      <c r="G442" t="s">
        <v>1455</v>
      </c>
      <c r="H442" s="7">
        <f t="shared" si="8"/>
        <v>4350</v>
      </c>
      <c r="I442" s="7">
        <f t="shared" si="9"/>
        <v>696</v>
      </c>
    </row>
    <row r="443" spans="1:11">
      <c r="A443" s="150" t="s">
        <v>7544</v>
      </c>
      <c r="B443">
        <v>85</v>
      </c>
      <c r="F443" s="33" t="s">
        <v>2210</v>
      </c>
      <c r="G443" s="33" t="s">
        <v>1935</v>
      </c>
      <c r="H443" s="7">
        <f t="shared" si="8"/>
        <v>83.875</v>
      </c>
      <c r="I443" s="7">
        <f t="shared" si="9"/>
        <v>13.42</v>
      </c>
    </row>
    <row r="444" spans="1:11">
      <c r="A444" s="150" t="s">
        <v>7544</v>
      </c>
      <c r="B444">
        <v>85</v>
      </c>
      <c r="F444" t="s">
        <v>821</v>
      </c>
      <c r="G444" t="s">
        <v>263</v>
      </c>
      <c r="H444" s="7">
        <f t="shared" si="8"/>
        <v>1724.0625</v>
      </c>
      <c r="I444" s="7">
        <f t="shared" si="9"/>
        <v>275.85000000000002</v>
      </c>
    </row>
    <row r="445" spans="1:11">
      <c r="A445" s="150" t="s">
        <v>7544</v>
      </c>
      <c r="B445">
        <v>85</v>
      </c>
      <c r="F445" s="20" t="s">
        <v>822</v>
      </c>
      <c r="G445" t="s">
        <v>1848</v>
      </c>
      <c r="H445" s="7">
        <f t="shared" si="8"/>
        <v>414.25</v>
      </c>
      <c r="I445" s="7">
        <f t="shared" si="9"/>
        <v>66.28</v>
      </c>
      <c r="J445" s="7">
        <v>7.84</v>
      </c>
      <c r="K445" s="7">
        <f>+H445*0.04</f>
        <v>16.57</v>
      </c>
    </row>
    <row r="446" spans="1:11">
      <c r="A446" s="150" t="s">
        <v>7544</v>
      </c>
      <c r="B446">
        <v>85</v>
      </c>
      <c r="F446" t="s">
        <v>827</v>
      </c>
      <c r="G446" t="s">
        <v>650</v>
      </c>
      <c r="H446" s="7">
        <f t="shared" si="8"/>
        <v>4602.5000000000009</v>
      </c>
      <c r="I446" s="7">
        <f t="shared" si="9"/>
        <v>736.40000000000009</v>
      </c>
    </row>
    <row r="447" spans="1:11">
      <c r="A447" s="150" t="s">
        <v>7544</v>
      </c>
      <c r="B447">
        <v>85</v>
      </c>
      <c r="F447" t="s">
        <v>828</v>
      </c>
      <c r="G447" t="s">
        <v>1171</v>
      </c>
      <c r="H447" s="7">
        <f t="shared" si="8"/>
        <v>103.50000000000001</v>
      </c>
      <c r="I447" s="7">
        <f t="shared" si="9"/>
        <v>16.560000000000002</v>
      </c>
    </row>
    <row r="448" spans="1:11">
      <c r="A448" s="150" t="s">
        <v>7544</v>
      </c>
      <c r="B448">
        <v>85</v>
      </c>
      <c r="F448" t="s">
        <v>830</v>
      </c>
      <c r="G448" t="s">
        <v>564</v>
      </c>
      <c r="H448" s="7">
        <f t="shared" si="8"/>
        <v>404585.6875</v>
      </c>
      <c r="I448" s="7">
        <f t="shared" si="9"/>
        <v>64733.71</v>
      </c>
    </row>
    <row r="449" spans="1:10">
      <c r="A449" s="150" t="s">
        <v>7544</v>
      </c>
      <c r="B449">
        <v>85</v>
      </c>
      <c r="F449" t="s">
        <v>836</v>
      </c>
      <c r="G449" t="s">
        <v>472</v>
      </c>
      <c r="H449" s="7">
        <f t="shared" si="8"/>
        <v>6888.6875</v>
      </c>
      <c r="I449" s="7">
        <f t="shared" si="9"/>
        <v>1102.19</v>
      </c>
    </row>
    <row r="450" spans="1:10">
      <c r="A450" s="150" t="s">
        <v>7544</v>
      </c>
      <c r="B450" s="150" t="s">
        <v>7566</v>
      </c>
      <c r="F450" s="20" t="s">
        <v>829</v>
      </c>
      <c r="G450" s="25" t="s">
        <v>529</v>
      </c>
      <c r="H450" s="7">
        <f t="shared" si="8"/>
        <v>107758.625</v>
      </c>
      <c r="I450" s="7">
        <f t="shared" si="9"/>
        <v>17241.38</v>
      </c>
      <c r="J450" s="7">
        <v>14285.71</v>
      </c>
    </row>
    <row r="451" spans="1:10">
      <c r="A451" s="150" t="s">
        <v>7544</v>
      </c>
      <c r="B451">
        <v>85</v>
      </c>
      <c r="F451" s="16" t="s">
        <v>2214</v>
      </c>
      <c r="G451" t="s">
        <v>2069</v>
      </c>
      <c r="H451" s="7">
        <f t="shared" si="8"/>
        <v>3277.5</v>
      </c>
      <c r="I451" s="7">
        <f t="shared" si="9"/>
        <v>524.4</v>
      </c>
    </row>
    <row r="452" spans="1:10">
      <c r="A452" s="150" t="s">
        <v>7544</v>
      </c>
      <c r="B452">
        <v>85</v>
      </c>
      <c r="F452" t="s">
        <v>2186</v>
      </c>
      <c r="G452" t="s">
        <v>2128</v>
      </c>
      <c r="H452" s="7">
        <f t="shared" si="8"/>
        <v>10800</v>
      </c>
      <c r="I452" s="7">
        <f t="shared" si="9"/>
        <v>1728</v>
      </c>
    </row>
    <row r="453" spans="1:10">
      <c r="A453" s="150" t="s">
        <v>7544</v>
      </c>
      <c r="B453">
        <v>85</v>
      </c>
      <c r="F453" s="33" t="s">
        <v>1587</v>
      </c>
      <c r="G453" s="33" t="s">
        <v>1267</v>
      </c>
      <c r="H453" s="7">
        <f t="shared" si="8"/>
        <v>1000</v>
      </c>
      <c r="I453" s="7">
        <f t="shared" si="9"/>
        <v>160</v>
      </c>
    </row>
    <row r="454" spans="1:10">
      <c r="A454" s="150" t="s">
        <v>7544</v>
      </c>
      <c r="B454">
        <v>85</v>
      </c>
      <c r="F454" s="20" t="s">
        <v>700</v>
      </c>
      <c r="G454" t="s">
        <v>301</v>
      </c>
      <c r="H454" s="7">
        <f t="shared" si="8"/>
        <v>259.5</v>
      </c>
      <c r="I454" s="7">
        <f t="shared" si="9"/>
        <v>41.52</v>
      </c>
    </row>
    <row r="455" spans="1:10">
      <c r="A455" s="150" t="s">
        <v>7544</v>
      </c>
      <c r="B455">
        <v>85</v>
      </c>
      <c r="F455" s="16" t="s">
        <v>803</v>
      </c>
      <c r="G455" t="s">
        <v>625</v>
      </c>
      <c r="H455" s="7">
        <f t="shared" si="8"/>
        <v>6052.9375</v>
      </c>
      <c r="I455" s="7">
        <f t="shared" si="9"/>
        <v>968.47</v>
      </c>
      <c r="J455" s="7">
        <v>802.45</v>
      </c>
    </row>
    <row r="456" spans="1:10">
      <c r="A456" s="150" t="s">
        <v>7544</v>
      </c>
      <c r="B456">
        <v>85</v>
      </c>
      <c r="F456" t="s">
        <v>1589</v>
      </c>
      <c r="G456" t="s">
        <v>1341</v>
      </c>
      <c r="H456" s="7">
        <f t="shared" si="8"/>
        <v>5160</v>
      </c>
      <c r="I456" s="7">
        <f t="shared" si="9"/>
        <v>825.6</v>
      </c>
    </row>
    <row r="457" spans="1:10">
      <c r="A457" s="150" t="s">
        <v>7544</v>
      </c>
      <c r="B457">
        <v>85</v>
      </c>
      <c r="F457" s="33" t="s">
        <v>2224</v>
      </c>
      <c r="G457" s="33" t="s">
        <v>1948</v>
      </c>
      <c r="H457" s="7">
        <f t="shared" si="8"/>
        <v>84.5625</v>
      </c>
      <c r="I457" s="7">
        <f t="shared" si="9"/>
        <v>13.53</v>
      </c>
    </row>
    <row r="458" spans="1:10">
      <c r="A458" s="150" t="s">
        <v>7544</v>
      </c>
      <c r="B458">
        <v>85</v>
      </c>
      <c r="F458" t="s">
        <v>838</v>
      </c>
      <c r="G458" t="s">
        <v>467</v>
      </c>
      <c r="H458" s="7">
        <f t="shared" si="8"/>
        <v>14237.187499999998</v>
      </c>
      <c r="I458" s="7">
        <f t="shared" si="9"/>
        <v>2277.9499999999998</v>
      </c>
    </row>
    <row r="459" spans="1:10">
      <c r="A459" s="150" t="s">
        <v>7544</v>
      </c>
      <c r="B459">
        <v>85</v>
      </c>
      <c r="F459" t="s">
        <v>1636</v>
      </c>
      <c r="G459" t="s">
        <v>1637</v>
      </c>
      <c r="H459" s="7">
        <f t="shared" si="8"/>
        <v>107.74999999999999</v>
      </c>
      <c r="I459" s="7">
        <f t="shared" si="9"/>
        <v>17.239999999999998</v>
      </c>
    </row>
    <row r="460" spans="1:10">
      <c r="A460" s="150" t="s">
        <v>7544</v>
      </c>
      <c r="B460">
        <v>85</v>
      </c>
      <c r="F460" s="33" t="s">
        <v>2202</v>
      </c>
      <c r="G460" s="33" t="s">
        <v>1967</v>
      </c>
      <c r="H460" s="7">
        <f t="shared" si="8"/>
        <v>130.1875</v>
      </c>
      <c r="I460" s="7">
        <f t="shared" si="9"/>
        <v>20.83</v>
      </c>
    </row>
    <row r="461" spans="1:10">
      <c r="A461" s="150" t="s">
        <v>7544</v>
      </c>
      <c r="B461">
        <v>85</v>
      </c>
      <c r="F461" s="33" t="s">
        <v>837</v>
      </c>
      <c r="G461" s="33" t="s">
        <v>261</v>
      </c>
      <c r="H461" s="7">
        <f t="shared" si="8"/>
        <v>549.9375</v>
      </c>
      <c r="I461" s="7">
        <f t="shared" si="9"/>
        <v>87.99</v>
      </c>
    </row>
    <row r="462" spans="1:10">
      <c r="A462" s="150" t="s">
        <v>7544</v>
      </c>
      <c r="B462">
        <v>85</v>
      </c>
      <c r="F462" s="33" t="s">
        <v>768</v>
      </c>
      <c r="G462" s="33" t="s">
        <v>283</v>
      </c>
      <c r="H462" s="7">
        <f t="shared" si="8"/>
        <v>1016.7499999999999</v>
      </c>
      <c r="I462" s="7">
        <f t="shared" si="9"/>
        <v>162.67999999999998</v>
      </c>
    </row>
    <row r="463" spans="1:10">
      <c r="A463" s="150" t="s">
        <v>7544</v>
      </c>
      <c r="B463">
        <v>85</v>
      </c>
      <c r="F463" t="s">
        <v>1528</v>
      </c>
      <c r="G463" t="s">
        <v>1514</v>
      </c>
      <c r="H463" s="7">
        <f t="shared" si="8"/>
        <v>7350</v>
      </c>
      <c r="I463" s="7">
        <f t="shared" si="9"/>
        <v>1176</v>
      </c>
    </row>
    <row r="464" spans="1:10">
      <c r="A464" s="150" t="s">
        <v>7544</v>
      </c>
      <c r="B464">
        <v>85</v>
      </c>
      <c r="F464" t="s">
        <v>843</v>
      </c>
      <c r="G464" t="s">
        <v>470</v>
      </c>
      <c r="H464" s="7">
        <f t="shared" si="8"/>
        <v>7113.3125000000009</v>
      </c>
      <c r="I464" s="7">
        <f t="shared" si="9"/>
        <v>1138.1300000000001</v>
      </c>
    </row>
    <row r="465" spans="1:10">
      <c r="A465" s="150" t="s">
        <v>7544</v>
      </c>
      <c r="B465">
        <v>85</v>
      </c>
      <c r="F465" t="s">
        <v>846</v>
      </c>
      <c r="G465" t="s">
        <v>663</v>
      </c>
      <c r="H465" s="7">
        <f t="shared" si="8"/>
        <v>3785.625</v>
      </c>
      <c r="I465" s="7">
        <f t="shared" si="9"/>
        <v>605.70000000000005</v>
      </c>
    </row>
    <row r="466" spans="1:10">
      <c r="A466" s="150" t="s">
        <v>7544</v>
      </c>
      <c r="B466">
        <v>85</v>
      </c>
      <c r="F466" s="16" t="s">
        <v>2216</v>
      </c>
      <c r="G466" t="s">
        <v>2157</v>
      </c>
      <c r="H466" s="7">
        <f t="shared" si="8"/>
        <v>7758.4999999999991</v>
      </c>
      <c r="I466" s="7">
        <f t="shared" si="9"/>
        <v>1241.3599999999999</v>
      </c>
    </row>
    <row r="467" spans="1:10">
      <c r="A467" s="150" t="s">
        <v>7544</v>
      </c>
      <c r="B467" s="150" t="s">
        <v>7566</v>
      </c>
      <c r="F467" s="20" t="s">
        <v>845</v>
      </c>
      <c r="G467" s="25" t="s">
        <v>532</v>
      </c>
      <c r="H467" s="7">
        <f t="shared" si="8"/>
        <v>107758.625</v>
      </c>
      <c r="I467" s="7">
        <f t="shared" ref="I467:I498" si="10">+SUMIF($F$7:$F$354,F467,$I$7:$I$354)</f>
        <v>17241.38</v>
      </c>
      <c r="J467" s="7">
        <v>14285.71</v>
      </c>
    </row>
    <row r="468" spans="1:10">
      <c r="A468" s="150" t="s">
        <v>7544</v>
      </c>
      <c r="B468">
        <v>85</v>
      </c>
      <c r="F468" t="s">
        <v>7345</v>
      </c>
      <c r="G468" t="s">
        <v>7346</v>
      </c>
      <c r="H468" s="7">
        <f t="shared" si="8"/>
        <v>120689.68749999999</v>
      </c>
      <c r="I468" s="7">
        <f t="shared" si="10"/>
        <v>19310.349999999999</v>
      </c>
    </row>
    <row r="469" spans="1:10">
      <c r="A469" s="150" t="s">
        <v>7544</v>
      </c>
      <c r="B469">
        <v>85</v>
      </c>
      <c r="F469" t="s">
        <v>847</v>
      </c>
      <c r="G469" t="s">
        <v>1860</v>
      </c>
      <c r="H469" s="7">
        <f t="shared" si="8"/>
        <v>164.6875</v>
      </c>
      <c r="I469" s="7">
        <f t="shared" si="10"/>
        <v>26.35</v>
      </c>
    </row>
    <row r="470" spans="1:10">
      <c r="A470" s="150" t="s">
        <v>7544</v>
      </c>
      <c r="B470">
        <v>85</v>
      </c>
      <c r="F470" t="s">
        <v>965</v>
      </c>
      <c r="G470" s="19" t="s">
        <v>966</v>
      </c>
      <c r="H470" s="7">
        <f t="shared" si="8"/>
        <v>248318.5</v>
      </c>
      <c r="I470" s="7">
        <f t="shared" si="10"/>
        <v>39730.959999999999</v>
      </c>
    </row>
    <row r="471" spans="1:10">
      <c r="A471" s="150" t="s">
        <v>7544</v>
      </c>
      <c r="B471">
        <v>85</v>
      </c>
      <c r="F471" t="s">
        <v>2252</v>
      </c>
      <c r="G471" t="s">
        <v>2253</v>
      </c>
      <c r="H471" s="7">
        <f t="shared" si="8"/>
        <v>384.0625</v>
      </c>
      <c r="I471" s="7">
        <f t="shared" si="10"/>
        <v>61.45</v>
      </c>
    </row>
    <row r="472" spans="1:10">
      <c r="A472" s="150" t="s">
        <v>7544</v>
      </c>
      <c r="B472">
        <v>85</v>
      </c>
      <c r="F472" s="18" t="s">
        <v>849</v>
      </c>
      <c r="G472" s="19" t="s">
        <v>850</v>
      </c>
      <c r="H472" s="7">
        <f t="shared" si="8"/>
        <v>238392.8125</v>
      </c>
      <c r="I472" s="7">
        <f t="shared" si="10"/>
        <v>38142.85</v>
      </c>
    </row>
    <row r="473" spans="1:10">
      <c r="A473" s="150" t="s">
        <v>7544</v>
      </c>
      <c r="B473">
        <v>85</v>
      </c>
      <c r="F473" t="s">
        <v>769</v>
      </c>
      <c r="G473" t="s">
        <v>645</v>
      </c>
      <c r="H473" s="7">
        <f t="shared" si="8"/>
        <v>6629.375</v>
      </c>
      <c r="I473" s="7">
        <f t="shared" si="10"/>
        <v>1060.7</v>
      </c>
    </row>
    <row r="474" spans="1:10">
      <c r="A474" s="150" t="s">
        <v>7544</v>
      </c>
      <c r="B474">
        <v>85</v>
      </c>
      <c r="F474" t="s">
        <v>2231</v>
      </c>
      <c r="G474" t="s">
        <v>2232</v>
      </c>
      <c r="H474" s="7">
        <f t="shared" si="8"/>
        <v>209.68749999999997</v>
      </c>
      <c r="I474" s="7">
        <f t="shared" si="10"/>
        <v>33.549999999999997</v>
      </c>
    </row>
    <row r="475" spans="1:10">
      <c r="A475" s="150" t="s">
        <v>7544</v>
      </c>
      <c r="B475">
        <v>85</v>
      </c>
      <c r="F475" t="s">
        <v>915</v>
      </c>
      <c r="G475" t="s">
        <v>916</v>
      </c>
      <c r="H475" s="7">
        <f t="shared" si="8"/>
        <v>2547.4999999999995</v>
      </c>
      <c r="I475" s="7">
        <f t="shared" si="10"/>
        <v>407.59999999999997</v>
      </c>
    </row>
    <row r="476" spans="1:10">
      <c r="A476" s="150" t="s">
        <v>7544</v>
      </c>
      <c r="B476">
        <v>85</v>
      </c>
      <c r="F476" s="33" t="s">
        <v>2245</v>
      </c>
      <c r="G476" s="33" t="s">
        <v>2246</v>
      </c>
      <c r="H476" s="7">
        <f t="shared" si="8"/>
        <v>335.4375</v>
      </c>
      <c r="I476" s="7">
        <f t="shared" si="10"/>
        <v>53.67</v>
      </c>
    </row>
    <row r="477" spans="1:10">
      <c r="A477" s="150" t="s">
        <v>7544</v>
      </c>
      <c r="B477">
        <v>85</v>
      </c>
      <c r="F477" t="s">
        <v>848</v>
      </c>
      <c r="G477" t="s">
        <v>449</v>
      </c>
      <c r="H477" s="7">
        <f t="shared" si="8"/>
        <v>10400</v>
      </c>
      <c r="I477" s="7">
        <f t="shared" si="10"/>
        <v>1664</v>
      </c>
    </row>
    <row r="478" spans="1:10">
      <c r="A478" s="150" t="s">
        <v>7544</v>
      </c>
      <c r="B478">
        <v>85</v>
      </c>
      <c r="F478" s="33" t="s">
        <v>2217</v>
      </c>
      <c r="G478" s="33" t="s">
        <v>1940</v>
      </c>
      <c r="H478" s="7">
        <f t="shared" si="8"/>
        <v>270.6875</v>
      </c>
      <c r="I478" s="7">
        <f t="shared" si="10"/>
        <v>43.31</v>
      </c>
    </row>
    <row r="479" spans="1:10">
      <c r="A479" s="150" t="s">
        <v>7544</v>
      </c>
      <c r="B479">
        <v>85</v>
      </c>
      <c r="F479" t="s">
        <v>2219</v>
      </c>
      <c r="G479" t="s">
        <v>2220</v>
      </c>
      <c r="H479" s="7">
        <f t="shared" si="8"/>
        <v>322076.9375</v>
      </c>
      <c r="I479" s="7">
        <f t="shared" si="10"/>
        <v>51532.31</v>
      </c>
    </row>
    <row r="480" spans="1:10">
      <c r="A480" s="150" t="s">
        <v>7544</v>
      </c>
      <c r="B480">
        <v>85</v>
      </c>
      <c r="F480" s="33" t="s">
        <v>2218</v>
      </c>
      <c r="G480" s="33" t="s">
        <v>1972</v>
      </c>
      <c r="H480" s="7">
        <f t="shared" si="8"/>
        <v>486.56249999999994</v>
      </c>
      <c r="I480" s="7">
        <f t="shared" si="10"/>
        <v>77.849999999999994</v>
      </c>
    </row>
    <row r="481" spans="1:9">
      <c r="A481" s="150" t="s">
        <v>7544</v>
      </c>
      <c r="B481">
        <v>85</v>
      </c>
      <c r="F481" t="s">
        <v>1595</v>
      </c>
      <c r="G481" t="s">
        <v>1200</v>
      </c>
      <c r="H481" s="7">
        <f t="shared" si="8"/>
        <v>206.875</v>
      </c>
      <c r="I481" s="7">
        <f t="shared" si="10"/>
        <v>33.1</v>
      </c>
    </row>
    <row r="482" spans="1:9">
      <c r="A482" s="150" t="s">
        <v>7544</v>
      </c>
      <c r="B482">
        <v>85</v>
      </c>
      <c r="F482" s="33" t="s">
        <v>852</v>
      </c>
      <c r="G482" s="33" t="s">
        <v>333</v>
      </c>
      <c r="H482" s="7">
        <f t="shared" si="8"/>
        <v>167.25</v>
      </c>
      <c r="I482" s="7">
        <f t="shared" si="10"/>
        <v>26.76</v>
      </c>
    </row>
    <row r="483" spans="1:9">
      <c r="A483" s="150" t="s">
        <v>7544</v>
      </c>
      <c r="B483">
        <v>85</v>
      </c>
      <c r="F483" t="s">
        <v>832</v>
      </c>
      <c r="G483" t="s">
        <v>7310</v>
      </c>
      <c r="H483" s="7">
        <f t="shared" si="8"/>
        <v>23542.375</v>
      </c>
      <c r="I483" s="7">
        <f t="shared" si="10"/>
        <v>3766.78</v>
      </c>
    </row>
    <row r="484" spans="1:9">
      <c r="A484" s="150" t="s">
        <v>7544</v>
      </c>
      <c r="B484">
        <v>85</v>
      </c>
      <c r="F484" s="139" t="s">
        <v>7568</v>
      </c>
      <c r="G484" t="s">
        <v>7307</v>
      </c>
      <c r="H484" s="7">
        <f t="shared" si="8"/>
        <v>94827.5625</v>
      </c>
      <c r="I484" s="7">
        <f t="shared" si="10"/>
        <v>15172.41</v>
      </c>
    </row>
    <row r="485" spans="1:9">
      <c r="A485" s="150" t="s">
        <v>7544</v>
      </c>
      <c r="B485">
        <v>85</v>
      </c>
      <c r="F485" t="s">
        <v>860</v>
      </c>
      <c r="G485" t="s">
        <v>474</v>
      </c>
      <c r="H485" s="7">
        <f t="shared" si="8"/>
        <v>9450</v>
      </c>
      <c r="I485" s="7">
        <f t="shared" si="10"/>
        <v>1512</v>
      </c>
    </row>
    <row r="486" spans="1:9">
      <c r="A486" s="150" t="s">
        <v>7544</v>
      </c>
      <c r="B486">
        <v>85</v>
      </c>
      <c r="F486" s="33" t="s">
        <v>857</v>
      </c>
      <c r="G486" s="33" t="s">
        <v>315</v>
      </c>
      <c r="H486" s="7">
        <f t="shared" si="8"/>
        <v>88.8125</v>
      </c>
      <c r="I486" s="7">
        <f t="shared" si="10"/>
        <v>14.21</v>
      </c>
    </row>
    <row r="487" spans="1:9">
      <c r="A487" s="150" t="s">
        <v>7544</v>
      </c>
      <c r="B487">
        <v>85</v>
      </c>
      <c r="F487" s="16" t="s">
        <v>858</v>
      </c>
      <c r="G487" t="s">
        <v>457</v>
      </c>
      <c r="H487" s="7">
        <f t="shared" si="8"/>
        <v>33200</v>
      </c>
      <c r="I487" s="7">
        <f t="shared" si="10"/>
        <v>5312</v>
      </c>
    </row>
    <row r="488" spans="1:9">
      <c r="A488" s="150" t="s">
        <v>7544</v>
      </c>
      <c r="B488">
        <v>85</v>
      </c>
      <c r="F488" s="33" t="s">
        <v>706</v>
      </c>
      <c r="G488" s="33" t="s">
        <v>1944</v>
      </c>
      <c r="H488" s="7">
        <f t="shared" si="8"/>
        <v>93.999999999999986</v>
      </c>
      <c r="I488" s="7">
        <f t="shared" si="10"/>
        <v>15.04</v>
      </c>
    </row>
    <row r="489" spans="1:9">
      <c r="A489" s="150" t="s">
        <v>7544</v>
      </c>
      <c r="B489">
        <v>85</v>
      </c>
      <c r="F489" t="s">
        <v>2189</v>
      </c>
      <c r="G489" t="s">
        <v>1875</v>
      </c>
      <c r="H489" s="7">
        <f t="shared" si="8"/>
        <v>500</v>
      </c>
      <c r="I489" s="7">
        <f t="shared" si="10"/>
        <v>80</v>
      </c>
    </row>
    <row r="490" spans="1:9">
      <c r="A490" s="150" t="s">
        <v>7544</v>
      </c>
      <c r="B490">
        <v>85</v>
      </c>
      <c r="F490" t="s">
        <v>929</v>
      </c>
      <c r="G490" t="s">
        <v>930</v>
      </c>
      <c r="H490" s="7">
        <f t="shared" si="8"/>
        <v>206.81249999999997</v>
      </c>
      <c r="I490" s="7">
        <f t="shared" si="10"/>
        <v>33.089999999999996</v>
      </c>
    </row>
    <row r="491" spans="1:9">
      <c r="A491" s="150" t="s">
        <v>7544</v>
      </c>
      <c r="B491">
        <v>85</v>
      </c>
      <c r="F491" t="s">
        <v>2213</v>
      </c>
      <c r="G491" t="s">
        <v>1864</v>
      </c>
      <c r="H491" s="7">
        <f t="shared" si="8"/>
        <v>600</v>
      </c>
      <c r="I491" s="7">
        <f t="shared" si="10"/>
        <v>96</v>
      </c>
    </row>
    <row r="492" spans="1:9">
      <c r="A492" s="150" t="s">
        <v>7544</v>
      </c>
      <c r="B492">
        <v>85</v>
      </c>
      <c r="F492" t="s">
        <v>2227</v>
      </c>
      <c r="G492" t="s">
        <v>2228</v>
      </c>
      <c r="H492" s="7">
        <f t="shared" si="8"/>
        <v>110.31249999999999</v>
      </c>
      <c r="I492" s="7">
        <f t="shared" si="10"/>
        <v>17.649999999999999</v>
      </c>
    </row>
    <row r="493" spans="1:9">
      <c r="A493" s="150" t="s">
        <v>7544</v>
      </c>
      <c r="B493">
        <v>85</v>
      </c>
      <c r="F493" t="s">
        <v>2222</v>
      </c>
      <c r="G493" t="s">
        <v>2105</v>
      </c>
      <c r="H493" s="7">
        <f t="shared" si="8"/>
        <v>5900</v>
      </c>
      <c r="I493" s="7">
        <f t="shared" si="10"/>
        <v>944</v>
      </c>
    </row>
    <row r="494" spans="1:9">
      <c r="A494" s="150" t="s">
        <v>7544</v>
      </c>
      <c r="B494">
        <v>85</v>
      </c>
      <c r="F494" t="s">
        <v>1648</v>
      </c>
      <c r="G494" t="s">
        <v>1649</v>
      </c>
      <c r="H494" s="7">
        <f t="shared" si="8"/>
        <v>1840.5</v>
      </c>
      <c r="I494" s="7">
        <f t="shared" si="10"/>
        <v>294.48</v>
      </c>
    </row>
    <row r="495" spans="1:9">
      <c r="A495" s="150" t="s">
        <v>7544</v>
      </c>
      <c r="B495">
        <v>85</v>
      </c>
      <c r="F495" s="33" t="s">
        <v>2223</v>
      </c>
      <c r="G495" s="33" t="s">
        <v>1957</v>
      </c>
      <c r="H495" s="7">
        <f t="shared" si="8"/>
        <v>525.125</v>
      </c>
      <c r="I495" s="7">
        <f t="shared" si="10"/>
        <v>84.02</v>
      </c>
    </row>
    <row r="496" spans="1:9">
      <c r="A496" s="150" t="s">
        <v>7544</v>
      </c>
      <c r="B496">
        <v>85</v>
      </c>
      <c r="F496" t="s">
        <v>867</v>
      </c>
      <c r="G496" t="s">
        <v>517</v>
      </c>
      <c r="H496" s="7">
        <f t="shared" si="8"/>
        <v>163713.0625</v>
      </c>
      <c r="I496" s="7">
        <f t="shared" si="10"/>
        <v>26194.09</v>
      </c>
    </row>
    <row r="497" spans="1:9">
      <c r="A497" s="150" t="s">
        <v>7544</v>
      </c>
      <c r="B497">
        <v>85</v>
      </c>
      <c r="F497" t="s">
        <v>863</v>
      </c>
      <c r="G497" t="s">
        <v>967</v>
      </c>
      <c r="H497" s="7">
        <f t="shared" si="8"/>
        <v>49815.6875</v>
      </c>
      <c r="I497" s="7">
        <f t="shared" si="10"/>
        <v>7970.51</v>
      </c>
    </row>
    <row r="498" spans="1:9">
      <c r="A498" s="150" t="s">
        <v>7544</v>
      </c>
      <c r="B498">
        <v>85</v>
      </c>
      <c r="F498" t="s">
        <v>2229</v>
      </c>
      <c r="G498" t="s">
        <v>2230</v>
      </c>
      <c r="H498" s="7">
        <f t="shared" ref="H498:H522" si="11">+I498/0.16</f>
        <v>838.8125</v>
      </c>
      <c r="I498" s="7">
        <f t="shared" si="10"/>
        <v>134.21</v>
      </c>
    </row>
    <row r="499" spans="1:9">
      <c r="A499" s="150" t="s">
        <v>7544</v>
      </c>
      <c r="B499">
        <v>85</v>
      </c>
      <c r="F499" t="s">
        <v>945</v>
      </c>
      <c r="G499" t="s">
        <v>946</v>
      </c>
      <c r="H499" s="7">
        <f t="shared" si="11"/>
        <v>887.875</v>
      </c>
      <c r="I499" s="7">
        <f t="shared" ref="I499:I522" si="12">+SUMIF($F$7:$F$354,F499,$I$7:$I$354)</f>
        <v>142.06</v>
      </c>
    </row>
    <row r="500" spans="1:9">
      <c r="A500" s="150" t="s">
        <v>7544</v>
      </c>
      <c r="B500">
        <v>85</v>
      </c>
      <c r="F500" t="s">
        <v>883</v>
      </c>
      <c r="G500" t="s">
        <v>884</v>
      </c>
      <c r="H500" s="7">
        <f t="shared" si="11"/>
        <v>887.8125</v>
      </c>
      <c r="I500" s="7">
        <f t="shared" si="12"/>
        <v>142.05000000000001</v>
      </c>
    </row>
    <row r="501" spans="1:9">
      <c r="A501" s="150" t="s">
        <v>7544</v>
      </c>
      <c r="B501">
        <v>85</v>
      </c>
      <c r="F501" t="s">
        <v>2233</v>
      </c>
      <c r="G501" t="s">
        <v>2234</v>
      </c>
      <c r="H501" s="7">
        <f t="shared" si="11"/>
        <v>1120.75</v>
      </c>
      <c r="I501" s="7">
        <f t="shared" si="12"/>
        <v>179.32</v>
      </c>
    </row>
    <row r="502" spans="1:9">
      <c r="A502" s="150" t="s">
        <v>7544</v>
      </c>
      <c r="B502">
        <v>85</v>
      </c>
      <c r="F502" t="s">
        <v>853</v>
      </c>
      <c r="G502" t="s">
        <v>297</v>
      </c>
      <c r="H502" s="7">
        <f t="shared" si="11"/>
        <v>284</v>
      </c>
      <c r="I502" s="7">
        <f t="shared" si="12"/>
        <v>45.44</v>
      </c>
    </row>
    <row r="503" spans="1:9">
      <c r="A503" s="150" t="s">
        <v>7544</v>
      </c>
      <c r="B503">
        <v>85</v>
      </c>
      <c r="F503" s="33" t="s">
        <v>2237</v>
      </c>
      <c r="G503" s="33" t="s">
        <v>2238</v>
      </c>
      <c r="H503" s="7">
        <f t="shared" si="11"/>
        <v>461.3125</v>
      </c>
      <c r="I503" s="7">
        <f t="shared" si="12"/>
        <v>73.81</v>
      </c>
    </row>
    <row r="504" spans="1:9">
      <c r="A504" s="150" t="s">
        <v>7544</v>
      </c>
      <c r="B504">
        <v>85</v>
      </c>
      <c r="F504" t="s">
        <v>778</v>
      </c>
      <c r="G504" t="s">
        <v>779</v>
      </c>
      <c r="H504" s="7">
        <f t="shared" si="11"/>
        <v>503.56249999999994</v>
      </c>
      <c r="I504" s="7">
        <f t="shared" si="12"/>
        <v>80.569999999999993</v>
      </c>
    </row>
    <row r="505" spans="1:9">
      <c r="A505" s="150" t="s">
        <v>7544</v>
      </c>
      <c r="B505">
        <v>85</v>
      </c>
      <c r="F505" s="33" t="s">
        <v>2247</v>
      </c>
      <c r="G505" s="33" t="s">
        <v>2248</v>
      </c>
      <c r="H505" s="7">
        <f t="shared" si="11"/>
        <v>455.31249999999994</v>
      </c>
      <c r="I505" s="7">
        <f t="shared" si="12"/>
        <v>72.849999999999994</v>
      </c>
    </row>
    <row r="506" spans="1:9">
      <c r="A506" s="150" t="s">
        <v>7544</v>
      </c>
      <c r="B506">
        <v>85</v>
      </c>
      <c r="F506" s="33" t="s">
        <v>2239</v>
      </c>
      <c r="G506" s="33" t="s">
        <v>2240</v>
      </c>
      <c r="H506" s="7">
        <f t="shared" si="11"/>
        <v>335.5</v>
      </c>
      <c r="I506" s="7">
        <f t="shared" si="12"/>
        <v>53.68</v>
      </c>
    </row>
    <row r="507" spans="1:9">
      <c r="A507" s="150" t="s">
        <v>7544</v>
      </c>
      <c r="B507">
        <v>85</v>
      </c>
      <c r="F507" s="32" t="s">
        <v>799</v>
      </c>
      <c r="G507" t="s">
        <v>0</v>
      </c>
      <c r="H507" s="7">
        <f t="shared" si="11"/>
        <v>13014136.500000009</v>
      </c>
      <c r="I507" s="7">
        <f t="shared" si="12"/>
        <v>2082261.8400000015</v>
      </c>
    </row>
    <row r="508" spans="1:9">
      <c r="A508" s="150" t="s">
        <v>7544</v>
      </c>
      <c r="B508">
        <v>85</v>
      </c>
      <c r="F508" s="33" t="s">
        <v>947</v>
      </c>
      <c r="G508" s="33" t="s">
        <v>948</v>
      </c>
      <c r="H508" s="7">
        <f t="shared" si="11"/>
        <v>754.875</v>
      </c>
      <c r="I508" s="7">
        <f t="shared" si="12"/>
        <v>120.78</v>
      </c>
    </row>
    <row r="509" spans="1:9">
      <c r="A509" s="150" t="s">
        <v>7544</v>
      </c>
      <c r="B509">
        <v>85</v>
      </c>
      <c r="F509" s="16" t="s">
        <v>873</v>
      </c>
      <c r="G509" s="17" t="s">
        <v>874</v>
      </c>
      <c r="H509" s="7">
        <f t="shared" si="11"/>
        <v>175535.125</v>
      </c>
      <c r="I509" s="7">
        <f t="shared" si="12"/>
        <v>28085.62</v>
      </c>
    </row>
    <row r="510" spans="1:9">
      <c r="A510" s="150" t="s">
        <v>7544</v>
      </c>
      <c r="B510">
        <v>85</v>
      </c>
      <c r="F510" t="s">
        <v>868</v>
      </c>
      <c r="G510" t="s">
        <v>436</v>
      </c>
      <c r="H510" s="7">
        <f t="shared" si="11"/>
        <v>17365.6875</v>
      </c>
      <c r="I510" s="7">
        <f t="shared" si="12"/>
        <v>2778.51</v>
      </c>
    </row>
    <row r="511" spans="1:9">
      <c r="A511" s="150" t="s">
        <v>7544</v>
      </c>
      <c r="B511">
        <v>85</v>
      </c>
      <c r="F511" s="35" t="s">
        <v>875</v>
      </c>
      <c r="G511" s="31" t="s">
        <v>877</v>
      </c>
      <c r="H511" s="7">
        <f t="shared" si="11"/>
        <v>1201733.9375</v>
      </c>
      <c r="I511" s="7">
        <f t="shared" si="12"/>
        <v>192277.43</v>
      </c>
    </row>
    <row r="512" spans="1:9">
      <c r="A512" s="150" t="s">
        <v>7544</v>
      </c>
      <c r="B512">
        <v>85</v>
      </c>
      <c r="F512" t="s">
        <v>871</v>
      </c>
      <c r="G512" t="s">
        <v>2102</v>
      </c>
      <c r="H512" s="7">
        <f t="shared" si="11"/>
        <v>1500</v>
      </c>
      <c r="I512" s="7">
        <f t="shared" si="12"/>
        <v>240</v>
      </c>
    </row>
    <row r="513" spans="1:11">
      <c r="A513" s="150" t="s">
        <v>7544</v>
      </c>
      <c r="B513">
        <v>85</v>
      </c>
      <c r="F513" t="s">
        <v>878</v>
      </c>
      <c r="G513" t="s">
        <v>414</v>
      </c>
      <c r="H513" s="7">
        <f t="shared" si="11"/>
        <v>760</v>
      </c>
      <c r="I513" s="7">
        <f t="shared" si="12"/>
        <v>121.6</v>
      </c>
    </row>
    <row r="514" spans="1:11">
      <c r="A514" s="150" t="s">
        <v>7544</v>
      </c>
      <c r="B514">
        <v>85</v>
      </c>
      <c r="F514" s="33" t="s">
        <v>935</v>
      </c>
      <c r="G514" s="33" t="s">
        <v>936</v>
      </c>
      <c r="H514" s="7">
        <f t="shared" si="11"/>
        <v>172.37499999999997</v>
      </c>
      <c r="I514" s="7">
        <f t="shared" si="12"/>
        <v>27.58</v>
      </c>
    </row>
    <row r="515" spans="1:11">
      <c r="A515" s="150" t="s">
        <v>7544</v>
      </c>
      <c r="B515">
        <v>85</v>
      </c>
      <c r="F515" t="s">
        <v>2203</v>
      </c>
      <c r="G515" t="s">
        <v>1859</v>
      </c>
      <c r="H515" s="7">
        <f t="shared" si="11"/>
        <v>1470</v>
      </c>
      <c r="I515" s="7">
        <f t="shared" si="12"/>
        <v>235.20000000000002</v>
      </c>
    </row>
    <row r="516" spans="1:11">
      <c r="A516" s="150" t="s">
        <v>7544</v>
      </c>
      <c r="B516">
        <v>85</v>
      </c>
      <c r="F516" s="25" t="s">
        <v>1643</v>
      </c>
      <c r="G516" s="17" t="s">
        <v>1644</v>
      </c>
      <c r="H516" s="7">
        <f t="shared" si="11"/>
        <v>466544.87499999994</v>
      </c>
      <c r="I516" s="7">
        <f t="shared" si="12"/>
        <v>74647.179999999993</v>
      </c>
    </row>
    <row r="517" spans="1:11">
      <c r="A517" s="150" t="s">
        <v>7544</v>
      </c>
      <c r="B517">
        <v>85</v>
      </c>
      <c r="F517" t="s">
        <v>1632</v>
      </c>
      <c r="G517" t="s">
        <v>1633</v>
      </c>
      <c r="H517" s="7">
        <f t="shared" si="11"/>
        <v>419.4375</v>
      </c>
      <c r="I517" s="7">
        <f t="shared" si="12"/>
        <v>67.11</v>
      </c>
    </row>
    <row r="518" spans="1:11">
      <c r="A518" s="150" t="s">
        <v>7544</v>
      </c>
      <c r="B518">
        <v>85</v>
      </c>
      <c r="F518" t="s">
        <v>2207</v>
      </c>
      <c r="G518" t="s">
        <v>1856</v>
      </c>
      <c r="H518" s="7">
        <f t="shared" si="11"/>
        <v>137.9375</v>
      </c>
      <c r="I518" s="7">
        <f t="shared" si="12"/>
        <v>22.07</v>
      </c>
    </row>
    <row r="519" spans="1:11">
      <c r="A519" s="150" t="s">
        <v>7544</v>
      </c>
      <c r="B519">
        <v>85</v>
      </c>
      <c r="F519" t="s">
        <v>7308</v>
      </c>
      <c r="G519" t="s">
        <v>7309</v>
      </c>
      <c r="H519" s="7">
        <f t="shared" si="11"/>
        <v>222413.8125</v>
      </c>
      <c r="I519" s="7">
        <f t="shared" si="12"/>
        <v>35586.21</v>
      </c>
    </row>
    <row r="520" spans="1:11">
      <c r="A520" s="150" t="s">
        <v>7544</v>
      </c>
      <c r="B520">
        <v>85</v>
      </c>
      <c r="F520" t="s">
        <v>802</v>
      </c>
      <c r="G520" t="s">
        <v>275</v>
      </c>
      <c r="H520" s="7">
        <f t="shared" si="11"/>
        <v>310.375</v>
      </c>
      <c r="I520" s="7">
        <f t="shared" si="12"/>
        <v>49.66</v>
      </c>
    </row>
    <row r="521" spans="1:11">
      <c r="A521" s="150" t="s">
        <v>7544</v>
      </c>
      <c r="B521">
        <v>85</v>
      </c>
      <c r="F521" s="31" t="s">
        <v>951</v>
      </c>
      <c r="G521" s="139" t="s">
        <v>3714</v>
      </c>
      <c r="H521" s="7">
        <f t="shared" si="11"/>
        <v>1700</v>
      </c>
      <c r="I521" s="7">
        <f t="shared" si="12"/>
        <v>272</v>
      </c>
    </row>
    <row r="522" spans="1:11">
      <c r="A522" s="150" t="s">
        <v>7544</v>
      </c>
      <c r="B522">
        <v>85</v>
      </c>
      <c r="F522" t="s">
        <v>1645</v>
      </c>
      <c r="G522" t="s">
        <v>1441</v>
      </c>
      <c r="H522" s="7">
        <f t="shared" si="11"/>
        <v>2755</v>
      </c>
      <c r="I522" s="7">
        <f t="shared" si="12"/>
        <v>440.8</v>
      </c>
    </row>
    <row r="523" spans="1:11">
      <c r="H523" s="109"/>
      <c r="I523" s="109"/>
    </row>
    <row r="524" spans="1:11">
      <c r="H524" s="9">
        <f>SUM(H371:H523)</f>
        <v>21382707.625000007</v>
      </c>
      <c r="I524" s="9">
        <f>SUM(I371:I523)</f>
        <v>3421233.2200000011</v>
      </c>
      <c r="J524" s="7">
        <f>SUM(J371:J522)</f>
        <v>33394.289999999994</v>
      </c>
    </row>
    <row r="525" spans="1:11">
      <c r="H525" s="151">
        <f>+H357</f>
        <v>21382707.625</v>
      </c>
      <c r="I525" s="151">
        <f>+I357</f>
        <v>3421233.2200000025</v>
      </c>
    </row>
    <row r="526" spans="1:11">
      <c r="H526" s="149">
        <f>+H525-H524</f>
        <v>0</v>
      </c>
      <c r="I526" s="149">
        <f>+I525-I524</f>
        <v>0</v>
      </c>
    </row>
    <row r="527" spans="1:11" s="84" customFormat="1">
      <c r="A527" s="84" t="s">
        <v>2030</v>
      </c>
      <c r="B527" s="147">
        <v>42093</v>
      </c>
      <c r="C527" s="84" t="s">
        <v>2031</v>
      </c>
      <c r="D527" s="84">
        <v>1</v>
      </c>
      <c r="E527" s="84" t="s">
        <v>2032</v>
      </c>
      <c r="H527" s="148">
        <f>+I527/0.16</f>
        <v>4013190.0625</v>
      </c>
      <c r="I527" s="148">
        <v>642110.41</v>
      </c>
      <c r="J527" s="148"/>
      <c r="K527" s="148"/>
    </row>
    <row r="528" spans="1:11" s="84" customFormat="1">
      <c r="A528" s="84" t="s">
        <v>1354</v>
      </c>
      <c r="B528" s="147">
        <v>42075</v>
      </c>
      <c r="C528" s="84" t="s">
        <v>2051</v>
      </c>
      <c r="D528" s="84">
        <v>1</v>
      </c>
      <c r="E528" s="84" t="s">
        <v>1364</v>
      </c>
      <c r="F528" s="164" t="s">
        <v>1559</v>
      </c>
      <c r="G528" s="84" t="s">
        <v>1364</v>
      </c>
      <c r="H528" s="148">
        <f>+I528/0.16</f>
        <v>11608.625</v>
      </c>
      <c r="I528" s="148">
        <v>1857.38</v>
      </c>
      <c r="J528" s="84" t="s">
        <v>7557</v>
      </c>
      <c r="K528" s="148"/>
    </row>
    <row r="529" spans="1:11" s="84" customFormat="1">
      <c r="A529" s="84" t="s">
        <v>1356</v>
      </c>
      <c r="B529" s="147">
        <v>42075</v>
      </c>
      <c r="C529" s="84" t="s">
        <v>2052</v>
      </c>
      <c r="D529" s="84">
        <v>1</v>
      </c>
      <c r="E529" s="84" t="s">
        <v>1364</v>
      </c>
      <c r="F529" s="164" t="s">
        <v>1559</v>
      </c>
      <c r="G529" s="84" t="s">
        <v>1364</v>
      </c>
      <c r="H529" s="148">
        <f>+I529/0.16</f>
        <v>9450</v>
      </c>
      <c r="I529" s="148">
        <v>1512</v>
      </c>
      <c r="J529" s="84" t="s">
        <v>7557</v>
      </c>
      <c r="K529" s="148">
        <f>+I529+I528+I527</f>
        <v>645479.79</v>
      </c>
    </row>
    <row r="530" spans="1:11">
      <c r="F530" s="11"/>
      <c r="I530" s="9">
        <f>+I529+I528+I527+I525</f>
        <v>4066713.0100000026</v>
      </c>
      <c r="J530" s="7">
        <v>645479.78999999724</v>
      </c>
      <c r="K530" s="7" t="s">
        <v>960</v>
      </c>
    </row>
  </sheetData>
  <sortState ref="A1:K429">
    <sortCondition ref="E1:E429"/>
  </sortState>
  <conditionalFormatting sqref="F371:G522">
    <cfRule type="duplicateValues" dxfId="14" priority="32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478"/>
  <sheetViews>
    <sheetView topLeftCell="A458" workbookViewId="0">
      <selection activeCell="A318" sqref="A318:M479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.28515625" bestFit="1" customWidth="1"/>
    <col min="4" max="4" width="2" bestFit="1" customWidth="1"/>
    <col min="5" max="5" width="38.140625" customWidth="1"/>
    <col min="6" max="6" width="15.85546875" customWidth="1"/>
    <col min="7" max="7" width="16.5703125" customWidth="1"/>
    <col min="8" max="8" width="18.28515625" style="7" customWidth="1"/>
    <col min="9" max="9" width="13.140625" style="7" bestFit="1" customWidth="1"/>
    <col min="10" max="10" width="9.5703125" bestFit="1" customWidth="1"/>
  </cols>
  <sheetData>
    <row r="1" spans="1:9">
      <c r="A1" t="s">
        <v>684</v>
      </c>
    </row>
    <row r="2" spans="1:9">
      <c r="A2" t="s">
        <v>4585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2592</v>
      </c>
      <c r="B7" s="1">
        <v>42102</v>
      </c>
      <c r="C7" t="s">
        <v>2593</v>
      </c>
      <c r="D7">
        <v>1</v>
      </c>
      <c r="E7" t="s">
        <v>1514</v>
      </c>
      <c r="F7" s="48" t="s">
        <v>1528</v>
      </c>
      <c r="G7" s="49" t="s">
        <v>1514</v>
      </c>
      <c r="H7" s="7">
        <f>+I7/0.16</f>
        <v>7350</v>
      </c>
      <c r="I7" s="7">
        <v>1176</v>
      </c>
    </row>
    <row r="8" spans="1:9">
      <c r="A8" t="s">
        <v>2595</v>
      </c>
      <c r="B8" s="1">
        <v>42102</v>
      </c>
      <c r="C8" t="s">
        <v>2596</v>
      </c>
      <c r="D8">
        <v>1</v>
      </c>
      <c r="E8" t="s">
        <v>2128</v>
      </c>
      <c r="F8" s="49" t="s">
        <v>2186</v>
      </c>
      <c r="G8" s="49" t="s">
        <v>2128</v>
      </c>
      <c r="H8" s="7">
        <f t="shared" ref="H8:H81" si="0">+I8/0.16</f>
        <v>3800</v>
      </c>
      <c r="I8" s="7">
        <v>608</v>
      </c>
    </row>
    <row r="9" spans="1:9">
      <c r="A9" t="s">
        <v>479</v>
      </c>
      <c r="B9" s="1">
        <v>42109</v>
      </c>
      <c r="C9" t="s">
        <v>2631</v>
      </c>
      <c r="D9">
        <v>1</v>
      </c>
      <c r="E9" t="s">
        <v>2128</v>
      </c>
      <c r="F9" s="49" t="s">
        <v>2186</v>
      </c>
      <c r="G9" s="49" t="s">
        <v>2128</v>
      </c>
      <c r="H9" s="7">
        <f t="shared" si="0"/>
        <v>8000</v>
      </c>
      <c r="I9" s="7">
        <v>1280</v>
      </c>
    </row>
    <row r="10" spans="1:9">
      <c r="A10" t="s">
        <v>1438</v>
      </c>
      <c r="B10" s="1">
        <v>42118</v>
      </c>
      <c r="C10" t="s">
        <v>2681</v>
      </c>
      <c r="D10">
        <v>1</v>
      </c>
      <c r="E10" t="s">
        <v>2682</v>
      </c>
      <c r="F10" s="50" t="s">
        <v>2688</v>
      </c>
      <c r="G10" s="49" t="s">
        <v>2682</v>
      </c>
      <c r="H10" s="7">
        <f t="shared" si="0"/>
        <v>12931.999999999998</v>
      </c>
      <c r="I10" s="7">
        <v>2069.12</v>
      </c>
    </row>
    <row r="11" spans="1:9">
      <c r="A11" t="s">
        <v>2327</v>
      </c>
      <c r="B11" s="1">
        <v>42115</v>
      </c>
      <c r="C11" t="s">
        <v>2328</v>
      </c>
      <c r="D11">
        <v>1</v>
      </c>
      <c r="E11" t="s">
        <v>2329</v>
      </c>
      <c r="F11" s="50" t="s">
        <v>2187</v>
      </c>
      <c r="G11" s="49" t="s">
        <v>2329</v>
      </c>
      <c r="H11" s="7">
        <f t="shared" si="0"/>
        <v>264824.5625</v>
      </c>
      <c r="I11" s="7">
        <v>42371.93</v>
      </c>
    </row>
    <row r="12" spans="1:9">
      <c r="A12" t="s">
        <v>152</v>
      </c>
      <c r="B12" s="1">
        <v>42124</v>
      </c>
      <c r="C12" t="s">
        <v>2438</v>
      </c>
      <c r="D12">
        <v>1</v>
      </c>
      <c r="E12" t="s">
        <v>1938</v>
      </c>
      <c r="F12" s="49" t="s">
        <v>2191</v>
      </c>
      <c r="G12" s="49" t="s">
        <v>1938</v>
      </c>
      <c r="H12" s="7">
        <f t="shared" si="0"/>
        <v>440</v>
      </c>
      <c r="I12" s="7">
        <v>70.400000000000006</v>
      </c>
    </row>
    <row r="13" spans="1:9">
      <c r="A13" t="s">
        <v>2359</v>
      </c>
      <c r="B13" s="1">
        <v>42124</v>
      </c>
      <c r="C13" t="s">
        <v>2360</v>
      </c>
      <c r="D13">
        <v>1</v>
      </c>
      <c r="E13" t="s">
        <v>2361</v>
      </c>
      <c r="F13" s="51" t="s">
        <v>2192</v>
      </c>
      <c r="G13" s="49" t="s">
        <v>2689</v>
      </c>
      <c r="H13" s="7">
        <f t="shared" si="0"/>
        <v>274941.25</v>
      </c>
      <c r="I13" s="7">
        <v>43990.6</v>
      </c>
    </row>
    <row r="14" spans="1:9">
      <c r="A14" t="s">
        <v>2276</v>
      </c>
      <c r="B14" s="1">
        <v>42102</v>
      </c>
      <c r="C14" t="s">
        <v>2277</v>
      </c>
      <c r="D14">
        <v>1</v>
      </c>
      <c r="E14" t="s">
        <v>2278</v>
      </c>
      <c r="F14" s="52" t="s">
        <v>2690</v>
      </c>
      <c r="G14" s="49" t="s">
        <v>2278</v>
      </c>
      <c r="H14" s="7">
        <f t="shared" si="0"/>
        <v>148652.125</v>
      </c>
      <c r="I14" s="7">
        <v>23784.34</v>
      </c>
    </row>
    <row r="15" spans="1:9">
      <c r="A15" t="s">
        <v>2378</v>
      </c>
      <c r="B15" s="1">
        <v>42095</v>
      </c>
      <c r="C15" t="s">
        <v>2379</v>
      </c>
      <c r="D15">
        <v>1</v>
      </c>
      <c r="E15" t="s">
        <v>2380</v>
      </c>
      <c r="F15" s="49" t="s">
        <v>2691</v>
      </c>
      <c r="G15" s="49" t="s">
        <v>2380</v>
      </c>
      <c r="H15" s="7">
        <f t="shared" si="0"/>
        <v>694.4375</v>
      </c>
      <c r="I15" s="7">
        <v>111.11</v>
      </c>
    </row>
    <row r="16" spans="1:9">
      <c r="A16" t="s">
        <v>1796</v>
      </c>
      <c r="B16" s="1">
        <v>42124</v>
      </c>
      <c r="C16" t="s">
        <v>2417</v>
      </c>
      <c r="D16">
        <v>1</v>
      </c>
      <c r="E16" t="s">
        <v>317</v>
      </c>
      <c r="F16" s="49" t="s">
        <v>711</v>
      </c>
      <c r="G16" s="49" t="s">
        <v>317</v>
      </c>
      <c r="H16" s="7">
        <f t="shared" si="0"/>
        <v>275.75</v>
      </c>
      <c r="I16" s="7">
        <v>44.12</v>
      </c>
    </row>
    <row r="17" spans="1:11">
      <c r="A17" t="s">
        <v>2421</v>
      </c>
      <c r="B17" s="1">
        <v>42124</v>
      </c>
      <c r="C17" t="s">
        <v>2422</v>
      </c>
      <c r="D17">
        <v>1</v>
      </c>
      <c r="E17" t="s">
        <v>317</v>
      </c>
      <c r="F17" s="49" t="s">
        <v>711</v>
      </c>
      <c r="G17" s="49" t="s">
        <v>317</v>
      </c>
      <c r="H17" s="7">
        <f t="shared" si="0"/>
        <v>155</v>
      </c>
      <c r="I17" s="7">
        <v>24.8</v>
      </c>
    </row>
    <row r="18" spans="1:11">
      <c r="A18" t="s">
        <v>2426</v>
      </c>
      <c r="B18" s="1">
        <v>42124</v>
      </c>
      <c r="C18" t="s">
        <v>2427</v>
      </c>
      <c r="D18">
        <v>1</v>
      </c>
      <c r="E18" t="s">
        <v>317</v>
      </c>
      <c r="F18" s="49" t="s">
        <v>711</v>
      </c>
      <c r="G18" s="49" t="s">
        <v>317</v>
      </c>
      <c r="H18" s="7">
        <f t="shared" si="0"/>
        <v>155</v>
      </c>
      <c r="I18" s="7">
        <v>24.8</v>
      </c>
    </row>
    <row r="19" spans="1:11">
      <c r="A19" t="s">
        <v>2439</v>
      </c>
      <c r="B19" s="1">
        <v>42124</v>
      </c>
      <c r="C19" t="s">
        <v>2440</v>
      </c>
      <c r="D19">
        <v>1</v>
      </c>
      <c r="E19" t="s">
        <v>2441</v>
      </c>
      <c r="F19" s="49" t="s">
        <v>722</v>
      </c>
      <c r="G19" s="49" t="s">
        <v>2441</v>
      </c>
      <c r="H19" s="7">
        <f t="shared" si="0"/>
        <v>52.6875</v>
      </c>
      <c r="I19" s="7">
        <v>8.43</v>
      </c>
    </row>
    <row r="20" spans="1:11">
      <c r="A20" t="s">
        <v>2457</v>
      </c>
      <c r="B20" s="1">
        <v>42124</v>
      </c>
      <c r="C20" t="s">
        <v>2458</v>
      </c>
      <c r="D20">
        <v>1</v>
      </c>
      <c r="E20" t="s">
        <v>2441</v>
      </c>
      <c r="F20" s="49" t="s">
        <v>2223</v>
      </c>
      <c r="G20" s="49" t="s">
        <v>1957</v>
      </c>
      <c r="H20" s="7">
        <f t="shared" si="0"/>
        <v>90.9375</v>
      </c>
      <c r="I20" s="7">
        <v>14.55</v>
      </c>
    </row>
    <row r="21" spans="1:11">
      <c r="A21" t="s">
        <v>2392</v>
      </c>
      <c r="B21" s="1">
        <v>42124</v>
      </c>
      <c r="C21" t="s">
        <v>2393</v>
      </c>
      <c r="D21">
        <v>1</v>
      </c>
      <c r="E21" t="s">
        <v>312</v>
      </c>
      <c r="F21" s="49" t="s">
        <v>712</v>
      </c>
      <c r="G21" s="49" t="s">
        <v>312</v>
      </c>
      <c r="H21" s="7">
        <f t="shared" si="0"/>
        <v>517.25</v>
      </c>
      <c r="I21" s="7">
        <v>82.76</v>
      </c>
    </row>
    <row r="22" spans="1:11">
      <c r="A22" t="s">
        <v>2318</v>
      </c>
      <c r="B22" s="1">
        <v>42111</v>
      </c>
      <c r="C22" t="s">
        <v>139</v>
      </c>
      <c r="D22">
        <v>1</v>
      </c>
      <c r="E22" t="s">
        <v>2319</v>
      </c>
      <c r="F22" s="61" t="s">
        <v>788</v>
      </c>
      <c r="G22" s="61" t="s">
        <v>789</v>
      </c>
      <c r="H22" s="59">
        <f t="shared" ref="H22:H33" si="1">+I22*6.25</f>
        <v>133.625</v>
      </c>
      <c r="I22" s="62">
        <v>21.38</v>
      </c>
      <c r="J22" s="7"/>
      <c r="K22" s="7"/>
    </row>
    <row r="23" spans="1:11">
      <c r="A23" t="s">
        <v>2318</v>
      </c>
      <c r="B23" s="1">
        <v>42111</v>
      </c>
      <c r="C23" t="s">
        <v>139</v>
      </c>
      <c r="D23">
        <v>1</v>
      </c>
      <c r="E23" t="s">
        <v>2319</v>
      </c>
      <c r="F23" s="61" t="s">
        <v>2736</v>
      </c>
      <c r="G23" s="61" t="s">
        <v>2737</v>
      </c>
      <c r="H23" s="59">
        <f t="shared" si="1"/>
        <v>175</v>
      </c>
      <c r="I23" s="62">
        <f>13.52+14.48</f>
        <v>28</v>
      </c>
    </row>
    <row r="24" spans="1:11">
      <c r="A24" t="s">
        <v>2318</v>
      </c>
      <c r="B24" s="1">
        <v>42111</v>
      </c>
      <c r="C24" t="s">
        <v>139</v>
      </c>
      <c r="D24">
        <v>1</v>
      </c>
      <c r="E24" t="s">
        <v>2319</v>
      </c>
      <c r="F24" s="61" t="s">
        <v>2738</v>
      </c>
      <c r="G24" s="61" t="s">
        <v>2739</v>
      </c>
      <c r="H24" s="59">
        <f t="shared" si="1"/>
        <v>64.625</v>
      </c>
      <c r="I24" s="62">
        <v>10.34</v>
      </c>
    </row>
    <row r="25" spans="1:11">
      <c r="A25" t="s">
        <v>2318</v>
      </c>
      <c r="B25" s="1">
        <v>42111</v>
      </c>
      <c r="C25" t="s">
        <v>139</v>
      </c>
      <c r="D25">
        <v>1</v>
      </c>
      <c r="E25" t="s">
        <v>2319</v>
      </c>
      <c r="F25" s="139" t="s">
        <v>714</v>
      </c>
      <c r="G25" s="61" t="s">
        <v>715</v>
      </c>
      <c r="H25" s="59">
        <f t="shared" si="1"/>
        <v>613.75</v>
      </c>
      <c r="I25" s="62">
        <f>49.1+49.1</f>
        <v>98.2</v>
      </c>
    </row>
    <row r="26" spans="1:11">
      <c r="A26" t="s">
        <v>2318</v>
      </c>
      <c r="B26" s="1">
        <v>42111</v>
      </c>
      <c r="C26" t="s">
        <v>139</v>
      </c>
      <c r="D26">
        <v>1</v>
      </c>
      <c r="E26" t="s">
        <v>2319</v>
      </c>
      <c r="F26" s="61" t="s">
        <v>2740</v>
      </c>
      <c r="G26" s="61" t="s">
        <v>2741</v>
      </c>
      <c r="H26" s="59">
        <f t="shared" si="1"/>
        <v>46.5625</v>
      </c>
      <c r="I26" s="62">
        <v>7.45</v>
      </c>
    </row>
    <row r="27" spans="1:11">
      <c r="A27" t="s">
        <v>2318</v>
      </c>
      <c r="B27" s="1">
        <v>42111</v>
      </c>
      <c r="C27" t="s">
        <v>139</v>
      </c>
      <c r="D27">
        <v>1</v>
      </c>
      <c r="E27" t="s">
        <v>2319</v>
      </c>
      <c r="F27" s="58" t="s">
        <v>716</v>
      </c>
      <c r="G27" s="58" t="s">
        <v>717</v>
      </c>
      <c r="H27" s="59">
        <f t="shared" si="1"/>
        <v>2953.125</v>
      </c>
      <c r="I27" s="62">
        <v>472.5</v>
      </c>
      <c r="J27" s="60">
        <f>3986.69-H22-H23-H24-H25-H26-H27</f>
        <v>2.5000000000545697E-3</v>
      </c>
      <c r="K27" s="60">
        <f>637.87-I22-I23-I24-I25-I26-I27</f>
        <v>0</v>
      </c>
    </row>
    <row r="28" spans="1:11">
      <c r="A28" t="s">
        <v>1056</v>
      </c>
      <c r="B28" s="1">
        <v>42119</v>
      </c>
      <c r="C28" t="s">
        <v>139</v>
      </c>
      <c r="D28">
        <v>1</v>
      </c>
      <c r="E28" t="s">
        <v>2333</v>
      </c>
      <c r="F28" s="139" t="s">
        <v>921</v>
      </c>
      <c r="G28" s="58" t="s">
        <v>2742</v>
      </c>
      <c r="H28" s="59">
        <f t="shared" si="1"/>
        <v>318.8125</v>
      </c>
      <c r="I28" s="59">
        <v>51.01</v>
      </c>
      <c r="J28" s="7"/>
      <c r="K28" s="7"/>
    </row>
    <row r="29" spans="1:11">
      <c r="A29" t="s">
        <v>1056</v>
      </c>
      <c r="B29" s="1">
        <v>42119</v>
      </c>
      <c r="C29" t="s">
        <v>139</v>
      </c>
      <c r="D29">
        <v>1</v>
      </c>
      <c r="E29" t="s">
        <v>2333</v>
      </c>
      <c r="F29" s="58" t="s">
        <v>2743</v>
      </c>
      <c r="G29" s="58" t="s">
        <v>2744</v>
      </c>
      <c r="H29" s="59">
        <f t="shared" si="1"/>
        <v>261.1875</v>
      </c>
      <c r="I29" s="59">
        <v>41.79</v>
      </c>
    </row>
    <row r="30" spans="1:11">
      <c r="A30" t="s">
        <v>1056</v>
      </c>
      <c r="B30" s="1">
        <v>42119</v>
      </c>
      <c r="C30" t="s">
        <v>139</v>
      </c>
      <c r="D30">
        <v>1</v>
      </c>
      <c r="E30" t="s">
        <v>2333</v>
      </c>
      <c r="F30" s="58" t="s">
        <v>2745</v>
      </c>
      <c r="G30" s="58" t="s">
        <v>2746</v>
      </c>
      <c r="H30" s="59">
        <f t="shared" si="1"/>
        <v>131.875</v>
      </c>
      <c r="I30" s="59">
        <v>21.1</v>
      </c>
    </row>
    <row r="31" spans="1:11">
      <c r="A31" t="s">
        <v>1056</v>
      </c>
      <c r="B31" s="1">
        <v>42119</v>
      </c>
      <c r="C31" t="s">
        <v>139</v>
      </c>
      <c r="D31">
        <v>1</v>
      </c>
      <c r="E31" t="s">
        <v>2333</v>
      </c>
      <c r="F31" s="58" t="s">
        <v>1545</v>
      </c>
      <c r="G31" s="58" t="s">
        <v>1546</v>
      </c>
      <c r="H31" s="59">
        <f t="shared" si="1"/>
        <v>405.12499999999994</v>
      </c>
      <c r="I31" s="59">
        <v>64.819999999999993</v>
      </c>
    </row>
    <row r="32" spans="1:11">
      <c r="A32" t="s">
        <v>1056</v>
      </c>
      <c r="B32" s="1">
        <v>42119</v>
      </c>
      <c r="C32" t="s">
        <v>139</v>
      </c>
      <c r="D32">
        <v>1</v>
      </c>
      <c r="E32" t="s">
        <v>2333</v>
      </c>
      <c r="F32" s="58" t="s">
        <v>716</v>
      </c>
      <c r="G32" s="58" t="s">
        <v>717</v>
      </c>
      <c r="H32" s="59">
        <f t="shared" si="1"/>
        <v>2362.5</v>
      </c>
      <c r="I32" s="59">
        <v>378</v>
      </c>
    </row>
    <row r="33" spans="1:11">
      <c r="A33" t="s">
        <v>1056</v>
      </c>
      <c r="B33" s="1">
        <v>42119</v>
      </c>
      <c r="C33" t="s">
        <v>139</v>
      </c>
      <c r="D33">
        <v>1</v>
      </c>
      <c r="E33" t="s">
        <v>2333</v>
      </c>
      <c r="F33" s="58" t="s">
        <v>1543</v>
      </c>
      <c r="G33" s="58" t="s">
        <v>2747</v>
      </c>
      <c r="H33" s="59">
        <f t="shared" si="1"/>
        <v>142.25</v>
      </c>
      <c r="I33" s="59">
        <v>22.76</v>
      </c>
      <c r="J33" s="60">
        <f>3621.75-H28-H29-H30-H31-H32-H33</f>
        <v>0</v>
      </c>
      <c r="K33" s="60">
        <f>579.48-I28-I29-I30-I31-I32-I33</f>
        <v>0</v>
      </c>
    </row>
    <row r="34" spans="1:11">
      <c r="A34" t="s">
        <v>2071</v>
      </c>
      <c r="B34" s="1">
        <v>42109</v>
      </c>
      <c r="C34" t="s">
        <v>2625</v>
      </c>
      <c r="D34">
        <v>1</v>
      </c>
      <c r="E34" t="s">
        <v>957</v>
      </c>
      <c r="F34" s="49" t="s">
        <v>956</v>
      </c>
      <c r="G34" s="49" t="s">
        <v>957</v>
      </c>
      <c r="H34" s="7">
        <f t="shared" si="0"/>
        <v>30000</v>
      </c>
      <c r="I34" s="7">
        <v>4800</v>
      </c>
    </row>
    <row r="35" spans="1:11">
      <c r="A35" t="s">
        <v>2320</v>
      </c>
      <c r="B35" s="1">
        <v>42114</v>
      </c>
      <c r="C35" t="s">
        <v>2321</v>
      </c>
      <c r="D35">
        <v>1</v>
      </c>
      <c r="E35" t="s">
        <v>80</v>
      </c>
      <c r="F35" s="53" t="s">
        <v>724</v>
      </c>
      <c r="G35" s="49" t="s">
        <v>80</v>
      </c>
      <c r="H35" s="7">
        <f t="shared" si="0"/>
        <v>221075.9375</v>
      </c>
      <c r="I35" s="7">
        <v>35372.15</v>
      </c>
    </row>
    <row r="36" spans="1:11">
      <c r="A36" t="s">
        <v>2506</v>
      </c>
      <c r="B36" s="1">
        <v>42124</v>
      </c>
      <c r="C36" t="s">
        <v>2507</v>
      </c>
      <c r="D36">
        <v>1</v>
      </c>
      <c r="E36" t="s">
        <v>293</v>
      </c>
      <c r="F36" s="49" t="s">
        <v>726</v>
      </c>
      <c r="G36" s="49" t="s">
        <v>293</v>
      </c>
      <c r="H36" s="7">
        <f t="shared" si="0"/>
        <v>65.5</v>
      </c>
      <c r="I36" s="7">
        <v>10.48</v>
      </c>
    </row>
    <row r="37" spans="1:11">
      <c r="A37" t="s">
        <v>458</v>
      </c>
      <c r="B37" s="1">
        <v>42109</v>
      </c>
      <c r="C37" t="s">
        <v>2621</v>
      </c>
      <c r="D37">
        <v>1</v>
      </c>
      <c r="E37" t="s">
        <v>1436</v>
      </c>
      <c r="F37" s="49" t="s">
        <v>1551</v>
      </c>
      <c r="G37" s="49" t="s">
        <v>1436</v>
      </c>
      <c r="H37" s="7">
        <f t="shared" si="0"/>
        <v>1163.25</v>
      </c>
      <c r="I37" s="7">
        <v>186.12</v>
      </c>
    </row>
    <row r="38" spans="1:11">
      <c r="A38" t="s">
        <v>2586</v>
      </c>
      <c r="B38" s="1">
        <v>42102</v>
      </c>
      <c r="C38" t="s">
        <v>2087</v>
      </c>
      <c r="D38">
        <v>2</v>
      </c>
      <c r="E38" t="s">
        <v>476</v>
      </c>
      <c r="F38" s="49" t="s">
        <v>730</v>
      </c>
      <c r="G38" s="49" t="s">
        <v>476</v>
      </c>
      <c r="H38" s="7">
        <f t="shared" si="0"/>
        <v>7482.75</v>
      </c>
      <c r="I38" s="7">
        <v>1197.24</v>
      </c>
    </row>
    <row r="39" spans="1:11">
      <c r="A39" t="s">
        <v>539</v>
      </c>
      <c r="B39" s="1">
        <v>42124</v>
      </c>
      <c r="C39" t="s">
        <v>2675</v>
      </c>
      <c r="D39">
        <v>1</v>
      </c>
      <c r="E39" t="s">
        <v>2679</v>
      </c>
      <c r="F39" s="53" t="s">
        <v>739</v>
      </c>
      <c r="G39" s="53" t="s">
        <v>740</v>
      </c>
      <c r="H39" s="7">
        <f t="shared" si="0"/>
        <v>3555.6874999999995</v>
      </c>
      <c r="I39" s="7">
        <v>568.91</v>
      </c>
    </row>
    <row r="40" spans="1:11">
      <c r="A40" t="s">
        <v>1434</v>
      </c>
      <c r="B40" s="1">
        <v>42124</v>
      </c>
      <c r="C40" t="s">
        <v>2675</v>
      </c>
      <c r="D40">
        <v>1</v>
      </c>
      <c r="E40" t="s">
        <v>2680</v>
      </c>
      <c r="F40" s="50" t="s">
        <v>735</v>
      </c>
      <c r="G40" s="50" t="s">
        <v>736</v>
      </c>
      <c r="H40" s="7">
        <f t="shared" si="0"/>
        <v>285</v>
      </c>
      <c r="I40" s="7">
        <v>45.6</v>
      </c>
    </row>
    <row r="41" spans="1:11">
      <c r="A41" t="s">
        <v>1431</v>
      </c>
      <c r="B41" s="1">
        <v>42124</v>
      </c>
      <c r="C41" t="s">
        <v>2675</v>
      </c>
      <c r="D41">
        <v>1</v>
      </c>
      <c r="E41" t="s">
        <v>2678</v>
      </c>
      <c r="F41" s="53" t="s">
        <v>741</v>
      </c>
      <c r="G41" s="53" t="s">
        <v>742</v>
      </c>
      <c r="H41" s="7">
        <f t="shared" si="0"/>
        <v>984</v>
      </c>
      <c r="I41" s="7">
        <v>157.44</v>
      </c>
    </row>
    <row r="42" spans="1:11">
      <c r="A42" t="s">
        <v>536</v>
      </c>
      <c r="B42" s="1">
        <v>42124</v>
      </c>
      <c r="C42" t="s">
        <v>2675</v>
      </c>
      <c r="D42">
        <v>1</v>
      </c>
      <c r="E42" t="s">
        <v>2677</v>
      </c>
      <c r="F42" s="53" t="s">
        <v>743</v>
      </c>
      <c r="G42" s="53" t="s">
        <v>744</v>
      </c>
      <c r="H42" s="7">
        <f t="shared" si="0"/>
        <v>26</v>
      </c>
      <c r="I42" s="7">
        <v>4.16</v>
      </c>
    </row>
    <row r="43" spans="1:11">
      <c r="A43" t="s">
        <v>2412</v>
      </c>
      <c r="B43" s="1">
        <v>42124</v>
      </c>
      <c r="C43" t="s">
        <v>2413</v>
      </c>
      <c r="D43">
        <v>1</v>
      </c>
      <c r="E43" t="s">
        <v>308</v>
      </c>
      <c r="F43" s="49" t="s">
        <v>731</v>
      </c>
      <c r="G43" s="49" t="s">
        <v>308</v>
      </c>
      <c r="H43" s="7">
        <f t="shared" si="0"/>
        <v>77.5625</v>
      </c>
      <c r="I43" s="7">
        <v>12.41</v>
      </c>
    </row>
    <row r="44" spans="1:11">
      <c r="A44" t="s">
        <v>2578</v>
      </c>
      <c r="B44" s="1">
        <v>42101</v>
      </c>
      <c r="C44" t="s">
        <v>2579</v>
      </c>
      <c r="D44">
        <v>1</v>
      </c>
      <c r="E44" t="s">
        <v>489</v>
      </c>
      <c r="F44" s="49" t="s">
        <v>808</v>
      </c>
      <c r="G44" s="49" t="s">
        <v>489</v>
      </c>
      <c r="H44" s="7">
        <f t="shared" si="0"/>
        <v>18950.875</v>
      </c>
      <c r="I44" s="7">
        <v>3032.14</v>
      </c>
    </row>
    <row r="45" spans="1:11">
      <c r="A45" t="s">
        <v>2683</v>
      </c>
      <c r="B45" s="1">
        <v>42124</v>
      </c>
      <c r="C45" t="s">
        <v>615</v>
      </c>
      <c r="D45">
        <v>1</v>
      </c>
      <c r="E45" t="s">
        <v>2684</v>
      </c>
      <c r="F45" s="53" t="s">
        <v>733</v>
      </c>
      <c r="G45" s="54" t="s">
        <v>734</v>
      </c>
      <c r="H45" s="7">
        <f t="shared" si="0"/>
        <v>944.75</v>
      </c>
      <c r="I45" s="7">
        <v>151.16</v>
      </c>
    </row>
    <row r="46" spans="1:11">
      <c r="A46" t="s">
        <v>1342</v>
      </c>
      <c r="B46" s="1">
        <v>42102</v>
      </c>
      <c r="C46" t="s">
        <v>2582</v>
      </c>
      <c r="D46">
        <v>1</v>
      </c>
      <c r="E46" t="s">
        <v>2078</v>
      </c>
      <c r="F46" s="49" t="s">
        <v>2199</v>
      </c>
      <c r="G46" s="49" t="s">
        <v>2078</v>
      </c>
      <c r="H46" s="7">
        <f t="shared" si="0"/>
        <v>11758.25</v>
      </c>
      <c r="I46" s="7">
        <v>1881.32</v>
      </c>
    </row>
    <row r="47" spans="1:11">
      <c r="A47" t="s">
        <v>1320</v>
      </c>
      <c r="B47" s="1">
        <v>42095</v>
      </c>
      <c r="C47" t="s">
        <v>2568</v>
      </c>
      <c r="D47">
        <v>1</v>
      </c>
      <c r="E47" t="s">
        <v>428</v>
      </c>
      <c r="F47" s="49" t="s">
        <v>790</v>
      </c>
      <c r="G47" s="49" t="s">
        <v>428</v>
      </c>
      <c r="H47" s="7">
        <f t="shared" si="0"/>
        <v>324.3125</v>
      </c>
      <c r="I47" s="7">
        <v>51.89</v>
      </c>
    </row>
    <row r="48" spans="1:11">
      <c r="A48" t="s">
        <v>2569</v>
      </c>
      <c r="B48" s="1">
        <v>42095</v>
      </c>
      <c r="C48" t="s">
        <v>2570</v>
      </c>
      <c r="D48">
        <v>1</v>
      </c>
      <c r="E48" t="s">
        <v>428</v>
      </c>
      <c r="F48" s="49" t="s">
        <v>790</v>
      </c>
      <c r="G48" s="49" t="s">
        <v>428</v>
      </c>
      <c r="H48" s="7">
        <f t="shared" si="0"/>
        <v>4623.1875</v>
      </c>
      <c r="I48" s="7">
        <v>739.71</v>
      </c>
    </row>
    <row r="49" spans="1:9">
      <c r="A49" t="s">
        <v>426</v>
      </c>
      <c r="B49" s="1">
        <v>42100</v>
      </c>
      <c r="C49" t="s">
        <v>2571</v>
      </c>
      <c r="D49">
        <v>1</v>
      </c>
      <c r="E49" t="s">
        <v>428</v>
      </c>
      <c r="F49" s="49" t="s">
        <v>790</v>
      </c>
      <c r="G49" s="49" t="s">
        <v>428</v>
      </c>
      <c r="H49" s="7">
        <f t="shared" si="0"/>
        <v>6673.75</v>
      </c>
      <c r="I49" s="7">
        <v>1067.8</v>
      </c>
    </row>
    <row r="50" spans="1:9">
      <c r="A50" t="s">
        <v>2048</v>
      </c>
      <c r="B50" s="1">
        <v>42103</v>
      </c>
      <c r="C50" t="s">
        <v>2602</v>
      </c>
      <c r="D50">
        <v>1</v>
      </c>
      <c r="E50" t="s">
        <v>428</v>
      </c>
      <c r="F50" s="49" t="s">
        <v>790</v>
      </c>
      <c r="G50" s="49" t="s">
        <v>428</v>
      </c>
      <c r="H50" s="7">
        <f t="shared" si="0"/>
        <v>4708.75</v>
      </c>
      <c r="I50" s="7">
        <v>753.4</v>
      </c>
    </row>
    <row r="51" spans="1:9">
      <c r="A51" t="s">
        <v>1345</v>
      </c>
      <c r="B51" s="1">
        <v>42103</v>
      </c>
      <c r="C51" t="s">
        <v>2603</v>
      </c>
      <c r="D51">
        <v>1</v>
      </c>
      <c r="E51" t="s">
        <v>428</v>
      </c>
      <c r="F51" s="49" t="s">
        <v>790</v>
      </c>
      <c r="G51" s="49" t="s">
        <v>428</v>
      </c>
      <c r="H51" s="7">
        <f t="shared" si="0"/>
        <v>3423.125</v>
      </c>
      <c r="I51" s="7">
        <v>547.70000000000005</v>
      </c>
    </row>
    <row r="52" spans="1:9">
      <c r="A52" t="s">
        <v>1347</v>
      </c>
      <c r="B52" s="1">
        <v>42103</v>
      </c>
      <c r="C52" t="s">
        <v>2604</v>
      </c>
      <c r="D52">
        <v>1</v>
      </c>
      <c r="E52" t="s">
        <v>428</v>
      </c>
      <c r="F52" s="49" t="s">
        <v>790</v>
      </c>
      <c r="G52" s="49" t="s">
        <v>428</v>
      </c>
      <c r="H52" s="7">
        <f t="shared" si="0"/>
        <v>6978.4375</v>
      </c>
      <c r="I52" s="7">
        <v>1116.55</v>
      </c>
    </row>
    <row r="53" spans="1:9">
      <c r="A53" t="s">
        <v>2605</v>
      </c>
      <c r="B53" s="1">
        <v>42103</v>
      </c>
      <c r="C53" t="s">
        <v>2606</v>
      </c>
      <c r="D53">
        <v>1</v>
      </c>
      <c r="E53" t="s">
        <v>428</v>
      </c>
      <c r="F53" s="49" t="s">
        <v>790</v>
      </c>
      <c r="G53" s="49" t="s">
        <v>428</v>
      </c>
      <c r="H53" s="7">
        <f t="shared" si="0"/>
        <v>3335.4999999999995</v>
      </c>
      <c r="I53" s="7">
        <v>533.67999999999995</v>
      </c>
    </row>
    <row r="54" spans="1:9">
      <c r="A54" t="s">
        <v>2055</v>
      </c>
      <c r="B54" s="1">
        <v>42104</v>
      </c>
      <c r="C54" t="s">
        <v>2608</v>
      </c>
      <c r="D54">
        <v>1</v>
      </c>
      <c r="E54" t="s">
        <v>428</v>
      </c>
      <c r="F54" s="49" t="s">
        <v>790</v>
      </c>
      <c r="G54" s="49" t="s">
        <v>428</v>
      </c>
      <c r="H54" s="7">
        <f t="shared" si="0"/>
        <v>167755.5625</v>
      </c>
      <c r="I54" s="7">
        <v>26840.89</v>
      </c>
    </row>
    <row r="55" spans="1:9">
      <c r="A55" t="s">
        <v>2610</v>
      </c>
      <c r="B55" s="1">
        <v>42107</v>
      </c>
      <c r="C55" t="s">
        <v>2611</v>
      </c>
      <c r="D55">
        <v>1</v>
      </c>
      <c r="E55" t="s">
        <v>428</v>
      </c>
      <c r="F55" s="49" t="s">
        <v>790</v>
      </c>
      <c r="G55" s="49" t="s">
        <v>428</v>
      </c>
      <c r="H55" s="7">
        <f t="shared" si="0"/>
        <v>5135.0625</v>
      </c>
      <c r="I55" s="7">
        <v>821.61</v>
      </c>
    </row>
    <row r="56" spans="1:9">
      <c r="A56" t="s">
        <v>2061</v>
      </c>
      <c r="B56" s="1">
        <v>42107</v>
      </c>
      <c r="C56" t="s">
        <v>2612</v>
      </c>
      <c r="D56">
        <v>1</v>
      </c>
      <c r="E56" t="s">
        <v>428</v>
      </c>
      <c r="F56" s="49" t="s">
        <v>790</v>
      </c>
      <c r="G56" s="49" t="s">
        <v>428</v>
      </c>
      <c r="H56" s="7">
        <f t="shared" si="0"/>
        <v>10565.5</v>
      </c>
      <c r="I56" s="7">
        <v>1690.48</v>
      </c>
    </row>
    <row r="57" spans="1:9">
      <c r="A57" t="s">
        <v>2613</v>
      </c>
      <c r="B57" s="1">
        <v>42108</v>
      </c>
      <c r="C57" t="s">
        <v>2614</v>
      </c>
      <c r="D57">
        <v>1</v>
      </c>
      <c r="E57" t="s">
        <v>428</v>
      </c>
      <c r="F57" s="49" t="s">
        <v>790</v>
      </c>
      <c r="G57" s="49" t="s">
        <v>428</v>
      </c>
      <c r="H57" s="7">
        <f t="shared" si="0"/>
        <v>2200</v>
      </c>
      <c r="I57" s="7">
        <v>352</v>
      </c>
    </row>
    <row r="58" spans="1:9">
      <c r="A58" t="s">
        <v>439</v>
      </c>
      <c r="B58" s="1">
        <v>42108</v>
      </c>
      <c r="C58" t="s">
        <v>2617</v>
      </c>
      <c r="D58">
        <v>1</v>
      </c>
      <c r="E58" t="s">
        <v>428</v>
      </c>
      <c r="F58" s="49" t="s">
        <v>790</v>
      </c>
      <c r="G58" s="49" t="s">
        <v>428</v>
      </c>
      <c r="H58" s="7">
        <f t="shared" si="0"/>
        <v>403407.8125</v>
      </c>
      <c r="I58" s="7">
        <v>64545.25</v>
      </c>
    </row>
    <row r="59" spans="1:9">
      <c r="A59" t="s">
        <v>442</v>
      </c>
      <c r="B59" s="1">
        <v>42108</v>
      </c>
      <c r="C59" t="s">
        <v>2618</v>
      </c>
      <c r="D59">
        <v>1</v>
      </c>
      <c r="E59" t="s">
        <v>428</v>
      </c>
      <c r="F59" s="49" t="s">
        <v>790</v>
      </c>
      <c r="G59" s="49" t="s">
        <v>428</v>
      </c>
      <c r="H59" s="7">
        <f t="shared" si="0"/>
        <v>3654.4375</v>
      </c>
      <c r="I59" s="7">
        <v>584.71</v>
      </c>
    </row>
    <row r="60" spans="1:9">
      <c r="A60" t="s">
        <v>453</v>
      </c>
      <c r="B60" s="1">
        <v>42109</v>
      </c>
      <c r="C60" t="s">
        <v>2619</v>
      </c>
      <c r="D60">
        <v>1</v>
      </c>
      <c r="E60" t="s">
        <v>428</v>
      </c>
      <c r="F60" s="49" t="s">
        <v>790</v>
      </c>
      <c r="G60" s="49" t="s">
        <v>428</v>
      </c>
      <c r="H60" s="7">
        <f t="shared" si="0"/>
        <v>5714.25</v>
      </c>
      <c r="I60" s="7">
        <v>914.28</v>
      </c>
    </row>
    <row r="61" spans="1:9">
      <c r="A61" t="s">
        <v>2632</v>
      </c>
      <c r="B61" s="1">
        <v>42110</v>
      </c>
      <c r="C61" t="s">
        <v>2633</v>
      </c>
      <c r="D61">
        <v>1</v>
      </c>
      <c r="E61" t="s">
        <v>428</v>
      </c>
      <c r="F61" s="49" t="s">
        <v>790</v>
      </c>
      <c r="G61" s="49" t="s">
        <v>428</v>
      </c>
      <c r="H61" s="7">
        <f t="shared" si="0"/>
        <v>4373.25</v>
      </c>
      <c r="I61" s="7">
        <v>699.72</v>
      </c>
    </row>
    <row r="62" spans="1:9">
      <c r="A62" t="s">
        <v>2090</v>
      </c>
      <c r="B62" s="1">
        <v>42111</v>
      </c>
      <c r="C62" t="s">
        <v>2634</v>
      </c>
      <c r="D62">
        <v>1</v>
      </c>
      <c r="E62" t="s">
        <v>428</v>
      </c>
      <c r="F62" s="49" t="s">
        <v>790</v>
      </c>
      <c r="G62" s="49" t="s">
        <v>428</v>
      </c>
      <c r="H62" s="7">
        <f t="shared" si="0"/>
        <v>36377.25</v>
      </c>
      <c r="I62" s="7">
        <v>5820.36</v>
      </c>
    </row>
    <row r="63" spans="1:9">
      <c r="A63" t="s">
        <v>2093</v>
      </c>
      <c r="B63" s="1">
        <v>42111</v>
      </c>
      <c r="C63" t="s">
        <v>2635</v>
      </c>
      <c r="D63">
        <v>1</v>
      </c>
      <c r="E63" t="s">
        <v>428</v>
      </c>
      <c r="F63" s="49" t="s">
        <v>790</v>
      </c>
      <c r="G63" s="49" t="s">
        <v>428</v>
      </c>
      <c r="H63" s="7">
        <f t="shared" si="0"/>
        <v>1332.3125</v>
      </c>
      <c r="I63" s="7">
        <v>213.17</v>
      </c>
    </row>
    <row r="64" spans="1:9">
      <c r="A64" t="s">
        <v>2095</v>
      </c>
      <c r="B64" s="1">
        <v>42111</v>
      </c>
      <c r="C64" t="s">
        <v>2636</v>
      </c>
      <c r="D64">
        <v>1</v>
      </c>
      <c r="E64" t="s">
        <v>428</v>
      </c>
      <c r="F64" s="49" t="s">
        <v>790</v>
      </c>
      <c r="G64" s="49" t="s">
        <v>428</v>
      </c>
      <c r="H64" s="7">
        <f t="shared" si="0"/>
        <v>37893.25</v>
      </c>
      <c r="I64" s="7">
        <v>6062.92</v>
      </c>
    </row>
    <row r="65" spans="1:9">
      <c r="A65" t="s">
        <v>2123</v>
      </c>
      <c r="B65" s="1">
        <v>42115</v>
      </c>
      <c r="C65" t="s">
        <v>2648</v>
      </c>
      <c r="D65">
        <v>1</v>
      </c>
      <c r="E65" t="s">
        <v>428</v>
      </c>
      <c r="F65" s="49" t="s">
        <v>790</v>
      </c>
      <c r="G65" s="49" t="s">
        <v>428</v>
      </c>
      <c r="H65" s="7">
        <f t="shared" si="0"/>
        <v>7162.8125</v>
      </c>
      <c r="I65" s="7">
        <v>1146.05</v>
      </c>
    </row>
    <row r="66" spans="1:9">
      <c r="A66" t="s">
        <v>2655</v>
      </c>
      <c r="B66" s="1">
        <v>42118</v>
      </c>
      <c r="C66" t="s">
        <v>2656</v>
      </c>
      <c r="D66">
        <v>1</v>
      </c>
      <c r="E66" t="s">
        <v>428</v>
      </c>
      <c r="F66" s="49" t="s">
        <v>790</v>
      </c>
      <c r="G66" s="49" t="s">
        <v>428</v>
      </c>
      <c r="H66" s="7">
        <f t="shared" si="0"/>
        <v>347.125</v>
      </c>
      <c r="I66" s="7">
        <v>55.54</v>
      </c>
    </row>
    <row r="67" spans="1:9">
      <c r="A67" t="s">
        <v>499</v>
      </c>
      <c r="B67" s="1">
        <v>42118</v>
      </c>
      <c r="C67" t="s">
        <v>2657</v>
      </c>
      <c r="D67">
        <v>1</v>
      </c>
      <c r="E67" t="s">
        <v>428</v>
      </c>
      <c r="F67" s="49" t="s">
        <v>790</v>
      </c>
      <c r="G67" s="49" t="s">
        <v>428</v>
      </c>
      <c r="H67" s="7">
        <f t="shared" si="0"/>
        <v>75589.9375</v>
      </c>
      <c r="I67" s="7">
        <v>12094.39</v>
      </c>
    </row>
    <row r="68" spans="1:9">
      <c r="A68" t="s">
        <v>2664</v>
      </c>
      <c r="B68" s="1">
        <v>42122</v>
      </c>
      <c r="C68" t="s">
        <v>2665</v>
      </c>
      <c r="D68">
        <v>1</v>
      </c>
      <c r="E68" t="s">
        <v>428</v>
      </c>
      <c r="F68" s="49" t="s">
        <v>790</v>
      </c>
      <c r="G68" s="49" t="s">
        <v>428</v>
      </c>
      <c r="H68" s="7">
        <f t="shared" si="0"/>
        <v>4191.0625</v>
      </c>
      <c r="I68" s="7">
        <v>670.57</v>
      </c>
    </row>
    <row r="69" spans="1:9">
      <c r="A69" t="s">
        <v>2666</v>
      </c>
      <c r="B69" s="1">
        <v>42122</v>
      </c>
      <c r="C69" t="s">
        <v>2667</v>
      </c>
      <c r="D69">
        <v>1</v>
      </c>
      <c r="E69" t="s">
        <v>428</v>
      </c>
      <c r="F69" s="49" t="s">
        <v>790</v>
      </c>
      <c r="G69" s="49" t="s">
        <v>428</v>
      </c>
      <c r="H69" s="7">
        <f t="shared" si="0"/>
        <v>20013.4375</v>
      </c>
      <c r="I69" s="7">
        <v>3202.15</v>
      </c>
    </row>
    <row r="70" spans="1:9">
      <c r="A70" t="s">
        <v>514</v>
      </c>
      <c r="B70" s="1">
        <v>42122</v>
      </c>
      <c r="C70" t="s">
        <v>2668</v>
      </c>
      <c r="D70">
        <v>1</v>
      </c>
      <c r="E70" t="s">
        <v>428</v>
      </c>
      <c r="F70" s="49" t="s">
        <v>790</v>
      </c>
      <c r="G70" s="49" t="s">
        <v>428</v>
      </c>
      <c r="H70" s="7">
        <f t="shared" si="0"/>
        <v>324.3125</v>
      </c>
      <c r="I70" s="7">
        <v>51.89</v>
      </c>
    </row>
    <row r="71" spans="1:9">
      <c r="A71" t="s">
        <v>519</v>
      </c>
      <c r="B71" s="1">
        <v>42123</v>
      </c>
      <c r="C71" t="s">
        <v>2669</v>
      </c>
      <c r="D71">
        <v>1</v>
      </c>
      <c r="E71" t="s">
        <v>428</v>
      </c>
      <c r="F71" s="49" t="s">
        <v>790</v>
      </c>
      <c r="G71" s="49" t="s">
        <v>428</v>
      </c>
      <c r="H71" s="7">
        <f t="shared" si="0"/>
        <v>166866.5</v>
      </c>
      <c r="I71" s="7">
        <v>26698.639999999999</v>
      </c>
    </row>
    <row r="72" spans="1:9">
      <c r="A72" t="s">
        <v>521</v>
      </c>
      <c r="B72" s="1">
        <v>42123</v>
      </c>
      <c r="C72" t="s">
        <v>2670</v>
      </c>
      <c r="D72">
        <v>1</v>
      </c>
      <c r="E72" t="s">
        <v>428</v>
      </c>
      <c r="F72" s="49" t="s">
        <v>790</v>
      </c>
      <c r="G72" s="49" t="s">
        <v>428</v>
      </c>
      <c r="H72" s="7">
        <f t="shared" si="0"/>
        <v>1810.3750000000002</v>
      </c>
      <c r="I72" s="7">
        <v>289.66000000000003</v>
      </c>
    </row>
    <row r="73" spans="1:9">
      <c r="A73" t="s">
        <v>523</v>
      </c>
      <c r="B73" s="1">
        <v>42123</v>
      </c>
      <c r="C73" t="s">
        <v>2671</v>
      </c>
      <c r="D73">
        <v>1</v>
      </c>
      <c r="E73" t="s">
        <v>428</v>
      </c>
      <c r="F73" s="49" t="s">
        <v>790</v>
      </c>
      <c r="G73" s="49" t="s">
        <v>428</v>
      </c>
      <c r="H73" s="7">
        <f t="shared" si="0"/>
        <v>1375</v>
      </c>
      <c r="I73" s="7">
        <v>220</v>
      </c>
    </row>
    <row r="74" spans="1:9">
      <c r="A74" t="s">
        <v>525</v>
      </c>
      <c r="B74" s="1">
        <v>42124</v>
      </c>
      <c r="C74" t="s">
        <v>2672</v>
      </c>
      <c r="D74">
        <v>1</v>
      </c>
      <c r="E74" t="s">
        <v>428</v>
      </c>
      <c r="F74" s="49" t="s">
        <v>790</v>
      </c>
      <c r="G74" s="49" t="s">
        <v>428</v>
      </c>
      <c r="H74" s="7">
        <f t="shared" si="0"/>
        <v>12000</v>
      </c>
      <c r="I74" s="7">
        <v>1920</v>
      </c>
    </row>
    <row r="75" spans="1:9">
      <c r="A75" t="s">
        <v>533</v>
      </c>
      <c r="B75" s="1">
        <v>42124</v>
      </c>
      <c r="C75" t="s">
        <v>2674</v>
      </c>
      <c r="D75">
        <v>1</v>
      </c>
      <c r="E75" t="s">
        <v>428</v>
      </c>
      <c r="F75" s="49" t="s">
        <v>790</v>
      </c>
      <c r="G75" s="49" t="s">
        <v>428</v>
      </c>
      <c r="H75" s="7">
        <f t="shared" si="0"/>
        <v>169240</v>
      </c>
      <c r="I75" s="7">
        <v>27078.400000000001</v>
      </c>
    </row>
    <row r="76" spans="1:9">
      <c r="A76" t="s">
        <v>2116</v>
      </c>
      <c r="B76" s="1">
        <v>42114</v>
      </c>
      <c r="C76" t="s">
        <v>2645</v>
      </c>
      <c r="D76">
        <v>1</v>
      </c>
      <c r="E76" t="s">
        <v>2646</v>
      </c>
      <c r="F76" s="49" t="s">
        <v>2692</v>
      </c>
      <c r="G76" s="49" t="s">
        <v>2646</v>
      </c>
      <c r="H76" s="7">
        <f t="shared" si="0"/>
        <v>51437.5</v>
      </c>
      <c r="I76" s="7">
        <v>8230</v>
      </c>
    </row>
    <row r="77" spans="1:9">
      <c r="A77" t="s">
        <v>2469</v>
      </c>
      <c r="B77" s="1">
        <v>42124</v>
      </c>
      <c r="C77" t="s">
        <v>2470</v>
      </c>
      <c r="D77">
        <v>1</v>
      </c>
      <c r="E77" t="s">
        <v>270</v>
      </c>
      <c r="F77" s="49" t="s">
        <v>759</v>
      </c>
      <c r="G77" s="49" t="s">
        <v>270</v>
      </c>
      <c r="H77" s="7">
        <f t="shared" si="0"/>
        <v>68.9375</v>
      </c>
      <c r="I77" s="7">
        <v>11.03</v>
      </c>
    </row>
    <row r="78" spans="1:9">
      <c r="A78" t="s">
        <v>2502</v>
      </c>
      <c r="B78" s="1">
        <v>42124</v>
      </c>
      <c r="C78" t="s">
        <v>2503</v>
      </c>
      <c r="D78">
        <v>1</v>
      </c>
      <c r="E78" t="s">
        <v>270</v>
      </c>
      <c r="F78" s="49" t="s">
        <v>759</v>
      </c>
      <c r="G78" s="49" t="s">
        <v>270</v>
      </c>
      <c r="H78" s="7">
        <f t="shared" si="0"/>
        <v>43.125</v>
      </c>
      <c r="I78" s="7">
        <v>6.9</v>
      </c>
    </row>
    <row r="79" spans="1:9">
      <c r="A79" t="s">
        <v>2491</v>
      </c>
      <c r="B79" s="1">
        <v>42124</v>
      </c>
      <c r="C79" t="s">
        <v>2492</v>
      </c>
      <c r="D79">
        <v>1</v>
      </c>
      <c r="E79" t="s">
        <v>2493</v>
      </c>
      <c r="F79" s="49" t="s">
        <v>807</v>
      </c>
      <c r="G79" s="49" t="s">
        <v>2493</v>
      </c>
      <c r="H79" s="7">
        <f t="shared" si="0"/>
        <v>1300</v>
      </c>
      <c r="I79" s="7">
        <v>208</v>
      </c>
    </row>
    <row r="80" spans="1:9">
      <c r="A80" t="s">
        <v>2445</v>
      </c>
      <c r="B80" s="1">
        <v>42124</v>
      </c>
      <c r="C80" t="s">
        <v>2446</v>
      </c>
      <c r="D80">
        <v>1</v>
      </c>
      <c r="E80" t="s">
        <v>2447</v>
      </c>
      <c r="F80" s="49" t="s">
        <v>2693</v>
      </c>
      <c r="G80" s="49" t="s">
        <v>2447</v>
      </c>
      <c r="H80" s="7">
        <f t="shared" si="0"/>
        <v>700</v>
      </c>
      <c r="I80" s="7">
        <v>112</v>
      </c>
    </row>
    <row r="81" spans="1:9">
      <c r="A81" t="s">
        <v>463</v>
      </c>
      <c r="B81" s="1">
        <v>42109</v>
      </c>
      <c r="C81" t="s">
        <v>2623</v>
      </c>
      <c r="D81">
        <v>1</v>
      </c>
      <c r="E81" t="s">
        <v>638</v>
      </c>
      <c r="F81" s="49" t="s">
        <v>795</v>
      </c>
      <c r="G81" s="49" t="s">
        <v>638</v>
      </c>
      <c r="H81" s="7">
        <f t="shared" si="0"/>
        <v>93069</v>
      </c>
      <c r="I81" s="7">
        <v>14891.04</v>
      </c>
    </row>
    <row r="82" spans="1:9">
      <c r="A82" t="s">
        <v>2381</v>
      </c>
      <c r="B82" s="1">
        <v>42117</v>
      </c>
      <c r="C82" t="s">
        <v>2382</v>
      </c>
      <c r="D82">
        <v>1</v>
      </c>
      <c r="E82" t="s">
        <v>576</v>
      </c>
      <c r="F82" s="49" t="s">
        <v>704</v>
      </c>
      <c r="G82" s="49" t="s">
        <v>576</v>
      </c>
      <c r="H82" s="7">
        <f t="shared" ref="H82:H157" si="2">+I82/0.16</f>
        <v>215.49999999999997</v>
      </c>
      <c r="I82" s="7">
        <v>34.479999999999997</v>
      </c>
    </row>
    <row r="83" spans="1:9">
      <c r="A83" t="s">
        <v>2386</v>
      </c>
      <c r="B83" s="1">
        <v>42109</v>
      </c>
      <c r="C83" t="s">
        <v>2387</v>
      </c>
      <c r="D83">
        <v>1</v>
      </c>
      <c r="E83" t="s">
        <v>576</v>
      </c>
      <c r="F83" s="49" t="s">
        <v>704</v>
      </c>
      <c r="G83" s="49" t="s">
        <v>576</v>
      </c>
      <c r="H83" s="7">
        <f t="shared" si="2"/>
        <v>689.6875</v>
      </c>
      <c r="I83" s="7">
        <v>110.35</v>
      </c>
    </row>
    <row r="84" spans="1:9">
      <c r="A84" t="s">
        <v>2388</v>
      </c>
      <c r="B84" s="1">
        <v>42124</v>
      </c>
      <c r="C84" t="s">
        <v>2389</v>
      </c>
      <c r="D84">
        <v>1</v>
      </c>
      <c r="E84" t="s">
        <v>576</v>
      </c>
      <c r="F84" s="49" t="s">
        <v>704</v>
      </c>
      <c r="G84" s="49" t="s">
        <v>576</v>
      </c>
      <c r="H84" s="7">
        <f t="shared" si="2"/>
        <v>215.49999999999997</v>
      </c>
      <c r="I84" s="7">
        <v>34.479999999999997</v>
      </c>
    </row>
    <row r="85" spans="1:9">
      <c r="A85" t="s">
        <v>2390</v>
      </c>
      <c r="B85" s="1">
        <v>42124</v>
      </c>
      <c r="C85" t="s">
        <v>2391</v>
      </c>
      <c r="D85">
        <v>1</v>
      </c>
      <c r="E85" t="s">
        <v>576</v>
      </c>
      <c r="F85" s="49" t="s">
        <v>704</v>
      </c>
      <c r="G85" s="49" t="s">
        <v>576</v>
      </c>
      <c r="H85" s="7">
        <f t="shared" si="2"/>
        <v>215.49999999999997</v>
      </c>
      <c r="I85" s="7">
        <v>34.479999999999997</v>
      </c>
    </row>
    <row r="86" spans="1:9">
      <c r="A86" t="s">
        <v>2324</v>
      </c>
      <c r="B86" s="1">
        <v>42115</v>
      </c>
      <c r="C86" t="s">
        <v>2325</v>
      </c>
      <c r="D86">
        <v>1</v>
      </c>
      <c r="E86" t="s">
        <v>2326</v>
      </c>
      <c r="F86" s="55" t="s">
        <v>797</v>
      </c>
      <c r="G86" s="49" t="s">
        <v>2326</v>
      </c>
      <c r="H86" s="7">
        <f t="shared" si="2"/>
        <v>156409.0625</v>
      </c>
      <c r="I86" s="7">
        <v>25025.45</v>
      </c>
    </row>
    <row r="87" spans="1:9">
      <c r="A87" t="s">
        <v>2462</v>
      </c>
      <c r="B87" s="1">
        <v>42097</v>
      </c>
      <c r="C87" t="s">
        <v>2463</v>
      </c>
      <c r="D87">
        <v>1</v>
      </c>
      <c r="E87" t="s">
        <v>2464</v>
      </c>
      <c r="F87" s="49" t="s">
        <v>2694</v>
      </c>
      <c r="G87" s="49" t="s">
        <v>2464</v>
      </c>
      <c r="H87" s="7">
        <f t="shared" si="2"/>
        <v>75</v>
      </c>
      <c r="I87" s="7">
        <v>12</v>
      </c>
    </row>
    <row r="88" spans="1:9">
      <c r="A88" t="s">
        <v>2685</v>
      </c>
      <c r="B88" s="1">
        <v>42104</v>
      </c>
      <c r="C88" t="s">
        <v>2686</v>
      </c>
      <c r="D88">
        <v>1</v>
      </c>
      <c r="E88" t="s">
        <v>2687</v>
      </c>
      <c r="F88" s="49" t="s">
        <v>799</v>
      </c>
      <c r="G88" s="49" t="s">
        <v>0</v>
      </c>
      <c r="H88" s="7">
        <f t="shared" si="2"/>
        <v>470.74999999999994</v>
      </c>
      <c r="I88" s="7">
        <v>75.319999999999993</v>
      </c>
    </row>
    <row r="89" spans="1:9">
      <c r="A89" t="s">
        <v>2453</v>
      </c>
      <c r="B89" s="1">
        <v>42124</v>
      </c>
      <c r="C89" t="s">
        <v>2454</v>
      </c>
      <c r="D89">
        <v>1</v>
      </c>
      <c r="E89" t="s">
        <v>2455</v>
      </c>
      <c r="F89" s="49" t="s">
        <v>2695</v>
      </c>
      <c r="G89" s="49" t="s">
        <v>2455</v>
      </c>
      <c r="H89" s="7">
        <f t="shared" si="2"/>
        <v>186.1875</v>
      </c>
      <c r="I89" s="7">
        <v>29.79</v>
      </c>
    </row>
    <row r="90" spans="1:9">
      <c r="A90" t="s">
        <v>2466</v>
      </c>
      <c r="B90" s="1">
        <v>42124</v>
      </c>
      <c r="C90" t="s">
        <v>2467</v>
      </c>
      <c r="D90">
        <v>1</v>
      </c>
      <c r="E90" t="s">
        <v>2455</v>
      </c>
      <c r="F90" s="49" t="s">
        <v>2695</v>
      </c>
      <c r="G90" s="49" t="s">
        <v>2455</v>
      </c>
      <c r="H90" s="7">
        <f t="shared" si="2"/>
        <v>205.18749999999997</v>
      </c>
      <c r="I90" s="7">
        <v>32.83</v>
      </c>
    </row>
    <row r="91" spans="1:9">
      <c r="A91" t="s">
        <v>1803</v>
      </c>
      <c r="B91" s="1">
        <v>42124</v>
      </c>
      <c r="C91" t="s">
        <v>2481</v>
      </c>
      <c r="D91">
        <v>1</v>
      </c>
      <c r="E91" t="s">
        <v>1885</v>
      </c>
      <c r="F91" s="49" t="s">
        <v>2204</v>
      </c>
      <c r="G91" s="49" t="s">
        <v>1885</v>
      </c>
      <c r="H91" s="7">
        <f t="shared" si="2"/>
        <v>123.50000000000001</v>
      </c>
      <c r="I91" s="7">
        <v>19.760000000000002</v>
      </c>
    </row>
    <row r="92" spans="1:9">
      <c r="A92" t="s">
        <v>2383</v>
      </c>
      <c r="B92" s="1">
        <v>42108</v>
      </c>
      <c r="C92" t="s">
        <v>2384</v>
      </c>
      <c r="D92">
        <v>1</v>
      </c>
      <c r="E92" t="s">
        <v>2385</v>
      </c>
      <c r="F92" s="58" t="s">
        <v>805</v>
      </c>
      <c r="G92" s="58" t="s">
        <v>2377</v>
      </c>
      <c r="H92" s="7">
        <f t="shared" si="2"/>
        <v>310.6875</v>
      </c>
      <c r="I92" s="7">
        <v>49.71</v>
      </c>
    </row>
    <row r="93" spans="1:9">
      <c r="A93" t="s">
        <v>162</v>
      </c>
      <c r="B93" s="1">
        <v>42124</v>
      </c>
      <c r="C93" t="s">
        <v>2495</v>
      </c>
      <c r="D93">
        <v>1</v>
      </c>
      <c r="E93" t="s">
        <v>2496</v>
      </c>
      <c r="F93" s="49" t="s">
        <v>1568</v>
      </c>
      <c r="G93" s="49" t="s">
        <v>2496</v>
      </c>
      <c r="H93" s="7">
        <f t="shared" si="2"/>
        <v>41.375</v>
      </c>
      <c r="I93" s="7">
        <v>6.62</v>
      </c>
    </row>
    <row r="94" spans="1:9">
      <c r="A94" t="s">
        <v>2566</v>
      </c>
      <c r="B94" s="1">
        <v>42124</v>
      </c>
      <c r="C94" t="s">
        <v>2567</v>
      </c>
      <c r="D94">
        <v>1</v>
      </c>
      <c r="E94" t="s">
        <v>1568</v>
      </c>
      <c r="F94" s="49" t="s">
        <v>1568</v>
      </c>
      <c r="G94" s="49" t="s">
        <v>2496</v>
      </c>
      <c r="H94" s="7">
        <f t="shared" si="2"/>
        <v>182.75</v>
      </c>
      <c r="I94" s="7">
        <v>29.24</v>
      </c>
    </row>
    <row r="95" spans="1:9">
      <c r="A95" t="s">
        <v>2459</v>
      </c>
      <c r="B95" s="1">
        <v>42124</v>
      </c>
      <c r="C95" t="s">
        <v>2460</v>
      </c>
      <c r="D95">
        <v>1</v>
      </c>
      <c r="E95" t="s">
        <v>2461</v>
      </c>
      <c r="F95" s="49" t="s">
        <v>722</v>
      </c>
      <c r="G95" s="49" t="s">
        <v>723</v>
      </c>
      <c r="H95" s="7">
        <f t="shared" si="2"/>
        <v>168.1875</v>
      </c>
      <c r="I95" s="7">
        <v>26.91</v>
      </c>
    </row>
    <row r="96" spans="1:9">
      <c r="A96" t="s">
        <v>2504</v>
      </c>
      <c r="B96" s="1">
        <v>42124</v>
      </c>
      <c r="C96" t="s">
        <v>2505</v>
      </c>
      <c r="D96">
        <v>1</v>
      </c>
      <c r="E96" t="s">
        <v>2461</v>
      </c>
      <c r="F96" s="49" t="s">
        <v>722</v>
      </c>
      <c r="G96" s="49" t="s">
        <v>723</v>
      </c>
      <c r="H96" s="7">
        <f t="shared" si="2"/>
        <v>150.9375</v>
      </c>
      <c r="I96" s="7">
        <v>24.15</v>
      </c>
    </row>
    <row r="97" spans="1:9">
      <c r="A97" t="s">
        <v>2615</v>
      </c>
      <c r="B97" s="1">
        <v>42108</v>
      </c>
      <c r="C97" t="s">
        <v>2616</v>
      </c>
      <c r="D97">
        <v>1</v>
      </c>
      <c r="E97" t="s">
        <v>503</v>
      </c>
      <c r="F97" s="50" t="s">
        <v>806</v>
      </c>
      <c r="G97" s="49" t="s">
        <v>503</v>
      </c>
      <c r="H97" s="7">
        <f t="shared" si="2"/>
        <v>11443.375</v>
      </c>
      <c r="I97" s="7">
        <v>1830.94</v>
      </c>
    </row>
    <row r="98" spans="1:9">
      <c r="A98" t="s">
        <v>2414</v>
      </c>
      <c r="B98" s="1">
        <v>42124</v>
      </c>
      <c r="C98" t="s">
        <v>2415</v>
      </c>
      <c r="D98">
        <v>1</v>
      </c>
      <c r="E98" t="s">
        <v>2416</v>
      </c>
      <c r="F98" s="49" t="s">
        <v>2207</v>
      </c>
      <c r="G98" s="49" t="s">
        <v>2416</v>
      </c>
      <c r="H98" s="7">
        <f t="shared" si="2"/>
        <v>250.99999999999997</v>
      </c>
      <c r="I98" s="7">
        <v>40.159999999999997</v>
      </c>
    </row>
    <row r="99" spans="1:9">
      <c r="A99" t="s">
        <v>477</v>
      </c>
      <c r="B99" s="1">
        <v>42109</v>
      </c>
      <c r="C99" t="s">
        <v>2630</v>
      </c>
      <c r="D99">
        <v>1</v>
      </c>
      <c r="E99" t="s">
        <v>1476</v>
      </c>
      <c r="F99" s="49" t="s">
        <v>1570</v>
      </c>
      <c r="G99" s="49" t="s">
        <v>1476</v>
      </c>
      <c r="H99" s="7">
        <f t="shared" si="2"/>
        <v>2344</v>
      </c>
      <c r="I99" s="7">
        <v>375.04</v>
      </c>
    </row>
    <row r="100" spans="1:9">
      <c r="A100" t="s">
        <v>2110</v>
      </c>
      <c r="B100" s="1">
        <v>42114</v>
      </c>
      <c r="C100" t="s">
        <v>2640</v>
      </c>
      <c r="D100">
        <v>1</v>
      </c>
      <c r="E100" t="s">
        <v>1476</v>
      </c>
      <c r="F100" s="49" t="s">
        <v>1570</v>
      </c>
      <c r="G100" s="49" t="s">
        <v>1476</v>
      </c>
      <c r="H100" s="7">
        <f t="shared" si="2"/>
        <v>1693</v>
      </c>
      <c r="I100" s="7">
        <v>270.88</v>
      </c>
    </row>
    <row r="101" spans="1:9">
      <c r="A101" t="s">
        <v>475</v>
      </c>
      <c r="B101" s="1">
        <v>42109</v>
      </c>
      <c r="C101" t="s">
        <v>2627</v>
      </c>
      <c r="D101">
        <v>1</v>
      </c>
      <c r="E101" t="s">
        <v>446</v>
      </c>
      <c r="F101" s="49" t="s">
        <v>815</v>
      </c>
      <c r="G101" s="49" t="s">
        <v>446</v>
      </c>
      <c r="H101" s="7">
        <f t="shared" si="2"/>
        <v>2775.75</v>
      </c>
      <c r="I101" s="7">
        <v>444.12</v>
      </c>
    </row>
    <row r="102" spans="1:9">
      <c r="A102" t="s">
        <v>486</v>
      </c>
      <c r="B102" s="1">
        <v>42114</v>
      </c>
      <c r="C102" t="s">
        <v>2642</v>
      </c>
      <c r="D102">
        <v>1</v>
      </c>
      <c r="E102" t="s">
        <v>446</v>
      </c>
      <c r="F102" s="49" t="s">
        <v>815</v>
      </c>
      <c r="G102" s="49" t="s">
        <v>446</v>
      </c>
      <c r="H102" s="7">
        <f t="shared" si="2"/>
        <v>1428.8125</v>
      </c>
      <c r="I102" s="7">
        <v>228.61</v>
      </c>
    </row>
    <row r="103" spans="1:9">
      <c r="A103" t="s">
        <v>158</v>
      </c>
      <c r="B103" s="1">
        <v>42124</v>
      </c>
      <c r="C103" t="s">
        <v>2490</v>
      </c>
      <c r="D103">
        <v>1</v>
      </c>
      <c r="E103" t="s">
        <v>1159</v>
      </c>
      <c r="F103" s="49" t="s">
        <v>1571</v>
      </c>
      <c r="G103" s="49" t="s">
        <v>1159</v>
      </c>
      <c r="H103" s="7">
        <f t="shared" si="2"/>
        <v>582.125</v>
      </c>
      <c r="I103" s="7">
        <v>93.14</v>
      </c>
    </row>
    <row r="104" spans="1:9">
      <c r="A104" t="s">
        <v>2563</v>
      </c>
      <c r="B104" s="1">
        <v>42124</v>
      </c>
      <c r="C104" t="s">
        <v>2564</v>
      </c>
      <c r="D104">
        <v>1</v>
      </c>
      <c r="E104" t="s">
        <v>2565</v>
      </c>
      <c r="F104" s="49" t="s">
        <v>832</v>
      </c>
      <c r="G104" s="49" t="s">
        <v>1585</v>
      </c>
      <c r="H104" s="7">
        <f t="shared" si="2"/>
        <v>886.75</v>
      </c>
      <c r="I104" s="7">
        <v>141.88</v>
      </c>
    </row>
    <row r="105" spans="1:9">
      <c r="A105" t="s">
        <v>2589</v>
      </c>
      <c r="B105" s="1">
        <v>42102</v>
      </c>
      <c r="C105" t="s">
        <v>2590</v>
      </c>
      <c r="D105">
        <v>1</v>
      </c>
      <c r="E105" t="s">
        <v>2591</v>
      </c>
      <c r="F105" s="49" t="s">
        <v>2696</v>
      </c>
      <c r="G105" s="49" t="s">
        <v>2591</v>
      </c>
      <c r="H105" s="7">
        <f t="shared" si="2"/>
        <v>2600</v>
      </c>
      <c r="I105" s="7">
        <v>416</v>
      </c>
    </row>
    <row r="106" spans="1:9">
      <c r="A106" t="s">
        <v>2423</v>
      </c>
      <c r="B106" s="1">
        <v>42124</v>
      </c>
      <c r="C106" t="s">
        <v>2424</v>
      </c>
      <c r="D106">
        <v>1</v>
      </c>
      <c r="E106" t="s">
        <v>2425</v>
      </c>
      <c r="F106" s="49" t="s">
        <v>840</v>
      </c>
      <c r="G106" s="49" t="s">
        <v>2425</v>
      </c>
      <c r="H106" s="7">
        <f t="shared" si="2"/>
        <v>258.875</v>
      </c>
      <c r="I106" s="7">
        <v>41.42</v>
      </c>
    </row>
    <row r="107" spans="1:9">
      <c r="A107" t="s">
        <v>2486</v>
      </c>
      <c r="B107" s="1">
        <v>42124</v>
      </c>
      <c r="C107" t="s">
        <v>2487</v>
      </c>
      <c r="D107">
        <v>1</v>
      </c>
      <c r="E107" t="s">
        <v>324</v>
      </c>
      <c r="F107" s="49" t="s">
        <v>820</v>
      </c>
      <c r="G107" s="49" t="s">
        <v>324</v>
      </c>
      <c r="H107" s="7">
        <f t="shared" si="2"/>
        <v>1512.9375</v>
      </c>
      <c r="I107" s="7">
        <v>242.07</v>
      </c>
    </row>
    <row r="108" spans="1:9">
      <c r="A108" t="s">
        <v>2488</v>
      </c>
      <c r="B108" s="1">
        <v>42124</v>
      </c>
      <c r="C108" t="s">
        <v>2489</v>
      </c>
      <c r="D108">
        <v>1</v>
      </c>
      <c r="E108" t="s">
        <v>324</v>
      </c>
      <c r="F108" s="49" t="s">
        <v>820</v>
      </c>
      <c r="G108" s="49" t="s">
        <v>324</v>
      </c>
      <c r="H108" s="7">
        <f t="shared" si="2"/>
        <v>1194</v>
      </c>
      <c r="I108" s="7">
        <v>191.04</v>
      </c>
    </row>
    <row r="109" spans="1:9">
      <c r="A109" t="s">
        <v>2587</v>
      </c>
      <c r="B109" s="1">
        <v>42102</v>
      </c>
      <c r="C109" t="s">
        <v>2588</v>
      </c>
      <c r="D109">
        <v>1</v>
      </c>
      <c r="E109" t="s">
        <v>1455</v>
      </c>
      <c r="F109" s="49" t="s">
        <v>1573</v>
      </c>
      <c r="G109" s="49" t="s">
        <v>1455</v>
      </c>
      <c r="H109" s="7">
        <f t="shared" si="2"/>
        <v>13400</v>
      </c>
      <c r="I109" s="7">
        <v>2144</v>
      </c>
    </row>
    <row r="110" spans="1:9">
      <c r="A110" t="s">
        <v>2428</v>
      </c>
      <c r="B110" s="1">
        <v>42124</v>
      </c>
      <c r="C110" t="s">
        <v>2429</v>
      </c>
      <c r="D110">
        <v>1</v>
      </c>
      <c r="E110" t="s">
        <v>263</v>
      </c>
      <c r="F110" s="49" t="s">
        <v>821</v>
      </c>
      <c r="G110" s="49" t="s">
        <v>263</v>
      </c>
      <c r="H110" s="7">
        <f t="shared" si="2"/>
        <v>344.8125</v>
      </c>
      <c r="I110" s="7">
        <v>55.17</v>
      </c>
    </row>
    <row r="111" spans="1:9">
      <c r="A111" t="s">
        <v>2479</v>
      </c>
      <c r="B111" s="1">
        <v>42097</v>
      </c>
      <c r="C111" t="s">
        <v>2480</v>
      </c>
      <c r="D111">
        <v>1</v>
      </c>
      <c r="E111" t="s">
        <v>263</v>
      </c>
      <c r="F111" s="49" t="s">
        <v>821</v>
      </c>
      <c r="G111" s="49" t="s">
        <v>263</v>
      </c>
      <c r="H111" s="7">
        <f t="shared" si="2"/>
        <v>344.8125</v>
      </c>
      <c r="I111" s="7">
        <v>55.17</v>
      </c>
    </row>
    <row r="112" spans="1:9">
      <c r="A112" t="s">
        <v>2476</v>
      </c>
      <c r="B112" s="1">
        <v>42124</v>
      </c>
      <c r="C112" t="s">
        <v>2477</v>
      </c>
      <c r="D112">
        <v>1</v>
      </c>
      <c r="E112" t="s">
        <v>2478</v>
      </c>
      <c r="F112" s="49" t="s">
        <v>821</v>
      </c>
      <c r="G112" s="49" t="s">
        <v>263</v>
      </c>
      <c r="H112" s="7">
        <f t="shared" si="2"/>
        <v>344.8125</v>
      </c>
      <c r="I112" s="7">
        <v>55.17</v>
      </c>
    </row>
    <row r="113" spans="1:12">
      <c r="A113" t="s">
        <v>473</v>
      </c>
      <c r="B113" s="1">
        <v>42109</v>
      </c>
      <c r="C113" t="s">
        <v>2096</v>
      </c>
      <c r="D113">
        <v>2</v>
      </c>
      <c r="E113" t="s">
        <v>455</v>
      </c>
      <c r="F113" s="49" t="s">
        <v>823</v>
      </c>
      <c r="G113" s="49" t="s">
        <v>455</v>
      </c>
      <c r="H113" s="7">
        <f t="shared" si="2"/>
        <v>11128.75</v>
      </c>
      <c r="I113" s="7">
        <v>1780.6</v>
      </c>
    </row>
    <row r="114" spans="1:12">
      <c r="A114" t="s">
        <v>2108</v>
      </c>
      <c r="B114" s="1">
        <v>42114</v>
      </c>
      <c r="C114" t="s">
        <v>2107</v>
      </c>
      <c r="D114">
        <v>2</v>
      </c>
      <c r="E114" t="s">
        <v>455</v>
      </c>
      <c r="F114" s="49" t="s">
        <v>823</v>
      </c>
      <c r="G114" s="49" t="s">
        <v>455</v>
      </c>
      <c r="H114" s="7">
        <f t="shared" si="2"/>
        <v>16715</v>
      </c>
      <c r="I114" s="7">
        <v>2674.4</v>
      </c>
    </row>
    <row r="115" spans="1:12">
      <c r="A115" t="s">
        <v>1383</v>
      </c>
      <c r="B115" s="1">
        <v>42115</v>
      </c>
      <c r="C115" t="s">
        <v>2650</v>
      </c>
      <c r="D115">
        <v>1</v>
      </c>
      <c r="E115" t="s">
        <v>2097</v>
      </c>
      <c r="F115" s="49" t="s">
        <v>2212</v>
      </c>
      <c r="G115" s="49" t="s">
        <v>2097</v>
      </c>
      <c r="H115" s="7">
        <f t="shared" si="2"/>
        <v>3785.625</v>
      </c>
      <c r="I115" s="7">
        <v>605.70000000000005</v>
      </c>
    </row>
    <row r="116" spans="1:12">
      <c r="A116" t="s">
        <v>2100</v>
      </c>
      <c r="B116" s="1">
        <v>42112</v>
      </c>
      <c r="C116" t="s">
        <v>2638</v>
      </c>
      <c r="D116">
        <v>1</v>
      </c>
      <c r="E116" t="s">
        <v>529</v>
      </c>
      <c r="F116" s="53" t="s">
        <v>829</v>
      </c>
      <c r="G116" s="49" t="s">
        <v>529</v>
      </c>
      <c r="H116" s="7">
        <f t="shared" si="2"/>
        <v>107758.625</v>
      </c>
      <c r="I116" s="7">
        <v>17241.38</v>
      </c>
    </row>
    <row r="117" spans="1:12">
      <c r="A117" t="s">
        <v>1744</v>
      </c>
      <c r="B117" s="1">
        <v>42123</v>
      </c>
      <c r="C117" t="s">
        <v>2345</v>
      </c>
      <c r="D117">
        <v>1</v>
      </c>
      <c r="E117" t="s">
        <v>2346</v>
      </c>
      <c r="F117" s="46" t="s">
        <v>2192</v>
      </c>
      <c r="G117" s="58" t="s">
        <v>2689</v>
      </c>
      <c r="H117" s="7">
        <f t="shared" si="2"/>
        <v>264873.5</v>
      </c>
      <c r="I117" s="7">
        <v>42379.76</v>
      </c>
      <c r="J117" s="60">
        <f>+H117-[1]ABRIL.2015!$H$162</f>
        <v>50.6875</v>
      </c>
      <c r="K117" s="60">
        <f>+I117-[1]ABRIL.2015!$I$162</f>
        <v>8.1100000000005821</v>
      </c>
      <c r="L117" t="s">
        <v>2723</v>
      </c>
    </row>
    <row r="118" spans="1:12">
      <c r="A118" t="s">
        <v>2334</v>
      </c>
      <c r="B118" s="1">
        <v>42119</v>
      </c>
      <c r="C118" t="s">
        <v>2335</v>
      </c>
      <c r="D118">
        <v>1</v>
      </c>
      <c r="E118" t="s">
        <v>2336</v>
      </c>
      <c r="F118" s="46" t="s">
        <v>2192</v>
      </c>
      <c r="G118" s="58" t="s">
        <v>2689</v>
      </c>
      <c r="H118" s="7">
        <f t="shared" si="2"/>
        <v>225991.18749999997</v>
      </c>
      <c r="I118" s="7">
        <v>36158.589999999997</v>
      </c>
      <c r="J118" s="60">
        <f>+H118-[1]ABRIL.2015!$H$151</f>
        <v>48.749999999970896</v>
      </c>
      <c r="K118" s="60">
        <f>+I118-[1]ABRIL.2015!$I$151</f>
        <v>7.7999999999956344</v>
      </c>
      <c r="L118" t="s">
        <v>2723</v>
      </c>
    </row>
    <row r="119" spans="1:12">
      <c r="A119" t="s">
        <v>2397</v>
      </c>
      <c r="B119" s="1">
        <v>42124</v>
      </c>
      <c r="C119" t="s">
        <v>2398</v>
      </c>
      <c r="D119">
        <v>1</v>
      </c>
      <c r="E119" t="s">
        <v>2399</v>
      </c>
      <c r="F119" s="58" t="s">
        <v>2215</v>
      </c>
      <c r="G119" s="58" t="s">
        <v>2748</v>
      </c>
      <c r="H119" s="7">
        <f t="shared" si="2"/>
        <v>75.0625</v>
      </c>
      <c r="I119" s="7">
        <v>12.01</v>
      </c>
    </row>
    <row r="120" spans="1:12">
      <c r="A120" t="s">
        <v>535</v>
      </c>
      <c r="B120" s="1">
        <v>42124</v>
      </c>
      <c r="C120" t="s">
        <v>2675</v>
      </c>
      <c r="D120">
        <v>1</v>
      </c>
      <c r="E120" t="s">
        <v>2676</v>
      </c>
      <c r="F120" s="26" t="s">
        <v>737</v>
      </c>
      <c r="G120" s="63" t="s">
        <v>738</v>
      </c>
      <c r="H120" s="7">
        <f t="shared" si="2"/>
        <v>10864.9375</v>
      </c>
      <c r="I120" s="7">
        <v>1738.39</v>
      </c>
    </row>
    <row r="121" spans="1:12">
      <c r="A121" t="s">
        <v>2400</v>
      </c>
      <c r="B121" s="1">
        <v>42124</v>
      </c>
      <c r="C121" t="s">
        <v>2401</v>
      </c>
      <c r="D121">
        <v>1</v>
      </c>
      <c r="E121" t="s">
        <v>2402</v>
      </c>
      <c r="F121" s="58" t="s">
        <v>796</v>
      </c>
      <c r="G121" s="58" t="s">
        <v>2749</v>
      </c>
      <c r="H121" s="7">
        <f t="shared" si="2"/>
        <v>189.625</v>
      </c>
      <c r="I121" s="7">
        <v>30.34</v>
      </c>
    </row>
    <row r="122" spans="1:12">
      <c r="A122" t="s">
        <v>2409</v>
      </c>
      <c r="B122" s="1">
        <v>42124</v>
      </c>
      <c r="C122" t="s">
        <v>2410</v>
      </c>
      <c r="D122">
        <v>1</v>
      </c>
      <c r="E122" t="s">
        <v>2411</v>
      </c>
      <c r="F122" s="58" t="s">
        <v>804</v>
      </c>
      <c r="G122" s="58" t="s">
        <v>2750</v>
      </c>
      <c r="H122" s="7">
        <f t="shared" si="2"/>
        <v>445</v>
      </c>
      <c r="I122" s="7">
        <v>71.2</v>
      </c>
    </row>
    <row r="123" spans="1:12">
      <c r="A123" t="s">
        <v>2290</v>
      </c>
      <c r="B123" s="1">
        <v>42105</v>
      </c>
      <c r="C123" t="s">
        <v>2291</v>
      </c>
      <c r="D123">
        <v>1</v>
      </c>
      <c r="E123" t="s">
        <v>2292</v>
      </c>
      <c r="F123" s="63" t="s">
        <v>813</v>
      </c>
      <c r="G123" s="58" t="s">
        <v>2697</v>
      </c>
      <c r="H123" s="7">
        <f t="shared" si="2"/>
        <v>245326.06249999997</v>
      </c>
      <c r="I123" s="7">
        <v>39252.17</v>
      </c>
      <c r="J123" s="60">
        <f>+H123-[1]ABRIL.2015!$H$55</f>
        <v>658.9374999999709</v>
      </c>
      <c r="K123" s="60">
        <f>+I123-[1]ABRIL.2015!$I$55</f>
        <v>105.43000000000029</v>
      </c>
      <c r="L123" t="s">
        <v>2723</v>
      </c>
    </row>
    <row r="124" spans="1:12">
      <c r="A124" t="s">
        <v>2261</v>
      </c>
      <c r="B124" s="1">
        <v>42100</v>
      </c>
      <c r="C124" t="s">
        <v>2262</v>
      </c>
      <c r="D124">
        <v>1</v>
      </c>
      <c r="E124" t="s">
        <v>2263</v>
      </c>
      <c r="F124" s="49" t="s">
        <v>799</v>
      </c>
      <c r="G124" s="49" t="s">
        <v>0</v>
      </c>
      <c r="H124" s="7">
        <f t="shared" si="2"/>
        <v>595.4375</v>
      </c>
      <c r="I124" s="7">
        <v>95.27</v>
      </c>
    </row>
    <row r="125" spans="1:12">
      <c r="A125" t="s">
        <v>2264</v>
      </c>
      <c r="B125" s="1">
        <v>42100</v>
      </c>
      <c r="C125" t="s">
        <v>2265</v>
      </c>
      <c r="D125">
        <v>1</v>
      </c>
      <c r="E125" t="s">
        <v>2266</v>
      </c>
      <c r="F125" s="49" t="s">
        <v>799</v>
      </c>
      <c r="G125" s="49" t="s">
        <v>0</v>
      </c>
      <c r="H125" s="7">
        <f t="shared" si="2"/>
        <v>1636.5625</v>
      </c>
      <c r="I125" s="7">
        <v>261.85000000000002</v>
      </c>
    </row>
    <row r="126" spans="1:12">
      <c r="A126" t="s">
        <v>2267</v>
      </c>
      <c r="B126" s="1">
        <v>42100</v>
      </c>
      <c r="C126" t="s">
        <v>2268</v>
      </c>
      <c r="D126">
        <v>1</v>
      </c>
      <c r="E126" t="s">
        <v>2269</v>
      </c>
      <c r="F126" s="49" t="s">
        <v>799</v>
      </c>
      <c r="G126" s="49" t="s">
        <v>0</v>
      </c>
      <c r="H126" s="7">
        <f t="shared" si="2"/>
        <v>14964.4375</v>
      </c>
      <c r="I126" s="7">
        <v>2394.31</v>
      </c>
    </row>
    <row r="127" spans="1:12">
      <c r="A127" t="s">
        <v>2583</v>
      </c>
      <c r="B127" s="1">
        <v>42102</v>
      </c>
      <c r="C127" t="s">
        <v>2584</v>
      </c>
      <c r="D127">
        <v>1</v>
      </c>
      <c r="E127" t="s">
        <v>2149</v>
      </c>
      <c r="F127" s="58" t="s">
        <v>2252</v>
      </c>
      <c r="G127" s="58" t="s">
        <v>2253</v>
      </c>
      <c r="H127" s="7">
        <f t="shared" si="2"/>
        <v>19810.3125</v>
      </c>
      <c r="I127" s="7">
        <v>3169.65</v>
      </c>
    </row>
    <row r="128" spans="1:12">
      <c r="A128" t="s">
        <v>143</v>
      </c>
      <c r="B128" s="1">
        <v>42124</v>
      </c>
      <c r="C128" t="s">
        <v>2374</v>
      </c>
      <c r="D128">
        <v>1</v>
      </c>
      <c r="E128" t="s">
        <v>2375</v>
      </c>
      <c r="F128" s="58" t="s">
        <v>2751</v>
      </c>
      <c r="G128" s="58" t="s">
        <v>2752</v>
      </c>
      <c r="H128" s="7">
        <f t="shared" si="2"/>
        <v>701247</v>
      </c>
      <c r="I128" s="7">
        <v>112199.52</v>
      </c>
    </row>
    <row r="129" spans="1:12">
      <c r="A129" t="s">
        <v>1333</v>
      </c>
      <c r="B129" s="1">
        <v>42100</v>
      </c>
      <c r="C129" t="s">
        <v>2576</v>
      </c>
      <c r="D129">
        <v>1</v>
      </c>
      <c r="E129" t="s">
        <v>2577</v>
      </c>
      <c r="F129" s="49" t="s">
        <v>7311</v>
      </c>
      <c r="G129" t="s">
        <v>7312</v>
      </c>
      <c r="H129" s="7">
        <f t="shared" si="2"/>
        <v>125000</v>
      </c>
      <c r="I129" s="7">
        <v>20000</v>
      </c>
    </row>
    <row r="130" spans="1:12">
      <c r="A130" t="s">
        <v>1394</v>
      </c>
      <c r="B130" s="1">
        <v>42115</v>
      </c>
      <c r="C130" t="s">
        <v>2111</v>
      </c>
      <c r="D130">
        <v>2</v>
      </c>
      <c r="E130" t="s">
        <v>1237</v>
      </c>
      <c r="F130" s="58" t="s">
        <v>832</v>
      </c>
      <c r="G130" s="58" t="s">
        <v>1585</v>
      </c>
      <c r="H130" s="7">
        <f t="shared" si="2"/>
        <v>838.4375</v>
      </c>
      <c r="I130" s="7">
        <v>134.15</v>
      </c>
    </row>
    <row r="131" spans="1:12">
      <c r="A131" t="s">
        <v>2403</v>
      </c>
      <c r="B131" s="1">
        <v>42124</v>
      </c>
      <c r="C131" t="s">
        <v>2404</v>
      </c>
      <c r="D131">
        <v>1</v>
      </c>
      <c r="E131" t="s">
        <v>2405</v>
      </c>
      <c r="F131" s="58" t="s">
        <v>2701</v>
      </c>
      <c r="G131" s="58" t="s">
        <v>2660</v>
      </c>
      <c r="H131" s="7">
        <f t="shared" si="2"/>
        <v>350</v>
      </c>
      <c r="I131" s="7">
        <v>56</v>
      </c>
    </row>
    <row r="132" spans="1:12">
      <c r="A132" t="s">
        <v>2406</v>
      </c>
      <c r="B132" s="1">
        <v>42124</v>
      </c>
      <c r="C132" t="s">
        <v>2407</v>
      </c>
      <c r="D132">
        <v>1</v>
      </c>
      <c r="E132" t="s">
        <v>2408</v>
      </c>
      <c r="F132" s="58" t="s">
        <v>2753</v>
      </c>
      <c r="G132" s="58" t="s">
        <v>2754</v>
      </c>
      <c r="H132" s="7">
        <f t="shared" si="2"/>
        <v>258.625</v>
      </c>
      <c r="I132" s="7">
        <v>41.38</v>
      </c>
    </row>
    <row r="133" spans="1:12">
      <c r="A133" t="s">
        <v>2552</v>
      </c>
      <c r="B133" s="1">
        <v>42124</v>
      </c>
      <c r="C133" t="s">
        <v>139</v>
      </c>
      <c r="D133">
        <v>1</v>
      </c>
      <c r="E133" t="s">
        <v>2553</v>
      </c>
      <c r="F133" s="58" t="s">
        <v>2755</v>
      </c>
      <c r="G133" s="58" t="s">
        <v>2756</v>
      </c>
      <c r="H133" s="59">
        <f t="shared" ref="H133:H139" si="3">+I133*6.25</f>
        <v>112.0625</v>
      </c>
      <c r="I133" s="59">
        <v>17.93</v>
      </c>
      <c r="J133" s="7"/>
      <c r="K133" s="7"/>
    </row>
    <row r="134" spans="1:12">
      <c r="A134" t="s">
        <v>2552</v>
      </c>
      <c r="B134" s="1">
        <v>42124</v>
      </c>
      <c r="C134" t="s">
        <v>139</v>
      </c>
      <c r="D134">
        <v>1</v>
      </c>
      <c r="E134" t="s">
        <v>2553</v>
      </c>
      <c r="F134" s="139" t="s">
        <v>714</v>
      </c>
      <c r="G134" s="58" t="s">
        <v>715</v>
      </c>
      <c r="H134" s="59">
        <f t="shared" si="3"/>
        <v>582.75</v>
      </c>
      <c r="I134" s="59">
        <f>49.1+44.14</f>
        <v>93.240000000000009</v>
      </c>
    </row>
    <row r="135" spans="1:12">
      <c r="A135" t="s">
        <v>2552</v>
      </c>
      <c r="B135" s="1">
        <v>42124</v>
      </c>
      <c r="C135" t="s">
        <v>139</v>
      </c>
      <c r="D135">
        <v>1</v>
      </c>
      <c r="E135" t="s">
        <v>2553</v>
      </c>
      <c r="F135" s="58" t="s">
        <v>716</v>
      </c>
      <c r="G135" s="58" t="s">
        <v>717</v>
      </c>
      <c r="H135" s="59">
        <f t="shared" si="3"/>
        <v>2953.125</v>
      </c>
      <c r="I135" s="59">
        <v>472.5</v>
      </c>
    </row>
    <row r="136" spans="1:12">
      <c r="A136" t="s">
        <v>2552</v>
      </c>
      <c r="B136" s="1">
        <v>42124</v>
      </c>
      <c r="C136" t="s">
        <v>139</v>
      </c>
      <c r="D136">
        <v>1</v>
      </c>
      <c r="E136" t="s">
        <v>2553</v>
      </c>
      <c r="F136" s="58" t="s">
        <v>718</v>
      </c>
      <c r="G136" s="58" t="s">
        <v>2757</v>
      </c>
      <c r="H136" s="59">
        <f t="shared" si="3"/>
        <v>61.187499999999993</v>
      </c>
      <c r="I136" s="59">
        <v>9.7899999999999991</v>
      </c>
    </row>
    <row r="137" spans="1:12">
      <c r="A137" t="s">
        <v>2552</v>
      </c>
      <c r="B137" s="1">
        <v>42124</v>
      </c>
      <c r="C137" t="s">
        <v>139</v>
      </c>
      <c r="D137">
        <v>1</v>
      </c>
      <c r="E137" t="s">
        <v>2553</v>
      </c>
      <c r="F137" s="58" t="s">
        <v>2758</v>
      </c>
      <c r="G137" s="58" t="s">
        <v>2759</v>
      </c>
      <c r="H137" s="59">
        <f t="shared" si="3"/>
        <v>107.74999999999999</v>
      </c>
      <c r="I137" s="59">
        <v>17.239999999999998</v>
      </c>
    </row>
    <row r="138" spans="1:12">
      <c r="A138" t="s">
        <v>2552</v>
      </c>
      <c r="B138" s="1">
        <v>42124</v>
      </c>
      <c r="C138" t="s">
        <v>139</v>
      </c>
      <c r="D138">
        <v>1</v>
      </c>
      <c r="E138" t="s">
        <v>2553</v>
      </c>
      <c r="F138" s="58" t="s">
        <v>1534</v>
      </c>
      <c r="G138" s="58" t="s">
        <v>1535</v>
      </c>
      <c r="H138" s="59">
        <f t="shared" si="3"/>
        <v>137.0625</v>
      </c>
      <c r="I138" s="59">
        <v>21.93</v>
      </c>
    </row>
    <row r="139" spans="1:12">
      <c r="A139" t="s">
        <v>2552</v>
      </c>
      <c r="B139" s="1">
        <v>42124</v>
      </c>
      <c r="C139" t="s">
        <v>139</v>
      </c>
      <c r="D139">
        <v>1</v>
      </c>
      <c r="E139" t="s">
        <v>2553</v>
      </c>
      <c r="F139" s="58" t="s">
        <v>817</v>
      </c>
      <c r="G139" s="58" t="s">
        <v>2760</v>
      </c>
      <c r="H139" s="59">
        <f t="shared" si="3"/>
        <v>138.8125</v>
      </c>
      <c r="I139" s="59">
        <v>22.21</v>
      </c>
      <c r="J139" s="60">
        <f>4092.75-H133-H134-H135-H136-H137-H138-H139</f>
        <v>0</v>
      </c>
      <c r="K139" s="60">
        <f>654.84-I133-I134-I135-I136-I137-I138-I139</f>
        <v>7.1054273576010019E-14</v>
      </c>
    </row>
    <row r="140" spans="1:12">
      <c r="A140" t="s">
        <v>1745</v>
      </c>
      <c r="B140" s="1">
        <v>42123</v>
      </c>
      <c r="C140" t="s">
        <v>2347</v>
      </c>
      <c r="D140">
        <v>1</v>
      </c>
      <c r="E140" t="s">
        <v>107</v>
      </c>
      <c r="F140" s="58" t="s">
        <v>799</v>
      </c>
      <c r="G140" s="58" t="s">
        <v>0</v>
      </c>
      <c r="H140" s="7">
        <f t="shared" si="2"/>
        <v>303975.125</v>
      </c>
      <c r="I140" s="7">
        <v>48636.02</v>
      </c>
      <c r="J140" s="60">
        <f>+H140-[1]ABRIL.2015!$H$163</f>
        <v>2960.5</v>
      </c>
      <c r="K140" s="60">
        <f>+I140-[1]ABRIL.2015!$I$163</f>
        <v>473.68000000000029</v>
      </c>
      <c r="L140" t="s">
        <v>2723</v>
      </c>
    </row>
    <row r="141" spans="1:12">
      <c r="A141" t="s">
        <v>2366</v>
      </c>
      <c r="B141" s="1">
        <v>42124</v>
      </c>
      <c r="C141" t="s">
        <v>2367</v>
      </c>
      <c r="D141">
        <v>1</v>
      </c>
      <c r="E141" t="s">
        <v>107</v>
      </c>
      <c r="F141" s="58" t="s">
        <v>799</v>
      </c>
      <c r="G141" s="58" t="s">
        <v>0</v>
      </c>
      <c r="H141" s="7">
        <f t="shared" si="2"/>
        <v>303975.125</v>
      </c>
      <c r="I141" s="7">
        <v>48636.02</v>
      </c>
      <c r="J141" s="60">
        <f>+H141-[1]ABRIL.2015!$H$176</f>
        <v>2962.25</v>
      </c>
      <c r="K141" s="60">
        <f>+I141-[1]ABRIL.2015!$I$176</f>
        <v>473.95999999999913</v>
      </c>
      <c r="L141" t="s">
        <v>2723</v>
      </c>
    </row>
    <row r="142" spans="1:12">
      <c r="A142" t="s">
        <v>2369</v>
      </c>
      <c r="B142" s="1">
        <v>42124</v>
      </c>
      <c r="C142" t="s">
        <v>2370</v>
      </c>
      <c r="D142">
        <v>1</v>
      </c>
      <c r="E142" t="s">
        <v>107</v>
      </c>
      <c r="F142" s="58" t="s">
        <v>799</v>
      </c>
      <c r="G142" s="58" t="s">
        <v>0</v>
      </c>
      <c r="H142" s="7">
        <f t="shared" si="2"/>
        <v>318084.5</v>
      </c>
      <c r="I142" s="7">
        <v>50893.52</v>
      </c>
    </row>
    <row r="143" spans="1:12">
      <c r="A143" t="s">
        <v>2508</v>
      </c>
      <c r="B143" s="1">
        <v>42124</v>
      </c>
      <c r="C143" t="s">
        <v>2509</v>
      </c>
      <c r="D143">
        <v>1</v>
      </c>
      <c r="E143" t="s">
        <v>2510</v>
      </c>
      <c r="F143" s="139" t="s">
        <v>714</v>
      </c>
      <c r="G143" s="58" t="s">
        <v>715</v>
      </c>
      <c r="H143" s="59">
        <f t="shared" ref="H143:H151" si="4">+I143*6.25</f>
        <v>318.9375</v>
      </c>
      <c r="I143" s="59">
        <v>51.03</v>
      </c>
      <c r="J143" s="7"/>
      <c r="K143" s="7"/>
    </row>
    <row r="144" spans="1:12">
      <c r="A144" t="s">
        <v>2508</v>
      </c>
      <c r="B144" s="1">
        <v>42124</v>
      </c>
      <c r="C144" t="s">
        <v>2509</v>
      </c>
      <c r="D144">
        <v>1</v>
      </c>
      <c r="E144" t="s">
        <v>2510</v>
      </c>
      <c r="F144" s="58" t="s">
        <v>2761</v>
      </c>
      <c r="G144" s="58" t="s">
        <v>2762</v>
      </c>
      <c r="H144" s="59">
        <f t="shared" si="4"/>
        <v>419.625</v>
      </c>
      <c r="I144" s="59">
        <v>67.14</v>
      </c>
    </row>
    <row r="145" spans="1:11">
      <c r="A145" t="s">
        <v>2508</v>
      </c>
      <c r="B145" s="1">
        <v>42124</v>
      </c>
      <c r="C145" t="s">
        <v>2509</v>
      </c>
      <c r="D145">
        <v>1</v>
      </c>
      <c r="E145" t="s">
        <v>2510</v>
      </c>
      <c r="F145" s="58" t="s">
        <v>722</v>
      </c>
      <c r="G145" s="58" t="s">
        <v>723</v>
      </c>
      <c r="H145" s="59">
        <f t="shared" si="4"/>
        <v>282.75</v>
      </c>
      <c r="I145" s="59">
        <f>5.79+8.14+9.66+12.69+8.96</f>
        <v>45.24</v>
      </c>
    </row>
    <row r="146" spans="1:11">
      <c r="A146" t="s">
        <v>2508</v>
      </c>
      <c r="B146" s="1">
        <v>42124</v>
      </c>
      <c r="C146" t="s">
        <v>2509</v>
      </c>
      <c r="D146">
        <v>1</v>
      </c>
      <c r="E146" t="s">
        <v>2510</v>
      </c>
      <c r="F146" s="58" t="s">
        <v>935</v>
      </c>
      <c r="G146" s="58" t="s">
        <v>2726</v>
      </c>
      <c r="H146" s="59">
        <f t="shared" si="4"/>
        <v>86.1875</v>
      </c>
      <c r="I146" s="59">
        <v>13.79</v>
      </c>
      <c r="J146" s="60">
        <f>1107.5-H143-H144-H145-H146</f>
        <v>0</v>
      </c>
      <c r="K146" s="60">
        <f>177.2-I143-I144-I145-I146</f>
        <v>-1.4210854715202004E-14</v>
      </c>
    </row>
    <row r="147" spans="1:11">
      <c r="A147" t="s">
        <v>2511</v>
      </c>
      <c r="B147" s="1">
        <v>42124</v>
      </c>
      <c r="C147" t="s">
        <v>2512</v>
      </c>
      <c r="D147">
        <v>1</v>
      </c>
      <c r="E147" t="s">
        <v>2513</v>
      </c>
      <c r="F147" s="139" t="s">
        <v>714</v>
      </c>
      <c r="G147" s="58" t="s">
        <v>715</v>
      </c>
      <c r="H147" s="59">
        <f t="shared" si="4"/>
        <v>312.9375</v>
      </c>
      <c r="I147" s="59">
        <v>50.07</v>
      </c>
      <c r="J147" s="7"/>
      <c r="K147" s="7"/>
    </row>
    <row r="148" spans="1:11">
      <c r="A148" t="s">
        <v>2511</v>
      </c>
      <c r="B148" s="1">
        <v>42124</v>
      </c>
      <c r="C148" t="s">
        <v>2512</v>
      </c>
      <c r="D148">
        <v>1</v>
      </c>
      <c r="E148" t="s">
        <v>2513</v>
      </c>
      <c r="F148" s="58" t="s">
        <v>751</v>
      </c>
      <c r="G148" s="58" t="s">
        <v>752</v>
      </c>
      <c r="H148" s="59">
        <f t="shared" si="4"/>
        <v>336.25</v>
      </c>
      <c r="I148" s="59">
        <v>53.8</v>
      </c>
    </row>
    <row r="149" spans="1:11">
      <c r="A149" t="s">
        <v>2511</v>
      </c>
      <c r="B149" s="1">
        <v>42124</v>
      </c>
      <c r="C149" t="s">
        <v>2512</v>
      </c>
      <c r="D149">
        <v>1</v>
      </c>
      <c r="E149" t="s">
        <v>2513</v>
      </c>
      <c r="F149" s="58" t="s">
        <v>2763</v>
      </c>
      <c r="G149" s="58" t="s">
        <v>2764</v>
      </c>
      <c r="H149" s="59">
        <f t="shared" si="4"/>
        <v>419.37499999999994</v>
      </c>
      <c r="I149" s="59">
        <v>67.099999999999994</v>
      </c>
    </row>
    <row r="150" spans="1:11">
      <c r="A150" t="s">
        <v>2511</v>
      </c>
      <c r="B150" s="1">
        <v>42124</v>
      </c>
      <c r="C150" t="s">
        <v>2512</v>
      </c>
      <c r="D150">
        <v>1</v>
      </c>
      <c r="E150" t="s">
        <v>2513</v>
      </c>
      <c r="F150" s="58" t="s">
        <v>722</v>
      </c>
      <c r="G150" s="58" t="s">
        <v>723</v>
      </c>
      <c r="H150" s="59">
        <f t="shared" si="4"/>
        <v>570.75</v>
      </c>
      <c r="I150" s="59">
        <f>3.31+15.17+7.59+4.14+42.48+9.66+8.97</f>
        <v>91.32</v>
      </c>
    </row>
    <row r="151" spans="1:11">
      <c r="A151" t="s">
        <v>2511</v>
      </c>
      <c r="B151" s="1">
        <v>42124</v>
      </c>
      <c r="C151" t="s">
        <v>2512</v>
      </c>
      <c r="D151">
        <v>1</v>
      </c>
      <c r="E151" t="s">
        <v>2513</v>
      </c>
      <c r="F151" s="58" t="s">
        <v>935</v>
      </c>
      <c r="G151" s="58" t="s">
        <v>2726</v>
      </c>
      <c r="H151" s="59">
        <f t="shared" si="4"/>
        <v>86.1875</v>
      </c>
      <c r="I151" s="59">
        <v>13.79</v>
      </c>
      <c r="J151" s="60">
        <f>1725.5-H147-H148-H149-H150-H151</f>
        <v>0</v>
      </c>
      <c r="K151" s="60">
        <f>276.08-I147-I148-I149-I150-I151</f>
        <v>0</v>
      </c>
    </row>
    <row r="152" spans="1:11">
      <c r="A152" t="s">
        <v>2394</v>
      </c>
      <c r="B152" s="1">
        <v>42124</v>
      </c>
      <c r="C152" t="s">
        <v>2395</v>
      </c>
      <c r="D152">
        <v>1</v>
      </c>
      <c r="E152" t="s">
        <v>2396</v>
      </c>
      <c r="F152" s="58" t="s">
        <v>802</v>
      </c>
      <c r="G152" s="58" t="s">
        <v>2483</v>
      </c>
      <c r="H152" s="7">
        <f t="shared" si="2"/>
        <v>568.9375</v>
      </c>
      <c r="I152" s="7">
        <v>91.03</v>
      </c>
    </row>
    <row r="153" spans="1:11">
      <c r="A153" t="s">
        <v>2497</v>
      </c>
      <c r="B153" s="1">
        <v>42124</v>
      </c>
      <c r="C153" t="s">
        <v>2498</v>
      </c>
      <c r="D153">
        <v>1</v>
      </c>
      <c r="E153" t="s">
        <v>2499</v>
      </c>
      <c r="F153" s="53" t="s">
        <v>700</v>
      </c>
      <c r="G153" s="49" t="s">
        <v>2499</v>
      </c>
      <c r="H153" s="7">
        <f t="shared" si="2"/>
        <v>283.8125</v>
      </c>
      <c r="I153" s="7">
        <v>45.41</v>
      </c>
    </row>
    <row r="154" spans="1:11">
      <c r="A154" t="s">
        <v>2500</v>
      </c>
      <c r="B154" s="1">
        <v>42124</v>
      </c>
      <c r="C154" t="s">
        <v>2501</v>
      </c>
      <c r="D154">
        <v>1</v>
      </c>
      <c r="E154" t="s">
        <v>2499</v>
      </c>
      <c r="F154" s="53" t="s">
        <v>700</v>
      </c>
      <c r="G154" s="49" t="s">
        <v>2499</v>
      </c>
      <c r="H154" s="7">
        <f t="shared" si="2"/>
        <v>101.4375</v>
      </c>
      <c r="I154" s="7">
        <v>16.23</v>
      </c>
    </row>
    <row r="155" spans="1:11">
      <c r="A155" t="s">
        <v>2620</v>
      </c>
      <c r="B155" s="1">
        <v>42109</v>
      </c>
      <c r="C155" t="s">
        <v>2091</v>
      </c>
      <c r="D155">
        <v>2</v>
      </c>
      <c r="E155" t="s">
        <v>472</v>
      </c>
      <c r="F155" s="49" t="s">
        <v>836</v>
      </c>
      <c r="G155" s="49" t="s">
        <v>472</v>
      </c>
      <c r="H155" s="7">
        <f t="shared" si="2"/>
        <v>6122.2499999999991</v>
      </c>
      <c r="I155" s="7">
        <v>979.56</v>
      </c>
    </row>
    <row r="156" spans="1:11">
      <c r="A156" t="s">
        <v>2376</v>
      </c>
      <c r="B156" s="1">
        <v>42095</v>
      </c>
      <c r="C156">
        <v>1224</v>
      </c>
      <c r="D156">
        <v>1</v>
      </c>
      <c r="E156" t="s">
        <v>2377</v>
      </c>
      <c r="F156" s="49" t="s">
        <v>805</v>
      </c>
      <c r="G156" s="49" t="s">
        <v>2377</v>
      </c>
      <c r="H156" s="7">
        <f t="shared" si="2"/>
        <v>290</v>
      </c>
      <c r="I156" s="7">
        <v>46.4</v>
      </c>
    </row>
    <row r="157" spans="1:11">
      <c r="A157" t="s">
        <v>1801</v>
      </c>
      <c r="B157" s="1">
        <v>42124</v>
      </c>
      <c r="C157" t="s">
        <v>2468</v>
      </c>
      <c r="D157">
        <v>1</v>
      </c>
      <c r="E157" t="s">
        <v>283</v>
      </c>
      <c r="F157" s="49" t="s">
        <v>768</v>
      </c>
      <c r="G157" s="49" t="s">
        <v>283</v>
      </c>
      <c r="H157" s="7">
        <f t="shared" si="2"/>
        <v>276</v>
      </c>
      <c r="I157" s="7">
        <v>44.16</v>
      </c>
    </row>
    <row r="158" spans="1:11">
      <c r="A158" t="s">
        <v>2580</v>
      </c>
      <c r="B158" s="1">
        <v>42101</v>
      </c>
      <c r="C158" t="s">
        <v>2581</v>
      </c>
      <c r="D158">
        <v>1</v>
      </c>
      <c r="E158" t="s">
        <v>2043</v>
      </c>
      <c r="F158" s="49" t="s">
        <v>961</v>
      </c>
      <c r="G158" s="49" t="s">
        <v>962</v>
      </c>
      <c r="H158" s="7">
        <f t="shared" ref="H158:H225" si="5">+I158/0.16</f>
        <v>413.81249999999994</v>
      </c>
      <c r="I158" s="7">
        <v>66.209999999999994</v>
      </c>
    </row>
    <row r="159" spans="1:11">
      <c r="A159" t="s">
        <v>2418</v>
      </c>
      <c r="B159" s="1">
        <v>42124</v>
      </c>
      <c r="C159" t="s">
        <v>2419</v>
      </c>
      <c r="D159">
        <v>1</v>
      </c>
      <c r="E159" t="s">
        <v>2420</v>
      </c>
      <c r="F159" s="49" t="s">
        <v>837</v>
      </c>
      <c r="G159" s="49" t="s">
        <v>2420</v>
      </c>
      <c r="H159" s="7">
        <f t="shared" si="5"/>
        <v>409.6875</v>
      </c>
      <c r="I159" s="7">
        <v>65.55</v>
      </c>
    </row>
    <row r="160" spans="1:11">
      <c r="A160" t="s">
        <v>2451</v>
      </c>
      <c r="B160" s="1">
        <v>42124</v>
      </c>
      <c r="C160" t="s">
        <v>2452</v>
      </c>
      <c r="D160">
        <v>1</v>
      </c>
      <c r="E160" t="s">
        <v>2420</v>
      </c>
      <c r="F160" s="49" t="s">
        <v>837</v>
      </c>
      <c r="G160" s="49" t="s">
        <v>2420</v>
      </c>
      <c r="H160" s="7">
        <f t="shared" si="5"/>
        <v>88.875</v>
      </c>
      <c r="I160" s="7">
        <v>14.22</v>
      </c>
    </row>
    <row r="161" spans="1:9">
      <c r="A161" t="s">
        <v>2118</v>
      </c>
      <c r="B161" s="1">
        <v>42114</v>
      </c>
      <c r="C161" t="s">
        <v>2647</v>
      </c>
      <c r="D161">
        <v>1</v>
      </c>
      <c r="E161" t="s">
        <v>1341</v>
      </c>
      <c r="F161" s="49" t="s">
        <v>1589</v>
      </c>
      <c r="G161" s="49" t="s">
        <v>1341</v>
      </c>
      <c r="H161" s="7">
        <f t="shared" si="5"/>
        <v>2580</v>
      </c>
      <c r="I161" s="7">
        <v>412.8</v>
      </c>
    </row>
    <row r="162" spans="1:9">
      <c r="A162" t="s">
        <v>2144</v>
      </c>
      <c r="B162" s="1">
        <v>42119</v>
      </c>
      <c r="C162" t="s">
        <v>2663</v>
      </c>
      <c r="D162">
        <v>1</v>
      </c>
      <c r="E162" t="s">
        <v>470</v>
      </c>
      <c r="F162" s="49" t="s">
        <v>843</v>
      </c>
      <c r="G162" s="49" t="s">
        <v>470</v>
      </c>
      <c r="H162" s="7">
        <f t="shared" si="5"/>
        <v>3381</v>
      </c>
      <c r="I162" s="7">
        <v>540.96</v>
      </c>
    </row>
    <row r="163" spans="1:9">
      <c r="A163" t="s">
        <v>2594</v>
      </c>
      <c r="B163" s="1">
        <v>42102</v>
      </c>
      <c r="C163" t="s">
        <v>2088</v>
      </c>
      <c r="D163">
        <v>2</v>
      </c>
      <c r="E163" t="s">
        <v>665</v>
      </c>
      <c r="F163" s="49" t="s">
        <v>844</v>
      </c>
      <c r="G163" s="49" t="s">
        <v>665</v>
      </c>
      <c r="H163" s="7">
        <f t="shared" si="5"/>
        <v>900</v>
      </c>
      <c r="I163" s="7">
        <v>144</v>
      </c>
    </row>
    <row r="164" spans="1:9">
      <c r="A164" t="s">
        <v>1370</v>
      </c>
      <c r="B164" s="1">
        <v>42109</v>
      </c>
      <c r="C164" t="s">
        <v>2099</v>
      </c>
      <c r="D164">
        <v>2</v>
      </c>
      <c r="E164" t="s">
        <v>665</v>
      </c>
      <c r="F164" s="49" t="s">
        <v>844</v>
      </c>
      <c r="G164" s="49" t="s">
        <v>665</v>
      </c>
      <c r="H164" s="7">
        <f t="shared" si="5"/>
        <v>2000</v>
      </c>
      <c r="I164" s="7">
        <v>320</v>
      </c>
    </row>
    <row r="165" spans="1:9">
      <c r="A165" t="s">
        <v>483</v>
      </c>
      <c r="B165" s="1">
        <v>42112</v>
      </c>
      <c r="C165" t="s">
        <v>2637</v>
      </c>
      <c r="D165">
        <v>1</v>
      </c>
      <c r="E165" t="s">
        <v>532</v>
      </c>
      <c r="F165" s="53" t="s">
        <v>845</v>
      </c>
      <c r="G165" s="49" t="s">
        <v>532</v>
      </c>
      <c r="H165" s="7">
        <f t="shared" si="5"/>
        <v>107758.625</v>
      </c>
      <c r="I165" s="7">
        <v>17241.38</v>
      </c>
    </row>
    <row r="166" spans="1:9">
      <c r="A166" t="s">
        <v>2448</v>
      </c>
      <c r="B166" s="1">
        <v>42124</v>
      </c>
      <c r="C166" t="s">
        <v>2449</v>
      </c>
      <c r="D166">
        <v>1</v>
      </c>
      <c r="E166" t="s">
        <v>2450</v>
      </c>
      <c r="F166" s="49" t="s">
        <v>847</v>
      </c>
      <c r="G166" s="49" t="s">
        <v>2450</v>
      </c>
      <c r="H166" s="7">
        <f t="shared" si="5"/>
        <v>58.999999999999993</v>
      </c>
      <c r="I166" s="7">
        <v>9.44</v>
      </c>
    </row>
    <row r="167" spans="1:9">
      <c r="A167" t="s">
        <v>468</v>
      </c>
      <c r="B167" s="1">
        <v>42109</v>
      </c>
      <c r="C167" t="s">
        <v>2624</v>
      </c>
      <c r="D167">
        <v>1</v>
      </c>
      <c r="E167" t="s">
        <v>449</v>
      </c>
      <c r="F167" s="49" t="s">
        <v>848</v>
      </c>
      <c r="G167" s="49" t="s">
        <v>449</v>
      </c>
      <c r="H167" s="7">
        <f t="shared" si="5"/>
        <v>23300</v>
      </c>
      <c r="I167" s="7">
        <v>3728</v>
      </c>
    </row>
    <row r="168" spans="1:9">
      <c r="A168" t="s">
        <v>2597</v>
      </c>
      <c r="B168" s="1">
        <v>42102</v>
      </c>
      <c r="C168" t="s">
        <v>2598</v>
      </c>
      <c r="D168">
        <v>1</v>
      </c>
      <c r="E168" t="s">
        <v>645</v>
      </c>
      <c r="F168" s="49" t="s">
        <v>769</v>
      </c>
      <c r="G168" s="49" t="s">
        <v>645</v>
      </c>
      <c r="H168" s="7">
        <f t="shared" si="5"/>
        <v>387.0625</v>
      </c>
      <c r="I168" s="7">
        <v>61.93</v>
      </c>
    </row>
    <row r="169" spans="1:9">
      <c r="A169" t="s">
        <v>1368</v>
      </c>
      <c r="B169" s="1">
        <v>42109</v>
      </c>
      <c r="C169" t="s">
        <v>2628</v>
      </c>
      <c r="D169">
        <v>1</v>
      </c>
      <c r="E169" t="s">
        <v>645</v>
      </c>
      <c r="F169" s="49" t="s">
        <v>769</v>
      </c>
      <c r="G169" s="49" t="s">
        <v>645</v>
      </c>
      <c r="H169" s="7">
        <f t="shared" si="5"/>
        <v>2571</v>
      </c>
      <c r="I169" s="7">
        <v>411.36</v>
      </c>
    </row>
    <row r="170" spans="1:9">
      <c r="A170" t="s">
        <v>2112</v>
      </c>
      <c r="B170" s="1">
        <v>42114</v>
      </c>
      <c r="C170" t="s">
        <v>2641</v>
      </c>
      <c r="D170">
        <v>1</v>
      </c>
      <c r="E170" t="s">
        <v>645</v>
      </c>
      <c r="F170" s="49" t="s">
        <v>769</v>
      </c>
      <c r="G170" s="49" t="s">
        <v>645</v>
      </c>
      <c r="H170" s="7">
        <f t="shared" si="5"/>
        <v>1258.4375</v>
      </c>
      <c r="I170" s="7">
        <v>201.35</v>
      </c>
    </row>
    <row r="171" spans="1:9">
      <c r="A171" t="s">
        <v>1799</v>
      </c>
      <c r="B171" s="1">
        <v>42124</v>
      </c>
      <c r="C171" t="s">
        <v>2465</v>
      </c>
      <c r="D171">
        <v>1</v>
      </c>
      <c r="E171" t="s">
        <v>321</v>
      </c>
      <c r="F171" s="49" t="s">
        <v>769</v>
      </c>
      <c r="G171" s="49" t="s">
        <v>645</v>
      </c>
      <c r="H171" s="7">
        <f t="shared" si="5"/>
        <v>71.125</v>
      </c>
      <c r="I171" s="7">
        <v>11.38</v>
      </c>
    </row>
    <row r="172" spans="1:9">
      <c r="A172" t="s">
        <v>2371</v>
      </c>
      <c r="B172" s="1">
        <v>42124</v>
      </c>
      <c r="C172" t="s">
        <v>2372</v>
      </c>
      <c r="D172">
        <v>1</v>
      </c>
      <c r="E172" t="s">
        <v>2373</v>
      </c>
      <c r="F172" s="48" t="s">
        <v>963</v>
      </c>
      <c r="G172" s="48" t="s">
        <v>964</v>
      </c>
      <c r="H172" s="7">
        <f t="shared" si="5"/>
        <v>318082.8125</v>
      </c>
      <c r="I172" s="7">
        <v>50893.25</v>
      </c>
    </row>
    <row r="173" spans="1:9">
      <c r="A173" t="s">
        <v>2284</v>
      </c>
      <c r="B173" s="1">
        <v>42104</v>
      </c>
      <c r="C173" t="s">
        <v>2285</v>
      </c>
      <c r="D173">
        <v>1</v>
      </c>
      <c r="E173" t="s">
        <v>2286</v>
      </c>
      <c r="F173" s="50" t="s">
        <v>813</v>
      </c>
      <c r="G173" s="49" t="s">
        <v>2697</v>
      </c>
      <c r="H173" s="7">
        <f t="shared" si="5"/>
        <v>244666.68749999997</v>
      </c>
      <c r="I173" s="7">
        <v>39146.67</v>
      </c>
    </row>
    <row r="174" spans="1:9">
      <c r="A174" t="s">
        <v>2142</v>
      </c>
      <c r="B174" s="1">
        <v>42119</v>
      </c>
      <c r="C174" t="s">
        <v>2661</v>
      </c>
      <c r="D174">
        <v>1</v>
      </c>
      <c r="E174" t="s">
        <v>2662</v>
      </c>
      <c r="F174" s="49" t="s">
        <v>2698</v>
      </c>
      <c r="G174" s="49" t="s">
        <v>2662</v>
      </c>
      <c r="H174" s="7">
        <f t="shared" si="5"/>
        <v>7300</v>
      </c>
      <c r="I174" s="7">
        <v>1168</v>
      </c>
    </row>
    <row r="175" spans="1:9">
      <c r="A175" t="s">
        <v>2430</v>
      </c>
      <c r="B175" s="1">
        <v>42124</v>
      </c>
      <c r="C175" t="s">
        <v>2431</v>
      </c>
      <c r="D175">
        <v>1</v>
      </c>
      <c r="E175" t="s">
        <v>1200</v>
      </c>
      <c r="F175" s="49" t="s">
        <v>1595</v>
      </c>
      <c r="G175" s="49" t="s">
        <v>1200</v>
      </c>
      <c r="H175" s="7">
        <f t="shared" si="5"/>
        <v>206.875</v>
      </c>
      <c r="I175" s="7">
        <v>33.1</v>
      </c>
    </row>
    <row r="176" spans="1:9">
      <c r="A176" t="s">
        <v>2471</v>
      </c>
      <c r="B176" s="1">
        <v>42124</v>
      </c>
      <c r="C176" t="s">
        <v>2472</v>
      </c>
      <c r="D176">
        <v>1</v>
      </c>
      <c r="E176" t="s">
        <v>1200</v>
      </c>
      <c r="F176" s="49" t="s">
        <v>1595</v>
      </c>
      <c r="G176" s="49" t="s">
        <v>1200</v>
      </c>
      <c r="H176" s="7">
        <f t="shared" si="5"/>
        <v>100.875</v>
      </c>
      <c r="I176" s="7">
        <v>16.14</v>
      </c>
    </row>
    <row r="177" spans="1:10">
      <c r="A177" t="s">
        <v>160</v>
      </c>
      <c r="B177" s="1">
        <v>42124</v>
      </c>
      <c r="C177" t="s">
        <v>2494</v>
      </c>
      <c r="D177">
        <v>1</v>
      </c>
      <c r="E177" t="s">
        <v>1200</v>
      </c>
      <c r="F177" s="49" t="s">
        <v>1595</v>
      </c>
      <c r="G177" s="49" t="s">
        <v>1200</v>
      </c>
      <c r="H177" s="7">
        <f t="shared" si="5"/>
        <v>1447.875</v>
      </c>
      <c r="I177" s="7">
        <v>231.66</v>
      </c>
    </row>
    <row r="178" spans="1:10">
      <c r="A178" t="s">
        <v>2473</v>
      </c>
      <c r="B178" s="1">
        <v>42124</v>
      </c>
      <c r="C178" t="s">
        <v>2474</v>
      </c>
      <c r="D178">
        <v>1</v>
      </c>
      <c r="E178" t="s">
        <v>2475</v>
      </c>
      <c r="F178" s="139" t="s">
        <v>3987</v>
      </c>
      <c r="G178" s="49" t="s">
        <v>2475</v>
      </c>
      <c r="H178" s="7">
        <f t="shared" si="5"/>
        <v>2438.75</v>
      </c>
      <c r="I178" s="7">
        <v>390.2</v>
      </c>
    </row>
    <row r="179" spans="1:10">
      <c r="A179" t="s">
        <v>2259</v>
      </c>
      <c r="B179" s="1">
        <v>42095</v>
      </c>
      <c r="C179" t="s">
        <v>2260</v>
      </c>
      <c r="D179">
        <v>1</v>
      </c>
      <c r="E179" t="s">
        <v>2220</v>
      </c>
      <c r="F179" s="49" t="s">
        <v>2219</v>
      </c>
      <c r="G179" s="49" t="s">
        <v>2220</v>
      </c>
      <c r="H179" s="7">
        <f t="shared" si="5"/>
        <v>175535.0625</v>
      </c>
      <c r="I179" s="7">
        <v>28085.61</v>
      </c>
    </row>
    <row r="180" spans="1:10">
      <c r="A180" t="s">
        <v>2279</v>
      </c>
      <c r="B180" s="1">
        <v>42102</v>
      </c>
      <c r="C180" t="s">
        <v>2280</v>
      </c>
      <c r="D180">
        <v>1</v>
      </c>
      <c r="E180" t="s">
        <v>2281</v>
      </c>
      <c r="F180" s="50" t="s">
        <v>854</v>
      </c>
      <c r="G180" s="49" t="s">
        <v>2281</v>
      </c>
      <c r="H180" s="7">
        <f t="shared" si="5"/>
        <v>211583.9375</v>
      </c>
      <c r="I180" s="7">
        <v>33853.43</v>
      </c>
    </row>
    <row r="181" spans="1:10">
      <c r="A181" t="s">
        <v>2432</v>
      </c>
      <c r="B181" s="1">
        <v>42124</v>
      </c>
      <c r="C181" t="s">
        <v>2433</v>
      </c>
      <c r="D181">
        <v>1</v>
      </c>
      <c r="E181" t="s">
        <v>2434</v>
      </c>
      <c r="F181" s="49" t="s">
        <v>2699</v>
      </c>
      <c r="G181" s="49" t="s">
        <v>2434</v>
      </c>
      <c r="H181" s="7">
        <f t="shared" si="5"/>
        <v>181.0625</v>
      </c>
      <c r="I181" s="7">
        <v>28.97</v>
      </c>
    </row>
    <row r="182" spans="1:10">
      <c r="A182" t="s">
        <v>2435</v>
      </c>
      <c r="B182" s="1">
        <v>42124</v>
      </c>
      <c r="C182" t="s">
        <v>2436</v>
      </c>
      <c r="D182">
        <v>1</v>
      </c>
      <c r="E182" t="s">
        <v>2437</v>
      </c>
      <c r="F182" s="49" t="s">
        <v>2700</v>
      </c>
      <c r="G182" s="49" t="s">
        <v>2437</v>
      </c>
      <c r="H182" s="7">
        <f t="shared" si="5"/>
        <v>658.625</v>
      </c>
      <c r="I182" s="7">
        <v>105.38</v>
      </c>
    </row>
    <row r="183" spans="1:10">
      <c r="A183" t="s">
        <v>2601</v>
      </c>
      <c r="B183" s="1">
        <v>42102</v>
      </c>
      <c r="C183" t="s">
        <v>2089</v>
      </c>
      <c r="D183">
        <v>2</v>
      </c>
      <c r="E183" t="s">
        <v>457</v>
      </c>
      <c r="F183" s="50" t="s">
        <v>858</v>
      </c>
      <c r="G183" s="49" t="s">
        <v>457</v>
      </c>
      <c r="H183" s="7">
        <f t="shared" si="5"/>
        <v>52800</v>
      </c>
      <c r="I183" s="7">
        <v>8448</v>
      </c>
    </row>
    <row r="184" spans="1:10">
      <c r="A184" t="s">
        <v>2135</v>
      </c>
      <c r="B184" s="1">
        <v>42118</v>
      </c>
      <c r="C184" t="s">
        <v>2654</v>
      </c>
      <c r="D184">
        <v>2</v>
      </c>
      <c r="E184" t="s">
        <v>457</v>
      </c>
      <c r="F184" s="50" t="s">
        <v>858</v>
      </c>
      <c r="G184" s="49" t="s">
        <v>457</v>
      </c>
      <c r="H184" s="7">
        <f t="shared" si="5"/>
        <v>18500</v>
      </c>
      <c r="I184" s="7">
        <v>2960</v>
      </c>
    </row>
    <row r="185" spans="1:10">
      <c r="A185" t="s">
        <v>2585</v>
      </c>
      <c r="B185" s="1">
        <v>42102</v>
      </c>
      <c r="C185" t="s">
        <v>2085</v>
      </c>
      <c r="D185">
        <v>2</v>
      </c>
      <c r="E185" t="s">
        <v>474</v>
      </c>
      <c r="F185" s="48" t="s">
        <v>860</v>
      </c>
      <c r="G185" s="49" t="s">
        <v>474</v>
      </c>
      <c r="H185" s="7">
        <f t="shared" si="5"/>
        <v>6000</v>
      </c>
      <c r="I185" s="7">
        <v>960</v>
      </c>
    </row>
    <row r="186" spans="1:10">
      <c r="A186" t="s">
        <v>456</v>
      </c>
      <c r="B186" s="1">
        <v>42109</v>
      </c>
      <c r="C186" t="s">
        <v>2094</v>
      </c>
      <c r="D186">
        <v>2</v>
      </c>
      <c r="E186" t="s">
        <v>474</v>
      </c>
      <c r="F186" s="49" t="s">
        <v>860</v>
      </c>
      <c r="G186" s="49" t="s">
        <v>474</v>
      </c>
      <c r="H186" s="7">
        <f t="shared" si="5"/>
        <v>600</v>
      </c>
      <c r="I186" s="7">
        <v>96</v>
      </c>
    </row>
    <row r="187" spans="1:10">
      <c r="A187" t="s">
        <v>1392</v>
      </c>
      <c r="B187" s="1">
        <v>42115</v>
      </c>
      <c r="C187" t="s">
        <v>2109</v>
      </c>
      <c r="D187">
        <v>2</v>
      </c>
      <c r="E187" t="s">
        <v>474</v>
      </c>
      <c r="F187" s="49" t="s">
        <v>860</v>
      </c>
      <c r="G187" s="49" t="s">
        <v>474</v>
      </c>
      <c r="H187" s="7">
        <f t="shared" si="5"/>
        <v>600</v>
      </c>
      <c r="I187" s="7">
        <v>96</v>
      </c>
    </row>
    <row r="188" spans="1:10">
      <c r="A188" t="s">
        <v>2558</v>
      </c>
      <c r="B188" s="1">
        <v>42124</v>
      </c>
      <c r="C188" t="s">
        <v>139</v>
      </c>
      <c r="D188">
        <v>1</v>
      </c>
      <c r="E188" t="s">
        <v>2559</v>
      </c>
      <c r="F188" s="58" t="s">
        <v>716</v>
      </c>
      <c r="G188" s="58" t="s">
        <v>717</v>
      </c>
      <c r="H188" s="7">
        <f t="shared" si="5"/>
        <v>2560.75</v>
      </c>
      <c r="I188" s="7">
        <v>409.72</v>
      </c>
    </row>
    <row r="189" spans="1:10">
      <c r="A189" t="s">
        <v>2256</v>
      </c>
      <c r="B189" s="1">
        <v>42095</v>
      </c>
      <c r="C189" t="s">
        <v>2257</v>
      </c>
      <c r="D189">
        <v>1</v>
      </c>
      <c r="E189" t="s">
        <v>2258</v>
      </c>
      <c r="F189" s="56" t="s">
        <v>1600</v>
      </c>
      <c r="G189" s="49" t="s">
        <v>2258</v>
      </c>
      <c r="H189" s="7">
        <f t="shared" si="5"/>
        <v>177358.0625</v>
      </c>
      <c r="I189" s="7">
        <v>28377.29</v>
      </c>
    </row>
    <row r="190" spans="1:10">
      <c r="A190" t="s">
        <v>1699</v>
      </c>
      <c r="B190" s="1">
        <v>42117</v>
      </c>
      <c r="C190" t="s">
        <v>2257</v>
      </c>
      <c r="D190">
        <v>1</v>
      </c>
      <c r="E190" t="s">
        <v>2258</v>
      </c>
      <c r="F190" s="56" t="s">
        <v>1600</v>
      </c>
      <c r="G190" s="49" t="s">
        <v>2258</v>
      </c>
      <c r="H190" s="7">
        <f t="shared" si="5"/>
        <v>-177358.0625</v>
      </c>
      <c r="I190" s="7">
        <v>-28377.29</v>
      </c>
      <c r="J190" s="2"/>
    </row>
    <row r="191" spans="1:10">
      <c r="A191" t="s">
        <v>2331</v>
      </c>
      <c r="B191" s="1">
        <v>42117</v>
      </c>
      <c r="C191" t="s">
        <v>2257</v>
      </c>
      <c r="D191">
        <v>1</v>
      </c>
      <c r="E191" t="s">
        <v>2332</v>
      </c>
      <c r="F191" s="56" t="s">
        <v>1600</v>
      </c>
      <c r="G191" s="49" t="s">
        <v>2258</v>
      </c>
      <c r="H191" s="7">
        <f t="shared" si="5"/>
        <v>177356.3125</v>
      </c>
      <c r="I191" s="7">
        <v>28377.01</v>
      </c>
    </row>
    <row r="192" spans="1:10">
      <c r="A192" t="s">
        <v>2484</v>
      </c>
      <c r="B192" s="1">
        <v>42124</v>
      </c>
      <c r="C192" t="s">
        <v>2485</v>
      </c>
      <c r="D192">
        <v>1</v>
      </c>
      <c r="E192" t="s">
        <v>1259</v>
      </c>
      <c r="F192" s="49" t="s">
        <v>1603</v>
      </c>
      <c r="G192" s="49" t="s">
        <v>1259</v>
      </c>
      <c r="H192" s="7">
        <f t="shared" si="5"/>
        <v>58.1875</v>
      </c>
      <c r="I192" s="7">
        <v>9.31</v>
      </c>
    </row>
    <row r="193" spans="1:11">
      <c r="A193" t="s">
        <v>2658</v>
      </c>
      <c r="B193" s="1">
        <v>42119</v>
      </c>
      <c r="C193" t="s">
        <v>2659</v>
      </c>
      <c r="D193">
        <v>1</v>
      </c>
      <c r="E193" t="s">
        <v>2660</v>
      </c>
      <c r="F193" s="49" t="s">
        <v>2701</v>
      </c>
      <c r="G193" s="49" t="s">
        <v>2660</v>
      </c>
      <c r="H193" s="7">
        <f t="shared" si="5"/>
        <v>1139</v>
      </c>
      <c r="I193" s="7">
        <v>182.24</v>
      </c>
    </row>
    <row r="194" spans="1:11">
      <c r="A194" t="s">
        <v>471</v>
      </c>
      <c r="B194" s="1">
        <v>42109</v>
      </c>
      <c r="C194" t="s">
        <v>2626</v>
      </c>
      <c r="D194">
        <v>1</v>
      </c>
      <c r="E194" t="s">
        <v>1649</v>
      </c>
      <c r="F194" s="48" t="s">
        <v>1648</v>
      </c>
      <c r="G194" s="49" t="s">
        <v>1649</v>
      </c>
      <c r="H194" s="7">
        <f t="shared" si="5"/>
        <v>1206.875</v>
      </c>
      <c r="I194" s="7">
        <v>193.1</v>
      </c>
    </row>
    <row r="195" spans="1:11">
      <c r="A195" t="s">
        <v>2106</v>
      </c>
      <c r="B195" s="1">
        <v>42114</v>
      </c>
      <c r="C195" t="s">
        <v>2639</v>
      </c>
      <c r="D195">
        <v>1</v>
      </c>
      <c r="E195" t="s">
        <v>1649</v>
      </c>
      <c r="F195" s="48" t="s">
        <v>1648</v>
      </c>
      <c r="G195" s="49" t="s">
        <v>1649</v>
      </c>
      <c r="H195" s="7">
        <f t="shared" si="5"/>
        <v>1551.8125</v>
      </c>
      <c r="I195" s="7">
        <v>248.29</v>
      </c>
    </row>
    <row r="196" spans="1:11">
      <c r="A196" t="s">
        <v>156</v>
      </c>
      <c r="B196" s="1">
        <v>42124</v>
      </c>
      <c r="C196" t="s">
        <v>2456</v>
      </c>
      <c r="D196">
        <v>1</v>
      </c>
      <c r="E196" t="s">
        <v>1957</v>
      </c>
      <c r="F196" s="49" t="s">
        <v>2223</v>
      </c>
      <c r="G196" s="49" t="s">
        <v>1957</v>
      </c>
      <c r="H196" s="7">
        <f t="shared" si="5"/>
        <v>356.125</v>
      </c>
      <c r="I196" s="7">
        <v>56.98</v>
      </c>
    </row>
    <row r="197" spans="1:11">
      <c r="A197" t="s">
        <v>1339</v>
      </c>
      <c r="B197" s="1">
        <v>42102</v>
      </c>
      <c r="C197" t="s">
        <v>2082</v>
      </c>
      <c r="D197">
        <v>2</v>
      </c>
      <c r="E197" t="s">
        <v>570</v>
      </c>
      <c r="F197" s="48" t="s">
        <v>862</v>
      </c>
      <c r="G197" s="49" t="s">
        <v>570</v>
      </c>
      <c r="H197" s="7">
        <f t="shared" si="5"/>
        <v>12476.6875</v>
      </c>
      <c r="I197" s="7">
        <v>1996.27</v>
      </c>
    </row>
    <row r="198" spans="1:11">
      <c r="A198" t="s">
        <v>2599</v>
      </c>
      <c r="B198" s="1">
        <v>42102</v>
      </c>
      <c r="C198" t="s">
        <v>2600</v>
      </c>
      <c r="D198">
        <v>1</v>
      </c>
      <c r="E198" t="s">
        <v>967</v>
      </c>
      <c r="F198" s="48" t="s">
        <v>863</v>
      </c>
      <c r="G198" s="49" t="s">
        <v>967</v>
      </c>
      <c r="H198" s="7">
        <f t="shared" si="5"/>
        <v>10320.9375</v>
      </c>
      <c r="I198" s="7">
        <v>1651.35</v>
      </c>
    </row>
    <row r="199" spans="1:11">
      <c r="A199" t="s">
        <v>1372</v>
      </c>
      <c r="B199" s="1">
        <v>42109</v>
      </c>
      <c r="C199" t="s">
        <v>2629</v>
      </c>
      <c r="D199">
        <v>1</v>
      </c>
      <c r="E199" t="s">
        <v>967</v>
      </c>
      <c r="F199" s="48" t="s">
        <v>863</v>
      </c>
      <c r="G199" s="49" t="s">
        <v>967</v>
      </c>
      <c r="H199" s="7">
        <f t="shared" si="5"/>
        <v>13000.5</v>
      </c>
      <c r="I199" s="7">
        <v>2080.08</v>
      </c>
    </row>
    <row r="200" spans="1:11">
      <c r="A200" t="s">
        <v>492</v>
      </c>
      <c r="B200" s="1">
        <v>42114</v>
      </c>
      <c r="C200" t="s">
        <v>2644</v>
      </c>
      <c r="D200">
        <v>1</v>
      </c>
      <c r="E200" t="s">
        <v>967</v>
      </c>
      <c r="F200" s="48" t="s">
        <v>863</v>
      </c>
      <c r="G200" s="49" t="s">
        <v>967</v>
      </c>
      <c r="H200" s="7">
        <f t="shared" si="5"/>
        <v>34367.5</v>
      </c>
      <c r="I200" s="7">
        <v>5498.8</v>
      </c>
    </row>
    <row r="201" spans="1:11">
      <c r="A201" t="s">
        <v>2104</v>
      </c>
      <c r="B201" s="1">
        <v>42114</v>
      </c>
      <c r="C201" t="s">
        <v>2101</v>
      </c>
      <c r="D201">
        <v>2</v>
      </c>
      <c r="E201" t="s">
        <v>1501</v>
      </c>
      <c r="F201" s="48" t="s">
        <v>1604</v>
      </c>
      <c r="G201" s="49" t="s">
        <v>1501</v>
      </c>
      <c r="H201" s="7">
        <f t="shared" si="5"/>
        <v>1300</v>
      </c>
      <c r="I201" s="7">
        <v>208</v>
      </c>
    </row>
    <row r="202" spans="1:11">
      <c r="A202" t="s">
        <v>2556</v>
      </c>
      <c r="B202" s="1">
        <v>42124</v>
      </c>
      <c r="C202" t="s">
        <v>139</v>
      </c>
      <c r="D202">
        <v>1</v>
      </c>
      <c r="E202" t="s">
        <v>2557</v>
      </c>
      <c r="F202" s="58" t="s">
        <v>2765</v>
      </c>
      <c r="G202" s="58" t="s">
        <v>2766</v>
      </c>
      <c r="H202" s="59">
        <f>+I202*6.25</f>
        <v>2435.875</v>
      </c>
      <c r="I202" s="59">
        <v>389.74</v>
      </c>
      <c r="J202" s="7"/>
      <c r="K202" s="7"/>
    </row>
    <row r="203" spans="1:11">
      <c r="A203" t="s">
        <v>2556</v>
      </c>
      <c r="B203" s="1">
        <v>42124</v>
      </c>
      <c r="C203" t="s">
        <v>139</v>
      </c>
      <c r="D203">
        <v>1</v>
      </c>
      <c r="E203" t="s">
        <v>2557</v>
      </c>
      <c r="F203" s="139" t="s">
        <v>714</v>
      </c>
      <c r="G203" s="58" t="s">
        <v>715</v>
      </c>
      <c r="H203" s="59">
        <f>+I203*6.25</f>
        <v>312.9375</v>
      </c>
      <c r="I203" s="59">
        <v>50.07</v>
      </c>
      <c r="J203" s="60">
        <f>2748.81-H202-H203</f>
        <v>-2.5000000000545697E-3</v>
      </c>
      <c r="K203" s="60">
        <f>439.81-I202-I203</f>
        <v>0</v>
      </c>
    </row>
    <row r="204" spans="1:11">
      <c r="A204" t="s">
        <v>1352</v>
      </c>
      <c r="B204" s="1">
        <v>42104</v>
      </c>
      <c r="C204" t="s">
        <v>2607</v>
      </c>
      <c r="D204">
        <v>1</v>
      </c>
      <c r="E204" t="s">
        <v>517</v>
      </c>
      <c r="F204" s="48" t="s">
        <v>867</v>
      </c>
      <c r="G204" s="49" t="s">
        <v>517</v>
      </c>
      <c r="H204" s="7">
        <f t="shared" si="5"/>
        <v>217988.8125</v>
      </c>
      <c r="I204" s="7">
        <v>34878.21</v>
      </c>
    </row>
    <row r="205" spans="1:11">
      <c r="A205" t="s">
        <v>2651</v>
      </c>
      <c r="B205" s="1">
        <v>42116</v>
      </c>
      <c r="C205" t="s">
        <v>2652</v>
      </c>
      <c r="D205">
        <v>1</v>
      </c>
      <c r="E205" t="s">
        <v>436</v>
      </c>
      <c r="F205" s="49" t="s">
        <v>868</v>
      </c>
      <c r="G205" s="49" t="s">
        <v>436</v>
      </c>
      <c r="H205" s="7">
        <f t="shared" si="5"/>
        <v>10876.625</v>
      </c>
      <c r="I205" s="7">
        <v>1740.26</v>
      </c>
    </row>
    <row r="206" spans="1:11">
      <c r="A206" t="s">
        <v>2130</v>
      </c>
      <c r="B206" s="1">
        <v>42116</v>
      </c>
      <c r="C206" t="s">
        <v>2653</v>
      </c>
      <c r="D206">
        <v>1</v>
      </c>
      <c r="E206" t="s">
        <v>436</v>
      </c>
      <c r="F206" s="49" t="s">
        <v>868</v>
      </c>
      <c r="G206" s="49" t="s">
        <v>436</v>
      </c>
      <c r="H206" s="7">
        <f t="shared" si="5"/>
        <v>6445</v>
      </c>
      <c r="I206" s="7">
        <v>1031.2</v>
      </c>
    </row>
    <row r="207" spans="1:11">
      <c r="A207" t="s">
        <v>2543</v>
      </c>
      <c r="B207" s="1">
        <v>42124</v>
      </c>
      <c r="C207" t="s">
        <v>2544</v>
      </c>
      <c r="D207">
        <v>1</v>
      </c>
      <c r="E207" t="s">
        <v>2545</v>
      </c>
      <c r="F207" s="139" t="s">
        <v>714</v>
      </c>
      <c r="G207" s="58" t="s">
        <v>715</v>
      </c>
      <c r="H207" s="59">
        <f>+I207*6.25</f>
        <v>62.9375</v>
      </c>
      <c r="I207" s="59">
        <v>10.07</v>
      </c>
      <c r="J207" s="7"/>
      <c r="K207" s="7"/>
    </row>
    <row r="208" spans="1:11">
      <c r="A208" t="s">
        <v>2543</v>
      </c>
      <c r="B208" s="1">
        <v>42124</v>
      </c>
      <c r="C208" t="s">
        <v>2544</v>
      </c>
      <c r="D208">
        <v>1</v>
      </c>
      <c r="E208" t="s">
        <v>2545</v>
      </c>
      <c r="F208" s="58" t="s">
        <v>722</v>
      </c>
      <c r="G208" s="58" t="s">
        <v>723</v>
      </c>
      <c r="H208" s="59">
        <f>+I208*6.25</f>
        <v>56.062500000000007</v>
      </c>
      <c r="I208" s="59">
        <v>8.9700000000000006</v>
      </c>
      <c r="J208" s="60">
        <f>119-H207-H208</f>
        <v>0</v>
      </c>
      <c r="K208" s="60">
        <f>19.04-I207-I208</f>
        <v>0</v>
      </c>
    </row>
    <row r="209" spans="1:11">
      <c r="A209" t="s">
        <v>2554</v>
      </c>
      <c r="B209" s="1">
        <v>42124</v>
      </c>
      <c r="C209" t="s">
        <v>139</v>
      </c>
      <c r="D209">
        <v>1</v>
      </c>
      <c r="E209" t="s">
        <v>2555</v>
      </c>
      <c r="F209" s="58" t="s">
        <v>716</v>
      </c>
      <c r="G209" s="58" t="s">
        <v>717</v>
      </c>
      <c r="H209" s="59">
        <f>+I209*6.25</f>
        <v>2362.5</v>
      </c>
      <c r="I209" s="59">
        <v>378</v>
      </c>
      <c r="J209" s="7"/>
      <c r="K209" s="7"/>
    </row>
    <row r="210" spans="1:11">
      <c r="A210" t="s">
        <v>2554</v>
      </c>
      <c r="B210" s="1">
        <v>42124</v>
      </c>
      <c r="C210" t="s">
        <v>139</v>
      </c>
      <c r="D210">
        <v>1</v>
      </c>
      <c r="E210" t="s">
        <v>2555</v>
      </c>
      <c r="F210" s="139" t="s">
        <v>714</v>
      </c>
      <c r="G210" s="58" t="s">
        <v>715</v>
      </c>
      <c r="H210" s="59">
        <f>+I210*6.25</f>
        <v>526.68750000000011</v>
      </c>
      <c r="I210" s="59">
        <f>49.1+35.17</f>
        <v>84.27000000000001</v>
      </c>
    </row>
    <row r="211" spans="1:11">
      <c r="A211" t="s">
        <v>2554</v>
      </c>
      <c r="B211" s="1">
        <v>42124</v>
      </c>
      <c r="C211" t="s">
        <v>139</v>
      </c>
      <c r="D211">
        <v>1</v>
      </c>
      <c r="E211" t="s">
        <v>2555</v>
      </c>
      <c r="F211" s="58" t="s">
        <v>2767</v>
      </c>
      <c r="G211" s="58" t="s">
        <v>2768</v>
      </c>
      <c r="H211" s="59">
        <f>+I211*6.25</f>
        <v>64.625</v>
      </c>
      <c r="I211" s="59">
        <v>10.34</v>
      </c>
      <c r="J211" s="60">
        <f>2953.81-H209-H210-H211</f>
        <v>-2.5000000001682565E-3</v>
      </c>
      <c r="K211" s="60">
        <f>472.61-I209-I210-I211</f>
        <v>0</v>
      </c>
    </row>
    <row r="212" spans="1:11">
      <c r="A212" t="s">
        <v>1379</v>
      </c>
      <c r="B212" s="1">
        <v>42115</v>
      </c>
      <c r="C212" t="s">
        <v>2649</v>
      </c>
      <c r="D212">
        <v>1</v>
      </c>
      <c r="E212" t="s">
        <v>2102</v>
      </c>
      <c r="F212" s="57" t="s">
        <v>871</v>
      </c>
      <c r="G212" s="49" t="s">
        <v>2102</v>
      </c>
      <c r="H212" s="7">
        <f t="shared" si="5"/>
        <v>800</v>
      </c>
      <c r="I212" s="7">
        <v>128</v>
      </c>
    </row>
    <row r="213" spans="1:11">
      <c r="A213" t="s">
        <v>2254</v>
      </c>
      <c r="B213" s="1">
        <v>42095</v>
      </c>
      <c r="C213" t="s">
        <v>2255</v>
      </c>
      <c r="D213">
        <v>1</v>
      </c>
      <c r="E213" t="s">
        <v>0</v>
      </c>
      <c r="F213" s="49" t="s">
        <v>799</v>
      </c>
      <c r="G213" s="49" t="s">
        <v>0</v>
      </c>
      <c r="H213" s="7">
        <f t="shared" si="5"/>
        <v>156409.0625</v>
      </c>
      <c r="I213" s="7">
        <v>25025.45</v>
      </c>
    </row>
    <row r="214" spans="1:11">
      <c r="A214" t="s">
        <v>2270</v>
      </c>
      <c r="B214" s="1">
        <v>42100</v>
      </c>
      <c r="C214" t="s">
        <v>2271</v>
      </c>
      <c r="D214">
        <v>1</v>
      </c>
      <c r="E214" t="s">
        <v>0</v>
      </c>
      <c r="F214" s="49" t="s">
        <v>799</v>
      </c>
      <c r="G214" s="49" t="s">
        <v>0</v>
      </c>
      <c r="H214" s="7">
        <f t="shared" si="5"/>
        <v>318082.8125</v>
      </c>
      <c r="I214" s="7">
        <v>50893.25</v>
      </c>
    </row>
    <row r="215" spans="1:11">
      <c r="A215" t="s">
        <v>2272</v>
      </c>
      <c r="B215" s="1">
        <v>42101</v>
      </c>
      <c r="C215" t="s">
        <v>2273</v>
      </c>
      <c r="D215">
        <v>1</v>
      </c>
      <c r="E215" t="s">
        <v>0</v>
      </c>
      <c r="F215" s="49" t="s">
        <v>799</v>
      </c>
      <c r="G215" s="49" t="s">
        <v>0</v>
      </c>
      <c r="H215" s="7">
        <f t="shared" si="5"/>
        <v>301012.875</v>
      </c>
      <c r="I215" s="7">
        <v>48162.06</v>
      </c>
    </row>
    <row r="216" spans="1:11">
      <c r="A216" t="s">
        <v>2274</v>
      </c>
      <c r="B216" s="1">
        <v>42101</v>
      </c>
      <c r="C216" t="s">
        <v>2275</v>
      </c>
      <c r="D216">
        <v>1</v>
      </c>
      <c r="E216" t="s">
        <v>0</v>
      </c>
      <c r="F216" s="49" t="s">
        <v>799</v>
      </c>
      <c r="G216" s="49" t="s">
        <v>0</v>
      </c>
      <c r="H216" s="7">
        <f t="shared" si="5"/>
        <v>479370.3125</v>
      </c>
      <c r="I216" s="7">
        <v>76699.25</v>
      </c>
    </row>
    <row r="217" spans="1:11">
      <c r="A217" t="s">
        <v>2282</v>
      </c>
      <c r="B217" s="1">
        <v>42104</v>
      </c>
      <c r="C217" t="s">
        <v>2283</v>
      </c>
      <c r="D217">
        <v>1</v>
      </c>
      <c r="E217" t="s">
        <v>0</v>
      </c>
      <c r="F217" s="49" t="s">
        <v>799</v>
      </c>
      <c r="G217" s="49" t="s">
        <v>0</v>
      </c>
      <c r="H217" s="7">
        <f t="shared" si="5"/>
        <v>148650.4375</v>
      </c>
      <c r="I217" s="7">
        <v>23784.07</v>
      </c>
    </row>
    <row r="218" spans="1:11">
      <c r="A218" t="s">
        <v>2293</v>
      </c>
      <c r="B218" s="1">
        <v>42107</v>
      </c>
      <c r="C218" t="s">
        <v>2294</v>
      </c>
      <c r="D218">
        <v>1</v>
      </c>
      <c r="E218" t="s">
        <v>0</v>
      </c>
      <c r="F218" s="49" t="s">
        <v>799</v>
      </c>
      <c r="G218" s="49" t="s">
        <v>0</v>
      </c>
      <c r="H218" s="7">
        <f t="shared" si="5"/>
        <v>301012.875</v>
      </c>
      <c r="I218" s="7">
        <v>48162.06</v>
      </c>
    </row>
    <row r="219" spans="1:11">
      <c r="A219" t="s">
        <v>2295</v>
      </c>
      <c r="B219" s="1">
        <v>42107</v>
      </c>
      <c r="C219" t="s">
        <v>2296</v>
      </c>
      <c r="D219">
        <v>1</v>
      </c>
      <c r="E219" t="s">
        <v>0</v>
      </c>
      <c r="F219" s="49" t="s">
        <v>799</v>
      </c>
      <c r="G219" s="49" t="s">
        <v>0</v>
      </c>
      <c r="H219" s="7">
        <f t="shared" si="5"/>
        <v>156409.0625</v>
      </c>
      <c r="I219" s="7">
        <v>25025.45</v>
      </c>
    </row>
    <row r="220" spans="1:11">
      <c r="A220" t="s">
        <v>2297</v>
      </c>
      <c r="B220" s="1">
        <v>42107</v>
      </c>
      <c r="C220" t="s">
        <v>2298</v>
      </c>
      <c r="D220">
        <v>1</v>
      </c>
      <c r="E220" t="s">
        <v>0</v>
      </c>
      <c r="F220" s="49" t="s">
        <v>799</v>
      </c>
      <c r="G220" s="49" t="s">
        <v>0</v>
      </c>
      <c r="H220" s="7">
        <f t="shared" si="5"/>
        <v>207461.06249999997</v>
      </c>
      <c r="I220" s="7">
        <v>33193.769999999997</v>
      </c>
    </row>
    <row r="221" spans="1:11">
      <c r="A221" t="s">
        <v>2299</v>
      </c>
      <c r="B221" s="1">
        <v>42107</v>
      </c>
      <c r="C221" t="s">
        <v>2300</v>
      </c>
      <c r="D221">
        <v>1</v>
      </c>
      <c r="E221" t="s">
        <v>0</v>
      </c>
      <c r="F221" s="49" t="s">
        <v>799</v>
      </c>
      <c r="G221" s="49" t="s">
        <v>0</v>
      </c>
      <c r="H221" s="7">
        <f t="shared" si="5"/>
        <v>183981.625</v>
      </c>
      <c r="I221" s="7">
        <v>29437.06</v>
      </c>
    </row>
    <row r="222" spans="1:11">
      <c r="A222" t="s">
        <v>2301</v>
      </c>
      <c r="B222" s="1">
        <v>42108</v>
      </c>
      <c r="C222" t="s">
        <v>2302</v>
      </c>
      <c r="D222">
        <v>1</v>
      </c>
      <c r="E222" t="s">
        <v>0</v>
      </c>
      <c r="F222" s="49" t="s">
        <v>799</v>
      </c>
      <c r="G222" s="49" t="s">
        <v>0</v>
      </c>
      <c r="H222" s="7">
        <f t="shared" si="5"/>
        <v>301794.3125</v>
      </c>
      <c r="I222" s="7">
        <v>48287.09</v>
      </c>
    </row>
    <row r="223" spans="1:11">
      <c r="A223" t="s">
        <v>2303</v>
      </c>
      <c r="B223" s="1">
        <v>42108</v>
      </c>
      <c r="C223" t="s">
        <v>2304</v>
      </c>
      <c r="D223">
        <v>1</v>
      </c>
      <c r="E223" t="s">
        <v>0</v>
      </c>
      <c r="F223" s="49" t="s">
        <v>799</v>
      </c>
      <c r="G223" s="49" t="s">
        <v>0</v>
      </c>
      <c r="H223" s="7">
        <f t="shared" si="5"/>
        <v>301014.625</v>
      </c>
      <c r="I223" s="7">
        <v>48162.34</v>
      </c>
    </row>
    <row r="224" spans="1:11">
      <c r="A224" t="s">
        <v>1003</v>
      </c>
      <c r="B224" s="1">
        <v>42108</v>
      </c>
      <c r="C224" t="s">
        <v>2305</v>
      </c>
      <c r="D224">
        <v>1</v>
      </c>
      <c r="E224" t="s">
        <v>0</v>
      </c>
      <c r="F224" s="49" t="s">
        <v>799</v>
      </c>
      <c r="G224" s="49" t="s">
        <v>0</v>
      </c>
      <c r="H224" s="7">
        <f t="shared" si="5"/>
        <v>318082.8125</v>
      </c>
      <c r="I224" s="7">
        <v>50893.25</v>
      </c>
    </row>
    <row r="225" spans="1:9">
      <c r="A225" t="s">
        <v>2306</v>
      </c>
      <c r="B225" s="1">
        <v>42108</v>
      </c>
      <c r="C225" t="s">
        <v>2307</v>
      </c>
      <c r="D225">
        <v>1</v>
      </c>
      <c r="E225" t="s">
        <v>0</v>
      </c>
      <c r="F225" s="49" t="s">
        <v>799</v>
      </c>
      <c r="G225" s="49" t="s">
        <v>0</v>
      </c>
      <c r="H225" s="7">
        <f t="shared" si="5"/>
        <v>318082.8125</v>
      </c>
      <c r="I225" s="7">
        <v>50893.25</v>
      </c>
    </row>
    <row r="226" spans="1:9">
      <c r="A226" t="s">
        <v>2308</v>
      </c>
      <c r="B226" s="1">
        <v>42108</v>
      </c>
      <c r="C226" t="s">
        <v>2309</v>
      </c>
      <c r="D226">
        <v>1</v>
      </c>
      <c r="E226" t="s">
        <v>0</v>
      </c>
      <c r="F226" s="49" t="s">
        <v>799</v>
      </c>
      <c r="G226" s="49" t="s">
        <v>0</v>
      </c>
      <c r="H226" s="7">
        <f t="shared" ref="H226:H310" si="6">+I226/0.16</f>
        <v>318082.8125</v>
      </c>
      <c r="I226" s="7">
        <v>50893.25</v>
      </c>
    </row>
    <row r="227" spans="1:9">
      <c r="A227" t="s">
        <v>2310</v>
      </c>
      <c r="B227" s="1">
        <v>42108</v>
      </c>
      <c r="C227" t="s">
        <v>2311</v>
      </c>
      <c r="D227">
        <v>1</v>
      </c>
      <c r="E227" t="s">
        <v>0</v>
      </c>
      <c r="F227" s="49" t="s">
        <v>799</v>
      </c>
      <c r="G227" s="49" t="s">
        <v>0</v>
      </c>
      <c r="H227" s="7">
        <f t="shared" si="6"/>
        <v>318082.8125</v>
      </c>
      <c r="I227" s="7">
        <v>50893.25</v>
      </c>
    </row>
    <row r="228" spans="1:9">
      <c r="A228" t="s">
        <v>2312</v>
      </c>
      <c r="B228" s="1">
        <v>42108</v>
      </c>
      <c r="C228" t="s">
        <v>2313</v>
      </c>
      <c r="D228">
        <v>1</v>
      </c>
      <c r="E228" t="s">
        <v>0</v>
      </c>
      <c r="F228" s="49" t="s">
        <v>799</v>
      </c>
      <c r="G228" s="49" t="s">
        <v>0</v>
      </c>
      <c r="H228" s="7">
        <f t="shared" si="6"/>
        <v>318082.8125</v>
      </c>
      <c r="I228" s="7">
        <v>50893.25</v>
      </c>
    </row>
    <row r="229" spans="1:9">
      <c r="A229" t="s">
        <v>2314</v>
      </c>
      <c r="B229" s="1">
        <v>42108</v>
      </c>
      <c r="C229" t="s">
        <v>2315</v>
      </c>
      <c r="D229">
        <v>1</v>
      </c>
      <c r="E229" t="s">
        <v>0</v>
      </c>
      <c r="F229" s="49" t="s">
        <v>799</v>
      </c>
      <c r="G229" s="49" t="s">
        <v>0</v>
      </c>
      <c r="H229" s="7">
        <f t="shared" si="6"/>
        <v>207461.06249999997</v>
      </c>
      <c r="I229" s="7">
        <v>33193.769999999997</v>
      </c>
    </row>
    <row r="230" spans="1:9">
      <c r="A230" t="s">
        <v>2316</v>
      </c>
      <c r="B230" s="1">
        <v>42110</v>
      </c>
      <c r="C230" t="s">
        <v>2317</v>
      </c>
      <c r="D230">
        <v>1</v>
      </c>
      <c r="E230" t="s">
        <v>0</v>
      </c>
      <c r="F230" s="49" t="s">
        <v>799</v>
      </c>
      <c r="G230" s="49" t="s">
        <v>0</v>
      </c>
      <c r="H230" s="7">
        <f t="shared" si="6"/>
        <v>225942.25</v>
      </c>
      <c r="I230" s="7">
        <v>36150.76</v>
      </c>
    </row>
    <row r="231" spans="1:9">
      <c r="A231" t="s">
        <v>2322</v>
      </c>
      <c r="B231" s="1">
        <v>42114</v>
      </c>
      <c r="C231" t="s">
        <v>2323</v>
      </c>
      <c r="D231">
        <v>1</v>
      </c>
      <c r="E231" t="s">
        <v>0</v>
      </c>
      <c r="F231" s="49" t="s">
        <v>799</v>
      </c>
      <c r="G231" s="49" t="s">
        <v>0</v>
      </c>
      <c r="H231" s="7">
        <f t="shared" si="6"/>
        <v>329117.9375</v>
      </c>
      <c r="I231" s="7">
        <v>52658.87</v>
      </c>
    </row>
    <row r="232" spans="1:9">
      <c r="A232" t="s">
        <v>1698</v>
      </c>
      <c r="B232" s="1">
        <v>42117</v>
      </c>
      <c r="C232" t="s">
        <v>2330</v>
      </c>
      <c r="D232">
        <v>1</v>
      </c>
      <c r="E232" t="s">
        <v>0</v>
      </c>
      <c r="F232" s="49" t="s">
        <v>799</v>
      </c>
      <c r="G232" s="49" t="s">
        <v>0</v>
      </c>
      <c r="H232" s="7">
        <f t="shared" si="6"/>
        <v>186123.9375</v>
      </c>
      <c r="I232" s="7">
        <v>29779.83</v>
      </c>
    </row>
    <row r="233" spans="1:9">
      <c r="A233" t="s">
        <v>2337</v>
      </c>
      <c r="B233" s="1">
        <v>42121</v>
      </c>
      <c r="C233" t="s">
        <v>2338</v>
      </c>
      <c r="D233">
        <v>1</v>
      </c>
      <c r="E233" t="s">
        <v>0</v>
      </c>
      <c r="F233" s="49" t="s">
        <v>799</v>
      </c>
      <c r="G233" s="49" t="s">
        <v>0</v>
      </c>
      <c r="H233" s="7">
        <f t="shared" si="6"/>
        <v>402861.5625</v>
      </c>
      <c r="I233" s="7">
        <v>64457.85</v>
      </c>
    </row>
    <row r="234" spans="1:9">
      <c r="A234" t="s">
        <v>2339</v>
      </c>
      <c r="B234" s="1">
        <v>42122</v>
      </c>
      <c r="C234" t="s">
        <v>2340</v>
      </c>
      <c r="D234">
        <v>1</v>
      </c>
      <c r="E234" t="s">
        <v>0</v>
      </c>
      <c r="F234" s="49" t="s">
        <v>799</v>
      </c>
      <c r="G234" s="49" t="s">
        <v>0</v>
      </c>
      <c r="H234" s="7">
        <f t="shared" si="6"/>
        <v>148652.125</v>
      </c>
      <c r="I234" s="7">
        <v>23784.34</v>
      </c>
    </row>
    <row r="235" spans="1:9">
      <c r="A235" t="s">
        <v>2341</v>
      </c>
      <c r="B235" s="1">
        <v>42122</v>
      </c>
      <c r="C235" t="s">
        <v>2342</v>
      </c>
      <c r="D235">
        <v>1</v>
      </c>
      <c r="E235" t="s">
        <v>0</v>
      </c>
      <c r="F235" s="49" t="s">
        <v>799</v>
      </c>
      <c r="G235" s="49" t="s">
        <v>0</v>
      </c>
      <c r="H235" s="7">
        <f t="shared" si="6"/>
        <v>225942.25</v>
      </c>
      <c r="I235" s="7">
        <v>36150.76</v>
      </c>
    </row>
    <row r="236" spans="1:9">
      <c r="A236" t="s">
        <v>2343</v>
      </c>
      <c r="B236" s="1">
        <v>42122</v>
      </c>
      <c r="C236" t="s">
        <v>2344</v>
      </c>
      <c r="D236">
        <v>1</v>
      </c>
      <c r="E236" t="s">
        <v>0</v>
      </c>
      <c r="F236" s="49" t="s">
        <v>799</v>
      </c>
      <c r="G236" s="49" t="s">
        <v>0</v>
      </c>
      <c r="H236" s="7">
        <f t="shared" si="6"/>
        <v>225942.25</v>
      </c>
      <c r="I236" s="7">
        <v>36150.76</v>
      </c>
    </row>
    <row r="237" spans="1:9">
      <c r="A237" t="s">
        <v>2348</v>
      </c>
      <c r="B237" s="1">
        <v>42123</v>
      </c>
      <c r="C237" t="s">
        <v>2349</v>
      </c>
      <c r="D237">
        <v>1</v>
      </c>
      <c r="E237" t="s">
        <v>0</v>
      </c>
      <c r="F237" s="49" t="s">
        <v>799</v>
      </c>
      <c r="G237" s="49" t="s">
        <v>0</v>
      </c>
      <c r="H237" s="7">
        <f t="shared" si="6"/>
        <v>274943</v>
      </c>
      <c r="I237" s="7">
        <v>43990.879999999997</v>
      </c>
    </row>
    <row r="238" spans="1:9">
      <c r="A238" t="s">
        <v>2350</v>
      </c>
      <c r="B238" s="1">
        <v>42123</v>
      </c>
      <c r="C238" t="s">
        <v>2351</v>
      </c>
      <c r="D238">
        <v>1</v>
      </c>
      <c r="E238" t="s">
        <v>0</v>
      </c>
      <c r="F238" s="49" t="s">
        <v>799</v>
      </c>
      <c r="G238" s="49" t="s">
        <v>0</v>
      </c>
      <c r="H238" s="7">
        <f t="shared" si="6"/>
        <v>207462.8125</v>
      </c>
      <c r="I238" s="7">
        <v>33194.050000000003</v>
      </c>
    </row>
    <row r="239" spans="1:9">
      <c r="A239" t="s">
        <v>2352</v>
      </c>
      <c r="B239" s="1">
        <v>42123</v>
      </c>
      <c r="C239" t="s">
        <v>2353</v>
      </c>
      <c r="D239">
        <v>1</v>
      </c>
      <c r="E239" t="s">
        <v>0</v>
      </c>
      <c r="F239" s="49" t="s">
        <v>799</v>
      </c>
      <c r="G239" s="49" t="s">
        <v>0</v>
      </c>
      <c r="H239" s="7">
        <f t="shared" si="6"/>
        <v>140193.5</v>
      </c>
      <c r="I239" s="7">
        <v>22430.959999999999</v>
      </c>
    </row>
    <row r="240" spans="1:9">
      <c r="A240" t="s">
        <v>2354</v>
      </c>
      <c r="B240" s="1">
        <v>42124</v>
      </c>
      <c r="C240" t="s">
        <v>2355</v>
      </c>
      <c r="D240">
        <v>1</v>
      </c>
      <c r="E240" t="s">
        <v>0</v>
      </c>
      <c r="F240" s="49" t="s">
        <v>799</v>
      </c>
      <c r="G240" s="49" t="s">
        <v>0</v>
      </c>
      <c r="H240" s="7">
        <f t="shared" si="6"/>
        <v>274941.25</v>
      </c>
      <c r="I240" s="7">
        <v>43990.6</v>
      </c>
    </row>
    <row r="241" spans="1:11">
      <c r="A241" t="s">
        <v>2356</v>
      </c>
      <c r="B241" s="1">
        <v>42124</v>
      </c>
      <c r="C241" t="s">
        <v>2357</v>
      </c>
      <c r="D241">
        <v>1</v>
      </c>
      <c r="E241" t="s">
        <v>0</v>
      </c>
      <c r="F241" s="49" t="s">
        <v>799</v>
      </c>
      <c r="G241" s="49" t="s">
        <v>0</v>
      </c>
      <c r="H241" s="7">
        <f t="shared" si="6"/>
        <v>322075.1875</v>
      </c>
      <c r="I241" s="7">
        <v>51532.03</v>
      </c>
    </row>
    <row r="242" spans="1:11">
      <c r="A242" t="s">
        <v>2358</v>
      </c>
      <c r="B242" s="1">
        <v>42124</v>
      </c>
      <c r="C242" t="s">
        <v>1119</v>
      </c>
      <c r="D242">
        <v>1</v>
      </c>
      <c r="E242" t="s">
        <v>0</v>
      </c>
      <c r="F242" s="49" t="s">
        <v>799</v>
      </c>
      <c r="G242" s="49" t="s">
        <v>0</v>
      </c>
      <c r="H242" s="7">
        <f t="shared" si="6"/>
        <v>-186125.625</v>
      </c>
      <c r="I242" s="7">
        <v>-29780.1</v>
      </c>
      <c r="J242" s="2"/>
    </row>
    <row r="243" spans="1:11">
      <c r="A243" t="s">
        <v>2362</v>
      </c>
      <c r="B243" s="1">
        <v>42124</v>
      </c>
      <c r="C243" t="s">
        <v>2363</v>
      </c>
      <c r="D243">
        <v>1</v>
      </c>
      <c r="E243" t="s">
        <v>0</v>
      </c>
      <c r="F243" s="49" t="s">
        <v>799</v>
      </c>
      <c r="G243" s="49" t="s">
        <v>0</v>
      </c>
      <c r="H243" s="7">
        <f t="shared" si="6"/>
        <v>225940.56249999997</v>
      </c>
      <c r="I243" s="7">
        <v>36150.49</v>
      </c>
    </row>
    <row r="244" spans="1:11">
      <c r="A244" t="s">
        <v>2364</v>
      </c>
      <c r="B244" s="1">
        <v>42124</v>
      </c>
      <c r="C244" t="s">
        <v>2365</v>
      </c>
      <c r="D244">
        <v>1</v>
      </c>
      <c r="E244" t="s">
        <v>0</v>
      </c>
      <c r="F244" s="49" t="s">
        <v>799</v>
      </c>
      <c r="G244" s="49" t="s">
        <v>0</v>
      </c>
      <c r="H244" s="7">
        <f t="shared" si="6"/>
        <v>301012.875</v>
      </c>
      <c r="I244" s="7">
        <v>48162.06</v>
      </c>
    </row>
    <row r="245" spans="1:11">
      <c r="A245" t="s">
        <v>2368</v>
      </c>
      <c r="B245" s="1">
        <v>42124</v>
      </c>
      <c r="C245" t="s">
        <v>1119</v>
      </c>
      <c r="D245">
        <v>1</v>
      </c>
      <c r="E245" t="s">
        <v>0</v>
      </c>
      <c r="F245" s="49" t="s">
        <v>799</v>
      </c>
      <c r="G245" s="49" t="s">
        <v>0</v>
      </c>
      <c r="H245" s="7">
        <f t="shared" si="6"/>
        <v>186123.9375</v>
      </c>
      <c r="I245" s="7">
        <v>29779.83</v>
      </c>
    </row>
    <row r="246" spans="1:11">
      <c r="A246" t="s">
        <v>1359</v>
      </c>
      <c r="B246" s="1">
        <v>42105</v>
      </c>
      <c r="C246" t="s">
        <v>2609</v>
      </c>
      <c r="D246">
        <v>1</v>
      </c>
      <c r="E246" t="s">
        <v>0</v>
      </c>
      <c r="F246" s="49" t="s">
        <v>799</v>
      </c>
      <c r="G246" s="49" t="s">
        <v>0</v>
      </c>
      <c r="H246" s="7">
        <f t="shared" si="6"/>
        <v>280736.3125</v>
      </c>
      <c r="I246" s="7">
        <v>44917.81</v>
      </c>
    </row>
    <row r="247" spans="1:11">
      <c r="A247" t="s">
        <v>1325</v>
      </c>
      <c r="B247" s="1">
        <v>42100</v>
      </c>
      <c r="C247" t="s">
        <v>2572</v>
      </c>
      <c r="D247">
        <v>1</v>
      </c>
      <c r="E247" t="s">
        <v>1361</v>
      </c>
      <c r="F247" s="49" t="s">
        <v>799</v>
      </c>
      <c r="G247" s="49" t="s">
        <v>0</v>
      </c>
      <c r="H247" s="7">
        <f t="shared" si="6"/>
        <v>4321.3125</v>
      </c>
      <c r="I247" s="7">
        <v>691.41</v>
      </c>
    </row>
    <row r="248" spans="1:11">
      <c r="A248" t="s">
        <v>429</v>
      </c>
      <c r="B248" s="1">
        <v>42100</v>
      </c>
      <c r="C248" t="s">
        <v>2573</v>
      </c>
      <c r="D248">
        <v>1</v>
      </c>
      <c r="E248" t="s">
        <v>1361</v>
      </c>
      <c r="F248" s="49" t="s">
        <v>799</v>
      </c>
      <c r="G248" s="49" t="s">
        <v>0</v>
      </c>
      <c r="H248" s="7">
        <f t="shared" si="6"/>
        <v>6500</v>
      </c>
      <c r="I248" s="7">
        <v>1040</v>
      </c>
    </row>
    <row r="249" spans="1:11">
      <c r="A249" t="s">
        <v>2574</v>
      </c>
      <c r="B249" s="1">
        <v>42100</v>
      </c>
      <c r="C249" t="s">
        <v>2575</v>
      </c>
      <c r="D249">
        <v>1</v>
      </c>
      <c r="E249" t="s">
        <v>1361</v>
      </c>
      <c r="F249" s="49" t="s">
        <v>799</v>
      </c>
      <c r="G249" s="49" t="s">
        <v>0</v>
      </c>
      <c r="H249" s="7">
        <f t="shared" si="6"/>
        <v>14964.125000000002</v>
      </c>
      <c r="I249" s="7">
        <v>2394.2600000000002</v>
      </c>
    </row>
    <row r="250" spans="1:11">
      <c r="A250" t="s">
        <v>2560</v>
      </c>
      <c r="B250" s="1">
        <v>42124</v>
      </c>
      <c r="C250" t="s">
        <v>2561</v>
      </c>
      <c r="D250">
        <v>1</v>
      </c>
      <c r="E250" t="s">
        <v>2562</v>
      </c>
      <c r="F250" s="49" t="s">
        <v>722</v>
      </c>
      <c r="G250" s="49" t="s">
        <v>2702</v>
      </c>
      <c r="H250" s="7">
        <f t="shared" si="6"/>
        <v>380</v>
      </c>
      <c r="I250" s="7">
        <v>60.8</v>
      </c>
    </row>
    <row r="251" spans="1:11">
      <c r="A251" t="s">
        <v>2531</v>
      </c>
      <c r="B251" s="1">
        <v>42124</v>
      </c>
      <c r="C251" t="s">
        <v>2532</v>
      </c>
      <c r="D251">
        <v>1</v>
      </c>
      <c r="E251" t="s">
        <v>2533</v>
      </c>
      <c r="F251" s="139" t="s">
        <v>714</v>
      </c>
      <c r="G251" s="58" t="s">
        <v>715</v>
      </c>
      <c r="H251" s="59">
        <f t="shared" ref="H251:H282" si="7">+I251*6.25</f>
        <v>205.1875</v>
      </c>
      <c r="I251" s="59">
        <v>32.83</v>
      </c>
      <c r="J251" s="7"/>
      <c r="K251" s="7"/>
    </row>
    <row r="252" spans="1:11">
      <c r="A252" t="s">
        <v>2531</v>
      </c>
      <c r="B252" s="1">
        <v>42124</v>
      </c>
      <c r="C252" t="s">
        <v>2532</v>
      </c>
      <c r="D252">
        <v>1</v>
      </c>
      <c r="E252" t="s">
        <v>2533</v>
      </c>
      <c r="F252" s="58" t="s">
        <v>722</v>
      </c>
      <c r="G252" s="58" t="s">
        <v>723</v>
      </c>
      <c r="H252" s="59">
        <f t="shared" si="7"/>
        <v>176.8125</v>
      </c>
      <c r="I252" s="59">
        <f>9.66+9.66+8.97</f>
        <v>28.29</v>
      </c>
    </row>
    <row r="253" spans="1:11">
      <c r="A253" t="s">
        <v>2531</v>
      </c>
      <c r="B253" s="1">
        <v>42124</v>
      </c>
      <c r="C253" t="s">
        <v>2532</v>
      </c>
      <c r="D253">
        <v>1</v>
      </c>
      <c r="E253" t="s">
        <v>2533</v>
      </c>
      <c r="F253" s="58" t="s">
        <v>911</v>
      </c>
      <c r="G253" s="58" t="s">
        <v>2704</v>
      </c>
      <c r="H253" s="59">
        <f t="shared" si="7"/>
        <v>51.749999999999993</v>
      </c>
      <c r="I253" s="59">
        <v>8.2799999999999994</v>
      </c>
    </row>
    <row r="254" spans="1:11">
      <c r="A254" t="s">
        <v>2531</v>
      </c>
      <c r="B254" s="1">
        <v>42124</v>
      </c>
      <c r="C254" t="s">
        <v>2532</v>
      </c>
      <c r="D254">
        <v>1</v>
      </c>
      <c r="E254" t="s">
        <v>2533</v>
      </c>
      <c r="F254" s="58" t="s">
        <v>780</v>
      </c>
      <c r="G254" s="58" t="s">
        <v>781</v>
      </c>
      <c r="H254" s="59">
        <f t="shared" si="7"/>
        <v>341.4375</v>
      </c>
      <c r="I254" s="59">
        <v>54.63</v>
      </c>
      <c r="J254" s="60">
        <f>775.29-H251-H252-H253-H254</f>
        <v>0.10249999999996362</v>
      </c>
      <c r="K254" s="60">
        <f>124.03-I251-I252-I253-I254</f>
        <v>0</v>
      </c>
    </row>
    <row r="255" spans="1:11">
      <c r="A255" t="s">
        <v>2549</v>
      </c>
      <c r="B255" s="1">
        <v>42124</v>
      </c>
      <c r="C255" t="s">
        <v>2550</v>
      </c>
      <c r="D255">
        <v>1</v>
      </c>
      <c r="E255" t="s">
        <v>2551</v>
      </c>
      <c r="F255" s="139" t="s">
        <v>714</v>
      </c>
      <c r="G255" s="58" t="s">
        <v>715</v>
      </c>
      <c r="H255" s="59">
        <f t="shared" si="7"/>
        <v>805.18750000000011</v>
      </c>
      <c r="I255" s="59">
        <v>128.83000000000001</v>
      </c>
      <c r="J255" s="7"/>
      <c r="K255" s="7"/>
    </row>
    <row r="256" spans="1:11">
      <c r="A256" t="s">
        <v>2549</v>
      </c>
      <c r="B256" s="1">
        <v>42124</v>
      </c>
      <c r="C256" t="s">
        <v>2550</v>
      </c>
      <c r="D256">
        <v>1</v>
      </c>
      <c r="E256" t="s">
        <v>2551</v>
      </c>
      <c r="F256" s="58" t="s">
        <v>883</v>
      </c>
      <c r="G256" s="58" t="s">
        <v>884</v>
      </c>
      <c r="H256" s="59">
        <f t="shared" si="7"/>
        <v>569.125</v>
      </c>
      <c r="I256" s="59">
        <v>91.06</v>
      </c>
    </row>
    <row r="257" spans="1:11">
      <c r="A257" t="s">
        <v>2549</v>
      </c>
      <c r="B257" s="1">
        <v>42124</v>
      </c>
      <c r="C257" t="s">
        <v>2550</v>
      </c>
      <c r="D257">
        <v>1</v>
      </c>
      <c r="E257" t="s">
        <v>2551</v>
      </c>
      <c r="F257" s="58" t="s">
        <v>722</v>
      </c>
      <c r="G257" s="58" t="s">
        <v>723</v>
      </c>
      <c r="H257" s="59">
        <f t="shared" si="7"/>
        <v>732.8125</v>
      </c>
      <c r="I257" s="59">
        <f>4.83+7.45+18.76+14.9+20.41+7.45+17.24+17.24+8.97</f>
        <v>117.25</v>
      </c>
    </row>
    <row r="258" spans="1:11">
      <c r="A258" t="s">
        <v>2549</v>
      </c>
      <c r="B258" s="1">
        <v>42124</v>
      </c>
      <c r="C258" t="s">
        <v>2550</v>
      </c>
      <c r="D258">
        <v>1</v>
      </c>
      <c r="E258" t="s">
        <v>2551</v>
      </c>
      <c r="F258" s="58" t="s">
        <v>879</v>
      </c>
      <c r="G258" s="58" t="s">
        <v>880</v>
      </c>
      <c r="H258" s="59">
        <f t="shared" si="7"/>
        <v>377.4375</v>
      </c>
      <c r="I258" s="59">
        <v>60.39</v>
      </c>
    </row>
    <row r="259" spans="1:11">
      <c r="A259" t="s">
        <v>2549</v>
      </c>
      <c r="B259" s="1">
        <v>42124</v>
      </c>
      <c r="C259" t="s">
        <v>2550</v>
      </c>
      <c r="D259">
        <v>1</v>
      </c>
      <c r="E259" t="s">
        <v>2551</v>
      </c>
      <c r="F259" s="58" t="s">
        <v>2705</v>
      </c>
      <c r="G259" s="58" t="s">
        <v>2706</v>
      </c>
      <c r="H259" s="59">
        <f t="shared" si="7"/>
        <v>100</v>
      </c>
      <c r="I259" s="59">
        <v>16</v>
      </c>
      <c r="J259" s="60">
        <f>2584.56-H255-H256-H257-H258-H259</f>
        <v>-2.5000000000545697E-3</v>
      </c>
      <c r="K259" s="60">
        <f>413.53-I255-I256-I257-I258-I259</f>
        <v>-7.1054273576010019E-14</v>
      </c>
    </row>
    <row r="260" spans="1:11">
      <c r="A260" t="s">
        <v>2522</v>
      </c>
      <c r="B260" s="1">
        <v>42124</v>
      </c>
      <c r="C260" t="s">
        <v>2523</v>
      </c>
      <c r="D260">
        <v>1</v>
      </c>
      <c r="E260" t="s">
        <v>2524</v>
      </c>
      <c r="F260" s="139" t="s">
        <v>714</v>
      </c>
      <c r="G260" s="58" t="s">
        <v>715</v>
      </c>
      <c r="H260" s="59">
        <f t="shared" si="7"/>
        <v>46.5625</v>
      </c>
      <c r="I260" s="59">
        <v>7.45</v>
      </c>
      <c r="J260" s="7"/>
      <c r="K260" s="7"/>
    </row>
    <row r="261" spans="1:11">
      <c r="A261" t="s">
        <v>2522</v>
      </c>
      <c r="B261" s="1">
        <v>42124</v>
      </c>
      <c r="C261" t="s">
        <v>2523</v>
      </c>
      <c r="D261">
        <v>1</v>
      </c>
      <c r="E261" t="s">
        <v>2524</v>
      </c>
      <c r="F261" s="58" t="s">
        <v>722</v>
      </c>
      <c r="G261" s="58" t="s">
        <v>723</v>
      </c>
      <c r="H261" s="59">
        <f t="shared" si="7"/>
        <v>56.062500000000007</v>
      </c>
      <c r="I261" s="59">
        <v>8.9700000000000006</v>
      </c>
      <c r="J261" s="60">
        <f>102.63-H260-H261</f>
        <v>4.9999999999883471E-3</v>
      </c>
      <c r="K261" s="60">
        <f>16.42-I260-I261</f>
        <v>0</v>
      </c>
    </row>
    <row r="262" spans="1:11">
      <c r="A262" t="s">
        <v>2534</v>
      </c>
      <c r="B262" s="1">
        <v>42124</v>
      </c>
      <c r="C262" t="s">
        <v>2535</v>
      </c>
      <c r="D262">
        <v>1</v>
      </c>
      <c r="E262" t="s">
        <v>2536</v>
      </c>
      <c r="F262" s="139" t="s">
        <v>714</v>
      </c>
      <c r="G262" s="58" t="s">
        <v>715</v>
      </c>
      <c r="H262" s="59">
        <f t="shared" si="7"/>
        <v>243.125</v>
      </c>
      <c r="I262" s="59">
        <v>38.9</v>
      </c>
      <c r="J262" s="7"/>
      <c r="K262" s="7"/>
    </row>
    <row r="263" spans="1:11">
      <c r="A263" t="s">
        <v>2534</v>
      </c>
      <c r="B263" s="1">
        <v>42124</v>
      </c>
      <c r="C263" t="s">
        <v>2535</v>
      </c>
      <c r="D263">
        <v>1</v>
      </c>
      <c r="E263" t="s">
        <v>2536</v>
      </c>
      <c r="F263" s="58" t="s">
        <v>722</v>
      </c>
      <c r="G263" s="58" t="s">
        <v>723</v>
      </c>
      <c r="H263" s="59">
        <f t="shared" si="7"/>
        <v>282.8125</v>
      </c>
      <c r="I263" s="59">
        <f>5.79+8.14+12.69+9.66+8.97</f>
        <v>45.25</v>
      </c>
    </row>
    <row r="264" spans="1:11">
      <c r="A264" t="s">
        <v>2534</v>
      </c>
      <c r="B264" s="1">
        <v>42124</v>
      </c>
      <c r="C264" t="s">
        <v>2535</v>
      </c>
      <c r="D264">
        <v>1</v>
      </c>
      <c r="E264" t="s">
        <v>2536</v>
      </c>
      <c r="F264" s="58" t="s">
        <v>762</v>
      </c>
      <c r="G264" s="58" t="s">
        <v>763</v>
      </c>
      <c r="H264" s="59">
        <f t="shared" si="7"/>
        <v>77.5625</v>
      </c>
      <c r="I264" s="59">
        <v>12.41</v>
      </c>
    </row>
    <row r="265" spans="1:11">
      <c r="A265" t="s">
        <v>2534</v>
      </c>
      <c r="B265" s="1">
        <v>42124</v>
      </c>
      <c r="C265" t="s">
        <v>2535</v>
      </c>
      <c r="D265">
        <v>1</v>
      </c>
      <c r="E265" t="s">
        <v>2536</v>
      </c>
      <c r="F265" s="58" t="s">
        <v>2707</v>
      </c>
      <c r="G265" s="58" t="s">
        <v>2708</v>
      </c>
      <c r="H265" s="59">
        <f t="shared" si="7"/>
        <v>386</v>
      </c>
      <c r="I265" s="59">
        <v>61.76</v>
      </c>
      <c r="J265" s="60">
        <f>989.5-H262-H263-H264-H265</f>
        <v>0</v>
      </c>
      <c r="K265" s="60">
        <f>158.32-I262-I263-I264-I265</f>
        <v>0</v>
      </c>
    </row>
    <row r="266" spans="1:11">
      <c r="A266" t="s">
        <v>2540</v>
      </c>
      <c r="B266" s="1">
        <v>42124</v>
      </c>
      <c r="C266" t="s">
        <v>2541</v>
      </c>
      <c r="D266">
        <v>1</v>
      </c>
      <c r="E266" t="s">
        <v>2542</v>
      </c>
      <c r="F266" s="139" t="s">
        <v>714</v>
      </c>
      <c r="G266" s="58" t="s">
        <v>715</v>
      </c>
      <c r="H266" s="59">
        <f t="shared" si="7"/>
        <v>158.625</v>
      </c>
      <c r="I266" s="59">
        <v>25.38</v>
      </c>
      <c r="J266" s="7"/>
      <c r="K266" s="7"/>
    </row>
    <row r="267" spans="1:11">
      <c r="A267" t="s">
        <v>2540</v>
      </c>
      <c r="B267" s="1">
        <v>42124</v>
      </c>
      <c r="C267" t="s">
        <v>2541</v>
      </c>
      <c r="D267">
        <v>1</v>
      </c>
      <c r="E267" t="s">
        <v>2542</v>
      </c>
      <c r="F267" s="58" t="s">
        <v>778</v>
      </c>
      <c r="G267" s="58" t="s">
        <v>779</v>
      </c>
      <c r="H267" s="59">
        <f t="shared" si="7"/>
        <v>293.75</v>
      </c>
      <c r="I267" s="59">
        <v>47</v>
      </c>
    </row>
    <row r="268" spans="1:11">
      <c r="A268" t="s">
        <v>2540</v>
      </c>
      <c r="B268" s="1">
        <v>42124</v>
      </c>
      <c r="C268" t="s">
        <v>2541</v>
      </c>
      <c r="D268">
        <v>1</v>
      </c>
      <c r="E268" t="s">
        <v>2542</v>
      </c>
      <c r="F268" s="58" t="s">
        <v>722</v>
      </c>
      <c r="G268" s="58" t="s">
        <v>723</v>
      </c>
      <c r="H268" s="59">
        <f t="shared" si="7"/>
        <v>56.062500000000007</v>
      </c>
      <c r="I268" s="59">
        <v>8.9700000000000006</v>
      </c>
    </row>
    <row r="269" spans="1:11">
      <c r="A269" t="s">
        <v>2540</v>
      </c>
      <c r="B269" s="1">
        <v>42124</v>
      </c>
      <c r="C269" t="s">
        <v>2541</v>
      </c>
      <c r="D269">
        <v>1</v>
      </c>
      <c r="E269" t="s">
        <v>2542</v>
      </c>
      <c r="F269" s="58" t="s">
        <v>929</v>
      </c>
      <c r="G269" s="58" t="s">
        <v>2709</v>
      </c>
      <c r="H269" s="59">
        <f t="shared" si="7"/>
        <v>69</v>
      </c>
      <c r="I269" s="59">
        <v>11.04</v>
      </c>
      <c r="J269" s="60">
        <f>577.44-H266-H267-H268-H269</f>
        <v>2.5000000000545697E-3</v>
      </c>
      <c r="K269" s="60">
        <f>92.39-I266-I267-I268-I269</f>
        <v>0</v>
      </c>
    </row>
    <row r="270" spans="1:11">
      <c r="A270" t="s">
        <v>2546</v>
      </c>
      <c r="B270" s="1">
        <v>42124</v>
      </c>
      <c r="C270" t="s">
        <v>2547</v>
      </c>
      <c r="D270">
        <v>1</v>
      </c>
      <c r="E270" t="s">
        <v>2548</v>
      </c>
      <c r="F270" s="58" t="s">
        <v>915</v>
      </c>
      <c r="G270" s="58" t="s">
        <v>916</v>
      </c>
      <c r="H270" s="59">
        <f t="shared" si="7"/>
        <v>844.81249999999989</v>
      </c>
      <c r="I270" s="59">
        <v>135.16999999999999</v>
      </c>
      <c r="J270" s="7"/>
      <c r="K270" s="7"/>
    </row>
    <row r="271" spans="1:11">
      <c r="A271" t="s">
        <v>2546</v>
      </c>
      <c r="B271" s="1">
        <v>42124</v>
      </c>
      <c r="C271" t="s">
        <v>2547</v>
      </c>
      <c r="D271">
        <v>1</v>
      </c>
      <c r="E271" t="s">
        <v>2548</v>
      </c>
      <c r="F271" s="58" t="s">
        <v>913</v>
      </c>
      <c r="G271" s="58" t="s">
        <v>914</v>
      </c>
      <c r="H271" s="59">
        <f t="shared" si="7"/>
        <v>453.06249999999994</v>
      </c>
      <c r="I271" s="59">
        <v>72.489999999999995</v>
      </c>
    </row>
    <row r="272" spans="1:11">
      <c r="A272" t="s">
        <v>2546</v>
      </c>
      <c r="B272" s="1">
        <v>42124</v>
      </c>
      <c r="C272" t="s">
        <v>2547</v>
      </c>
      <c r="D272">
        <v>1</v>
      </c>
      <c r="E272" t="s">
        <v>2548</v>
      </c>
      <c r="F272" s="58" t="s">
        <v>722</v>
      </c>
      <c r="G272" s="58" t="s">
        <v>723</v>
      </c>
      <c r="H272" s="59">
        <f t="shared" si="7"/>
        <v>454.375</v>
      </c>
      <c r="I272" s="59">
        <f>7.59+4.83+7.59+28.97+7.31+6.76+6.62+3.03</f>
        <v>72.7</v>
      </c>
    </row>
    <row r="273" spans="1:12">
      <c r="A273" t="s">
        <v>2546</v>
      </c>
      <c r="B273" s="1">
        <v>42124</v>
      </c>
      <c r="C273" t="s">
        <v>2547</v>
      </c>
      <c r="D273">
        <v>1</v>
      </c>
      <c r="E273" t="s">
        <v>2548</v>
      </c>
      <c r="F273" s="139" t="s">
        <v>919</v>
      </c>
      <c r="G273" s="58" t="s">
        <v>920</v>
      </c>
      <c r="H273" s="59">
        <f t="shared" si="7"/>
        <v>796.75</v>
      </c>
      <c r="I273" s="59">
        <v>127.48</v>
      </c>
    </row>
    <row r="274" spans="1:12">
      <c r="A274" t="s">
        <v>2546</v>
      </c>
      <c r="B274" s="1">
        <v>42124</v>
      </c>
      <c r="C274" t="s">
        <v>2547</v>
      </c>
      <c r="D274">
        <v>1</v>
      </c>
      <c r="E274" t="s">
        <v>2548</v>
      </c>
      <c r="F274" s="58" t="s">
        <v>2241</v>
      </c>
      <c r="G274" s="58" t="s">
        <v>2710</v>
      </c>
      <c r="H274" s="59">
        <f t="shared" si="7"/>
        <v>121.5625</v>
      </c>
      <c r="I274" s="59">
        <v>19.45</v>
      </c>
    </row>
    <row r="275" spans="1:12">
      <c r="A275" t="s">
        <v>2546</v>
      </c>
      <c r="B275" s="1">
        <v>42124</v>
      </c>
      <c r="C275" t="s">
        <v>2547</v>
      </c>
      <c r="D275">
        <v>1</v>
      </c>
      <c r="E275" t="s">
        <v>2548</v>
      </c>
      <c r="F275" s="58" t="s">
        <v>2711</v>
      </c>
      <c r="G275" s="58" t="s">
        <v>2712</v>
      </c>
      <c r="H275" s="59">
        <f t="shared" si="7"/>
        <v>503.25</v>
      </c>
      <c r="I275" s="59">
        <v>80.52</v>
      </c>
      <c r="J275" s="60">
        <f>3173.81-H270-H271-H272-H273-H274-H275</f>
        <v>-2.5000000000545697E-3</v>
      </c>
      <c r="K275" s="60">
        <f>507.81-I270-I271-I272-I273-I274-I275</f>
        <v>0</v>
      </c>
    </row>
    <row r="276" spans="1:12">
      <c r="A276" t="s">
        <v>2537</v>
      </c>
      <c r="B276" s="1">
        <v>42124</v>
      </c>
      <c r="C276" t="s">
        <v>2538</v>
      </c>
      <c r="D276">
        <v>1</v>
      </c>
      <c r="E276" t="s">
        <v>2539</v>
      </c>
      <c r="F276" s="139" t="s">
        <v>714</v>
      </c>
      <c r="G276" s="58" t="s">
        <v>715</v>
      </c>
      <c r="H276" s="59">
        <f t="shared" si="7"/>
        <v>318.9375</v>
      </c>
      <c r="I276" s="59">
        <v>51.03</v>
      </c>
      <c r="J276" s="7"/>
      <c r="K276" s="7"/>
    </row>
    <row r="277" spans="1:12">
      <c r="A277" t="s">
        <v>2537</v>
      </c>
      <c r="B277" s="1">
        <v>42124</v>
      </c>
      <c r="C277" t="s">
        <v>2538</v>
      </c>
      <c r="D277">
        <v>1</v>
      </c>
      <c r="E277" t="s">
        <v>2539</v>
      </c>
      <c r="F277" s="58" t="s">
        <v>751</v>
      </c>
      <c r="G277" s="58" t="s">
        <v>752</v>
      </c>
      <c r="H277" s="59">
        <f t="shared" si="7"/>
        <v>1019</v>
      </c>
      <c r="I277" s="59">
        <v>163.04</v>
      </c>
    </row>
    <row r="278" spans="1:12">
      <c r="A278" t="s">
        <v>2537</v>
      </c>
      <c r="B278" s="1">
        <v>42124</v>
      </c>
      <c r="C278" t="s">
        <v>2538</v>
      </c>
      <c r="D278">
        <v>1</v>
      </c>
      <c r="E278" t="s">
        <v>2539</v>
      </c>
      <c r="F278" s="58" t="s">
        <v>2713</v>
      </c>
      <c r="G278" s="58" t="s">
        <v>2714</v>
      </c>
      <c r="H278" s="59">
        <f t="shared" si="7"/>
        <v>86.1875</v>
      </c>
      <c r="I278" s="59">
        <v>13.79</v>
      </c>
    </row>
    <row r="279" spans="1:12">
      <c r="A279" t="s">
        <v>2537</v>
      </c>
      <c r="B279" s="1">
        <v>42124</v>
      </c>
      <c r="C279" t="s">
        <v>2538</v>
      </c>
      <c r="D279">
        <v>1</v>
      </c>
      <c r="E279" t="s">
        <v>2539</v>
      </c>
      <c r="F279" s="58" t="s">
        <v>905</v>
      </c>
      <c r="G279" s="58" t="s">
        <v>906</v>
      </c>
      <c r="H279" s="59">
        <f t="shared" si="7"/>
        <v>1073.9375</v>
      </c>
      <c r="I279" s="59">
        <v>171.83</v>
      </c>
    </row>
    <row r="280" spans="1:12">
      <c r="A280" t="s">
        <v>2537</v>
      </c>
      <c r="B280" s="1">
        <v>42124</v>
      </c>
      <c r="C280" t="s">
        <v>2538</v>
      </c>
      <c r="D280">
        <v>1</v>
      </c>
      <c r="E280" t="s">
        <v>2539</v>
      </c>
      <c r="F280" s="58" t="s">
        <v>2715</v>
      </c>
      <c r="G280" s="58" t="s">
        <v>2716</v>
      </c>
      <c r="H280" s="59">
        <f t="shared" si="7"/>
        <v>90</v>
      </c>
      <c r="I280" s="59">
        <v>14.4</v>
      </c>
    </row>
    <row r="281" spans="1:12">
      <c r="A281" t="s">
        <v>2537</v>
      </c>
      <c r="B281" s="1">
        <v>42124</v>
      </c>
      <c r="C281" t="s">
        <v>2538</v>
      </c>
      <c r="D281">
        <v>1</v>
      </c>
      <c r="E281" t="s">
        <v>2539</v>
      </c>
      <c r="F281" s="58" t="s">
        <v>2717</v>
      </c>
      <c r="G281" s="58" t="s">
        <v>2718</v>
      </c>
      <c r="H281" s="59">
        <f t="shared" si="7"/>
        <v>273.125</v>
      </c>
      <c r="I281" s="59">
        <v>43.7</v>
      </c>
    </row>
    <row r="282" spans="1:12">
      <c r="A282" t="s">
        <v>2537</v>
      </c>
      <c r="B282" s="1">
        <v>42124</v>
      </c>
      <c r="C282" t="s">
        <v>2538</v>
      </c>
      <c r="D282">
        <v>1</v>
      </c>
      <c r="E282" t="s">
        <v>2539</v>
      </c>
      <c r="F282" s="58" t="s">
        <v>722</v>
      </c>
      <c r="G282" s="58" t="s">
        <v>723</v>
      </c>
      <c r="H282" s="59">
        <f t="shared" si="7"/>
        <v>619.0625</v>
      </c>
      <c r="I282" s="59">
        <f>9.66+8.28+3.45+4.83+7.59+4.14+42.48+9.66+8.97-0.01</f>
        <v>99.05</v>
      </c>
    </row>
    <row r="283" spans="1:12">
      <c r="A283" t="s">
        <v>2537</v>
      </c>
      <c r="B283" s="1">
        <v>42124</v>
      </c>
      <c r="C283" t="s">
        <v>2538</v>
      </c>
      <c r="D283">
        <v>1</v>
      </c>
      <c r="E283" t="s">
        <v>2539</v>
      </c>
      <c r="F283" s="58" t="s">
        <v>2719</v>
      </c>
      <c r="G283" s="58" t="s">
        <v>2720</v>
      </c>
      <c r="H283" s="59">
        <f t="shared" ref="H283:H305" si="8">+I283*6.25</f>
        <v>923.12499999999989</v>
      </c>
      <c r="I283" s="59">
        <v>147.69999999999999</v>
      </c>
    </row>
    <row r="284" spans="1:12">
      <c r="A284" t="s">
        <v>2537</v>
      </c>
      <c r="B284" s="1">
        <v>42124</v>
      </c>
      <c r="C284" t="s">
        <v>2538</v>
      </c>
      <c r="D284">
        <v>1</v>
      </c>
      <c r="E284" t="s">
        <v>2539</v>
      </c>
      <c r="F284" s="58" t="s">
        <v>2241</v>
      </c>
      <c r="G284" s="58" t="s">
        <v>2710</v>
      </c>
      <c r="H284" s="59">
        <f t="shared" si="8"/>
        <v>69.8125</v>
      </c>
      <c r="I284" s="59">
        <v>11.17</v>
      </c>
    </row>
    <row r="285" spans="1:12">
      <c r="A285" t="s">
        <v>2537</v>
      </c>
      <c r="B285" s="1">
        <v>42124</v>
      </c>
      <c r="C285" t="s">
        <v>2538</v>
      </c>
      <c r="D285">
        <v>1</v>
      </c>
      <c r="E285" t="s">
        <v>2539</v>
      </c>
      <c r="F285" s="58" t="s">
        <v>2721</v>
      </c>
      <c r="G285" s="58" t="s">
        <v>2722</v>
      </c>
      <c r="H285" s="59">
        <f t="shared" si="8"/>
        <v>167.75</v>
      </c>
      <c r="I285" s="59">
        <v>26.84</v>
      </c>
      <c r="J285" s="60">
        <f>4640.94-H276-H277-H278-H279-H280-H281-H282-H283-H284-H285</f>
        <v>2.4999999997135092E-3</v>
      </c>
      <c r="K285" s="60">
        <f>742.55-I276-I277-I278-I279-I280-I281-I282-I283-I284-I285</f>
        <v>4.6185277824406512E-14</v>
      </c>
      <c r="L285" t="s">
        <v>2723</v>
      </c>
    </row>
    <row r="286" spans="1:12">
      <c r="A286" t="s">
        <v>2525</v>
      </c>
      <c r="B286" s="1">
        <v>42124</v>
      </c>
      <c r="C286" t="s">
        <v>2526</v>
      </c>
      <c r="D286">
        <v>1</v>
      </c>
      <c r="E286" t="s">
        <v>2527</v>
      </c>
      <c r="F286" s="58" t="s">
        <v>722</v>
      </c>
      <c r="G286" s="58" t="s">
        <v>723</v>
      </c>
      <c r="H286" s="59">
        <f t="shared" si="8"/>
        <v>176.8125</v>
      </c>
      <c r="I286" s="59">
        <f>9.66+9.66+8.97</f>
        <v>28.29</v>
      </c>
      <c r="J286" s="7"/>
      <c r="K286" s="7"/>
    </row>
    <row r="287" spans="1:12" ht="16.5" customHeight="1">
      <c r="A287" t="s">
        <v>2525</v>
      </c>
      <c r="B287" s="1">
        <v>42124</v>
      </c>
      <c r="C287" t="s">
        <v>2526</v>
      </c>
      <c r="D287">
        <v>1</v>
      </c>
      <c r="E287" t="s">
        <v>2527</v>
      </c>
      <c r="F287" s="139" t="s">
        <v>714</v>
      </c>
      <c r="G287" s="58" t="s">
        <v>715</v>
      </c>
      <c r="H287" s="59">
        <f t="shared" si="8"/>
        <v>318.9375</v>
      </c>
      <c r="I287" s="59">
        <v>51.03</v>
      </c>
    </row>
    <row r="288" spans="1:12">
      <c r="A288" t="s">
        <v>2525</v>
      </c>
      <c r="B288" s="1">
        <v>42124</v>
      </c>
      <c r="C288" t="s">
        <v>2526</v>
      </c>
      <c r="D288">
        <v>1</v>
      </c>
      <c r="E288" t="s">
        <v>2527</v>
      </c>
      <c r="F288" s="58" t="s">
        <v>745</v>
      </c>
      <c r="G288" s="58" t="s">
        <v>746</v>
      </c>
      <c r="H288" s="59">
        <f t="shared" si="8"/>
        <v>98.25</v>
      </c>
      <c r="I288" s="59">
        <v>15.72</v>
      </c>
    </row>
    <row r="289" spans="1:12">
      <c r="A289" t="s">
        <v>2525</v>
      </c>
      <c r="B289" s="1">
        <v>42124</v>
      </c>
      <c r="C289" t="s">
        <v>2526</v>
      </c>
      <c r="D289">
        <v>1</v>
      </c>
      <c r="E289" t="s">
        <v>2527</v>
      </c>
      <c r="F289" s="58" t="s">
        <v>2724</v>
      </c>
      <c r="G289" s="58" t="s">
        <v>2725</v>
      </c>
      <c r="H289" s="59">
        <f t="shared" si="8"/>
        <v>341.4375</v>
      </c>
      <c r="I289" s="59">
        <v>54.63</v>
      </c>
      <c r="J289" s="60">
        <f>935.44-H286-H287-H288-H289</f>
        <v>2.5000000000545697E-3</v>
      </c>
      <c r="K289" s="60">
        <f>149.67-I286-I287-I288-I289</f>
        <v>0</v>
      </c>
    </row>
    <row r="290" spans="1:12">
      <c r="A290" t="s">
        <v>2528</v>
      </c>
      <c r="B290" s="1">
        <v>42124</v>
      </c>
      <c r="C290" t="s">
        <v>2529</v>
      </c>
      <c r="D290">
        <v>1</v>
      </c>
      <c r="E290" t="s">
        <v>2530</v>
      </c>
      <c r="F290" s="139" t="s">
        <v>714</v>
      </c>
      <c r="G290" s="58" t="s">
        <v>715</v>
      </c>
      <c r="H290" s="59">
        <f t="shared" si="8"/>
        <v>243.125</v>
      </c>
      <c r="I290" s="59">
        <v>38.9</v>
      </c>
      <c r="J290" s="7"/>
      <c r="K290" s="7"/>
    </row>
    <row r="291" spans="1:12">
      <c r="A291" t="s">
        <v>2528</v>
      </c>
      <c r="B291" s="1">
        <v>42124</v>
      </c>
      <c r="C291" t="s">
        <v>2529</v>
      </c>
      <c r="D291">
        <v>1</v>
      </c>
      <c r="E291" t="s">
        <v>2530</v>
      </c>
      <c r="F291" s="58" t="s">
        <v>935</v>
      </c>
      <c r="G291" s="58" t="s">
        <v>2726</v>
      </c>
      <c r="H291" s="59">
        <f t="shared" si="8"/>
        <v>86.1875</v>
      </c>
      <c r="I291" s="59">
        <v>13.79</v>
      </c>
    </row>
    <row r="292" spans="1:12">
      <c r="A292" t="s">
        <v>2528</v>
      </c>
      <c r="B292" s="1">
        <v>42124</v>
      </c>
      <c r="C292" t="s">
        <v>2529</v>
      </c>
      <c r="D292">
        <v>1</v>
      </c>
      <c r="E292" t="s">
        <v>2530</v>
      </c>
      <c r="F292" s="58" t="s">
        <v>722</v>
      </c>
      <c r="G292" s="58" t="s">
        <v>723</v>
      </c>
      <c r="H292" s="59">
        <f t="shared" si="8"/>
        <v>176.6875</v>
      </c>
      <c r="I292" s="59">
        <f>9.66+9.66+8.97-0.02</f>
        <v>28.27</v>
      </c>
    </row>
    <row r="293" spans="1:12">
      <c r="A293" t="s">
        <v>2528</v>
      </c>
      <c r="B293" s="1">
        <v>42124</v>
      </c>
      <c r="C293" t="s">
        <v>2529</v>
      </c>
      <c r="D293">
        <v>1</v>
      </c>
      <c r="E293" t="s">
        <v>2530</v>
      </c>
      <c r="F293" s="58" t="s">
        <v>1626</v>
      </c>
      <c r="G293" s="58" t="s">
        <v>1627</v>
      </c>
      <c r="H293" s="59">
        <f t="shared" si="8"/>
        <v>341.625</v>
      </c>
      <c r="I293" s="59">
        <v>54.66</v>
      </c>
      <c r="J293" s="60">
        <f>847.63-H290-H291-H292-H293</f>
        <v>4.9999999999954525E-3</v>
      </c>
      <c r="K293" s="60">
        <f>135.62-I290-I291-I292-I293</f>
        <v>0</v>
      </c>
      <c r="L293" t="s">
        <v>2723</v>
      </c>
    </row>
    <row r="294" spans="1:12">
      <c r="A294" t="s">
        <v>1809</v>
      </c>
      <c r="B294" s="1">
        <v>42124</v>
      </c>
      <c r="C294" t="s">
        <v>2520</v>
      </c>
      <c r="D294">
        <v>1</v>
      </c>
      <c r="E294" t="s">
        <v>2521</v>
      </c>
      <c r="F294" s="58" t="s">
        <v>961</v>
      </c>
      <c r="G294" s="58" t="s">
        <v>962</v>
      </c>
      <c r="H294" s="59">
        <f t="shared" si="8"/>
        <v>50.29</v>
      </c>
      <c r="I294" s="59">
        <v>8.0464000000000002</v>
      </c>
      <c r="J294" s="7"/>
      <c r="K294" s="7"/>
    </row>
    <row r="295" spans="1:12">
      <c r="A295" t="s">
        <v>1809</v>
      </c>
      <c r="B295" s="1">
        <v>42124</v>
      </c>
      <c r="C295" t="s">
        <v>2520</v>
      </c>
      <c r="D295">
        <v>1</v>
      </c>
      <c r="E295" t="s">
        <v>2521</v>
      </c>
      <c r="F295" s="58" t="s">
        <v>2724</v>
      </c>
      <c r="G295" s="58" t="s">
        <v>2725</v>
      </c>
      <c r="H295" s="59">
        <f t="shared" si="8"/>
        <v>341.4375</v>
      </c>
      <c r="I295" s="59">
        <v>54.63</v>
      </c>
    </row>
    <row r="296" spans="1:12">
      <c r="A296" t="s">
        <v>1809</v>
      </c>
      <c r="B296" s="1">
        <v>42124</v>
      </c>
      <c r="C296" t="s">
        <v>2520</v>
      </c>
      <c r="D296">
        <v>1</v>
      </c>
      <c r="E296" t="s">
        <v>2521</v>
      </c>
      <c r="F296" s="58" t="s">
        <v>745</v>
      </c>
      <c r="G296" s="58" t="s">
        <v>746</v>
      </c>
      <c r="H296" s="59">
        <f t="shared" si="8"/>
        <v>94.8125</v>
      </c>
      <c r="I296" s="59">
        <v>15.17</v>
      </c>
    </row>
    <row r="297" spans="1:12">
      <c r="A297" t="s">
        <v>1809</v>
      </c>
      <c r="B297" s="1">
        <v>42124</v>
      </c>
      <c r="C297" t="s">
        <v>2520</v>
      </c>
      <c r="D297">
        <v>1</v>
      </c>
      <c r="E297" t="s">
        <v>2521</v>
      </c>
      <c r="F297" s="58" t="s">
        <v>722</v>
      </c>
      <c r="G297" s="58" t="s">
        <v>723</v>
      </c>
      <c r="H297" s="59">
        <f t="shared" si="8"/>
        <v>489.68749999999994</v>
      </c>
      <c r="I297" s="59">
        <f>9.66+9.66+8.97+50.07-0.01</f>
        <v>78.349999999999994</v>
      </c>
      <c r="J297" s="60">
        <f>976.25-H294-H295-H296-H297</f>
        <v>2.2500000000093223E-2</v>
      </c>
      <c r="K297" s="60">
        <f>156.2-I294-I295-I296-I297</f>
        <v>3.5999999999916099E-3</v>
      </c>
      <c r="L297" t="s">
        <v>2723</v>
      </c>
    </row>
    <row r="298" spans="1:12">
      <c r="A298" t="s">
        <v>2514</v>
      </c>
      <c r="B298" s="1">
        <v>42124</v>
      </c>
      <c r="C298" t="s">
        <v>2515</v>
      </c>
      <c r="D298">
        <v>1</v>
      </c>
      <c r="E298" t="s">
        <v>2516</v>
      </c>
      <c r="F298" s="58" t="s">
        <v>2734</v>
      </c>
      <c r="G298" s="58" t="s">
        <v>2735</v>
      </c>
      <c r="H298" s="59">
        <f t="shared" si="8"/>
        <v>83.875</v>
      </c>
      <c r="I298" s="59">
        <v>13.42</v>
      </c>
      <c r="J298" s="7"/>
      <c r="K298" s="7"/>
    </row>
    <row r="299" spans="1:12">
      <c r="A299" t="s">
        <v>2514</v>
      </c>
      <c r="B299" s="1">
        <v>42124</v>
      </c>
      <c r="C299" t="s">
        <v>2515</v>
      </c>
      <c r="D299">
        <v>1</v>
      </c>
      <c r="E299" t="s">
        <v>2516</v>
      </c>
      <c r="F299" s="58" t="s">
        <v>722</v>
      </c>
      <c r="G299" s="58" t="s">
        <v>723</v>
      </c>
      <c r="H299" s="59">
        <f t="shared" si="8"/>
        <v>104.9375</v>
      </c>
      <c r="I299" s="59">
        <f>8.97+7.82</f>
        <v>16.79</v>
      </c>
      <c r="J299" s="60">
        <f>188.81-H298-H299</f>
        <v>-2.4999999999977263E-3</v>
      </c>
      <c r="K299" s="60">
        <f>30.21-I298-I299</f>
        <v>0</v>
      </c>
    </row>
    <row r="300" spans="1:12">
      <c r="A300" t="s">
        <v>2517</v>
      </c>
      <c r="B300" s="1">
        <v>42124</v>
      </c>
      <c r="C300" t="s">
        <v>2518</v>
      </c>
      <c r="D300">
        <v>1</v>
      </c>
      <c r="E300" t="s">
        <v>2519</v>
      </c>
      <c r="F300" s="58" t="s">
        <v>722</v>
      </c>
      <c r="G300" s="58" t="s">
        <v>723</v>
      </c>
      <c r="H300" s="59">
        <f t="shared" si="8"/>
        <v>752.24999999999989</v>
      </c>
      <c r="I300" s="59">
        <f>13.52+15.45+16+21.38+8.97+15.86+7.86+8.97+7.17+5.46-0.28</f>
        <v>120.35999999999999</v>
      </c>
      <c r="J300" s="7"/>
      <c r="K300" s="7"/>
    </row>
    <row r="301" spans="1:12">
      <c r="A301" t="s">
        <v>2517</v>
      </c>
      <c r="B301" s="1">
        <v>42124</v>
      </c>
      <c r="C301" t="s">
        <v>2518</v>
      </c>
      <c r="D301">
        <v>1</v>
      </c>
      <c r="E301" t="s">
        <v>2519</v>
      </c>
      <c r="F301" s="58" t="s">
        <v>2727</v>
      </c>
      <c r="G301" s="58" t="s">
        <v>2728</v>
      </c>
      <c r="H301" s="59">
        <f t="shared" si="8"/>
        <v>341.4375</v>
      </c>
      <c r="I301" s="59">
        <v>54.63</v>
      </c>
    </row>
    <row r="302" spans="1:12">
      <c r="A302" t="s">
        <v>2517</v>
      </c>
      <c r="B302" s="1">
        <v>42124</v>
      </c>
      <c r="C302" t="s">
        <v>2518</v>
      </c>
      <c r="D302">
        <v>1</v>
      </c>
      <c r="E302" t="s">
        <v>2519</v>
      </c>
      <c r="F302" s="58" t="s">
        <v>2729</v>
      </c>
      <c r="G302" s="58" t="s">
        <v>2730</v>
      </c>
      <c r="H302" s="59">
        <f t="shared" si="8"/>
        <v>98.25</v>
      </c>
      <c r="I302" s="59">
        <v>15.72</v>
      </c>
    </row>
    <row r="303" spans="1:12">
      <c r="A303" t="s">
        <v>2517</v>
      </c>
      <c r="B303" s="1">
        <v>42124</v>
      </c>
      <c r="C303" t="s">
        <v>2518</v>
      </c>
      <c r="D303">
        <v>1</v>
      </c>
      <c r="E303" t="s">
        <v>2519</v>
      </c>
      <c r="F303" s="58" t="s">
        <v>945</v>
      </c>
      <c r="G303" s="58" t="s">
        <v>2731</v>
      </c>
      <c r="H303" s="59">
        <f t="shared" si="8"/>
        <v>455.31249999999994</v>
      </c>
      <c r="I303" s="59">
        <v>72.849999999999994</v>
      </c>
    </row>
    <row r="304" spans="1:12">
      <c r="A304" t="s">
        <v>2517</v>
      </c>
      <c r="B304" s="1">
        <v>42124</v>
      </c>
      <c r="C304" t="s">
        <v>2518</v>
      </c>
      <c r="D304">
        <v>1</v>
      </c>
      <c r="E304" t="s">
        <v>2519</v>
      </c>
      <c r="F304" s="58" t="s">
        <v>2732</v>
      </c>
      <c r="G304" s="58" t="s">
        <v>2733</v>
      </c>
      <c r="H304" s="59">
        <f t="shared" si="8"/>
        <v>444.75</v>
      </c>
      <c r="I304" s="59">
        <v>71.16</v>
      </c>
    </row>
    <row r="305" spans="1:12">
      <c r="A305" t="s">
        <v>2517</v>
      </c>
      <c r="B305" s="1">
        <v>42124</v>
      </c>
      <c r="C305" t="s">
        <v>2518</v>
      </c>
      <c r="D305">
        <v>1</v>
      </c>
      <c r="E305" t="s">
        <v>2519</v>
      </c>
      <c r="F305" s="58" t="s">
        <v>915</v>
      </c>
      <c r="G305" s="58" t="s">
        <v>916</v>
      </c>
      <c r="H305" s="59">
        <f t="shared" si="8"/>
        <v>681.0625</v>
      </c>
      <c r="I305" s="59">
        <v>108.97</v>
      </c>
      <c r="J305" s="60">
        <f>2774.81-H300-H301-H302-H303-H304-H305</f>
        <v>1.7474999999999454</v>
      </c>
      <c r="K305" s="60">
        <f>443.97-I300-I301-I302-I303-I304-I305</f>
        <v>0.28000000000002956</v>
      </c>
      <c r="L305" t="s">
        <v>2723</v>
      </c>
    </row>
    <row r="306" spans="1:12">
      <c r="A306" t="s">
        <v>2287</v>
      </c>
      <c r="B306" s="1">
        <v>42104</v>
      </c>
      <c r="C306" t="s">
        <v>2288</v>
      </c>
      <c r="D306">
        <v>1</v>
      </c>
      <c r="E306" t="s">
        <v>2289</v>
      </c>
      <c r="F306" s="58" t="s">
        <v>951</v>
      </c>
      <c r="G306" s="58" t="s">
        <v>2289</v>
      </c>
      <c r="H306" s="7">
        <f t="shared" si="6"/>
        <v>301014.625</v>
      </c>
      <c r="I306" s="7">
        <v>48162.34</v>
      </c>
    </row>
    <row r="307" spans="1:12">
      <c r="A307" t="s">
        <v>488</v>
      </c>
      <c r="B307" s="1">
        <v>42114</v>
      </c>
      <c r="C307" t="s">
        <v>2643</v>
      </c>
      <c r="D307">
        <v>1</v>
      </c>
      <c r="E307" t="s">
        <v>642</v>
      </c>
      <c r="F307" s="49" t="s">
        <v>952</v>
      </c>
      <c r="G307" s="49" t="s">
        <v>642</v>
      </c>
      <c r="H307" s="7">
        <f t="shared" si="6"/>
        <v>2250</v>
      </c>
      <c r="I307" s="7">
        <v>360</v>
      </c>
    </row>
    <row r="308" spans="1:12">
      <c r="A308" t="s">
        <v>2442</v>
      </c>
      <c r="B308" s="1">
        <v>42124</v>
      </c>
      <c r="C308" t="s">
        <v>2443</v>
      </c>
      <c r="D308">
        <v>1</v>
      </c>
      <c r="E308" t="s">
        <v>2444</v>
      </c>
      <c r="F308" s="49" t="s">
        <v>2703</v>
      </c>
      <c r="G308" s="49" t="s">
        <v>2444</v>
      </c>
      <c r="H308" s="7">
        <f t="shared" si="6"/>
        <v>349.8125</v>
      </c>
      <c r="I308" s="7">
        <v>55.97</v>
      </c>
    </row>
    <row r="309" spans="1:12">
      <c r="A309" t="s">
        <v>1805</v>
      </c>
      <c r="B309" s="1">
        <v>42124</v>
      </c>
      <c r="C309" t="s">
        <v>2482</v>
      </c>
      <c r="D309">
        <v>1</v>
      </c>
      <c r="E309" t="s">
        <v>2483</v>
      </c>
      <c r="F309" s="49" t="s">
        <v>802</v>
      </c>
      <c r="G309" s="49" t="s">
        <v>2483</v>
      </c>
      <c r="H309" s="7">
        <f t="shared" si="6"/>
        <v>310.375</v>
      </c>
      <c r="I309" s="7">
        <v>49.66</v>
      </c>
    </row>
    <row r="310" spans="1:12">
      <c r="A310" t="s">
        <v>460</v>
      </c>
      <c r="B310" s="1">
        <v>42109</v>
      </c>
      <c r="C310" t="s">
        <v>2622</v>
      </c>
      <c r="D310">
        <v>1</v>
      </c>
      <c r="E310" t="s">
        <v>1441</v>
      </c>
      <c r="F310" s="49" t="s">
        <v>1645</v>
      </c>
      <c r="G310" s="49" t="s">
        <v>1441</v>
      </c>
      <c r="H310" s="7">
        <f t="shared" si="6"/>
        <v>3488.1875</v>
      </c>
      <c r="I310" s="7">
        <v>558.11</v>
      </c>
    </row>
    <row r="312" spans="1:12">
      <c r="H312" s="8"/>
      <c r="I312" s="8"/>
      <c r="K312" s="60"/>
    </row>
    <row r="313" spans="1:12">
      <c r="H313" s="9">
        <f>SUM(H7:H312)</f>
        <v>15695007.789999999</v>
      </c>
      <c r="I313" s="9">
        <f>SUM(I7:I312)</f>
        <v>2511201.2464000019</v>
      </c>
      <c r="K313" s="9">
        <f>SUM(K7:K310)</f>
        <v>1069.2635999999959</v>
      </c>
    </row>
    <row r="314" spans="1:12">
      <c r="H314" s="10">
        <f>2727364.62-214743.3</f>
        <v>2512621.3200000003</v>
      </c>
      <c r="I314" s="10">
        <f>+H314-I313</f>
        <v>1420.0735999983735</v>
      </c>
      <c r="J314" t="s">
        <v>960</v>
      </c>
      <c r="K314" s="7"/>
    </row>
    <row r="315" spans="1:12" s="84" customFormat="1">
      <c r="A315" s="84" t="s">
        <v>530</v>
      </c>
      <c r="B315" s="147">
        <v>42124</v>
      </c>
      <c r="C315" s="84" t="s">
        <v>2673</v>
      </c>
      <c r="D315" s="84">
        <v>1</v>
      </c>
      <c r="E315" s="84" t="s">
        <v>1364</v>
      </c>
      <c r="F315" s="165" t="s">
        <v>1559</v>
      </c>
      <c r="G315" s="166" t="s">
        <v>1364</v>
      </c>
      <c r="H315" s="148">
        <f>+I315/0.16</f>
        <v>8875.4375</v>
      </c>
      <c r="I315" s="148">
        <v>1420.07</v>
      </c>
      <c r="J315" s="84" t="s">
        <v>7556</v>
      </c>
    </row>
    <row r="316" spans="1:12">
      <c r="F316" s="11"/>
      <c r="I316" s="9">
        <f>+I315+I313</f>
        <v>2512621.3164000018</v>
      </c>
    </row>
    <row r="317" spans="1:12">
      <c r="F317" s="11"/>
      <c r="I317" s="9"/>
    </row>
    <row r="318" spans="1:12">
      <c r="F318" s="11"/>
      <c r="I318" s="9"/>
    </row>
    <row r="319" spans="1:12">
      <c r="F319" s="11"/>
      <c r="I319" s="9"/>
    </row>
    <row r="320" spans="1:12">
      <c r="F320" s="12" t="s">
        <v>696</v>
      </c>
    </row>
    <row r="321" spans="1:10">
      <c r="F321" s="13" t="s">
        <v>7288</v>
      </c>
    </row>
    <row r="322" spans="1:10">
      <c r="F322" s="11"/>
    </row>
    <row r="323" spans="1:10">
      <c r="A323" s="14"/>
      <c r="B323" s="14"/>
      <c r="C323" s="14"/>
      <c r="D323" s="14"/>
      <c r="E323" s="14"/>
      <c r="F323" s="14" t="s">
        <v>692</v>
      </c>
      <c r="G323" s="14" t="s">
        <v>693</v>
      </c>
      <c r="H323" s="15" t="s">
        <v>694</v>
      </c>
      <c r="I323" s="14" t="s">
        <v>695</v>
      </c>
      <c r="J323" s="14" t="s">
        <v>697</v>
      </c>
    </row>
    <row r="324" spans="1:10">
      <c r="A324" s="150" t="s">
        <v>7544</v>
      </c>
      <c r="B324">
        <v>85</v>
      </c>
      <c r="F324" s="58" t="s">
        <v>2215</v>
      </c>
      <c r="G324" s="58" t="s">
        <v>2748</v>
      </c>
      <c r="H324" s="7">
        <f>+I324/0.16</f>
        <v>75.0625</v>
      </c>
      <c r="I324" s="7">
        <f t="shared" ref="I324:I355" si="9">+SUMIF($F$7:$F$310,F324,$I$7:$I$310)</f>
        <v>12.01</v>
      </c>
    </row>
    <row r="325" spans="1:10">
      <c r="A325" s="150" t="s">
        <v>7544</v>
      </c>
      <c r="B325">
        <v>85</v>
      </c>
      <c r="F325" s="48" t="s">
        <v>1604</v>
      </c>
      <c r="G325" s="49" t="s">
        <v>1501</v>
      </c>
      <c r="H325" s="7">
        <f t="shared" ref="H325:H387" si="10">+I325/0.16</f>
        <v>1300</v>
      </c>
      <c r="I325" s="7">
        <f t="shared" si="9"/>
        <v>208</v>
      </c>
    </row>
    <row r="326" spans="1:10">
      <c r="A326" s="150" t="s">
        <v>7544</v>
      </c>
      <c r="B326">
        <v>85</v>
      </c>
      <c r="F326" s="53" t="s">
        <v>733</v>
      </c>
      <c r="G326" s="54" t="s">
        <v>734</v>
      </c>
      <c r="H326" s="7">
        <f t="shared" si="10"/>
        <v>944.75</v>
      </c>
      <c r="I326" s="7">
        <f t="shared" si="9"/>
        <v>151.16</v>
      </c>
    </row>
    <row r="327" spans="1:10">
      <c r="A327" s="150" t="s">
        <v>7544</v>
      </c>
      <c r="B327">
        <v>85</v>
      </c>
      <c r="F327" s="58" t="s">
        <v>879</v>
      </c>
      <c r="G327" s="58" t="s">
        <v>880</v>
      </c>
      <c r="H327" s="7">
        <f t="shared" si="10"/>
        <v>377.4375</v>
      </c>
      <c r="I327" s="7">
        <f t="shared" si="9"/>
        <v>60.39</v>
      </c>
    </row>
    <row r="328" spans="1:10">
      <c r="A328" s="150" t="s">
        <v>7544</v>
      </c>
      <c r="B328">
        <v>85</v>
      </c>
      <c r="F328" s="58" t="s">
        <v>2241</v>
      </c>
      <c r="G328" s="58" t="s">
        <v>2710</v>
      </c>
      <c r="H328" s="7">
        <f t="shared" si="10"/>
        <v>191.37499999999997</v>
      </c>
      <c r="I328" s="7">
        <f t="shared" si="9"/>
        <v>30.619999999999997</v>
      </c>
    </row>
    <row r="329" spans="1:10">
      <c r="A329" s="150" t="s">
        <v>7544</v>
      </c>
      <c r="B329">
        <v>85</v>
      </c>
      <c r="F329" s="49" t="s">
        <v>2191</v>
      </c>
      <c r="G329" s="49" t="s">
        <v>1938</v>
      </c>
      <c r="H329" s="7">
        <f t="shared" si="10"/>
        <v>440</v>
      </c>
      <c r="I329" s="7">
        <f t="shared" si="9"/>
        <v>70.400000000000006</v>
      </c>
    </row>
    <row r="330" spans="1:10">
      <c r="A330" s="150" t="s">
        <v>7544</v>
      </c>
      <c r="B330">
        <v>85</v>
      </c>
      <c r="F330" s="49" t="s">
        <v>711</v>
      </c>
      <c r="G330" s="49" t="s">
        <v>317</v>
      </c>
      <c r="H330" s="7">
        <f t="shared" si="10"/>
        <v>585.75</v>
      </c>
      <c r="I330" s="7">
        <f t="shared" si="9"/>
        <v>93.72</v>
      </c>
    </row>
    <row r="331" spans="1:10">
      <c r="A331" s="150" t="s">
        <v>7544</v>
      </c>
      <c r="B331">
        <v>85</v>
      </c>
      <c r="F331" s="58" t="s">
        <v>745</v>
      </c>
      <c r="G331" s="58" t="s">
        <v>746</v>
      </c>
      <c r="H331" s="7">
        <f t="shared" si="10"/>
        <v>193.0625</v>
      </c>
      <c r="I331" s="7">
        <f t="shared" si="9"/>
        <v>30.89</v>
      </c>
    </row>
    <row r="332" spans="1:10">
      <c r="A332" s="150" t="s">
        <v>7544</v>
      </c>
      <c r="B332">
        <v>85</v>
      </c>
      <c r="F332" s="139" t="s">
        <v>714</v>
      </c>
      <c r="G332" s="58" t="s">
        <v>715</v>
      </c>
      <c r="H332" s="7">
        <f t="shared" si="10"/>
        <v>5070.625</v>
      </c>
      <c r="I332" s="7">
        <f t="shared" si="9"/>
        <v>811.3</v>
      </c>
    </row>
    <row r="333" spans="1:10">
      <c r="A333" s="150" t="s">
        <v>7544</v>
      </c>
      <c r="B333">
        <v>85</v>
      </c>
      <c r="F333" s="49" t="s">
        <v>2691</v>
      </c>
      <c r="G333" s="49" t="s">
        <v>2380</v>
      </c>
      <c r="H333" s="7">
        <f t="shared" si="10"/>
        <v>694.4375</v>
      </c>
      <c r="I333" s="7">
        <f t="shared" si="9"/>
        <v>111.11</v>
      </c>
    </row>
    <row r="334" spans="1:10">
      <c r="A334" s="150" t="s">
        <v>7544</v>
      </c>
      <c r="B334">
        <v>85</v>
      </c>
      <c r="F334" s="58" t="s">
        <v>751</v>
      </c>
      <c r="G334" s="58" t="s">
        <v>752</v>
      </c>
      <c r="H334" s="7">
        <f t="shared" si="10"/>
        <v>1355.2499999999998</v>
      </c>
      <c r="I334" s="7">
        <f t="shared" si="9"/>
        <v>216.83999999999997</v>
      </c>
    </row>
    <row r="335" spans="1:10">
      <c r="A335" s="150" t="s">
        <v>7544</v>
      </c>
      <c r="B335">
        <v>85</v>
      </c>
      <c r="F335" s="50" t="s">
        <v>2187</v>
      </c>
      <c r="G335" s="49" t="s">
        <v>2329</v>
      </c>
      <c r="H335" s="7">
        <f t="shared" si="10"/>
        <v>264824.5625</v>
      </c>
      <c r="I335" s="7">
        <f t="shared" si="9"/>
        <v>42371.93</v>
      </c>
    </row>
    <row r="336" spans="1:10">
      <c r="A336" s="150" t="s">
        <v>7544</v>
      </c>
      <c r="B336">
        <v>85</v>
      </c>
      <c r="F336" s="51" t="s">
        <v>2192</v>
      </c>
      <c r="G336" s="49" t="s">
        <v>2689</v>
      </c>
      <c r="H336" s="7">
        <f t="shared" si="10"/>
        <v>765805.9375</v>
      </c>
      <c r="I336" s="7">
        <f t="shared" si="9"/>
        <v>122528.95</v>
      </c>
    </row>
    <row r="337" spans="1:10">
      <c r="A337" s="150" t="s">
        <v>7544</v>
      </c>
      <c r="B337" s="150" t="s">
        <v>7567</v>
      </c>
      <c r="F337" s="50" t="s">
        <v>2688</v>
      </c>
      <c r="G337" s="49" t="s">
        <v>2682</v>
      </c>
      <c r="H337" s="7">
        <f t="shared" si="10"/>
        <v>12931.999999999998</v>
      </c>
      <c r="I337" s="7">
        <f t="shared" si="9"/>
        <v>2069.12</v>
      </c>
      <c r="J337">
        <v>1713.22</v>
      </c>
    </row>
    <row r="338" spans="1:10">
      <c r="A338" s="150" t="s">
        <v>7544</v>
      </c>
      <c r="B338">
        <v>85</v>
      </c>
      <c r="F338" s="52" t="s">
        <v>2690</v>
      </c>
      <c r="G338" s="49" t="s">
        <v>2278</v>
      </c>
      <c r="H338" s="7">
        <f t="shared" si="10"/>
        <v>148652.125</v>
      </c>
      <c r="I338" s="7">
        <f t="shared" si="9"/>
        <v>23784.34</v>
      </c>
    </row>
    <row r="339" spans="1:10">
      <c r="A339" s="150" t="s">
        <v>7544</v>
      </c>
      <c r="B339">
        <v>85</v>
      </c>
      <c r="F339" s="26" t="s">
        <v>737</v>
      </c>
      <c r="G339" s="63" t="s">
        <v>738</v>
      </c>
      <c r="H339" s="7">
        <f t="shared" si="10"/>
        <v>10864.9375</v>
      </c>
      <c r="I339" s="7">
        <f t="shared" si="9"/>
        <v>1738.39</v>
      </c>
    </row>
    <row r="340" spans="1:10">
      <c r="A340" s="150" t="s">
        <v>7544</v>
      </c>
      <c r="B340">
        <v>85</v>
      </c>
      <c r="F340" s="50" t="s">
        <v>735</v>
      </c>
      <c r="G340" s="50" t="s">
        <v>736</v>
      </c>
      <c r="H340" s="7">
        <f t="shared" si="10"/>
        <v>285</v>
      </c>
      <c r="I340" s="7">
        <f t="shared" si="9"/>
        <v>45.6</v>
      </c>
    </row>
    <row r="341" spans="1:10">
      <c r="A341" s="150" t="s">
        <v>7544</v>
      </c>
      <c r="B341">
        <v>85</v>
      </c>
      <c r="F341" s="49" t="s">
        <v>2212</v>
      </c>
      <c r="G341" s="49" t="s">
        <v>2097</v>
      </c>
      <c r="H341" s="7">
        <f t="shared" si="10"/>
        <v>3785.625</v>
      </c>
      <c r="I341" s="7">
        <f t="shared" si="9"/>
        <v>605.70000000000005</v>
      </c>
    </row>
    <row r="342" spans="1:10">
      <c r="A342" s="150" t="s">
        <v>7544</v>
      </c>
      <c r="B342">
        <v>85</v>
      </c>
      <c r="F342" s="53" t="s">
        <v>741</v>
      </c>
      <c r="G342" s="53" t="s">
        <v>742</v>
      </c>
      <c r="H342" s="7">
        <f t="shared" si="10"/>
        <v>984</v>
      </c>
      <c r="I342" s="7">
        <f t="shared" si="9"/>
        <v>157.44</v>
      </c>
    </row>
    <row r="343" spans="1:10">
      <c r="A343" s="150" t="s">
        <v>7544</v>
      </c>
      <c r="B343">
        <v>85</v>
      </c>
      <c r="F343" s="53" t="s">
        <v>739</v>
      </c>
      <c r="G343" s="53" t="s">
        <v>740</v>
      </c>
      <c r="H343" s="7">
        <f t="shared" si="10"/>
        <v>3555.6874999999995</v>
      </c>
      <c r="I343" s="7">
        <f t="shared" si="9"/>
        <v>568.91</v>
      </c>
    </row>
    <row r="344" spans="1:10">
      <c r="A344" s="150" t="s">
        <v>7544</v>
      </c>
      <c r="B344">
        <v>85</v>
      </c>
      <c r="F344" s="49" t="s">
        <v>712</v>
      </c>
      <c r="G344" s="49" t="s">
        <v>312</v>
      </c>
      <c r="H344" s="7">
        <f t="shared" si="10"/>
        <v>517.25</v>
      </c>
      <c r="I344" s="7">
        <f t="shared" si="9"/>
        <v>82.76</v>
      </c>
    </row>
    <row r="345" spans="1:10">
      <c r="A345" s="150" t="s">
        <v>7544</v>
      </c>
      <c r="B345">
        <v>85</v>
      </c>
      <c r="F345" s="53" t="s">
        <v>743</v>
      </c>
      <c r="G345" s="53" t="s">
        <v>744</v>
      </c>
      <c r="H345" s="7">
        <f t="shared" si="10"/>
        <v>26</v>
      </c>
      <c r="I345" s="7">
        <f t="shared" si="9"/>
        <v>4.16</v>
      </c>
    </row>
    <row r="346" spans="1:10">
      <c r="A346" s="150" t="s">
        <v>7544</v>
      </c>
      <c r="B346">
        <v>85</v>
      </c>
      <c r="F346" s="49" t="s">
        <v>790</v>
      </c>
      <c r="G346" s="49" t="s">
        <v>428</v>
      </c>
      <c r="H346" s="7">
        <f t="shared" si="10"/>
        <v>1167396.3124999998</v>
      </c>
      <c r="I346" s="7">
        <f t="shared" si="9"/>
        <v>186783.40999999997</v>
      </c>
    </row>
    <row r="347" spans="1:10">
      <c r="A347" s="150" t="s">
        <v>7544</v>
      </c>
      <c r="B347" s="150" t="s">
        <v>7566</v>
      </c>
      <c r="F347" s="49" t="s">
        <v>956</v>
      </c>
      <c r="G347" s="49" t="s">
        <v>957</v>
      </c>
      <c r="H347" s="7">
        <f t="shared" si="10"/>
        <v>30000</v>
      </c>
      <c r="I347" s="7">
        <f t="shared" si="9"/>
        <v>4800</v>
      </c>
      <c r="J347">
        <v>3934.98</v>
      </c>
    </row>
    <row r="348" spans="1:10">
      <c r="A348" s="150" t="s">
        <v>7544</v>
      </c>
      <c r="B348">
        <v>85</v>
      </c>
      <c r="F348" s="58" t="s">
        <v>2761</v>
      </c>
      <c r="G348" s="58" t="s">
        <v>2762</v>
      </c>
      <c r="H348" s="7">
        <f t="shared" si="10"/>
        <v>419.625</v>
      </c>
      <c r="I348" s="7">
        <f t="shared" si="9"/>
        <v>67.14</v>
      </c>
    </row>
    <row r="349" spans="1:10">
      <c r="A349" s="150" t="s">
        <v>7544</v>
      </c>
      <c r="B349">
        <v>85</v>
      </c>
      <c r="F349" s="58" t="s">
        <v>2717</v>
      </c>
      <c r="G349" s="58" t="s">
        <v>2718</v>
      </c>
      <c r="H349" s="7">
        <f t="shared" si="10"/>
        <v>273.125</v>
      </c>
      <c r="I349" s="7">
        <f t="shared" si="9"/>
        <v>43.7</v>
      </c>
    </row>
    <row r="350" spans="1:10">
      <c r="A350" s="150" t="s">
        <v>7544</v>
      </c>
      <c r="B350">
        <v>85</v>
      </c>
      <c r="F350" s="53" t="s">
        <v>724</v>
      </c>
      <c r="G350" s="49" t="s">
        <v>80</v>
      </c>
      <c r="H350" s="7">
        <f t="shared" si="10"/>
        <v>221075.9375</v>
      </c>
      <c r="I350" s="7">
        <f t="shared" si="9"/>
        <v>35372.15</v>
      </c>
    </row>
    <row r="351" spans="1:10">
      <c r="A351" s="150" t="s">
        <v>7544</v>
      </c>
      <c r="B351">
        <v>85</v>
      </c>
      <c r="F351" s="58" t="s">
        <v>1543</v>
      </c>
      <c r="G351" s="58" t="s">
        <v>2747</v>
      </c>
      <c r="H351" s="7">
        <f t="shared" si="10"/>
        <v>142.25</v>
      </c>
      <c r="I351" s="7">
        <f t="shared" si="9"/>
        <v>22.76</v>
      </c>
    </row>
    <row r="352" spans="1:10">
      <c r="A352" s="150" t="s">
        <v>7544</v>
      </c>
      <c r="B352">
        <v>85</v>
      </c>
      <c r="F352" s="49" t="s">
        <v>730</v>
      </c>
      <c r="G352" s="49" t="s">
        <v>476</v>
      </c>
      <c r="H352" s="7">
        <f t="shared" si="10"/>
        <v>7482.75</v>
      </c>
      <c r="I352" s="7">
        <f t="shared" si="9"/>
        <v>1197.24</v>
      </c>
    </row>
    <row r="353" spans="1:9">
      <c r="A353" s="150" t="s">
        <v>7544</v>
      </c>
      <c r="B353">
        <v>85</v>
      </c>
      <c r="F353" s="49" t="s">
        <v>731</v>
      </c>
      <c r="G353" s="49" t="s">
        <v>308</v>
      </c>
      <c r="H353" s="7">
        <f t="shared" si="10"/>
        <v>77.5625</v>
      </c>
      <c r="I353" s="7">
        <f t="shared" si="9"/>
        <v>12.41</v>
      </c>
    </row>
    <row r="354" spans="1:9">
      <c r="A354" s="150" t="s">
        <v>7544</v>
      </c>
      <c r="B354">
        <v>85</v>
      </c>
      <c r="F354" s="49" t="s">
        <v>808</v>
      </c>
      <c r="G354" s="49" t="s">
        <v>489</v>
      </c>
      <c r="H354" s="7">
        <f t="shared" si="10"/>
        <v>18950.875</v>
      </c>
      <c r="I354" s="7">
        <f t="shared" si="9"/>
        <v>3032.14</v>
      </c>
    </row>
    <row r="355" spans="1:9">
      <c r="A355" s="150" t="s">
        <v>7544</v>
      </c>
      <c r="B355">
        <v>85</v>
      </c>
      <c r="F355" s="58" t="s">
        <v>2763</v>
      </c>
      <c r="G355" s="58" t="s">
        <v>2764</v>
      </c>
      <c r="H355" s="7">
        <f t="shared" si="10"/>
        <v>419.37499999999994</v>
      </c>
      <c r="I355" s="7">
        <f t="shared" si="9"/>
        <v>67.099999999999994</v>
      </c>
    </row>
    <row r="356" spans="1:9">
      <c r="A356" s="150" t="s">
        <v>7544</v>
      </c>
      <c r="B356">
        <v>85</v>
      </c>
      <c r="F356" s="49" t="s">
        <v>726</v>
      </c>
      <c r="G356" s="49" t="s">
        <v>293</v>
      </c>
      <c r="H356" s="7">
        <f t="shared" si="10"/>
        <v>65.5</v>
      </c>
      <c r="I356" s="7">
        <f t="shared" ref="I356:I387" si="11">+SUMIF($F$7:$F$310,F356,$I$7:$I$310)</f>
        <v>10.48</v>
      </c>
    </row>
    <row r="357" spans="1:9">
      <c r="A357" s="150" t="s">
        <v>7544</v>
      </c>
      <c r="B357">
        <v>85</v>
      </c>
      <c r="F357" s="49" t="s">
        <v>2199</v>
      </c>
      <c r="G357" s="49" t="s">
        <v>2078</v>
      </c>
      <c r="H357" s="7">
        <f t="shared" si="10"/>
        <v>11758.25</v>
      </c>
      <c r="I357" s="7">
        <f t="shared" si="11"/>
        <v>1881.32</v>
      </c>
    </row>
    <row r="358" spans="1:9">
      <c r="A358" s="150" t="s">
        <v>7544</v>
      </c>
      <c r="B358">
        <v>85</v>
      </c>
      <c r="F358" s="49" t="s">
        <v>759</v>
      </c>
      <c r="G358" s="49" t="s">
        <v>270</v>
      </c>
      <c r="H358" s="7">
        <f t="shared" si="10"/>
        <v>112.0625</v>
      </c>
      <c r="I358" s="7">
        <f t="shared" si="11"/>
        <v>17.93</v>
      </c>
    </row>
    <row r="359" spans="1:9">
      <c r="A359" s="150" t="s">
        <v>7544</v>
      </c>
      <c r="B359">
        <v>85</v>
      </c>
      <c r="F359" s="58" t="s">
        <v>2719</v>
      </c>
      <c r="G359" s="58" t="s">
        <v>2720</v>
      </c>
      <c r="H359" s="7">
        <f t="shared" si="10"/>
        <v>923.12499999999989</v>
      </c>
      <c r="I359" s="7">
        <f t="shared" si="11"/>
        <v>147.69999999999999</v>
      </c>
    </row>
    <row r="360" spans="1:9">
      <c r="A360" s="150" t="s">
        <v>7544</v>
      </c>
      <c r="B360">
        <v>85</v>
      </c>
      <c r="F360" s="49" t="s">
        <v>1551</v>
      </c>
      <c r="G360" s="49" t="s">
        <v>1436</v>
      </c>
      <c r="H360" s="7">
        <f t="shared" si="10"/>
        <v>1163.25</v>
      </c>
      <c r="I360" s="7">
        <f t="shared" si="11"/>
        <v>186.12</v>
      </c>
    </row>
    <row r="361" spans="1:9">
      <c r="A361" s="150" t="s">
        <v>7544</v>
      </c>
      <c r="B361">
        <v>85</v>
      </c>
      <c r="F361" s="58" t="s">
        <v>817</v>
      </c>
      <c r="G361" s="58" t="s">
        <v>2760</v>
      </c>
      <c r="H361" s="7">
        <f t="shared" si="10"/>
        <v>138.8125</v>
      </c>
      <c r="I361" s="7">
        <f t="shared" si="11"/>
        <v>22.21</v>
      </c>
    </row>
    <row r="362" spans="1:9">
      <c r="A362" s="150" t="s">
        <v>7544</v>
      </c>
      <c r="B362">
        <v>85</v>
      </c>
      <c r="F362" s="49" t="s">
        <v>2692</v>
      </c>
      <c r="G362" s="49" t="s">
        <v>2646</v>
      </c>
      <c r="H362" s="7">
        <f t="shared" si="10"/>
        <v>51437.5</v>
      </c>
      <c r="I362" s="7">
        <f t="shared" si="11"/>
        <v>8230</v>
      </c>
    </row>
    <row r="363" spans="1:9">
      <c r="A363" s="150" t="s">
        <v>7544</v>
      </c>
      <c r="B363">
        <v>85</v>
      </c>
      <c r="F363" s="55" t="s">
        <v>797</v>
      </c>
      <c r="G363" s="49" t="s">
        <v>2326</v>
      </c>
      <c r="H363" s="7">
        <f t="shared" si="10"/>
        <v>156409.0625</v>
      </c>
      <c r="I363" s="7">
        <f t="shared" si="11"/>
        <v>25025.45</v>
      </c>
    </row>
    <row r="364" spans="1:9">
      <c r="A364" s="150" t="s">
        <v>7544</v>
      </c>
      <c r="B364">
        <v>85</v>
      </c>
      <c r="F364" s="49" t="s">
        <v>2693</v>
      </c>
      <c r="G364" s="49" t="s">
        <v>2447</v>
      </c>
      <c r="H364" s="7">
        <f t="shared" si="10"/>
        <v>700</v>
      </c>
      <c r="I364" s="7">
        <f t="shared" si="11"/>
        <v>112</v>
      </c>
    </row>
    <row r="365" spans="1:9">
      <c r="A365" s="150" t="s">
        <v>7544</v>
      </c>
      <c r="B365">
        <v>85</v>
      </c>
      <c r="F365" s="49" t="s">
        <v>795</v>
      </c>
      <c r="G365" s="49" t="s">
        <v>638</v>
      </c>
      <c r="H365" s="7">
        <f t="shared" si="10"/>
        <v>93069</v>
      </c>
      <c r="I365" s="7">
        <f t="shared" si="11"/>
        <v>14891.04</v>
      </c>
    </row>
    <row r="366" spans="1:9">
      <c r="A366" s="150" t="s">
        <v>7544</v>
      </c>
      <c r="B366">
        <v>85</v>
      </c>
      <c r="F366" s="58" t="s">
        <v>796</v>
      </c>
      <c r="G366" s="58" t="s">
        <v>2749</v>
      </c>
      <c r="H366" s="7">
        <f t="shared" si="10"/>
        <v>189.625</v>
      </c>
      <c r="I366" s="7">
        <f t="shared" si="11"/>
        <v>30.34</v>
      </c>
    </row>
    <row r="367" spans="1:9">
      <c r="A367" s="150" t="s">
        <v>7544</v>
      </c>
      <c r="B367">
        <v>85</v>
      </c>
      <c r="F367" s="49" t="s">
        <v>704</v>
      </c>
      <c r="G367" s="49" t="s">
        <v>576</v>
      </c>
      <c r="H367" s="7">
        <f t="shared" si="10"/>
        <v>1336.1874999999998</v>
      </c>
      <c r="I367" s="7">
        <f t="shared" si="11"/>
        <v>213.78999999999996</v>
      </c>
    </row>
    <row r="368" spans="1:9">
      <c r="A368" s="150" t="s">
        <v>7544</v>
      </c>
      <c r="B368">
        <v>85</v>
      </c>
      <c r="F368" s="49" t="s">
        <v>2694</v>
      </c>
      <c r="G368" s="49" t="s">
        <v>2464</v>
      </c>
      <c r="H368" s="7">
        <f t="shared" si="10"/>
        <v>75</v>
      </c>
      <c r="I368" s="7">
        <f t="shared" si="11"/>
        <v>12</v>
      </c>
    </row>
    <row r="369" spans="1:10">
      <c r="A369" s="150" t="s">
        <v>7544</v>
      </c>
      <c r="B369">
        <v>85</v>
      </c>
      <c r="F369" s="49" t="s">
        <v>2695</v>
      </c>
      <c r="G369" s="49" t="s">
        <v>2455</v>
      </c>
      <c r="H369" s="7">
        <f t="shared" si="10"/>
        <v>391.375</v>
      </c>
      <c r="I369" s="7">
        <f t="shared" si="11"/>
        <v>62.62</v>
      </c>
    </row>
    <row r="370" spans="1:10">
      <c r="A370" s="150" t="s">
        <v>7544</v>
      </c>
      <c r="B370">
        <v>85</v>
      </c>
      <c r="F370" s="58" t="s">
        <v>961</v>
      </c>
      <c r="G370" s="58" t="s">
        <v>962</v>
      </c>
      <c r="H370" s="7">
        <f t="shared" si="10"/>
        <v>464.10249999999996</v>
      </c>
      <c r="I370" s="7">
        <f t="shared" si="11"/>
        <v>74.256399999999999</v>
      </c>
    </row>
    <row r="371" spans="1:10">
      <c r="A371" s="150" t="s">
        <v>7544</v>
      </c>
      <c r="B371">
        <v>85</v>
      </c>
      <c r="F371" s="58" t="s">
        <v>905</v>
      </c>
      <c r="G371" s="58" t="s">
        <v>906</v>
      </c>
      <c r="H371" s="7">
        <f t="shared" si="10"/>
        <v>1073.9375</v>
      </c>
      <c r="I371" s="7">
        <f t="shared" si="11"/>
        <v>171.83</v>
      </c>
    </row>
    <row r="372" spans="1:10">
      <c r="A372" s="150" t="s">
        <v>7544</v>
      </c>
      <c r="B372">
        <v>85</v>
      </c>
      <c r="F372" s="49" t="s">
        <v>2204</v>
      </c>
      <c r="G372" s="49" t="s">
        <v>1885</v>
      </c>
      <c r="H372" s="7">
        <f t="shared" si="10"/>
        <v>123.50000000000001</v>
      </c>
      <c r="I372" s="7">
        <f t="shared" si="11"/>
        <v>19.760000000000002</v>
      </c>
    </row>
    <row r="373" spans="1:10">
      <c r="A373" s="150" t="s">
        <v>7544</v>
      </c>
      <c r="B373">
        <v>85</v>
      </c>
      <c r="F373" s="61" t="s">
        <v>2740</v>
      </c>
      <c r="G373" s="61" t="s">
        <v>2741</v>
      </c>
      <c r="H373" s="7">
        <f t="shared" si="10"/>
        <v>46.5625</v>
      </c>
      <c r="I373" s="7">
        <f t="shared" si="11"/>
        <v>7.45</v>
      </c>
    </row>
    <row r="374" spans="1:10">
      <c r="A374" s="150" t="s">
        <v>7544</v>
      </c>
      <c r="B374">
        <v>85</v>
      </c>
      <c r="F374" s="58" t="s">
        <v>805</v>
      </c>
      <c r="G374" s="58" t="s">
        <v>2377</v>
      </c>
      <c r="H374" s="7">
        <f t="shared" si="10"/>
        <v>600.6875</v>
      </c>
      <c r="I374" s="7">
        <f t="shared" si="11"/>
        <v>96.11</v>
      </c>
      <c r="J374">
        <f>11.6 +12.43</f>
        <v>24.03</v>
      </c>
    </row>
    <row r="375" spans="1:10">
      <c r="A375" s="150" t="s">
        <v>7544</v>
      </c>
      <c r="B375">
        <v>85</v>
      </c>
      <c r="F375" s="58" t="s">
        <v>804</v>
      </c>
      <c r="G375" s="58" t="s">
        <v>2750</v>
      </c>
      <c r="H375" s="7">
        <f t="shared" si="10"/>
        <v>445</v>
      </c>
      <c r="I375" s="7">
        <f t="shared" si="11"/>
        <v>71.2</v>
      </c>
    </row>
    <row r="376" spans="1:10">
      <c r="A376" s="150" t="s">
        <v>7544</v>
      </c>
      <c r="B376">
        <v>85</v>
      </c>
      <c r="F376" s="49" t="s">
        <v>1568</v>
      </c>
      <c r="G376" s="49" t="s">
        <v>2496</v>
      </c>
      <c r="H376" s="7">
        <f t="shared" si="10"/>
        <v>224.125</v>
      </c>
      <c r="I376" s="7">
        <f t="shared" si="11"/>
        <v>35.86</v>
      </c>
    </row>
    <row r="377" spans="1:10">
      <c r="A377" s="150" t="s">
        <v>7544</v>
      </c>
      <c r="B377">
        <v>85</v>
      </c>
      <c r="F377" s="49" t="s">
        <v>807</v>
      </c>
      <c r="G377" s="49" t="s">
        <v>2493</v>
      </c>
      <c r="H377" s="7">
        <f t="shared" si="10"/>
        <v>1300</v>
      </c>
      <c r="I377" s="7">
        <f t="shared" si="11"/>
        <v>208</v>
      </c>
    </row>
    <row r="378" spans="1:10">
      <c r="A378" s="150" t="s">
        <v>7544</v>
      </c>
      <c r="B378">
        <v>85</v>
      </c>
      <c r="F378" s="49" t="s">
        <v>1570</v>
      </c>
      <c r="G378" s="49" t="s">
        <v>1476</v>
      </c>
      <c r="H378" s="7">
        <f t="shared" si="10"/>
        <v>4037.0000000000005</v>
      </c>
      <c r="I378" s="7">
        <f t="shared" si="11"/>
        <v>645.92000000000007</v>
      </c>
    </row>
    <row r="379" spans="1:10">
      <c r="A379" s="150" t="s">
        <v>7544</v>
      </c>
      <c r="B379">
        <v>85</v>
      </c>
      <c r="F379" s="58" t="s">
        <v>2729</v>
      </c>
      <c r="G379" s="58" t="s">
        <v>2730</v>
      </c>
      <c r="H379" s="7">
        <f t="shared" si="10"/>
        <v>98.25</v>
      </c>
      <c r="I379" s="7">
        <f t="shared" si="11"/>
        <v>15.72</v>
      </c>
    </row>
    <row r="380" spans="1:10">
      <c r="A380" s="150" t="s">
        <v>7544</v>
      </c>
      <c r="B380">
        <v>85</v>
      </c>
      <c r="F380" s="58" t="s">
        <v>762</v>
      </c>
      <c r="G380" s="58" t="s">
        <v>763</v>
      </c>
      <c r="H380" s="7">
        <f t="shared" si="10"/>
        <v>77.5625</v>
      </c>
      <c r="I380" s="7">
        <f t="shared" si="11"/>
        <v>12.41</v>
      </c>
    </row>
    <row r="381" spans="1:10">
      <c r="A381" s="150" t="s">
        <v>7544</v>
      </c>
      <c r="B381">
        <v>85</v>
      </c>
      <c r="F381" s="49" t="s">
        <v>815</v>
      </c>
      <c r="G381" s="49" t="s">
        <v>446</v>
      </c>
      <c r="H381" s="7">
        <f t="shared" si="10"/>
        <v>4204.5625</v>
      </c>
      <c r="I381" s="7">
        <f t="shared" si="11"/>
        <v>672.73</v>
      </c>
    </row>
    <row r="382" spans="1:10">
      <c r="A382" s="150" t="s">
        <v>7544</v>
      </c>
      <c r="B382">
        <v>85</v>
      </c>
      <c r="F382" s="49" t="s">
        <v>1571</v>
      </c>
      <c r="G382" s="49" t="s">
        <v>1159</v>
      </c>
      <c r="H382" s="7">
        <f t="shared" si="10"/>
        <v>582.125</v>
      </c>
      <c r="I382" s="7">
        <f t="shared" si="11"/>
        <v>93.14</v>
      </c>
    </row>
    <row r="383" spans="1:10">
      <c r="A383" s="150" t="s">
        <v>7544</v>
      </c>
      <c r="B383">
        <v>85</v>
      </c>
      <c r="F383" s="58" t="s">
        <v>913</v>
      </c>
      <c r="G383" s="58" t="s">
        <v>914</v>
      </c>
      <c r="H383" s="7">
        <f t="shared" si="10"/>
        <v>453.06249999999994</v>
      </c>
      <c r="I383" s="7">
        <f t="shared" si="11"/>
        <v>72.489999999999995</v>
      </c>
    </row>
    <row r="384" spans="1:10">
      <c r="A384" s="150" t="s">
        <v>7544</v>
      </c>
      <c r="B384">
        <v>85</v>
      </c>
      <c r="F384" s="49" t="s">
        <v>722</v>
      </c>
      <c r="G384" s="49" t="s">
        <v>723</v>
      </c>
      <c r="H384" s="7">
        <f t="shared" si="10"/>
        <v>5739.75</v>
      </c>
      <c r="I384" s="7">
        <f t="shared" si="11"/>
        <v>918.36</v>
      </c>
    </row>
    <row r="385" spans="1:10">
      <c r="A385" s="150" t="s">
        <v>7544</v>
      </c>
      <c r="B385">
        <v>85</v>
      </c>
      <c r="F385" s="58" t="s">
        <v>2727</v>
      </c>
      <c r="G385" s="58" t="s">
        <v>2728</v>
      </c>
      <c r="H385" s="7">
        <f t="shared" si="10"/>
        <v>341.4375</v>
      </c>
      <c r="I385" s="7">
        <f t="shared" si="11"/>
        <v>54.63</v>
      </c>
    </row>
    <row r="386" spans="1:10">
      <c r="A386" s="150" t="s">
        <v>7544</v>
      </c>
      <c r="B386">
        <v>85</v>
      </c>
      <c r="F386" s="63" t="s">
        <v>813</v>
      </c>
      <c r="G386" s="58" t="s">
        <v>2697</v>
      </c>
      <c r="H386" s="7">
        <f t="shared" si="10"/>
        <v>489992.74999999994</v>
      </c>
      <c r="I386" s="7">
        <f t="shared" si="11"/>
        <v>78398.84</v>
      </c>
    </row>
    <row r="387" spans="1:10">
      <c r="A387" s="150" t="s">
        <v>7544</v>
      </c>
      <c r="B387">
        <v>85</v>
      </c>
      <c r="F387" s="58" t="s">
        <v>1626</v>
      </c>
      <c r="G387" s="58" t="s">
        <v>1627</v>
      </c>
      <c r="H387" s="7">
        <f t="shared" si="10"/>
        <v>341.625</v>
      </c>
      <c r="I387" s="7">
        <f t="shared" si="11"/>
        <v>54.66</v>
      </c>
    </row>
    <row r="388" spans="1:10">
      <c r="A388" s="150" t="s">
        <v>7544</v>
      </c>
      <c r="B388">
        <v>85</v>
      </c>
      <c r="F388" s="49" t="s">
        <v>2696</v>
      </c>
      <c r="G388" s="49" t="s">
        <v>2591</v>
      </c>
      <c r="H388" s="7">
        <f t="shared" ref="H388:H451" si="12">+I388/0.16</f>
        <v>2600</v>
      </c>
      <c r="I388" s="7">
        <f t="shared" ref="I388:I419" si="13">+SUMIF($F$7:$F$310,F388,$I$7:$I$310)</f>
        <v>416</v>
      </c>
    </row>
    <row r="389" spans="1:10">
      <c r="A389" s="150" t="s">
        <v>7544</v>
      </c>
      <c r="B389">
        <v>85</v>
      </c>
      <c r="F389" s="58" t="s">
        <v>2755</v>
      </c>
      <c r="G389" s="58" t="s">
        <v>2756</v>
      </c>
      <c r="H389" s="7">
        <f t="shared" si="12"/>
        <v>112.0625</v>
      </c>
      <c r="I389" s="7">
        <f t="shared" si="13"/>
        <v>17.93</v>
      </c>
    </row>
    <row r="390" spans="1:10">
      <c r="A390" s="150" t="s">
        <v>7544</v>
      </c>
      <c r="B390">
        <v>85</v>
      </c>
      <c r="F390" s="50" t="s">
        <v>806</v>
      </c>
      <c r="G390" s="49" t="s">
        <v>503</v>
      </c>
      <c r="H390" s="7">
        <f t="shared" si="12"/>
        <v>11443.375</v>
      </c>
      <c r="I390" s="7">
        <f t="shared" si="13"/>
        <v>1830.94</v>
      </c>
    </row>
    <row r="391" spans="1:10">
      <c r="A391" s="150" t="s">
        <v>7544</v>
      </c>
      <c r="B391">
        <v>85</v>
      </c>
      <c r="F391" s="49" t="s">
        <v>820</v>
      </c>
      <c r="G391" s="49" t="s">
        <v>324</v>
      </c>
      <c r="H391" s="7">
        <f t="shared" si="12"/>
        <v>2706.9375</v>
      </c>
      <c r="I391" s="7">
        <f t="shared" si="13"/>
        <v>433.11</v>
      </c>
    </row>
    <row r="392" spans="1:10">
      <c r="A392" s="150" t="s">
        <v>7544</v>
      </c>
      <c r="B392">
        <v>85</v>
      </c>
      <c r="F392" s="49" t="s">
        <v>840</v>
      </c>
      <c r="G392" s="49" t="s">
        <v>2425</v>
      </c>
      <c r="H392" s="7">
        <f t="shared" si="12"/>
        <v>258.875</v>
      </c>
      <c r="I392" s="7">
        <f t="shared" si="13"/>
        <v>41.42</v>
      </c>
    </row>
    <row r="393" spans="1:10">
      <c r="A393" s="150" t="s">
        <v>7544</v>
      </c>
      <c r="B393">
        <v>85</v>
      </c>
      <c r="F393" s="58" t="s">
        <v>911</v>
      </c>
      <c r="G393" s="58" t="s">
        <v>2704</v>
      </c>
      <c r="H393" s="7">
        <f t="shared" si="12"/>
        <v>51.749999999999993</v>
      </c>
      <c r="I393" s="7">
        <f t="shared" si="13"/>
        <v>8.2799999999999994</v>
      </c>
    </row>
    <row r="394" spans="1:10">
      <c r="A394" s="150" t="s">
        <v>7544</v>
      </c>
      <c r="B394">
        <v>85</v>
      </c>
      <c r="F394" s="49" t="s">
        <v>823</v>
      </c>
      <c r="G394" s="49" t="s">
        <v>455</v>
      </c>
      <c r="H394" s="7">
        <f t="shared" si="12"/>
        <v>27843.75</v>
      </c>
      <c r="I394" s="7">
        <f t="shared" si="13"/>
        <v>4455</v>
      </c>
    </row>
    <row r="395" spans="1:10">
      <c r="A395" s="150" t="s">
        <v>7544</v>
      </c>
      <c r="B395">
        <v>85</v>
      </c>
      <c r="F395" s="49" t="s">
        <v>1573</v>
      </c>
      <c r="G395" s="49" t="s">
        <v>1455</v>
      </c>
      <c r="H395" s="7">
        <f t="shared" si="12"/>
        <v>13400</v>
      </c>
      <c r="I395" s="7">
        <f t="shared" si="13"/>
        <v>2144</v>
      </c>
    </row>
    <row r="396" spans="1:10">
      <c r="A396" s="150" t="s">
        <v>7544</v>
      </c>
      <c r="B396">
        <v>85</v>
      </c>
      <c r="F396" s="49" t="s">
        <v>821</v>
      </c>
      <c r="G396" s="49" t="s">
        <v>263</v>
      </c>
      <c r="H396" s="7">
        <f t="shared" si="12"/>
        <v>1034.4375</v>
      </c>
      <c r="I396" s="7">
        <f t="shared" si="13"/>
        <v>165.51</v>
      </c>
    </row>
    <row r="397" spans="1:10">
      <c r="A397" s="150" t="s">
        <v>7544</v>
      </c>
      <c r="B397">
        <v>85</v>
      </c>
      <c r="F397" s="58" t="s">
        <v>716</v>
      </c>
      <c r="G397" s="58" t="s">
        <v>717</v>
      </c>
      <c r="H397" s="7">
        <f t="shared" si="12"/>
        <v>13192.000000000002</v>
      </c>
      <c r="I397" s="7">
        <f t="shared" si="13"/>
        <v>2110.7200000000003</v>
      </c>
    </row>
    <row r="398" spans="1:10">
      <c r="A398" s="150" t="s">
        <v>7544</v>
      </c>
      <c r="B398">
        <v>85</v>
      </c>
      <c r="F398" s="49" t="s">
        <v>836</v>
      </c>
      <c r="G398" s="49" t="s">
        <v>472</v>
      </c>
      <c r="H398" s="7">
        <f t="shared" si="12"/>
        <v>6122.2499999999991</v>
      </c>
      <c r="I398" s="7">
        <f t="shared" si="13"/>
        <v>979.56</v>
      </c>
    </row>
    <row r="399" spans="1:10">
      <c r="A399" s="150" t="s">
        <v>7544</v>
      </c>
      <c r="B399" s="150" t="s">
        <v>7566</v>
      </c>
      <c r="F399" s="53" t="s">
        <v>829</v>
      </c>
      <c r="G399" s="49" t="s">
        <v>529</v>
      </c>
      <c r="H399" s="7">
        <f t="shared" si="12"/>
        <v>107758.625</v>
      </c>
      <c r="I399" s="7">
        <f t="shared" si="13"/>
        <v>17241.38</v>
      </c>
      <c r="J399">
        <v>14285.71</v>
      </c>
    </row>
    <row r="400" spans="1:10">
      <c r="A400" s="150" t="s">
        <v>7544</v>
      </c>
      <c r="B400">
        <v>85</v>
      </c>
      <c r="F400" s="58" t="s">
        <v>2715</v>
      </c>
      <c r="G400" s="58" t="s">
        <v>2716</v>
      </c>
      <c r="H400" s="7">
        <f t="shared" si="12"/>
        <v>90</v>
      </c>
      <c r="I400" s="7">
        <f t="shared" si="13"/>
        <v>14.4</v>
      </c>
    </row>
    <row r="401" spans="1:10">
      <c r="A401" s="150" t="s">
        <v>7544</v>
      </c>
      <c r="B401">
        <v>85</v>
      </c>
      <c r="F401" s="49" t="s">
        <v>2186</v>
      </c>
      <c r="G401" s="49" t="s">
        <v>2128</v>
      </c>
      <c r="H401" s="7">
        <f t="shared" si="12"/>
        <v>11800</v>
      </c>
      <c r="I401" s="7">
        <f t="shared" si="13"/>
        <v>1888</v>
      </c>
    </row>
    <row r="402" spans="1:10">
      <c r="A402" s="150" t="s">
        <v>7544</v>
      </c>
      <c r="B402">
        <v>85</v>
      </c>
      <c r="F402" s="53" t="s">
        <v>700</v>
      </c>
      <c r="G402" s="49" t="s">
        <v>2499</v>
      </c>
      <c r="H402" s="7">
        <f t="shared" si="12"/>
        <v>385.25</v>
      </c>
      <c r="I402" s="7">
        <f t="shared" si="13"/>
        <v>61.64</v>
      </c>
    </row>
    <row r="403" spans="1:10">
      <c r="A403" s="150" t="s">
        <v>7544</v>
      </c>
      <c r="B403">
        <v>85</v>
      </c>
      <c r="F403" s="49" t="s">
        <v>1589</v>
      </c>
      <c r="G403" s="49" t="s">
        <v>1341</v>
      </c>
      <c r="H403" s="7">
        <f t="shared" si="12"/>
        <v>2580</v>
      </c>
      <c r="I403" s="7">
        <f t="shared" si="13"/>
        <v>412.8</v>
      </c>
    </row>
    <row r="404" spans="1:10">
      <c r="A404" s="150" t="s">
        <v>7544</v>
      </c>
      <c r="B404">
        <v>85</v>
      </c>
      <c r="F404" s="61" t="s">
        <v>2736</v>
      </c>
      <c r="G404" s="61" t="s">
        <v>2737</v>
      </c>
      <c r="H404" s="7">
        <f t="shared" si="12"/>
        <v>175</v>
      </c>
      <c r="I404" s="7">
        <f t="shared" si="13"/>
        <v>28</v>
      </c>
    </row>
    <row r="405" spans="1:10">
      <c r="A405" s="150" t="s">
        <v>7544</v>
      </c>
      <c r="B405">
        <v>85</v>
      </c>
      <c r="F405" s="49" t="s">
        <v>837</v>
      </c>
      <c r="G405" s="49" t="s">
        <v>2420</v>
      </c>
      <c r="H405" s="7">
        <f t="shared" si="12"/>
        <v>498.56249999999994</v>
      </c>
      <c r="I405" s="7">
        <f t="shared" si="13"/>
        <v>79.77</v>
      </c>
    </row>
    <row r="406" spans="1:10">
      <c r="A406" s="150" t="s">
        <v>7544</v>
      </c>
      <c r="B406">
        <v>85</v>
      </c>
      <c r="F406" s="49" t="s">
        <v>768</v>
      </c>
      <c r="G406" s="49" t="s">
        <v>283</v>
      </c>
      <c r="H406" s="7">
        <f t="shared" si="12"/>
        <v>276</v>
      </c>
      <c r="I406" s="7">
        <f t="shared" si="13"/>
        <v>44.16</v>
      </c>
    </row>
    <row r="407" spans="1:10">
      <c r="A407" s="150" t="s">
        <v>7544</v>
      </c>
      <c r="B407">
        <v>85</v>
      </c>
      <c r="F407" s="48" t="s">
        <v>963</v>
      </c>
      <c r="G407" s="48" t="s">
        <v>964</v>
      </c>
      <c r="H407" s="7">
        <f t="shared" si="12"/>
        <v>318082.8125</v>
      </c>
      <c r="I407" s="7">
        <f t="shared" si="13"/>
        <v>50893.25</v>
      </c>
    </row>
    <row r="408" spans="1:10">
      <c r="A408" s="150" t="s">
        <v>7544</v>
      </c>
      <c r="B408">
        <v>85</v>
      </c>
      <c r="F408" s="48" t="s">
        <v>1528</v>
      </c>
      <c r="G408" s="49" t="s">
        <v>1514</v>
      </c>
      <c r="H408" s="7">
        <f t="shared" si="12"/>
        <v>7350</v>
      </c>
      <c r="I408" s="7">
        <f t="shared" si="13"/>
        <v>1176</v>
      </c>
    </row>
    <row r="409" spans="1:10">
      <c r="A409" s="150" t="s">
        <v>7544</v>
      </c>
      <c r="B409">
        <v>85</v>
      </c>
      <c r="F409" s="49" t="s">
        <v>843</v>
      </c>
      <c r="G409" s="49" t="s">
        <v>470</v>
      </c>
      <c r="H409" s="7">
        <f t="shared" si="12"/>
        <v>3381</v>
      </c>
      <c r="I409" s="7">
        <f t="shared" si="13"/>
        <v>540.96</v>
      </c>
    </row>
    <row r="410" spans="1:10">
      <c r="A410" s="150" t="s">
        <v>7544</v>
      </c>
      <c r="B410">
        <v>85</v>
      </c>
      <c r="F410" s="49" t="s">
        <v>844</v>
      </c>
      <c r="G410" s="49" t="s">
        <v>665</v>
      </c>
      <c r="H410" s="7">
        <f t="shared" si="12"/>
        <v>2900</v>
      </c>
      <c r="I410" s="7">
        <f t="shared" si="13"/>
        <v>464</v>
      </c>
    </row>
    <row r="411" spans="1:10">
      <c r="A411" s="150" t="s">
        <v>7544</v>
      </c>
      <c r="B411" s="150" t="s">
        <v>7566</v>
      </c>
      <c r="F411" s="53" t="s">
        <v>845</v>
      </c>
      <c r="G411" s="49" t="s">
        <v>532</v>
      </c>
      <c r="H411" s="7">
        <f t="shared" si="12"/>
        <v>107758.625</v>
      </c>
      <c r="I411" s="7">
        <f t="shared" si="13"/>
        <v>17241.38</v>
      </c>
      <c r="J411">
        <v>14285.71</v>
      </c>
    </row>
    <row r="412" spans="1:10">
      <c r="A412" s="150" t="s">
        <v>7544</v>
      </c>
      <c r="B412">
        <v>85</v>
      </c>
      <c r="F412" s="58" t="s">
        <v>1534</v>
      </c>
      <c r="G412" s="58" t="s">
        <v>1535</v>
      </c>
      <c r="H412" s="7">
        <f t="shared" si="12"/>
        <v>137.0625</v>
      </c>
      <c r="I412" s="7">
        <f t="shared" si="13"/>
        <v>21.93</v>
      </c>
    </row>
    <row r="413" spans="1:10">
      <c r="A413" s="150" t="s">
        <v>7544</v>
      </c>
      <c r="B413">
        <v>85</v>
      </c>
      <c r="F413" s="58" t="s">
        <v>2743</v>
      </c>
      <c r="G413" s="58" t="s">
        <v>2744</v>
      </c>
      <c r="H413" s="7">
        <f t="shared" si="12"/>
        <v>261.1875</v>
      </c>
      <c r="I413" s="7">
        <f t="shared" si="13"/>
        <v>41.79</v>
      </c>
    </row>
    <row r="414" spans="1:10">
      <c r="A414" s="150" t="s">
        <v>7544</v>
      </c>
      <c r="B414">
        <v>85</v>
      </c>
      <c r="F414" s="58" t="s">
        <v>2758</v>
      </c>
      <c r="G414" s="58" t="s">
        <v>2759</v>
      </c>
      <c r="H414" s="7">
        <f t="shared" si="12"/>
        <v>107.74999999999999</v>
      </c>
      <c r="I414" s="7">
        <f t="shared" si="13"/>
        <v>17.239999999999998</v>
      </c>
    </row>
    <row r="415" spans="1:10">
      <c r="A415" s="150" t="s">
        <v>7544</v>
      </c>
      <c r="B415">
        <v>85</v>
      </c>
      <c r="F415" s="49" t="s">
        <v>847</v>
      </c>
      <c r="G415" s="49" t="s">
        <v>2450</v>
      </c>
      <c r="H415" s="7">
        <f t="shared" si="12"/>
        <v>58.999999999999993</v>
      </c>
      <c r="I415" s="7">
        <f t="shared" si="13"/>
        <v>9.44</v>
      </c>
    </row>
    <row r="416" spans="1:10">
      <c r="A416" s="150" t="s">
        <v>7544</v>
      </c>
      <c r="B416">
        <v>85</v>
      </c>
      <c r="F416" s="58" t="s">
        <v>2252</v>
      </c>
      <c r="G416" s="58" t="s">
        <v>2253</v>
      </c>
      <c r="H416" s="7">
        <f t="shared" si="12"/>
        <v>19810.3125</v>
      </c>
      <c r="I416" s="7">
        <f t="shared" si="13"/>
        <v>3169.65</v>
      </c>
    </row>
    <row r="417" spans="1:9">
      <c r="A417" s="150" t="s">
        <v>7544</v>
      </c>
      <c r="B417">
        <v>85</v>
      </c>
      <c r="F417" s="49" t="s">
        <v>769</v>
      </c>
      <c r="G417" s="49" t="s">
        <v>645</v>
      </c>
      <c r="H417" s="7">
        <f t="shared" si="12"/>
        <v>4287.625</v>
      </c>
      <c r="I417" s="7">
        <f t="shared" si="13"/>
        <v>686.02</v>
      </c>
    </row>
    <row r="418" spans="1:9">
      <c r="A418" s="150" t="s">
        <v>7544</v>
      </c>
      <c r="B418">
        <v>85</v>
      </c>
      <c r="F418" s="61" t="s">
        <v>2738</v>
      </c>
      <c r="G418" s="61" t="s">
        <v>2739</v>
      </c>
      <c r="H418" s="7">
        <f t="shared" si="12"/>
        <v>64.625</v>
      </c>
      <c r="I418" s="7">
        <f t="shared" si="13"/>
        <v>10.34</v>
      </c>
    </row>
    <row r="419" spans="1:9">
      <c r="A419" s="150" t="s">
        <v>7544</v>
      </c>
      <c r="B419">
        <v>85</v>
      </c>
      <c r="F419" s="58" t="s">
        <v>2705</v>
      </c>
      <c r="G419" s="58" t="s">
        <v>2706</v>
      </c>
      <c r="H419" s="7">
        <f t="shared" si="12"/>
        <v>100</v>
      </c>
      <c r="I419" s="7">
        <f t="shared" si="13"/>
        <v>16</v>
      </c>
    </row>
    <row r="420" spans="1:9">
      <c r="A420" s="150" t="s">
        <v>7544</v>
      </c>
      <c r="B420">
        <v>85</v>
      </c>
      <c r="F420" s="58" t="s">
        <v>2765</v>
      </c>
      <c r="G420" s="58" t="s">
        <v>2766</v>
      </c>
      <c r="H420" s="7">
        <f t="shared" si="12"/>
        <v>2435.875</v>
      </c>
      <c r="I420" s="7">
        <f t="shared" ref="I420:I451" si="14">+SUMIF($F$7:$F$310,F420,$I$7:$I$310)</f>
        <v>389.74</v>
      </c>
    </row>
    <row r="421" spans="1:9">
      <c r="A421" s="150" t="s">
        <v>7544</v>
      </c>
      <c r="B421">
        <v>85</v>
      </c>
      <c r="F421" s="58" t="s">
        <v>915</v>
      </c>
      <c r="G421" s="58" t="s">
        <v>916</v>
      </c>
      <c r="H421" s="7">
        <f t="shared" si="12"/>
        <v>1525.8749999999998</v>
      </c>
      <c r="I421" s="7">
        <f t="shared" si="14"/>
        <v>244.14</v>
      </c>
    </row>
    <row r="422" spans="1:9">
      <c r="A422" s="150" t="s">
        <v>7544</v>
      </c>
      <c r="B422">
        <v>85</v>
      </c>
      <c r="F422" s="49" t="s">
        <v>848</v>
      </c>
      <c r="G422" s="49" t="s">
        <v>449</v>
      </c>
      <c r="H422" s="7">
        <f t="shared" si="12"/>
        <v>23300</v>
      </c>
      <c r="I422" s="7">
        <f t="shared" si="14"/>
        <v>3728</v>
      </c>
    </row>
    <row r="423" spans="1:9">
      <c r="A423" s="150" t="s">
        <v>7544</v>
      </c>
      <c r="B423">
        <v>85</v>
      </c>
      <c r="F423" s="58" t="s">
        <v>2734</v>
      </c>
      <c r="G423" s="58" t="s">
        <v>2735</v>
      </c>
      <c r="H423" s="7">
        <f t="shared" si="12"/>
        <v>83.875</v>
      </c>
      <c r="I423" s="7">
        <f t="shared" si="14"/>
        <v>13.42</v>
      </c>
    </row>
    <row r="424" spans="1:9">
      <c r="A424" s="150" t="s">
        <v>7544</v>
      </c>
      <c r="B424">
        <v>85</v>
      </c>
      <c r="F424" s="49" t="s">
        <v>2219</v>
      </c>
      <c r="G424" s="49" t="s">
        <v>2220</v>
      </c>
      <c r="H424" s="7">
        <f t="shared" si="12"/>
        <v>175535.0625</v>
      </c>
      <c r="I424" s="7">
        <f t="shared" si="14"/>
        <v>28085.61</v>
      </c>
    </row>
    <row r="425" spans="1:9">
      <c r="A425" s="150" t="s">
        <v>7544</v>
      </c>
      <c r="B425">
        <v>85</v>
      </c>
      <c r="F425" s="49" t="s">
        <v>2698</v>
      </c>
      <c r="G425" s="49" t="s">
        <v>2662</v>
      </c>
      <c r="H425" s="7">
        <f t="shared" si="12"/>
        <v>7300</v>
      </c>
      <c r="I425" s="7">
        <f t="shared" si="14"/>
        <v>1168</v>
      </c>
    </row>
    <row r="426" spans="1:9">
      <c r="A426" s="150" t="s">
        <v>7544</v>
      </c>
      <c r="B426">
        <v>85</v>
      </c>
      <c r="F426" s="49" t="s">
        <v>1595</v>
      </c>
      <c r="G426" s="49" t="s">
        <v>1200</v>
      </c>
      <c r="H426" s="7">
        <f t="shared" si="12"/>
        <v>1755.6249999999998</v>
      </c>
      <c r="I426" s="7">
        <f t="shared" si="14"/>
        <v>280.89999999999998</v>
      </c>
    </row>
    <row r="427" spans="1:9">
      <c r="A427" s="150" t="s">
        <v>7544</v>
      </c>
      <c r="B427">
        <v>85</v>
      </c>
      <c r="F427" s="139" t="s">
        <v>919</v>
      </c>
      <c r="G427" s="58" t="s">
        <v>920</v>
      </c>
      <c r="H427" s="7">
        <f t="shared" si="12"/>
        <v>796.75</v>
      </c>
      <c r="I427" s="7">
        <f t="shared" si="14"/>
        <v>127.48</v>
      </c>
    </row>
    <row r="428" spans="1:9">
      <c r="A428" s="150" t="s">
        <v>7544</v>
      </c>
      <c r="B428">
        <v>85</v>
      </c>
      <c r="F428" s="139" t="s">
        <v>3987</v>
      </c>
      <c r="G428" s="49" t="s">
        <v>2475</v>
      </c>
      <c r="H428" s="7">
        <f t="shared" si="12"/>
        <v>2438.75</v>
      </c>
      <c r="I428" s="7">
        <f t="shared" si="14"/>
        <v>390.2</v>
      </c>
    </row>
    <row r="429" spans="1:9">
      <c r="A429" s="150" t="s">
        <v>7544</v>
      </c>
      <c r="B429">
        <v>85</v>
      </c>
      <c r="F429" s="50" t="s">
        <v>854</v>
      </c>
      <c r="G429" s="49" t="s">
        <v>2281</v>
      </c>
      <c r="H429" s="7">
        <f t="shared" si="12"/>
        <v>211583.9375</v>
      </c>
      <c r="I429" s="7">
        <f t="shared" si="14"/>
        <v>33853.43</v>
      </c>
    </row>
    <row r="430" spans="1:9">
      <c r="A430" s="150" t="s">
        <v>7544</v>
      </c>
      <c r="B430">
        <v>85</v>
      </c>
      <c r="F430" s="49" t="s">
        <v>7311</v>
      </c>
      <c r="G430" t="s">
        <v>7312</v>
      </c>
      <c r="H430" s="7">
        <f t="shared" si="12"/>
        <v>125000</v>
      </c>
      <c r="I430" s="7">
        <f t="shared" si="14"/>
        <v>20000</v>
      </c>
    </row>
    <row r="431" spans="1:9">
      <c r="A431" s="150" t="s">
        <v>7544</v>
      </c>
      <c r="B431">
        <v>85</v>
      </c>
      <c r="F431" s="49" t="s">
        <v>832</v>
      </c>
      <c r="G431" s="49" t="s">
        <v>1585</v>
      </c>
      <c r="H431" s="7">
        <f t="shared" si="12"/>
        <v>1725.1874999999998</v>
      </c>
      <c r="I431" s="7">
        <f t="shared" si="14"/>
        <v>276.02999999999997</v>
      </c>
    </row>
    <row r="432" spans="1:9">
      <c r="A432" s="150" t="s">
        <v>7544</v>
      </c>
      <c r="B432">
        <v>85</v>
      </c>
      <c r="F432" s="49" t="s">
        <v>2700</v>
      </c>
      <c r="G432" s="49" t="s">
        <v>2437</v>
      </c>
      <c r="H432" s="7">
        <f t="shared" si="12"/>
        <v>658.625</v>
      </c>
      <c r="I432" s="7">
        <f t="shared" si="14"/>
        <v>105.38</v>
      </c>
    </row>
    <row r="433" spans="1:9">
      <c r="A433" s="150" t="s">
        <v>7544</v>
      </c>
      <c r="B433">
        <v>85</v>
      </c>
      <c r="F433" s="48" t="s">
        <v>860</v>
      </c>
      <c r="G433" s="49" t="s">
        <v>474</v>
      </c>
      <c r="H433" s="7">
        <f t="shared" si="12"/>
        <v>7200</v>
      </c>
      <c r="I433" s="7">
        <f t="shared" si="14"/>
        <v>1152</v>
      </c>
    </row>
    <row r="434" spans="1:9">
      <c r="A434" s="150" t="s">
        <v>7544</v>
      </c>
      <c r="B434">
        <v>85</v>
      </c>
      <c r="F434" s="50" t="s">
        <v>858</v>
      </c>
      <c r="G434" s="49" t="s">
        <v>457</v>
      </c>
      <c r="H434" s="7">
        <f t="shared" si="12"/>
        <v>71300</v>
      </c>
      <c r="I434" s="7">
        <f t="shared" si="14"/>
        <v>11408</v>
      </c>
    </row>
    <row r="435" spans="1:9">
      <c r="A435" s="150" t="s">
        <v>7544</v>
      </c>
      <c r="B435">
        <v>85</v>
      </c>
      <c r="F435" s="58" t="s">
        <v>718</v>
      </c>
      <c r="G435" s="58" t="s">
        <v>2757</v>
      </c>
      <c r="H435" s="7">
        <f t="shared" si="12"/>
        <v>61.187499999999993</v>
      </c>
      <c r="I435" s="7">
        <f t="shared" si="14"/>
        <v>9.7899999999999991</v>
      </c>
    </row>
    <row r="436" spans="1:9">
      <c r="A436" s="150" t="s">
        <v>7544</v>
      </c>
      <c r="B436">
        <v>85</v>
      </c>
      <c r="F436" s="58" t="s">
        <v>929</v>
      </c>
      <c r="G436" s="58" t="s">
        <v>2709</v>
      </c>
      <c r="H436" s="7">
        <f t="shared" si="12"/>
        <v>69</v>
      </c>
      <c r="I436" s="7">
        <f t="shared" si="14"/>
        <v>11.04</v>
      </c>
    </row>
    <row r="437" spans="1:9">
      <c r="A437" s="150" t="s">
        <v>7544</v>
      </c>
      <c r="B437">
        <v>85</v>
      </c>
      <c r="F437" s="49" t="s">
        <v>2699</v>
      </c>
      <c r="G437" s="49" t="s">
        <v>2434</v>
      </c>
      <c r="H437" s="7">
        <f t="shared" si="12"/>
        <v>181.0625</v>
      </c>
      <c r="I437" s="7">
        <f t="shared" si="14"/>
        <v>28.97</v>
      </c>
    </row>
    <row r="438" spans="1:9">
      <c r="A438" s="150" t="s">
        <v>7544</v>
      </c>
      <c r="B438">
        <v>85</v>
      </c>
      <c r="F438" s="61" t="s">
        <v>788</v>
      </c>
      <c r="G438" s="61" t="s">
        <v>789</v>
      </c>
      <c r="H438" s="7">
        <f t="shared" si="12"/>
        <v>133.625</v>
      </c>
      <c r="I438" s="7">
        <f t="shared" si="14"/>
        <v>21.38</v>
      </c>
    </row>
    <row r="439" spans="1:9">
      <c r="A439" s="150" t="s">
        <v>7544</v>
      </c>
      <c r="B439">
        <v>85</v>
      </c>
      <c r="F439" s="58" t="s">
        <v>2732</v>
      </c>
      <c r="G439" s="58" t="s">
        <v>2733</v>
      </c>
      <c r="H439" s="7">
        <f t="shared" si="12"/>
        <v>444.74999999999994</v>
      </c>
      <c r="I439" s="7">
        <f t="shared" si="14"/>
        <v>71.16</v>
      </c>
    </row>
    <row r="440" spans="1:9">
      <c r="A440" s="150" t="s">
        <v>7544</v>
      </c>
      <c r="B440">
        <v>85</v>
      </c>
      <c r="F440" s="49" t="s">
        <v>2223</v>
      </c>
      <c r="G440" s="49" t="s">
        <v>1957</v>
      </c>
      <c r="H440" s="7">
        <f t="shared" si="12"/>
        <v>447.0625</v>
      </c>
      <c r="I440" s="7">
        <f t="shared" si="14"/>
        <v>71.53</v>
      </c>
    </row>
    <row r="441" spans="1:9">
      <c r="A441" s="150" t="s">
        <v>7544</v>
      </c>
      <c r="B441">
        <v>85</v>
      </c>
      <c r="F441" s="58" t="s">
        <v>2721</v>
      </c>
      <c r="G441" s="58" t="s">
        <v>2722</v>
      </c>
      <c r="H441" s="7">
        <f t="shared" si="12"/>
        <v>167.75</v>
      </c>
      <c r="I441" s="7">
        <f t="shared" si="14"/>
        <v>26.84</v>
      </c>
    </row>
    <row r="442" spans="1:9">
      <c r="A442" s="150" t="s">
        <v>7544</v>
      </c>
      <c r="B442">
        <v>85</v>
      </c>
      <c r="F442" s="48" t="s">
        <v>867</v>
      </c>
      <c r="G442" s="49" t="s">
        <v>517</v>
      </c>
      <c r="H442" s="7">
        <f t="shared" si="12"/>
        <v>217988.8125</v>
      </c>
      <c r="I442" s="7">
        <f t="shared" si="14"/>
        <v>34878.21</v>
      </c>
    </row>
    <row r="443" spans="1:9">
      <c r="A443" s="150" t="s">
        <v>7544</v>
      </c>
      <c r="B443">
        <v>85</v>
      </c>
      <c r="F443" s="58" t="s">
        <v>2701</v>
      </c>
      <c r="G443" s="58" t="s">
        <v>2660</v>
      </c>
      <c r="H443" s="7">
        <f t="shared" si="12"/>
        <v>1489</v>
      </c>
      <c r="I443" s="7">
        <f t="shared" si="14"/>
        <v>238.24</v>
      </c>
    </row>
    <row r="444" spans="1:9">
      <c r="A444" s="150" t="s">
        <v>7544</v>
      </c>
      <c r="B444">
        <v>85</v>
      </c>
      <c r="F444" s="139" t="s">
        <v>1648</v>
      </c>
      <c r="G444" s="49" t="s">
        <v>1649</v>
      </c>
      <c r="H444" s="7">
        <f t="shared" si="12"/>
        <v>2758.6875</v>
      </c>
      <c r="I444" s="7">
        <f t="shared" si="14"/>
        <v>441.39</v>
      </c>
    </row>
    <row r="445" spans="1:9">
      <c r="A445" s="150" t="s">
        <v>7544</v>
      </c>
      <c r="B445">
        <v>85</v>
      </c>
      <c r="F445" s="48" t="s">
        <v>863</v>
      </c>
      <c r="G445" s="49" t="s">
        <v>967</v>
      </c>
      <c r="H445" s="7">
        <f t="shared" si="12"/>
        <v>57688.937499999993</v>
      </c>
      <c r="I445" s="7">
        <f t="shared" si="14"/>
        <v>9230.23</v>
      </c>
    </row>
    <row r="446" spans="1:9">
      <c r="A446" s="150" t="s">
        <v>7544</v>
      </c>
      <c r="B446">
        <v>85</v>
      </c>
      <c r="F446" s="58" t="s">
        <v>2707</v>
      </c>
      <c r="G446" s="58" t="s">
        <v>2708</v>
      </c>
      <c r="H446" s="7">
        <f t="shared" si="12"/>
        <v>386</v>
      </c>
      <c r="I446" s="7">
        <f t="shared" si="14"/>
        <v>61.76</v>
      </c>
    </row>
    <row r="447" spans="1:9">
      <c r="A447" s="150" t="s">
        <v>7544</v>
      </c>
      <c r="B447">
        <v>85</v>
      </c>
      <c r="F447" s="58" t="s">
        <v>2724</v>
      </c>
      <c r="G447" s="58" t="s">
        <v>2725</v>
      </c>
      <c r="H447" s="7">
        <f t="shared" si="12"/>
        <v>682.875</v>
      </c>
      <c r="I447" s="7">
        <f t="shared" si="14"/>
        <v>109.26</v>
      </c>
    </row>
    <row r="448" spans="1:9">
      <c r="A448" s="150" t="s">
        <v>7544</v>
      </c>
      <c r="B448">
        <v>85</v>
      </c>
      <c r="F448" s="58" t="s">
        <v>945</v>
      </c>
      <c r="G448" s="58" t="s">
        <v>2731</v>
      </c>
      <c r="H448" s="7">
        <f t="shared" si="12"/>
        <v>455.31249999999994</v>
      </c>
      <c r="I448" s="7">
        <f t="shared" si="14"/>
        <v>72.849999999999994</v>
      </c>
    </row>
    <row r="449" spans="1:9">
      <c r="A449" s="150" t="s">
        <v>7544</v>
      </c>
      <c r="B449">
        <v>85</v>
      </c>
      <c r="F449" s="58" t="s">
        <v>883</v>
      </c>
      <c r="G449" s="58" t="s">
        <v>884</v>
      </c>
      <c r="H449" s="7">
        <f t="shared" si="12"/>
        <v>569.125</v>
      </c>
      <c r="I449" s="7">
        <f t="shared" si="14"/>
        <v>91.06</v>
      </c>
    </row>
    <row r="450" spans="1:9">
      <c r="A450" s="150" t="s">
        <v>7544</v>
      </c>
      <c r="B450">
        <v>85</v>
      </c>
      <c r="F450" s="48" t="s">
        <v>862</v>
      </c>
      <c r="G450" s="49" t="s">
        <v>570</v>
      </c>
      <c r="H450" s="7">
        <f t="shared" si="12"/>
        <v>12476.6875</v>
      </c>
      <c r="I450" s="7">
        <f t="shared" si="14"/>
        <v>1996.27</v>
      </c>
    </row>
    <row r="451" spans="1:9">
      <c r="A451" s="150" t="s">
        <v>7544</v>
      </c>
      <c r="B451">
        <v>85</v>
      </c>
      <c r="F451" s="58" t="s">
        <v>2711</v>
      </c>
      <c r="G451" s="58" t="s">
        <v>2712</v>
      </c>
      <c r="H451" s="7">
        <f t="shared" si="12"/>
        <v>503.24999999999994</v>
      </c>
      <c r="I451" s="7">
        <f t="shared" si="14"/>
        <v>80.52</v>
      </c>
    </row>
    <row r="452" spans="1:9">
      <c r="A452" s="150" t="s">
        <v>7544</v>
      </c>
      <c r="B452">
        <v>85</v>
      </c>
      <c r="F452" s="56" t="s">
        <v>1600</v>
      </c>
      <c r="G452" s="49" t="s">
        <v>2258</v>
      </c>
      <c r="H452" s="7">
        <f t="shared" ref="H452:H472" si="15">+I452/0.16</f>
        <v>177356.3125</v>
      </c>
      <c r="I452" s="7">
        <f t="shared" ref="I452:I472" si="16">+SUMIF($F$7:$F$310,F452,$I$7:$I$310)</f>
        <v>28377.01</v>
      </c>
    </row>
    <row r="453" spans="1:9">
      <c r="A453" s="150" t="s">
        <v>7544</v>
      </c>
      <c r="B453">
        <v>85</v>
      </c>
      <c r="F453" s="49" t="s">
        <v>1603</v>
      </c>
      <c r="G453" s="49" t="s">
        <v>1259</v>
      </c>
      <c r="H453" s="7">
        <f t="shared" si="15"/>
        <v>58.1875</v>
      </c>
      <c r="I453" s="7">
        <f t="shared" si="16"/>
        <v>9.31</v>
      </c>
    </row>
    <row r="454" spans="1:9">
      <c r="A454" s="150" t="s">
        <v>7544</v>
      </c>
      <c r="B454">
        <v>85</v>
      </c>
      <c r="F454" s="58" t="s">
        <v>2753</v>
      </c>
      <c r="G454" s="58" t="s">
        <v>2754</v>
      </c>
      <c r="H454" s="7">
        <f t="shared" si="15"/>
        <v>258.625</v>
      </c>
      <c r="I454" s="7">
        <f t="shared" si="16"/>
        <v>41.38</v>
      </c>
    </row>
    <row r="455" spans="1:9">
      <c r="A455" s="150" t="s">
        <v>7544</v>
      </c>
      <c r="B455">
        <v>85</v>
      </c>
      <c r="F455" s="58" t="s">
        <v>778</v>
      </c>
      <c r="G455" s="58" t="s">
        <v>779</v>
      </c>
      <c r="H455" s="7">
        <f t="shared" si="15"/>
        <v>293.75</v>
      </c>
      <c r="I455" s="7">
        <f t="shared" si="16"/>
        <v>47</v>
      </c>
    </row>
    <row r="456" spans="1:9">
      <c r="A456" s="150" t="s">
        <v>7544</v>
      </c>
      <c r="B456">
        <v>85</v>
      </c>
      <c r="F456" s="58" t="s">
        <v>2745</v>
      </c>
      <c r="G456" s="58" t="s">
        <v>2746</v>
      </c>
      <c r="H456" s="7">
        <f t="shared" si="15"/>
        <v>131.875</v>
      </c>
      <c r="I456" s="7">
        <f t="shared" si="16"/>
        <v>21.1</v>
      </c>
    </row>
    <row r="457" spans="1:9">
      <c r="A457" s="150" t="s">
        <v>7544</v>
      </c>
      <c r="B457">
        <v>85</v>
      </c>
      <c r="F457" s="58" t="s">
        <v>1545</v>
      </c>
      <c r="G457" s="58" t="s">
        <v>1546</v>
      </c>
      <c r="H457" s="7">
        <f t="shared" si="15"/>
        <v>405.12499999999994</v>
      </c>
      <c r="I457" s="7">
        <f t="shared" si="16"/>
        <v>64.819999999999993</v>
      </c>
    </row>
    <row r="458" spans="1:9">
      <c r="A458" s="150" t="s">
        <v>7544</v>
      </c>
      <c r="B458">
        <v>85</v>
      </c>
      <c r="F458" s="139" t="s">
        <v>921</v>
      </c>
      <c r="G458" s="58" t="s">
        <v>2742</v>
      </c>
      <c r="H458" s="7">
        <f t="shared" si="15"/>
        <v>318.8125</v>
      </c>
      <c r="I458" s="7">
        <f t="shared" si="16"/>
        <v>51.01</v>
      </c>
    </row>
    <row r="459" spans="1:9">
      <c r="A459" s="150" t="s">
        <v>7544</v>
      </c>
      <c r="B459">
        <v>85</v>
      </c>
      <c r="F459" s="58" t="s">
        <v>780</v>
      </c>
      <c r="G459" s="58" t="s">
        <v>781</v>
      </c>
      <c r="H459" s="7">
        <f t="shared" si="15"/>
        <v>341.4375</v>
      </c>
      <c r="I459" s="7">
        <f t="shared" si="16"/>
        <v>54.63</v>
      </c>
    </row>
    <row r="460" spans="1:9">
      <c r="A460" s="150" t="s">
        <v>7544</v>
      </c>
      <c r="B460">
        <v>85</v>
      </c>
      <c r="F460" s="49" t="s">
        <v>799</v>
      </c>
      <c r="G460" s="49" t="s">
        <v>0</v>
      </c>
      <c r="H460" s="7">
        <f t="shared" si="15"/>
        <v>9394447.6875</v>
      </c>
      <c r="I460" s="7">
        <f t="shared" si="16"/>
        <v>1503111.6300000001</v>
      </c>
    </row>
    <row r="461" spans="1:9">
      <c r="A461" s="150" t="s">
        <v>7544</v>
      </c>
      <c r="B461">
        <v>85</v>
      </c>
      <c r="F461" s="58" t="s">
        <v>2713</v>
      </c>
      <c r="G461" s="58" t="s">
        <v>2714</v>
      </c>
      <c r="H461" s="7">
        <f t="shared" si="15"/>
        <v>86.187499999999986</v>
      </c>
      <c r="I461" s="7">
        <f t="shared" si="16"/>
        <v>13.79</v>
      </c>
    </row>
    <row r="462" spans="1:9">
      <c r="A462" s="150" t="s">
        <v>7544</v>
      </c>
      <c r="B462">
        <v>85</v>
      </c>
      <c r="F462" s="58" t="s">
        <v>2767</v>
      </c>
      <c r="G462" s="58" t="s">
        <v>2768</v>
      </c>
      <c r="H462" s="7">
        <f t="shared" si="15"/>
        <v>64.625</v>
      </c>
      <c r="I462" s="7">
        <f t="shared" si="16"/>
        <v>10.34</v>
      </c>
    </row>
    <row r="463" spans="1:9">
      <c r="A463" s="150" t="s">
        <v>7544</v>
      </c>
      <c r="B463">
        <v>85</v>
      </c>
      <c r="F463" s="49" t="s">
        <v>868</v>
      </c>
      <c r="G463" s="49" t="s">
        <v>436</v>
      </c>
      <c r="H463" s="7">
        <f t="shared" si="15"/>
        <v>17321.625</v>
      </c>
      <c r="I463" s="7">
        <f t="shared" si="16"/>
        <v>2771.46</v>
      </c>
    </row>
    <row r="464" spans="1:9">
      <c r="A464" s="150" t="s">
        <v>7544</v>
      </c>
      <c r="B464">
        <v>85</v>
      </c>
      <c r="F464" s="58" t="s">
        <v>2751</v>
      </c>
      <c r="G464" s="58" t="s">
        <v>2752</v>
      </c>
      <c r="H464" s="7">
        <f t="shared" si="15"/>
        <v>701247</v>
      </c>
      <c r="I464" s="7">
        <f t="shared" si="16"/>
        <v>112199.52</v>
      </c>
    </row>
    <row r="465" spans="1:10">
      <c r="A465" s="150" t="s">
        <v>7544</v>
      </c>
      <c r="B465">
        <v>85</v>
      </c>
      <c r="F465" s="57" t="s">
        <v>871</v>
      </c>
      <c r="G465" s="49" t="s">
        <v>2102</v>
      </c>
      <c r="H465" s="7">
        <f t="shared" si="15"/>
        <v>800</v>
      </c>
      <c r="I465" s="7">
        <f t="shared" si="16"/>
        <v>128</v>
      </c>
    </row>
    <row r="466" spans="1:10">
      <c r="A466" s="150" t="s">
        <v>7544</v>
      </c>
      <c r="B466">
        <v>85</v>
      </c>
      <c r="F466" s="58" t="s">
        <v>935</v>
      </c>
      <c r="G466" s="58" t="s">
        <v>2726</v>
      </c>
      <c r="H466" s="7">
        <f t="shared" si="15"/>
        <v>258.5625</v>
      </c>
      <c r="I466" s="7">
        <f t="shared" si="16"/>
        <v>41.37</v>
      </c>
    </row>
    <row r="467" spans="1:10">
      <c r="A467" s="150" t="s">
        <v>7544</v>
      </c>
      <c r="B467">
        <v>85</v>
      </c>
      <c r="F467" s="49" t="s">
        <v>952</v>
      </c>
      <c r="G467" s="49" t="s">
        <v>642</v>
      </c>
      <c r="H467" s="7">
        <f t="shared" si="15"/>
        <v>2250</v>
      </c>
      <c r="I467" s="7">
        <f t="shared" si="16"/>
        <v>360</v>
      </c>
    </row>
    <row r="468" spans="1:10">
      <c r="A468" s="150" t="s">
        <v>7544</v>
      </c>
      <c r="B468">
        <v>85</v>
      </c>
      <c r="F468" s="49" t="s">
        <v>2207</v>
      </c>
      <c r="G468" s="49" t="s">
        <v>2416</v>
      </c>
      <c r="H468" s="7">
        <f t="shared" si="15"/>
        <v>250.99999999999997</v>
      </c>
      <c r="I468" s="7">
        <f t="shared" si="16"/>
        <v>40.159999999999997</v>
      </c>
    </row>
    <row r="469" spans="1:10">
      <c r="A469" s="150" t="s">
        <v>7544</v>
      </c>
      <c r="B469">
        <v>85</v>
      </c>
      <c r="F469" s="58" t="s">
        <v>802</v>
      </c>
      <c r="G469" s="58" t="s">
        <v>2483</v>
      </c>
      <c r="H469" s="7">
        <f t="shared" si="15"/>
        <v>879.3125</v>
      </c>
      <c r="I469" s="7">
        <f t="shared" si="16"/>
        <v>140.69</v>
      </c>
    </row>
    <row r="470" spans="1:10">
      <c r="A470" s="150" t="s">
        <v>7544</v>
      </c>
      <c r="B470">
        <v>85</v>
      </c>
      <c r="F470" s="58" t="s">
        <v>951</v>
      </c>
      <c r="G470" s="58" t="s">
        <v>2289</v>
      </c>
      <c r="H470" s="7">
        <f t="shared" si="15"/>
        <v>301014.625</v>
      </c>
      <c r="I470" s="7">
        <f t="shared" si="16"/>
        <v>48162.34</v>
      </c>
    </row>
    <row r="471" spans="1:10">
      <c r="A471" s="150" t="s">
        <v>7544</v>
      </c>
      <c r="B471">
        <v>85</v>
      </c>
      <c r="F471" s="49" t="s">
        <v>2703</v>
      </c>
      <c r="G471" s="49" t="s">
        <v>2444</v>
      </c>
      <c r="H471" s="7">
        <f t="shared" si="15"/>
        <v>349.8125</v>
      </c>
      <c r="I471" s="7">
        <f t="shared" si="16"/>
        <v>55.97</v>
      </c>
    </row>
    <row r="472" spans="1:10">
      <c r="A472" s="150" t="s">
        <v>7544</v>
      </c>
      <c r="B472">
        <v>85</v>
      </c>
      <c r="F472" s="49" t="s">
        <v>1645</v>
      </c>
      <c r="G472" s="49" t="s">
        <v>1441</v>
      </c>
      <c r="H472" s="7">
        <f t="shared" si="15"/>
        <v>3488.1875</v>
      </c>
      <c r="I472" s="7">
        <f t="shared" si="16"/>
        <v>558.11</v>
      </c>
    </row>
    <row r="473" spans="1:10">
      <c r="H473" s="8"/>
      <c r="I473" s="8"/>
    </row>
    <row r="474" spans="1:10">
      <c r="H474" s="9">
        <f>SUM(H324:H473)</f>
        <v>15695007.789999999</v>
      </c>
      <c r="I474" s="9">
        <f>SUM(I324:I473)</f>
        <v>2511201.2464000005</v>
      </c>
      <c r="J474">
        <f>SUM(J324:J472)</f>
        <v>34243.649999999994</v>
      </c>
    </row>
    <row r="475" spans="1:10">
      <c r="H475" s="151">
        <f>+H313</f>
        <v>15695007.789999999</v>
      </c>
      <c r="I475" s="151">
        <f>+I313</f>
        <v>2511201.2464000019</v>
      </c>
    </row>
    <row r="476" spans="1:10">
      <c r="H476" s="149"/>
      <c r="I476" s="149"/>
    </row>
    <row r="477" spans="1:10" s="84" customFormat="1">
      <c r="A477" s="84" t="s">
        <v>530</v>
      </c>
      <c r="B477" s="147">
        <v>42124</v>
      </c>
      <c r="C477" s="84" t="s">
        <v>2673</v>
      </c>
      <c r="D477" s="84">
        <v>1</v>
      </c>
      <c r="E477" s="84" t="s">
        <v>1364</v>
      </c>
      <c r="F477" s="165" t="s">
        <v>1559</v>
      </c>
      <c r="G477" s="166" t="s">
        <v>1364</v>
      </c>
      <c r="H477" s="148">
        <f>+I477/0.16</f>
        <v>8875.4375</v>
      </c>
      <c r="I477" s="148">
        <v>1420.07</v>
      </c>
      <c r="J477" s="84" t="s">
        <v>7556</v>
      </c>
    </row>
    <row r="478" spans="1:10">
      <c r="F478" s="11"/>
      <c r="I478" s="9">
        <f>+I477+I475</f>
        <v>2512621.3164000018</v>
      </c>
    </row>
  </sheetData>
  <autoFilter ref="A6:L310"/>
  <sortState ref="A7:N242">
    <sortCondition ref="E7:E242"/>
  </sortState>
  <conditionalFormatting sqref="F324:G472">
    <cfRule type="duplicateValues" dxfId="13" priority="33"/>
  </conditionalFormatting>
  <pageMargins left="0.70866141732283472" right="0.70866141732283472" top="0.74803149606299213" bottom="0.74803149606299213" header="0.31496062992125984" footer="0.31496062992125984"/>
  <pageSetup paperSize="9" scale="31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20"/>
  <sheetViews>
    <sheetView topLeftCell="A503" workbookViewId="0">
      <selection activeCell="A362" sqref="A362:K521"/>
    </sheetView>
  </sheetViews>
  <sheetFormatPr baseColWidth="10" defaultRowHeight="15"/>
  <cols>
    <col min="2" max="2" width="10.7109375" bestFit="1" customWidth="1"/>
    <col min="3" max="3" width="12.7109375" bestFit="1" customWidth="1"/>
    <col min="4" max="4" width="2" bestFit="1" customWidth="1"/>
    <col min="5" max="5" width="38.85546875" bestFit="1" customWidth="1"/>
    <col min="6" max="6" width="20.140625" customWidth="1"/>
    <col min="7" max="7" width="18.140625" customWidth="1"/>
    <col min="8" max="8" width="17" style="7" customWidth="1"/>
    <col min="9" max="9" width="13.140625" style="7" bestFit="1" customWidth="1"/>
    <col min="10" max="10" width="9.5703125" bestFit="1" customWidth="1"/>
  </cols>
  <sheetData>
    <row r="1" spans="1:9">
      <c r="A1" t="s">
        <v>684</v>
      </c>
    </row>
    <row r="2" spans="1:9">
      <c r="A2" t="s">
        <v>4584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456</v>
      </c>
      <c r="B7" s="1">
        <v>42136</v>
      </c>
      <c r="C7" t="s">
        <v>3146</v>
      </c>
      <c r="D7">
        <v>1</v>
      </c>
      <c r="E7" t="s">
        <v>1514</v>
      </c>
      <c r="F7" t="s">
        <v>1528</v>
      </c>
      <c r="G7" t="s">
        <v>1514</v>
      </c>
      <c r="H7" s="7">
        <f>+I7/0.16</f>
        <v>7350</v>
      </c>
      <c r="I7" s="7">
        <v>1176</v>
      </c>
    </row>
    <row r="8" spans="1:9">
      <c r="A8" t="s">
        <v>1293</v>
      </c>
      <c r="B8" s="1">
        <v>42155</v>
      </c>
      <c r="C8" t="s">
        <v>3085</v>
      </c>
      <c r="D8">
        <v>1</v>
      </c>
      <c r="E8" t="s">
        <v>7313</v>
      </c>
      <c r="F8" s="139" t="s">
        <v>1604</v>
      </c>
      <c r="G8" t="s">
        <v>7313</v>
      </c>
      <c r="H8" s="7">
        <f t="shared" ref="H8:H71" si="0">+I8/0.16</f>
        <v>2100</v>
      </c>
      <c r="I8" s="7">
        <v>336</v>
      </c>
    </row>
    <row r="9" spans="1:9">
      <c r="A9" t="s">
        <v>1225</v>
      </c>
      <c r="B9" s="1">
        <v>42155</v>
      </c>
      <c r="C9" t="s">
        <v>3013</v>
      </c>
      <c r="D9">
        <v>1</v>
      </c>
      <c r="E9" t="s">
        <v>3014</v>
      </c>
      <c r="F9" t="s">
        <v>3245</v>
      </c>
      <c r="G9" t="s">
        <v>3014</v>
      </c>
      <c r="H9" s="7">
        <f t="shared" si="0"/>
        <v>206.875</v>
      </c>
      <c r="I9" s="7">
        <v>33.1</v>
      </c>
    </row>
    <row r="10" spans="1:9">
      <c r="A10" t="s">
        <v>2876</v>
      </c>
      <c r="B10" s="1">
        <v>42152</v>
      </c>
      <c r="C10" t="s">
        <v>2815</v>
      </c>
      <c r="D10">
        <v>1</v>
      </c>
      <c r="E10" t="s">
        <v>2877</v>
      </c>
      <c r="F10" t="s">
        <v>3217</v>
      </c>
      <c r="G10" t="s">
        <v>2877</v>
      </c>
      <c r="H10" s="7">
        <f t="shared" si="0"/>
        <v>157264.1875</v>
      </c>
      <c r="I10" s="7">
        <v>25162.27</v>
      </c>
    </row>
    <row r="11" spans="1:9">
      <c r="A11" t="s">
        <v>2930</v>
      </c>
      <c r="B11" s="1">
        <v>42155</v>
      </c>
      <c r="C11" t="s">
        <v>2931</v>
      </c>
      <c r="D11">
        <v>1</v>
      </c>
      <c r="E11" t="s">
        <v>301</v>
      </c>
      <c r="F11" s="25" t="s">
        <v>700</v>
      </c>
      <c r="G11" t="s">
        <v>301</v>
      </c>
      <c r="H11" s="7">
        <f t="shared" si="0"/>
        <v>26.124999999999996</v>
      </c>
      <c r="I11" s="7">
        <v>4.18</v>
      </c>
    </row>
    <row r="12" spans="1:9">
      <c r="A12" t="s">
        <v>2932</v>
      </c>
      <c r="B12" s="1">
        <v>42155</v>
      </c>
      <c r="C12" t="s">
        <v>2933</v>
      </c>
      <c r="D12">
        <v>1</v>
      </c>
      <c r="E12" t="s">
        <v>301</v>
      </c>
      <c r="F12" s="25" t="s">
        <v>700</v>
      </c>
      <c r="G12" t="s">
        <v>301</v>
      </c>
      <c r="H12" s="7">
        <f t="shared" si="0"/>
        <v>119.5</v>
      </c>
      <c r="I12" s="7">
        <v>19.12</v>
      </c>
    </row>
    <row r="13" spans="1:9">
      <c r="A13" t="s">
        <v>1219</v>
      </c>
      <c r="B13" s="1">
        <v>42155</v>
      </c>
      <c r="C13" t="s">
        <v>3006</v>
      </c>
      <c r="D13">
        <v>1</v>
      </c>
      <c r="E13" t="s">
        <v>3007</v>
      </c>
      <c r="F13" t="s">
        <v>2241</v>
      </c>
      <c r="G13" t="s">
        <v>3007</v>
      </c>
      <c r="H13" s="7">
        <f t="shared" si="0"/>
        <v>100</v>
      </c>
      <c r="I13" s="7">
        <v>16</v>
      </c>
    </row>
    <row r="14" spans="1:9">
      <c r="A14" t="s">
        <v>3069</v>
      </c>
      <c r="B14" s="1">
        <v>42155</v>
      </c>
      <c r="C14" t="s">
        <v>3070</v>
      </c>
      <c r="D14">
        <v>1</v>
      </c>
      <c r="E14" t="s">
        <v>3007</v>
      </c>
      <c r="F14" t="s">
        <v>2241</v>
      </c>
      <c r="G14" t="s">
        <v>3007</v>
      </c>
      <c r="H14" s="7">
        <f t="shared" si="0"/>
        <v>117.25000000000001</v>
      </c>
      <c r="I14" s="7">
        <v>18.760000000000002</v>
      </c>
    </row>
    <row r="15" spans="1:9">
      <c r="A15" t="s">
        <v>1359</v>
      </c>
      <c r="B15" s="1">
        <v>42136</v>
      </c>
      <c r="C15" t="s">
        <v>3136</v>
      </c>
      <c r="D15">
        <v>1</v>
      </c>
      <c r="E15" t="s">
        <v>462</v>
      </c>
      <c r="F15" t="s">
        <v>701</v>
      </c>
      <c r="G15" t="s">
        <v>462</v>
      </c>
      <c r="H15" s="7">
        <f t="shared" si="0"/>
        <v>3103.4375</v>
      </c>
      <c r="I15" s="7">
        <v>496.55</v>
      </c>
    </row>
    <row r="16" spans="1:9">
      <c r="A16" t="s">
        <v>2943</v>
      </c>
      <c r="B16" s="1">
        <v>42155</v>
      </c>
      <c r="C16" t="s">
        <v>2944</v>
      </c>
      <c r="D16">
        <v>1</v>
      </c>
      <c r="E16" t="s">
        <v>2945</v>
      </c>
      <c r="F16" s="17" t="s">
        <v>703</v>
      </c>
      <c r="G16" t="s">
        <v>2945</v>
      </c>
      <c r="H16" s="7">
        <f t="shared" si="0"/>
        <v>77.625</v>
      </c>
      <c r="I16" s="7">
        <v>12.42</v>
      </c>
    </row>
    <row r="17" spans="1:9">
      <c r="A17" t="s">
        <v>1154</v>
      </c>
      <c r="B17" s="1">
        <v>42155</v>
      </c>
      <c r="C17" t="s">
        <v>2955</v>
      </c>
      <c r="D17">
        <v>1</v>
      </c>
      <c r="E17" t="s">
        <v>237</v>
      </c>
      <c r="F17" t="s">
        <v>704</v>
      </c>
      <c r="G17" t="s">
        <v>237</v>
      </c>
      <c r="H17" s="7">
        <f t="shared" si="0"/>
        <v>215.49999999999997</v>
      </c>
      <c r="I17" s="7">
        <v>34.479999999999997</v>
      </c>
    </row>
    <row r="18" spans="1:9">
      <c r="A18" t="s">
        <v>186</v>
      </c>
      <c r="B18" s="1">
        <v>42155</v>
      </c>
      <c r="C18" t="s">
        <v>2954</v>
      </c>
      <c r="D18">
        <v>1</v>
      </c>
      <c r="E18" t="s">
        <v>237</v>
      </c>
      <c r="F18" t="s">
        <v>704</v>
      </c>
      <c r="G18" t="s">
        <v>237</v>
      </c>
      <c r="H18" s="7">
        <f t="shared" si="0"/>
        <v>215.49999999999997</v>
      </c>
      <c r="I18" s="7">
        <v>34.479999999999997</v>
      </c>
    </row>
    <row r="19" spans="1:9">
      <c r="A19" t="s">
        <v>1151</v>
      </c>
      <c r="B19" s="1">
        <v>42155</v>
      </c>
      <c r="C19" t="s">
        <v>2951</v>
      </c>
      <c r="D19">
        <v>1</v>
      </c>
      <c r="E19" t="s">
        <v>237</v>
      </c>
      <c r="F19" t="s">
        <v>704</v>
      </c>
      <c r="G19" t="s">
        <v>237</v>
      </c>
      <c r="H19" s="7">
        <f t="shared" si="0"/>
        <v>431.0625</v>
      </c>
      <c r="I19" s="7">
        <v>68.97</v>
      </c>
    </row>
    <row r="20" spans="1:9">
      <c r="A20" t="s">
        <v>1149</v>
      </c>
      <c r="B20" s="1">
        <v>42155</v>
      </c>
      <c r="C20" t="s">
        <v>2950</v>
      </c>
      <c r="D20">
        <v>1</v>
      </c>
      <c r="E20" t="s">
        <v>237</v>
      </c>
      <c r="F20" t="s">
        <v>704</v>
      </c>
      <c r="G20" t="s">
        <v>237</v>
      </c>
      <c r="H20" s="7">
        <f t="shared" si="0"/>
        <v>215.49999999999997</v>
      </c>
      <c r="I20" s="7">
        <v>34.479999999999997</v>
      </c>
    </row>
    <row r="21" spans="1:9">
      <c r="A21" t="s">
        <v>1162</v>
      </c>
      <c r="B21" s="1">
        <v>42155</v>
      </c>
      <c r="C21" t="s">
        <v>2960</v>
      </c>
      <c r="D21">
        <v>1</v>
      </c>
      <c r="E21" t="s">
        <v>237</v>
      </c>
      <c r="F21" t="s">
        <v>704</v>
      </c>
      <c r="G21" t="s">
        <v>237</v>
      </c>
      <c r="H21" s="7">
        <f t="shared" si="0"/>
        <v>215.49999999999997</v>
      </c>
      <c r="I21" s="7">
        <v>34.479999999999997</v>
      </c>
    </row>
    <row r="22" spans="1:9">
      <c r="A22" t="s">
        <v>1160</v>
      </c>
      <c r="B22" s="1">
        <v>42155</v>
      </c>
      <c r="C22" t="s">
        <v>2958</v>
      </c>
      <c r="D22">
        <v>1</v>
      </c>
      <c r="E22" t="s">
        <v>2959</v>
      </c>
      <c r="F22" t="s">
        <v>704</v>
      </c>
      <c r="G22" t="s">
        <v>2959</v>
      </c>
      <c r="H22" s="7">
        <f t="shared" si="0"/>
        <v>431.0625</v>
      </c>
      <c r="I22" s="7">
        <v>68.97</v>
      </c>
    </row>
    <row r="23" spans="1:9">
      <c r="A23" t="s">
        <v>2978</v>
      </c>
      <c r="B23" s="1">
        <v>42155</v>
      </c>
      <c r="C23" t="s">
        <v>2979</v>
      </c>
      <c r="D23">
        <v>1</v>
      </c>
      <c r="E23" t="s">
        <v>1938</v>
      </c>
      <c r="F23" t="s">
        <v>2191</v>
      </c>
      <c r="G23" t="s">
        <v>1938</v>
      </c>
      <c r="H23" s="7">
        <f t="shared" si="0"/>
        <v>385</v>
      </c>
      <c r="I23" s="7">
        <v>61.6</v>
      </c>
    </row>
    <row r="24" spans="1:9">
      <c r="A24" t="s">
        <v>1231</v>
      </c>
      <c r="B24" s="1">
        <v>42155</v>
      </c>
      <c r="C24" t="s">
        <v>3018</v>
      </c>
      <c r="D24">
        <v>1</v>
      </c>
      <c r="E24" t="s">
        <v>3019</v>
      </c>
      <c r="F24" t="s">
        <v>1628</v>
      </c>
      <c r="G24" t="s">
        <v>3019</v>
      </c>
      <c r="H24" s="7">
        <f t="shared" si="0"/>
        <v>535.8125</v>
      </c>
      <c r="I24" s="7">
        <v>85.73</v>
      </c>
    </row>
    <row r="25" spans="1:9">
      <c r="A25" t="s">
        <v>1199</v>
      </c>
      <c r="B25" s="1">
        <v>42155</v>
      </c>
      <c r="C25" t="s">
        <v>2989</v>
      </c>
      <c r="D25">
        <v>1</v>
      </c>
      <c r="E25" t="s">
        <v>2990</v>
      </c>
      <c r="F25" t="s">
        <v>714</v>
      </c>
      <c r="G25" t="s">
        <v>2990</v>
      </c>
      <c r="H25" s="7">
        <f t="shared" si="0"/>
        <v>158.625</v>
      </c>
      <c r="I25" s="7">
        <v>25.38</v>
      </c>
    </row>
    <row r="26" spans="1:9">
      <c r="A26" t="s">
        <v>2995</v>
      </c>
      <c r="B26" s="1">
        <v>42155</v>
      </c>
      <c r="C26" t="s">
        <v>2996</v>
      </c>
      <c r="D26">
        <v>1</v>
      </c>
      <c r="E26" t="s">
        <v>2990</v>
      </c>
      <c r="F26" t="s">
        <v>714</v>
      </c>
      <c r="G26" t="s">
        <v>2990</v>
      </c>
      <c r="H26" s="7">
        <f t="shared" si="0"/>
        <v>312.9375</v>
      </c>
      <c r="I26" s="7">
        <v>50.07</v>
      </c>
    </row>
    <row r="27" spans="1:9">
      <c r="A27" t="s">
        <v>1210</v>
      </c>
      <c r="B27" s="1">
        <v>42155</v>
      </c>
      <c r="C27" t="s">
        <v>2999</v>
      </c>
      <c r="D27">
        <v>1</v>
      </c>
      <c r="E27" t="s">
        <v>2990</v>
      </c>
      <c r="F27" t="s">
        <v>714</v>
      </c>
      <c r="G27" t="s">
        <v>2990</v>
      </c>
      <c r="H27" s="7">
        <f t="shared" si="0"/>
        <v>56.0625</v>
      </c>
      <c r="I27" s="7">
        <v>8.9700000000000006</v>
      </c>
    </row>
    <row r="28" spans="1:9">
      <c r="A28" t="s">
        <v>1231</v>
      </c>
      <c r="B28" s="1">
        <v>42155</v>
      </c>
      <c r="C28" t="s">
        <v>3018</v>
      </c>
      <c r="D28">
        <v>1</v>
      </c>
      <c r="E28" t="s">
        <v>2990</v>
      </c>
      <c r="F28" t="s">
        <v>714</v>
      </c>
      <c r="G28" t="s">
        <v>2990</v>
      </c>
      <c r="H28" s="7">
        <f t="shared" si="0"/>
        <v>47.125</v>
      </c>
      <c r="I28" s="7">
        <v>7.54</v>
      </c>
    </row>
    <row r="29" spans="1:9">
      <c r="A29" t="s">
        <v>1245</v>
      </c>
      <c r="B29" s="1">
        <v>42155</v>
      </c>
      <c r="C29" t="s">
        <v>3030</v>
      </c>
      <c r="D29">
        <v>1</v>
      </c>
      <c r="E29" t="s">
        <v>2990</v>
      </c>
      <c r="F29" t="s">
        <v>714</v>
      </c>
      <c r="G29" t="s">
        <v>2990</v>
      </c>
      <c r="H29" s="7">
        <f t="shared" si="0"/>
        <v>377.56249999999994</v>
      </c>
      <c r="I29" s="7">
        <v>60.41</v>
      </c>
    </row>
    <row r="30" spans="1:9">
      <c r="A30" t="s">
        <v>1251</v>
      </c>
      <c r="B30" s="1">
        <v>42155</v>
      </c>
      <c r="C30" t="s">
        <v>3037</v>
      </c>
      <c r="D30">
        <v>1</v>
      </c>
      <c r="E30" t="s">
        <v>2990</v>
      </c>
      <c r="F30" t="s">
        <v>714</v>
      </c>
      <c r="G30" t="s">
        <v>2990</v>
      </c>
      <c r="H30" s="7">
        <f t="shared" si="0"/>
        <v>312.9375</v>
      </c>
      <c r="I30" s="7">
        <v>50.07</v>
      </c>
    </row>
    <row r="31" spans="1:9">
      <c r="A31" t="s">
        <v>1258</v>
      </c>
      <c r="B31" s="1">
        <v>42155</v>
      </c>
      <c r="C31" t="s">
        <v>3064</v>
      </c>
      <c r="D31">
        <v>1</v>
      </c>
      <c r="E31" t="s">
        <v>2990</v>
      </c>
      <c r="F31" t="s">
        <v>714</v>
      </c>
      <c r="G31" t="s">
        <v>2990</v>
      </c>
      <c r="H31" s="7">
        <f t="shared" si="0"/>
        <v>46.5625</v>
      </c>
      <c r="I31" s="7">
        <v>7.45</v>
      </c>
    </row>
    <row r="32" spans="1:9">
      <c r="A32" t="s">
        <v>1260</v>
      </c>
      <c r="B32" s="1">
        <v>42155</v>
      </c>
      <c r="C32" t="s">
        <v>3068</v>
      </c>
      <c r="D32">
        <v>1</v>
      </c>
      <c r="E32" t="s">
        <v>2990</v>
      </c>
      <c r="F32" t="s">
        <v>714</v>
      </c>
      <c r="G32" t="s">
        <v>2990</v>
      </c>
      <c r="H32" s="7">
        <f t="shared" si="0"/>
        <v>377.56249999999994</v>
      </c>
      <c r="I32" s="7">
        <v>60.41</v>
      </c>
    </row>
    <row r="33" spans="1:9">
      <c r="A33" t="s">
        <v>1262</v>
      </c>
      <c r="B33" s="1">
        <v>42155</v>
      </c>
      <c r="C33" t="s">
        <v>3073</v>
      </c>
      <c r="D33">
        <v>1</v>
      </c>
      <c r="E33" t="s">
        <v>2990</v>
      </c>
      <c r="F33" t="s">
        <v>714</v>
      </c>
      <c r="G33" t="s">
        <v>2990</v>
      </c>
      <c r="H33" s="7">
        <f t="shared" si="0"/>
        <v>377.56249999999994</v>
      </c>
      <c r="I33" s="7">
        <v>60.41</v>
      </c>
    </row>
    <row r="34" spans="1:9">
      <c r="A34" t="s">
        <v>1263</v>
      </c>
      <c r="B34" s="1">
        <v>42155</v>
      </c>
      <c r="C34" t="s">
        <v>3078</v>
      </c>
      <c r="D34">
        <v>1</v>
      </c>
      <c r="E34" t="s">
        <v>2990</v>
      </c>
      <c r="F34" t="s">
        <v>714</v>
      </c>
      <c r="G34" t="s">
        <v>2990</v>
      </c>
      <c r="H34" s="7">
        <f t="shared" si="0"/>
        <v>105.18749999999999</v>
      </c>
      <c r="I34" s="7">
        <v>16.829999999999998</v>
      </c>
    </row>
    <row r="35" spans="1:9">
      <c r="A35" t="s">
        <v>1263</v>
      </c>
      <c r="B35" s="1">
        <v>42155</v>
      </c>
      <c r="C35" t="s">
        <v>3078</v>
      </c>
      <c r="D35">
        <v>1</v>
      </c>
      <c r="E35" t="s">
        <v>2990</v>
      </c>
      <c r="F35" t="s">
        <v>714</v>
      </c>
      <c r="G35" t="s">
        <v>2990</v>
      </c>
      <c r="H35" s="7">
        <f t="shared" si="0"/>
        <v>284.5</v>
      </c>
      <c r="I35" s="7">
        <v>45.52</v>
      </c>
    </row>
    <row r="36" spans="1:9">
      <c r="A36" t="s">
        <v>1264</v>
      </c>
      <c r="B36" s="1">
        <v>42155</v>
      </c>
      <c r="C36" t="s">
        <v>3079</v>
      </c>
      <c r="D36">
        <v>1</v>
      </c>
      <c r="E36" t="s">
        <v>2990</v>
      </c>
      <c r="F36" t="s">
        <v>714</v>
      </c>
      <c r="G36" t="s">
        <v>2990</v>
      </c>
      <c r="H36" s="7">
        <f t="shared" si="0"/>
        <v>205.18749999999997</v>
      </c>
      <c r="I36" s="7">
        <v>32.83</v>
      </c>
    </row>
    <row r="37" spans="1:9">
      <c r="A37" t="s">
        <v>1210</v>
      </c>
      <c r="B37" s="1">
        <v>42155</v>
      </c>
      <c r="C37" t="s">
        <v>2999</v>
      </c>
      <c r="D37">
        <v>1</v>
      </c>
      <c r="E37" t="s">
        <v>3000</v>
      </c>
      <c r="F37" t="s">
        <v>923</v>
      </c>
      <c r="G37" t="s">
        <v>3000</v>
      </c>
      <c r="H37" s="7">
        <f t="shared" si="0"/>
        <v>312.9375</v>
      </c>
      <c r="I37" s="7">
        <v>50.07</v>
      </c>
    </row>
    <row r="38" spans="1:9">
      <c r="A38" t="s">
        <v>1231</v>
      </c>
      <c r="B38" s="1">
        <v>42155</v>
      </c>
      <c r="C38" t="s">
        <v>3018</v>
      </c>
      <c r="D38">
        <v>1</v>
      </c>
      <c r="E38" t="s">
        <v>3000</v>
      </c>
      <c r="F38" t="s">
        <v>923</v>
      </c>
      <c r="G38" t="s">
        <v>3000</v>
      </c>
      <c r="H38" s="7">
        <f t="shared" si="0"/>
        <v>435.37499999999994</v>
      </c>
      <c r="I38" s="7">
        <v>69.66</v>
      </c>
    </row>
    <row r="39" spans="1:9">
      <c r="A39" t="s">
        <v>1258</v>
      </c>
      <c r="B39" s="1">
        <v>42155</v>
      </c>
      <c r="C39" t="s">
        <v>3064</v>
      </c>
      <c r="D39">
        <v>1</v>
      </c>
      <c r="E39" t="s">
        <v>3000</v>
      </c>
      <c r="F39" t="s">
        <v>923</v>
      </c>
      <c r="G39" t="s">
        <v>3000</v>
      </c>
      <c r="H39" s="7">
        <f t="shared" si="0"/>
        <v>435.37499999999994</v>
      </c>
      <c r="I39" s="7">
        <v>69.66</v>
      </c>
    </row>
    <row r="40" spans="1:9">
      <c r="A40" t="s">
        <v>3069</v>
      </c>
      <c r="B40" s="1">
        <v>42155</v>
      </c>
      <c r="C40" t="s">
        <v>3070</v>
      </c>
      <c r="D40">
        <v>1</v>
      </c>
      <c r="E40" t="s">
        <v>3000</v>
      </c>
      <c r="F40" t="s">
        <v>923</v>
      </c>
      <c r="G40" t="s">
        <v>3000</v>
      </c>
      <c r="H40" s="7">
        <f t="shared" si="0"/>
        <v>750</v>
      </c>
      <c r="I40" s="7">
        <v>120</v>
      </c>
    </row>
    <row r="41" spans="1:9">
      <c r="A41" t="s">
        <v>3082</v>
      </c>
      <c r="B41" s="1">
        <v>42155</v>
      </c>
      <c r="C41" t="s">
        <v>3083</v>
      </c>
      <c r="D41">
        <v>1</v>
      </c>
      <c r="E41" t="s">
        <v>3000</v>
      </c>
      <c r="F41" t="s">
        <v>923</v>
      </c>
      <c r="G41" t="s">
        <v>3000</v>
      </c>
      <c r="H41" s="7">
        <f t="shared" si="0"/>
        <v>271.5625</v>
      </c>
      <c r="I41" s="7">
        <v>43.45</v>
      </c>
    </row>
    <row r="42" spans="1:9">
      <c r="A42" t="s">
        <v>2871</v>
      </c>
      <c r="B42" s="1">
        <v>42151</v>
      </c>
      <c r="C42" t="s">
        <v>2872</v>
      </c>
      <c r="D42">
        <v>1</v>
      </c>
      <c r="E42" t="s">
        <v>2873</v>
      </c>
      <c r="F42" t="s">
        <v>707</v>
      </c>
      <c r="G42" t="s">
        <v>2873</v>
      </c>
      <c r="H42" s="7">
        <f t="shared" si="0"/>
        <v>153712.375</v>
      </c>
      <c r="I42" s="7">
        <v>24593.98</v>
      </c>
    </row>
    <row r="43" spans="1:9">
      <c r="A43" t="s">
        <v>1260</v>
      </c>
      <c r="B43" s="1">
        <v>42155</v>
      </c>
      <c r="C43" t="s">
        <v>3068</v>
      </c>
      <c r="D43">
        <v>1</v>
      </c>
      <c r="E43" t="s">
        <v>880</v>
      </c>
      <c r="F43" t="s">
        <v>879</v>
      </c>
      <c r="G43" t="s">
        <v>880</v>
      </c>
      <c r="H43" s="7">
        <f t="shared" si="0"/>
        <v>512.1875</v>
      </c>
      <c r="I43" s="7">
        <v>81.95</v>
      </c>
    </row>
    <row r="44" spans="1:9">
      <c r="A44" t="s">
        <v>1262</v>
      </c>
      <c r="B44" s="1">
        <v>42155</v>
      </c>
      <c r="C44" t="s">
        <v>3073</v>
      </c>
      <c r="D44">
        <v>1</v>
      </c>
      <c r="E44" t="s">
        <v>880</v>
      </c>
      <c r="F44" t="s">
        <v>879</v>
      </c>
      <c r="G44" t="s">
        <v>880</v>
      </c>
      <c r="H44" s="7">
        <f t="shared" si="0"/>
        <v>377.4375</v>
      </c>
      <c r="I44" s="7">
        <v>60.39</v>
      </c>
    </row>
    <row r="45" spans="1:9">
      <c r="A45" t="s">
        <v>189</v>
      </c>
      <c r="B45" s="1">
        <v>42155</v>
      </c>
      <c r="C45" t="s">
        <v>2993</v>
      </c>
      <c r="D45">
        <v>1</v>
      </c>
      <c r="E45" t="s">
        <v>2994</v>
      </c>
      <c r="F45" t="s">
        <v>711</v>
      </c>
      <c r="G45" t="s">
        <v>2994</v>
      </c>
      <c r="H45" s="7">
        <f t="shared" si="0"/>
        <v>404.62499999999994</v>
      </c>
      <c r="I45" s="7">
        <v>64.739999999999995</v>
      </c>
    </row>
    <row r="46" spans="1:9">
      <c r="A46" t="s">
        <v>1245</v>
      </c>
      <c r="B46" s="1">
        <v>42155</v>
      </c>
      <c r="C46" t="s">
        <v>3030</v>
      </c>
      <c r="D46">
        <v>1</v>
      </c>
      <c r="E46" t="s">
        <v>882</v>
      </c>
      <c r="F46" s="19" t="s">
        <v>881</v>
      </c>
      <c r="G46" t="s">
        <v>882</v>
      </c>
      <c r="H46" s="7">
        <f t="shared" si="0"/>
        <v>46.125</v>
      </c>
      <c r="I46" s="7">
        <v>7.38</v>
      </c>
    </row>
    <row r="47" spans="1:9">
      <c r="A47" t="s">
        <v>1260</v>
      </c>
      <c r="B47" s="1">
        <v>42155</v>
      </c>
      <c r="C47" t="s">
        <v>3068</v>
      </c>
      <c r="D47">
        <v>1</v>
      </c>
      <c r="E47" t="s">
        <v>882</v>
      </c>
      <c r="F47" s="19" t="s">
        <v>881</v>
      </c>
      <c r="G47" t="s">
        <v>882</v>
      </c>
      <c r="H47" s="7">
        <f t="shared" si="0"/>
        <v>54.75</v>
      </c>
      <c r="I47" s="7">
        <v>8.76</v>
      </c>
    </row>
    <row r="48" spans="1:9">
      <c r="A48" t="s">
        <v>1240</v>
      </c>
      <c r="B48" s="1">
        <v>42155</v>
      </c>
      <c r="C48" t="s">
        <v>3025</v>
      </c>
      <c r="D48">
        <v>1</v>
      </c>
      <c r="E48" t="s">
        <v>3026</v>
      </c>
      <c r="F48" s="19" t="s">
        <v>3218</v>
      </c>
      <c r="G48" t="s">
        <v>3026</v>
      </c>
      <c r="H48" s="7">
        <f t="shared" si="0"/>
        <v>317.25</v>
      </c>
      <c r="I48" s="7">
        <v>50.76</v>
      </c>
    </row>
    <row r="49" spans="1:9">
      <c r="A49" t="s">
        <v>1181</v>
      </c>
      <c r="B49" s="1">
        <v>42155</v>
      </c>
      <c r="C49" t="s">
        <v>2973</v>
      </c>
      <c r="D49">
        <v>1</v>
      </c>
      <c r="E49" t="s">
        <v>2974</v>
      </c>
      <c r="F49" t="s">
        <v>722</v>
      </c>
      <c r="G49" t="s">
        <v>723</v>
      </c>
      <c r="H49" s="7">
        <f t="shared" si="0"/>
        <v>56.0625</v>
      </c>
      <c r="I49" s="7">
        <v>8.9700000000000006</v>
      </c>
    </row>
    <row r="50" spans="1:9">
      <c r="A50" t="s">
        <v>1219</v>
      </c>
      <c r="B50" s="1">
        <v>42155</v>
      </c>
      <c r="C50" t="s">
        <v>3006</v>
      </c>
      <c r="D50">
        <v>1</v>
      </c>
      <c r="E50" t="s">
        <v>2974</v>
      </c>
      <c r="F50" t="s">
        <v>722</v>
      </c>
      <c r="G50" t="s">
        <v>723</v>
      </c>
      <c r="H50" s="7">
        <f t="shared" si="0"/>
        <v>166.375</v>
      </c>
      <c r="I50" s="7">
        <v>26.62</v>
      </c>
    </row>
    <row r="51" spans="1:9">
      <c r="A51" t="s">
        <v>3011</v>
      </c>
      <c r="B51" s="1">
        <v>42155</v>
      </c>
      <c r="C51" t="s">
        <v>3012</v>
      </c>
      <c r="D51">
        <v>1</v>
      </c>
      <c r="E51" t="s">
        <v>2974</v>
      </c>
      <c r="F51" t="s">
        <v>722</v>
      </c>
      <c r="G51" t="s">
        <v>723</v>
      </c>
      <c r="H51" s="7">
        <f t="shared" si="0"/>
        <v>56.0625</v>
      </c>
      <c r="I51" s="7">
        <v>8.9700000000000006</v>
      </c>
    </row>
    <row r="52" spans="1:9">
      <c r="A52" t="s">
        <v>1245</v>
      </c>
      <c r="B52" s="1">
        <v>42155</v>
      </c>
      <c r="C52" t="s">
        <v>3030</v>
      </c>
      <c r="D52">
        <v>1</v>
      </c>
      <c r="E52" t="s">
        <v>2974</v>
      </c>
      <c r="F52" t="s">
        <v>722</v>
      </c>
      <c r="G52" t="s">
        <v>723</v>
      </c>
      <c r="H52" s="7">
        <f t="shared" si="0"/>
        <v>445.6875</v>
      </c>
      <c r="I52" s="7">
        <v>71.31</v>
      </c>
    </row>
    <row r="53" spans="1:9">
      <c r="A53" t="s">
        <v>1258</v>
      </c>
      <c r="B53" s="1">
        <v>42155</v>
      </c>
      <c r="C53" t="s">
        <v>3064</v>
      </c>
      <c r="D53">
        <v>1</v>
      </c>
      <c r="E53" t="s">
        <v>2974</v>
      </c>
      <c r="F53" t="s">
        <v>722</v>
      </c>
      <c r="G53" t="s">
        <v>723</v>
      </c>
      <c r="H53" s="7">
        <f t="shared" si="0"/>
        <v>466.43749999999994</v>
      </c>
      <c r="I53" s="7">
        <v>74.63</v>
      </c>
    </row>
    <row r="54" spans="1:9">
      <c r="A54" t="s">
        <v>1260</v>
      </c>
      <c r="B54" s="1">
        <v>42155</v>
      </c>
      <c r="C54" t="s">
        <v>3068</v>
      </c>
      <c r="D54">
        <v>1</v>
      </c>
      <c r="E54" t="s">
        <v>2974</v>
      </c>
      <c r="F54" t="s">
        <v>722</v>
      </c>
      <c r="G54" t="s">
        <v>723</v>
      </c>
      <c r="H54" s="7">
        <f t="shared" si="0"/>
        <v>445.6875</v>
      </c>
      <c r="I54" s="7">
        <v>71.31</v>
      </c>
    </row>
    <row r="55" spans="1:9">
      <c r="A55" t="s">
        <v>3069</v>
      </c>
      <c r="B55" s="1">
        <v>42155</v>
      </c>
      <c r="C55" t="s">
        <v>3070</v>
      </c>
      <c r="D55">
        <v>1</v>
      </c>
      <c r="E55" t="s">
        <v>2974</v>
      </c>
      <c r="F55" t="s">
        <v>722</v>
      </c>
      <c r="G55" t="s">
        <v>723</v>
      </c>
      <c r="H55" s="7">
        <f t="shared" si="0"/>
        <v>644.875</v>
      </c>
      <c r="I55" s="7">
        <v>103.18</v>
      </c>
    </row>
    <row r="56" spans="1:9">
      <c r="A56" t="s">
        <v>1262</v>
      </c>
      <c r="B56" s="1">
        <v>42155</v>
      </c>
      <c r="C56" t="s">
        <v>3073</v>
      </c>
      <c r="D56">
        <v>1</v>
      </c>
      <c r="E56" t="s">
        <v>2974</v>
      </c>
      <c r="F56" t="s">
        <v>722</v>
      </c>
      <c r="G56" t="s">
        <v>723</v>
      </c>
      <c r="H56" s="7">
        <f t="shared" si="0"/>
        <v>445.6875</v>
      </c>
      <c r="I56" s="7">
        <v>71.31</v>
      </c>
    </row>
    <row r="57" spans="1:9">
      <c r="A57" t="s">
        <v>198</v>
      </c>
      <c r="B57" s="1">
        <v>42155</v>
      </c>
      <c r="C57" t="s">
        <v>3074</v>
      </c>
      <c r="D57">
        <v>1</v>
      </c>
      <c r="E57" t="s">
        <v>2974</v>
      </c>
      <c r="F57" t="s">
        <v>722</v>
      </c>
      <c r="G57" t="s">
        <v>723</v>
      </c>
      <c r="H57" s="7">
        <f t="shared" si="0"/>
        <v>176.8125</v>
      </c>
      <c r="I57" s="7">
        <v>28.29</v>
      </c>
    </row>
    <row r="58" spans="1:9">
      <c r="A58" t="s">
        <v>3076</v>
      </c>
      <c r="B58" s="1">
        <v>42155</v>
      </c>
      <c r="C58" t="s">
        <v>3077</v>
      </c>
      <c r="D58">
        <v>1</v>
      </c>
      <c r="E58" t="s">
        <v>2974</v>
      </c>
      <c r="F58" t="s">
        <v>722</v>
      </c>
      <c r="G58" t="s">
        <v>723</v>
      </c>
      <c r="H58" s="7">
        <f t="shared" si="0"/>
        <v>289.0625</v>
      </c>
      <c r="I58" s="7">
        <v>46.25</v>
      </c>
    </row>
    <row r="59" spans="1:9">
      <c r="A59" t="s">
        <v>1263</v>
      </c>
      <c r="B59" s="1">
        <v>42155</v>
      </c>
      <c r="C59" t="s">
        <v>3078</v>
      </c>
      <c r="D59">
        <v>1</v>
      </c>
      <c r="E59" t="s">
        <v>2974</v>
      </c>
      <c r="F59" t="s">
        <v>722</v>
      </c>
      <c r="G59" t="s">
        <v>723</v>
      </c>
      <c r="H59" s="7">
        <f t="shared" si="0"/>
        <v>217.31250000000003</v>
      </c>
      <c r="I59" s="7">
        <v>34.770000000000003</v>
      </c>
    </row>
    <row r="60" spans="1:9">
      <c r="A60" t="s">
        <v>3082</v>
      </c>
      <c r="B60" s="1">
        <v>42155</v>
      </c>
      <c r="C60" t="s">
        <v>3083</v>
      </c>
      <c r="D60">
        <v>1</v>
      </c>
      <c r="E60" t="s">
        <v>2974</v>
      </c>
      <c r="F60" t="s">
        <v>722</v>
      </c>
      <c r="G60" t="s">
        <v>723</v>
      </c>
      <c r="H60" s="7">
        <f t="shared" si="0"/>
        <v>234.5625</v>
      </c>
      <c r="I60" s="7">
        <v>37.53</v>
      </c>
    </row>
    <row r="61" spans="1:9">
      <c r="A61" t="s">
        <v>2980</v>
      </c>
      <c r="B61" s="1">
        <v>42155</v>
      </c>
      <c r="C61" t="s">
        <v>2981</v>
      </c>
      <c r="D61">
        <v>1</v>
      </c>
      <c r="E61" t="s">
        <v>723</v>
      </c>
      <c r="F61" t="s">
        <v>722</v>
      </c>
      <c r="G61" t="s">
        <v>723</v>
      </c>
      <c r="H61" s="7">
        <f t="shared" si="0"/>
        <v>410.37499999999994</v>
      </c>
      <c r="I61" s="7">
        <v>65.66</v>
      </c>
    </row>
    <row r="62" spans="1:9">
      <c r="A62" t="s">
        <v>1199</v>
      </c>
      <c r="B62" s="1">
        <v>42155</v>
      </c>
      <c r="C62" t="s">
        <v>2989</v>
      </c>
      <c r="D62">
        <v>1</v>
      </c>
      <c r="E62" t="s">
        <v>723</v>
      </c>
      <c r="F62" t="s">
        <v>722</v>
      </c>
      <c r="G62" t="s">
        <v>723</v>
      </c>
      <c r="H62" s="7">
        <f t="shared" si="0"/>
        <v>56.0625</v>
      </c>
      <c r="I62" s="7">
        <v>8.9700000000000006</v>
      </c>
    </row>
    <row r="63" spans="1:9">
      <c r="A63" t="s">
        <v>2995</v>
      </c>
      <c r="B63" s="1">
        <v>42155</v>
      </c>
      <c r="C63" t="s">
        <v>2996</v>
      </c>
      <c r="D63">
        <v>1</v>
      </c>
      <c r="E63" t="s">
        <v>723</v>
      </c>
      <c r="F63" t="s">
        <v>722</v>
      </c>
      <c r="G63" t="s">
        <v>723</v>
      </c>
      <c r="H63" s="7">
        <f t="shared" si="0"/>
        <v>176.8125</v>
      </c>
      <c r="I63" s="7">
        <v>28.29</v>
      </c>
    </row>
    <row r="64" spans="1:9">
      <c r="A64" t="s">
        <v>1210</v>
      </c>
      <c r="B64" s="1">
        <v>42155</v>
      </c>
      <c r="C64" t="s">
        <v>2999</v>
      </c>
      <c r="D64">
        <v>1</v>
      </c>
      <c r="E64" t="s">
        <v>723</v>
      </c>
      <c r="F64" t="s">
        <v>722</v>
      </c>
      <c r="G64" t="s">
        <v>723</v>
      </c>
      <c r="H64" s="7">
        <f t="shared" si="0"/>
        <v>217.31250000000003</v>
      </c>
      <c r="I64" s="7">
        <v>34.770000000000003</v>
      </c>
    </row>
    <row r="65" spans="1:9">
      <c r="A65" t="s">
        <v>1231</v>
      </c>
      <c r="B65" s="1">
        <v>42155</v>
      </c>
      <c r="C65" t="s">
        <v>3018</v>
      </c>
      <c r="D65">
        <v>1</v>
      </c>
      <c r="E65" t="s">
        <v>723</v>
      </c>
      <c r="F65" t="s">
        <v>722</v>
      </c>
      <c r="G65" t="s">
        <v>723</v>
      </c>
      <c r="H65" s="7">
        <f t="shared" si="0"/>
        <v>407.8125</v>
      </c>
      <c r="I65" s="7">
        <v>65.25</v>
      </c>
    </row>
    <row r="66" spans="1:9">
      <c r="A66" t="s">
        <v>1251</v>
      </c>
      <c r="B66" s="1">
        <v>42155</v>
      </c>
      <c r="C66" t="s">
        <v>3037</v>
      </c>
      <c r="D66">
        <v>1</v>
      </c>
      <c r="E66" t="s">
        <v>723</v>
      </c>
      <c r="F66" t="s">
        <v>722</v>
      </c>
      <c r="G66" t="s">
        <v>723</v>
      </c>
      <c r="H66" s="7">
        <f t="shared" si="0"/>
        <v>176.8125</v>
      </c>
      <c r="I66" s="7">
        <v>28.29</v>
      </c>
    </row>
    <row r="67" spans="1:9">
      <c r="A67" t="s">
        <v>1264</v>
      </c>
      <c r="B67" s="1">
        <v>42155</v>
      </c>
      <c r="C67" t="s">
        <v>3079</v>
      </c>
      <c r="D67">
        <v>1</v>
      </c>
      <c r="E67" t="s">
        <v>723</v>
      </c>
      <c r="F67" t="s">
        <v>722</v>
      </c>
      <c r="G67" t="s">
        <v>723</v>
      </c>
      <c r="H67" s="7">
        <f t="shared" si="0"/>
        <v>176.8125</v>
      </c>
      <c r="I67" s="7">
        <v>28.29</v>
      </c>
    </row>
    <row r="68" spans="1:9">
      <c r="A68" t="s">
        <v>2952</v>
      </c>
      <c r="B68" s="1">
        <v>42155</v>
      </c>
      <c r="C68" t="s">
        <v>2953</v>
      </c>
      <c r="D68">
        <v>1</v>
      </c>
      <c r="E68" t="s">
        <v>293</v>
      </c>
      <c r="F68" s="19" t="s">
        <v>726</v>
      </c>
      <c r="G68" t="s">
        <v>293</v>
      </c>
      <c r="H68" s="7">
        <f t="shared" si="0"/>
        <v>125.81249999999999</v>
      </c>
      <c r="I68" s="7">
        <v>20.13</v>
      </c>
    </row>
    <row r="69" spans="1:9">
      <c r="A69" t="s">
        <v>1168</v>
      </c>
      <c r="B69" s="1">
        <v>42155</v>
      </c>
      <c r="C69" t="s">
        <v>2963</v>
      </c>
      <c r="D69">
        <v>1</v>
      </c>
      <c r="E69" t="s">
        <v>293</v>
      </c>
      <c r="F69" s="19" t="s">
        <v>726</v>
      </c>
      <c r="G69" t="s">
        <v>293</v>
      </c>
      <c r="H69" s="7">
        <f t="shared" si="0"/>
        <v>19.8125</v>
      </c>
      <c r="I69" s="7">
        <v>3.17</v>
      </c>
    </row>
    <row r="70" spans="1:9">
      <c r="A70" t="s">
        <v>1175</v>
      </c>
      <c r="B70" s="1">
        <v>42155</v>
      </c>
      <c r="C70" t="s">
        <v>2969</v>
      </c>
      <c r="D70">
        <v>1</v>
      </c>
      <c r="E70" t="s">
        <v>293</v>
      </c>
      <c r="F70" s="19" t="s">
        <v>726</v>
      </c>
      <c r="G70" t="s">
        <v>293</v>
      </c>
      <c r="H70" s="7">
        <f t="shared" si="0"/>
        <v>62.0625</v>
      </c>
      <c r="I70" s="7">
        <v>9.93</v>
      </c>
    </row>
    <row r="71" spans="1:9">
      <c r="A71" t="s">
        <v>1177</v>
      </c>
      <c r="B71" s="1">
        <v>42155</v>
      </c>
      <c r="C71" t="s">
        <v>2971</v>
      </c>
      <c r="D71">
        <v>1</v>
      </c>
      <c r="E71" t="s">
        <v>293</v>
      </c>
      <c r="F71" s="19" t="s">
        <v>726</v>
      </c>
      <c r="G71" t="s">
        <v>293</v>
      </c>
      <c r="H71" s="7">
        <f t="shared" si="0"/>
        <v>30.1875</v>
      </c>
      <c r="I71" s="7">
        <v>4.83</v>
      </c>
    </row>
    <row r="72" spans="1:9">
      <c r="A72" t="s">
        <v>3132</v>
      </c>
      <c r="B72" s="1">
        <v>42136</v>
      </c>
      <c r="C72" t="s">
        <v>3133</v>
      </c>
      <c r="D72">
        <v>1</v>
      </c>
      <c r="E72" t="s">
        <v>1436</v>
      </c>
      <c r="F72" s="19" t="s">
        <v>1551</v>
      </c>
      <c r="G72" t="s">
        <v>1436</v>
      </c>
      <c r="H72" s="7">
        <f t="shared" ref="H72:H135" si="1">+I72/0.16</f>
        <v>2147.5</v>
      </c>
      <c r="I72" s="7">
        <v>343.6</v>
      </c>
    </row>
    <row r="73" spans="1:9">
      <c r="A73" t="s">
        <v>2180</v>
      </c>
      <c r="B73" s="1">
        <v>42155</v>
      </c>
      <c r="C73" t="s">
        <v>3215</v>
      </c>
      <c r="D73">
        <v>1</v>
      </c>
      <c r="E73" t="s">
        <v>3216</v>
      </c>
      <c r="F73" s="23" t="s">
        <v>733</v>
      </c>
      <c r="G73" t="s">
        <v>3216</v>
      </c>
      <c r="H73" s="7">
        <f t="shared" si="1"/>
        <v>355.875</v>
      </c>
      <c r="I73" s="7">
        <v>56.94</v>
      </c>
    </row>
    <row r="74" spans="1:9">
      <c r="A74" t="s">
        <v>479</v>
      </c>
      <c r="B74" s="1">
        <v>42137</v>
      </c>
      <c r="C74" t="s">
        <v>3147</v>
      </c>
      <c r="D74">
        <v>1</v>
      </c>
      <c r="E74" t="s">
        <v>3148</v>
      </c>
      <c r="F74" s="25" t="s">
        <v>737</v>
      </c>
      <c r="G74" t="s">
        <v>3148</v>
      </c>
      <c r="H74" s="7">
        <f t="shared" si="1"/>
        <v>1605</v>
      </c>
      <c r="I74" s="7">
        <v>256.8</v>
      </c>
    </row>
    <row r="75" spans="1:9">
      <c r="A75" t="s">
        <v>481</v>
      </c>
      <c r="B75" s="1">
        <v>42137</v>
      </c>
      <c r="C75" t="s">
        <v>3147</v>
      </c>
      <c r="D75">
        <v>1</v>
      </c>
      <c r="E75" t="s">
        <v>3148</v>
      </c>
      <c r="F75" s="25" t="s">
        <v>737</v>
      </c>
      <c r="G75" t="s">
        <v>3148</v>
      </c>
      <c r="H75" s="7">
        <f t="shared" si="1"/>
        <v>127.6875</v>
      </c>
      <c r="I75" s="7">
        <v>20.43</v>
      </c>
    </row>
    <row r="76" spans="1:9">
      <c r="A76" t="s">
        <v>480</v>
      </c>
      <c r="B76" s="1">
        <v>42137</v>
      </c>
      <c r="C76" t="s">
        <v>3147</v>
      </c>
      <c r="D76">
        <v>1</v>
      </c>
      <c r="E76" t="s">
        <v>3149</v>
      </c>
      <c r="F76" s="25" t="s">
        <v>737</v>
      </c>
      <c r="G76" t="s">
        <v>3149</v>
      </c>
      <c r="H76" s="7">
        <f t="shared" si="1"/>
        <v>400.0625</v>
      </c>
      <c r="I76" s="7">
        <v>64.010000000000005</v>
      </c>
    </row>
    <row r="77" spans="1:9">
      <c r="A77" t="s">
        <v>2076</v>
      </c>
      <c r="B77" s="1">
        <v>42137</v>
      </c>
      <c r="C77" t="s">
        <v>3147</v>
      </c>
      <c r="D77">
        <v>1</v>
      </c>
      <c r="E77" t="s">
        <v>3149</v>
      </c>
      <c r="F77" s="25" t="s">
        <v>737</v>
      </c>
      <c r="G77" t="s">
        <v>3149</v>
      </c>
      <c r="H77" s="7">
        <f t="shared" si="1"/>
        <v>301.75</v>
      </c>
      <c r="I77" s="7">
        <v>48.28</v>
      </c>
    </row>
    <row r="78" spans="1:9">
      <c r="A78" t="s">
        <v>2079</v>
      </c>
      <c r="B78" s="1">
        <v>42137</v>
      </c>
      <c r="C78" t="s">
        <v>3147</v>
      </c>
      <c r="D78">
        <v>1</v>
      </c>
      <c r="E78" t="s">
        <v>3149</v>
      </c>
      <c r="F78" s="25" t="s">
        <v>737</v>
      </c>
      <c r="G78" t="s">
        <v>3149</v>
      </c>
      <c r="H78" s="7">
        <f t="shared" si="1"/>
        <v>102.125</v>
      </c>
      <c r="I78" s="7">
        <v>16.34</v>
      </c>
    </row>
    <row r="79" spans="1:9">
      <c r="A79" t="s">
        <v>1485</v>
      </c>
      <c r="B79" s="1">
        <v>42154</v>
      </c>
      <c r="C79" t="s">
        <v>3147</v>
      </c>
      <c r="D79">
        <v>1</v>
      </c>
      <c r="E79" t="s">
        <v>3212</v>
      </c>
      <c r="F79" s="25" t="s">
        <v>735</v>
      </c>
      <c r="G79" s="63" t="s">
        <v>736</v>
      </c>
      <c r="H79" s="7">
        <f t="shared" si="1"/>
        <v>200</v>
      </c>
      <c r="I79" s="7">
        <v>32</v>
      </c>
    </row>
    <row r="80" spans="1:9">
      <c r="A80" t="s">
        <v>1488</v>
      </c>
      <c r="B80" s="1">
        <v>42154</v>
      </c>
      <c r="C80" t="s">
        <v>3208</v>
      </c>
      <c r="D80">
        <v>1</v>
      </c>
      <c r="E80" t="s">
        <v>3214</v>
      </c>
      <c r="F80" s="25" t="s">
        <v>743</v>
      </c>
      <c r="G80" s="26" t="s">
        <v>744</v>
      </c>
      <c r="H80" s="7">
        <f t="shared" si="1"/>
        <v>139</v>
      </c>
      <c r="I80" s="7">
        <v>22.24</v>
      </c>
    </row>
    <row r="81" spans="1:9">
      <c r="A81" t="s">
        <v>1479</v>
      </c>
      <c r="B81" s="1">
        <v>42154</v>
      </c>
      <c r="C81" t="s">
        <v>3208</v>
      </c>
      <c r="D81">
        <v>1</v>
      </c>
      <c r="E81" t="s">
        <v>3209</v>
      </c>
      <c r="F81" s="25" t="s">
        <v>737</v>
      </c>
      <c r="G81" s="63" t="s">
        <v>738</v>
      </c>
      <c r="H81" s="7">
        <f t="shared" si="1"/>
        <v>8914.25</v>
      </c>
      <c r="I81" s="7">
        <v>1426.28</v>
      </c>
    </row>
    <row r="82" spans="1:9">
      <c r="A82" t="s">
        <v>1483</v>
      </c>
      <c r="B82" s="1">
        <v>42154</v>
      </c>
      <c r="C82" t="s">
        <v>3208</v>
      </c>
      <c r="D82">
        <v>1</v>
      </c>
      <c r="E82" t="s">
        <v>3211</v>
      </c>
      <c r="F82" s="25" t="s">
        <v>741</v>
      </c>
      <c r="G82" s="26" t="s">
        <v>742</v>
      </c>
      <c r="H82" s="7">
        <f t="shared" si="1"/>
        <v>1011.9999999999999</v>
      </c>
      <c r="I82" s="7">
        <v>161.91999999999999</v>
      </c>
    </row>
    <row r="83" spans="1:9">
      <c r="A83" t="s">
        <v>1487</v>
      </c>
      <c r="B83" s="1">
        <v>42154</v>
      </c>
      <c r="C83" t="s">
        <v>3147</v>
      </c>
      <c r="D83">
        <v>1</v>
      </c>
      <c r="E83" t="s">
        <v>3213</v>
      </c>
      <c r="F83" s="20" t="s">
        <v>1552</v>
      </c>
      <c r="G83" s="17" t="s">
        <v>1553</v>
      </c>
      <c r="H83" s="7">
        <f t="shared" si="1"/>
        <v>95</v>
      </c>
      <c r="I83" s="7">
        <v>15.2</v>
      </c>
    </row>
    <row r="84" spans="1:9">
      <c r="A84" t="s">
        <v>1823</v>
      </c>
      <c r="B84" s="1">
        <v>42155</v>
      </c>
      <c r="C84" t="s">
        <v>3056</v>
      </c>
      <c r="D84">
        <v>1</v>
      </c>
      <c r="E84" t="s">
        <v>1173</v>
      </c>
      <c r="F84" s="19" t="s">
        <v>755</v>
      </c>
      <c r="G84" t="s">
        <v>1173</v>
      </c>
      <c r="H84" s="7">
        <f t="shared" si="1"/>
        <v>1086.1875</v>
      </c>
      <c r="I84" s="7">
        <v>173.79</v>
      </c>
    </row>
    <row r="85" spans="1:9">
      <c r="A85" t="s">
        <v>2048</v>
      </c>
      <c r="B85" s="1">
        <v>42135</v>
      </c>
      <c r="C85" t="s">
        <v>3129</v>
      </c>
      <c r="D85">
        <v>1</v>
      </c>
      <c r="E85" t="s">
        <v>3130</v>
      </c>
      <c r="F85" s="19" t="s">
        <v>755</v>
      </c>
      <c r="G85" t="s">
        <v>3130</v>
      </c>
      <c r="H85" s="7">
        <f t="shared" si="1"/>
        <v>1079.25</v>
      </c>
      <c r="I85" s="7">
        <v>172.68</v>
      </c>
    </row>
    <row r="86" spans="1:9">
      <c r="A86" t="s">
        <v>1323</v>
      </c>
      <c r="B86" s="1">
        <v>42128</v>
      </c>
      <c r="C86" t="s">
        <v>3098</v>
      </c>
      <c r="D86">
        <v>1</v>
      </c>
      <c r="E86" t="s">
        <v>428</v>
      </c>
      <c r="F86" t="s">
        <v>790</v>
      </c>
      <c r="G86" t="s">
        <v>428</v>
      </c>
      <c r="H86" s="7">
        <f t="shared" si="1"/>
        <v>174469</v>
      </c>
      <c r="I86" s="7">
        <v>27915.040000000001</v>
      </c>
    </row>
    <row r="87" spans="1:9">
      <c r="A87" t="s">
        <v>434</v>
      </c>
      <c r="B87" s="1">
        <v>42130</v>
      </c>
      <c r="C87" t="s">
        <v>3108</v>
      </c>
      <c r="D87">
        <v>1</v>
      </c>
      <c r="E87" t="s">
        <v>428</v>
      </c>
      <c r="F87" t="s">
        <v>790</v>
      </c>
      <c r="G87" t="s">
        <v>428</v>
      </c>
      <c r="H87" s="7">
        <f t="shared" si="1"/>
        <v>41327.5625</v>
      </c>
      <c r="I87" s="7">
        <v>6612.41</v>
      </c>
    </row>
    <row r="88" spans="1:9">
      <c r="A88" t="s">
        <v>2583</v>
      </c>
      <c r="B88" s="1">
        <v>42132</v>
      </c>
      <c r="C88" t="s">
        <v>3123</v>
      </c>
      <c r="D88">
        <v>1</v>
      </c>
      <c r="E88" t="s">
        <v>428</v>
      </c>
      <c r="F88" t="s">
        <v>790</v>
      </c>
      <c r="G88" t="s">
        <v>428</v>
      </c>
      <c r="H88" s="7">
        <f t="shared" si="1"/>
        <v>2244</v>
      </c>
      <c r="I88" s="7">
        <v>359.04</v>
      </c>
    </row>
    <row r="89" spans="1:9">
      <c r="A89" t="s">
        <v>2597</v>
      </c>
      <c r="B89" s="1">
        <v>42132</v>
      </c>
      <c r="C89" t="s">
        <v>3128</v>
      </c>
      <c r="D89">
        <v>1</v>
      </c>
      <c r="E89" t="s">
        <v>428</v>
      </c>
      <c r="F89" t="s">
        <v>790</v>
      </c>
      <c r="G89" t="s">
        <v>428</v>
      </c>
      <c r="H89" s="7">
        <f t="shared" si="1"/>
        <v>48448.6875</v>
      </c>
      <c r="I89" s="7">
        <v>7751.79</v>
      </c>
    </row>
    <row r="90" spans="1:9">
      <c r="A90" t="s">
        <v>2084</v>
      </c>
      <c r="B90" s="1">
        <v>42138</v>
      </c>
      <c r="C90" t="s">
        <v>3152</v>
      </c>
      <c r="D90">
        <v>1</v>
      </c>
      <c r="E90" t="s">
        <v>428</v>
      </c>
      <c r="F90" t="s">
        <v>790</v>
      </c>
      <c r="G90" t="s">
        <v>428</v>
      </c>
      <c r="H90" s="7">
        <f t="shared" si="1"/>
        <v>367955</v>
      </c>
      <c r="I90" s="7">
        <v>58872.800000000003</v>
      </c>
    </row>
    <row r="91" spans="1:9">
      <c r="A91" t="s">
        <v>2086</v>
      </c>
      <c r="B91" s="1">
        <v>42138</v>
      </c>
      <c r="C91" t="s">
        <v>3153</v>
      </c>
      <c r="D91">
        <v>1</v>
      </c>
      <c r="E91" t="s">
        <v>428</v>
      </c>
      <c r="F91" s="19" t="s">
        <v>790</v>
      </c>
      <c r="G91" t="s">
        <v>428</v>
      </c>
      <c r="H91" s="7">
        <f t="shared" si="1"/>
        <v>1814.9999999999998</v>
      </c>
      <c r="I91" s="7">
        <v>290.39999999999998</v>
      </c>
    </row>
    <row r="92" spans="1:9">
      <c r="A92" t="s">
        <v>2100</v>
      </c>
      <c r="B92" s="1">
        <v>42139</v>
      </c>
      <c r="C92" t="s">
        <v>3159</v>
      </c>
      <c r="D92">
        <v>1</v>
      </c>
      <c r="E92" t="s">
        <v>428</v>
      </c>
      <c r="F92" s="19" t="s">
        <v>790</v>
      </c>
      <c r="G92" t="s">
        <v>428</v>
      </c>
      <c r="H92" s="7">
        <f t="shared" si="1"/>
        <v>6525.8125000000009</v>
      </c>
      <c r="I92" s="7">
        <v>1044.1300000000001</v>
      </c>
    </row>
    <row r="93" spans="1:9">
      <c r="A93" t="s">
        <v>2103</v>
      </c>
      <c r="B93" s="1">
        <v>42139</v>
      </c>
      <c r="C93" t="s">
        <v>3160</v>
      </c>
      <c r="D93">
        <v>1</v>
      </c>
      <c r="E93" t="s">
        <v>428</v>
      </c>
      <c r="F93" s="19" t="s">
        <v>790</v>
      </c>
      <c r="G93" t="s">
        <v>428</v>
      </c>
      <c r="H93" s="7">
        <f t="shared" si="1"/>
        <v>95301.5</v>
      </c>
      <c r="I93" s="7">
        <v>15248.24</v>
      </c>
    </row>
    <row r="94" spans="1:9">
      <c r="A94" t="s">
        <v>488</v>
      </c>
      <c r="B94" s="1">
        <v>42142</v>
      </c>
      <c r="C94" t="s">
        <v>3164</v>
      </c>
      <c r="D94">
        <v>1</v>
      </c>
      <c r="E94" t="s">
        <v>428</v>
      </c>
      <c r="F94" s="19" t="s">
        <v>790</v>
      </c>
      <c r="G94" t="s">
        <v>428</v>
      </c>
      <c r="H94" s="7">
        <f t="shared" si="1"/>
        <v>40836.1875</v>
      </c>
      <c r="I94" s="7">
        <v>6533.79</v>
      </c>
    </row>
    <row r="95" spans="1:9">
      <c r="A95" t="s">
        <v>490</v>
      </c>
      <c r="B95" s="1">
        <v>42142</v>
      </c>
      <c r="C95" t="s">
        <v>3165</v>
      </c>
      <c r="D95">
        <v>1</v>
      </c>
      <c r="E95" t="s">
        <v>428</v>
      </c>
      <c r="F95" s="19" t="s">
        <v>790</v>
      </c>
      <c r="G95" t="s">
        <v>428</v>
      </c>
      <c r="H95" s="7">
        <f t="shared" si="1"/>
        <v>36612.8125</v>
      </c>
      <c r="I95" s="7">
        <v>5858.05</v>
      </c>
    </row>
    <row r="96" spans="1:9">
      <c r="A96" t="s">
        <v>492</v>
      </c>
      <c r="B96" s="1">
        <v>42142</v>
      </c>
      <c r="C96" t="s">
        <v>3166</v>
      </c>
      <c r="D96">
        <v>1</v>
      </c>
      <c r="E96" t="s">
        <v>428</v>
      </c>
      <c r="F96" s="19" t="s">
        <v>790</v>
      </c>
      <c r="G96" t="s">
        <v>428</v>
      </c>
      <c r="H96" s="7">
        <f t="shared" si="1"/>
        <v>33535.5</v>
      </c>
      <c r="I96" s="7">
        <v>5365.68</v>
      </c>
    </row>
    <row r="97" spans="1:9">
      <c r="A97" t="s">
        <v>486</v>
      </c>
      <c r="B97" s="1">
        <v>42142</v>
      </c>
      <c r="C97" t="s">
        <v>3163</v>
      </c>
      <c r="D97">
        <v>1</v>
      </c>
      <c r="E97" t="s">
        <v>428</v>
      </c>
      <c r="F97" s="19" t="s">
        <v>790</v>
      </c>
      <c r="G97" t="s">
        <v>428</v>
      </c>
      <c r="H97" s="7">
        <f t="shared" si="1"/>
        <v>45000</v>
      </c>
      <c r="I97" s="7">
        <v>7200</v>
      </c>
    </row>
    <row r="98" spans="1:9">
      <c r="A98" t="s">
        <v>2135</v>
      </c>
      <c r="B98" s="1">
        <v>42146</v>
      </c>
      <c r="C98" t="s">
        <v>3175</v>
      </c>
      <c r="D98">
        <v>1</v>
      </c>
      <c r="E98" t="s">
        <v>428</v>
      </c>
      <c r="F98" s="19" t="s">
        <v>790</v>
      </c>
      <c r="G98" t="s">
        <v>428</v>
      </c>
      <c r="H98" s="7">
        <f t="shared" si="1"/>
        <v>103.6875</v>
      </c>
      <c r="I98" s="7">
        <v>16.59</v>
      </c>
    </row>
    <row r="99" spans="1:9">
      <c r="A99" t="s">
        <v>505</v>
      </c>
      <c r="B99" s="1">
        <v>42146</v>
      </c>
      <c r="C99" t="s">
        <v>3184</v>
      </c>
      <c r="D99">
        <v>1</v>
      </c>
      <c r="E99" t="s">
        <v>428</v>
      </c>
      <c r="F99" s="19" t="s">
        <v>790</v>
      </c>
      <c r="G99" t="s">
        <v>428</v>
      </c>
      <c r="H99" s="7">
        <f t="shared" si="1"/>
        <v>25265.8125</v>
      </c>
      <c r="I99" s="7">
        <v>4042.53</v>
      </c>
    </row>
    <row r="100" spans="1:9">
      <c r="A100" t="s">
        <v>3185</v>
      </c>
      <c r="B100" s="1">
        <v>42149</v>
      </c>
      <c r="C100" t="s">
        <v>3186</v>
      </c>
      <c r="D100">
        <v>1</v>
      </c>
      <c r="E100" t="s">
        <v>428</v>
      </c>
      <c r="F100" s="19" t="s">
        <v>790</v>
      </c>
      <c r="G100" t="s">
        <v>428</v>
      </c>
      <c r="H100" s="7">
        <f t="shared" si="1"/>
        <v>77236.125</v>
      </c>
      <c r="I100" s="7">
        <v>12357.78</v>
      </c>
    </row>
    <row r="101" spans="1:9">
      <c r="A101" t="s">
        <v>2666</v>
      </c>
      <c r="B101" s="1">
        <v>42150</v>
      </c>
      <c r="C101" t="s">
        <v>3187</v>
      </c>
      <c r="D101">
        <v>1</v>
      </c>
      <c r="E101" t="s">
        <v>428</v>
      </c>
      <c r="F101" s="19" t="s">
        <v>790</v>
      </c>
      <c r="G101" t="s">
        <v>428</v>
      </c>
      <c r="H101" s="7">
        <f t="shared" si="1"/>
        <v>6802.75</v>
      </c>
      <c r="I101" s="7">
        <v>1088.44</v>
      </c>
    </row>
    <row r="102" spans="1:9">
      <c r="A102" t="s">
        <v>2162</v>
      </c>
      <c r="B102" s="1">
        <v>42152</v>
      </c>
      <c r="C102" t="s">
        <v>3200</v>
      </c>
      <c r="D102">
        <v>1</v>
      </c>
      <c r="E102" t="s">
        <v>428</v>
      </c>
      <c r="F102" s="19" t="s">
        <v>790</v>
      </c>
      <c r="G102" t="s">
        <v>428</v>
      </c>
      <c r="H102" s="7">
        <f t="shared" si="1"/>
        <v>1870</v>
      </c>
      <c r="I102" s="7">
        <v>299.2</v>
      </c>
    </row>
    <row r="103" spans="1:9">
      <c r="A103" t="s">
        <v>2165</v>
      </c>
      <c r="B103" s="1">
        <v>42153</v>
      </c>
      <c r="C103" t="s">
        <v>3203</v>
      </c>
      <c r="D103">
        <v>1</v>
      </c>
      <c r="E103" t="s">
        <v>428</v>
      </c>
      <c r="F103" s="19" t="s">
        <v>790</v>
      </c>
      <c r="G103" t="s">
        <v>428</v>
      </c>
      <c r="H103" s="7">
        <f t="shared" si="1"/>
        <v>206048.4375</v>
      </c>
      <c r="I103" s="7">
        <v>32967.75</v>
      </c>
    </row>
    <row r="104" spans="1:9">
      <c r="A104" t="s">
        <v>1470</v>
      </c>
      <c r="B104" s="1">
        <v>42153</v>
      </c>
      <c r="C104" t="s">
        <v>3204</v>
      </c>
      <c r="D104">
        <v>1</v>
      </c>
      <c r="E104" t="s">
        <v>428</v>
      </c>
      <c r="F104" s="19" t="s">
        <v>790</v>
      </c>
      <c r="G104" t="s">
        <v>428</v>
      </c>
      <c r="H104" s="7">
        <f t="shared" si="1"/>
        <v>166844.8125</v>
      </c>
      <c r="I104" s="7">
        <v>26695.17</v>
      </c>
    </row>
    <row r="105" spans="1:9">
      <c r="A105" t="s">
        <v>560</v>
      </c>
      <c r="B105" s="1">
        <v>42153</v>
      </c>
      <c r="C105" t="s">
        <v>3205</v>
      </c>
      <c r="D105">
        <v>1</v>
      </c>
      <c r="E105" t="s">
        <v>428</v>
      </c>
      <c r="F105" s="19" t="s">
        <v>790</v>
      </c>
      <c r="G105" t="s">
        <v>428</v>
      </c>
      <c r="H105" s="7">
        <f t="shared" si="1"/>
        <v>4052.5</v>
      </c>
      <c r="I105" s="7">
        <v>648.4</v>
      </c>
    </row>
    <row r="106" spans="1:9">
      <c r="A106" t="s">
        <v>1354</v>
      </c>
      <c r="B106" s="1">
        <v>42136</v>
      </c>
      <c r="C106" t="s">
        <v>3135</v>
      </c>
      <c r="D106">
        <v>1</v>
      </c>
      <c r="E106" t="s">
        <v>428</v>
      </c>
      <c r="F106" s="19" t="s">
        <v>790</v>
      </c>
      <c r="G106" t="s">
        <v>428</v>
      </c>
      <c r="H106" s="7">
        <f t="shared" si="1"/>
        <v>5714.25</v>
      </c>
      <c r="I106" s="7">
        <v>914.28</v>
      </c>
    </row>
    <row r="107" spans="1:9">
      <c r="A107" t="s">
        <v>2934</v>
      </c>
      <c r="B107" s="1">
        <v>42155</v>
      </c>
      <c r="C107" t="s">
        <v>2935</v>
      </c>
      <c r="D107">
        <v>1</v>
      </c>
      <c r="E107" t="s">
        <v>2936</v>
      </c>
      <c r="F107" s="19" t="s">
        <v>3220</v>
      </c>
      <c r="G107" t="s">
        <v>2936</v>
      </c>
      <c r="H107" s="7">
        <f t="shared" si="1"/>
        <v>462.6875</v>
      </c>
      <c r="I107" s="7">
        <v>74.03</v>
      </c>
    </row>
    <row r="108" spans="1:9">
      <c r="A108" t="s">
        <v>1179</v>
      </c>
      <c r="B108" s="1">
        <v>42155</v>
      </c>
      <c r="C108" t="s">
        <v>2972</v>
      </c>
      <c r="D108">
        <v>1</v>
      </c>
      <c r="E108" t="s">
        <v>270</v>
      </c>
      <c r="F108" s="19" t="s">
        <v>759</v>
      </c>
      <c r="G108" t="s">
        <v>270</v>
      </c>
      <c r="H108" s="7">
        <f t="shared" si="1"/>
        <v>60.3125</v>
      </c>
      <c r="I108" s="7">
        <v>9.65</v>
      </c>
    </row>
    <row r="109" spans="1:9">
      <c r="A109" t="s">
        <v>1228</v>
      </c>
      <c r="B109" s="1">
        <v>42155</v>
      </c>
      <c r="C109" t="s">
        <v>3017</v>
      </c>
      <c r="D109">
        <v>1</v>
      </c>
      <c r="E109" t="s">
        <v>270</v>
      </c>
      <c r="F109" s="19" t="s">
        <v>759</v>
      </c>
      <c r="G109" t="s">
        <v>270</v>
      </c>
      <c r="H109" s="7">
        <f t="shared" si="1"/>
        <v>59.499999999999993</v>
      </c>
      <c r="I109" s="7">
        <v>9.52</v>
      </c>
    </row>
    <row r="110" spans="1:9">
      <c r="A110" t="s">
        <v>2946</v>
      </c>
      <c r="B110" s="1">
        <v>42155</v>
      </c>
      <c r="C110" t="s">
        <v>2947</v>
      </c>
      <c r="D110">
        <v>1</v>
      </c>
      <c r="E110" t="s">
        <v>270</v>
      </c>
      <c r="F110" s="19" t="s">
        <v>759</v>
      </c>
      <c r="G110" t="s">
        <v>270</v>
      </c>
      <c r="H110" s="7">
        <f t="shared" si="1"/>
        <v>69</v>
      </c>
      <c r="I110" s="7">
        <v>11.04</v>
      </c>
    </row>
    <row r="111" spans="1:9">
      <c r="A111" t="s">
        <v>2804</v>
      </c>
      <c r="B111" s="1">
        <v>42136</v>
      </c>
      <c r="C111" t="s">
        <v>2805</v>
      </c>
      <c r="D111">
        <v>1</v>
      </c>
      <c r="E111" t="s">
        <v>2806</v>
      </c>
      <c r="F111" t="s">
        <v>791</v>
      </c>
      <c r="G111" t="s">
        <v>2806</v>
      </c>
      <c r="H111" s="7">
        <f t="shared" si="1"/>
        <v>226534.375</v>
      </c>
      <c r="I111" s="7">
        <v>36245.5</v>
      </c>
    </row>
    <row r="112" spans="1:9">
      <c r="A112" t="s">
        <v>2810</v>
      </c>
      <c r="B112" s="1">
        <v>42137</v>
      </c>
      <c r="C112" t="s">
        <v>2811</v>
      </c>
      <c r="D112">
        <v>1</v>
      </c>
      <c r="E112" t="s">
        <v>2812</v>
      </c>
      <c r="F112" t="s">
        <v>791</v>
      </c>
      <c r="G112" t="s">
        <v>2812</v>
      </c>
      <c r="H112" s="7">
        <f t="shared" si="1"/>
        <v>332370.9375</v>
      </c>
      <c r="I112" s="7">
        <v>53179.35</v>
      </c>
    </row>
    <row r="113" spans="1:9">
      <c r="A113" t="s">
        <v>1467</v>
      </c>
      <c r="B113" s="1">
        <v>42130</v>
      </c>
      <c r="C113" t="s">
        <v>3201</v>
      </c>
      <c r="D113">
        <v>1</v>
      </c>
      <c r="E113" t="s">
        <v>3202</v>
      </c>
      <c r="F113" t="s">
        <v>3223</v>
      </c>
      <c r="G113" t="s">
        <v>3202</v>
      </c>
      <c r="H113" s="7">
        <f t="shared" si="1"/>
        <v>67810.625</v>
      </c>
      <c r="I113" s="7">
        <v>10849.7</v>
      </c>
    </row>
    <row r="114" spans="1:9">
      <c r="A114" t="s">
        <v>1392</v>
      </c>
      <c r="B114" s="1">
        <v>42143</v>
      </c>
      <c r="C114" t="s">
        <v>3168</v>
      </c>
      <c r="D114">
        <v>1</v>
      </c>
      <c r="E114" t="s">
        <v>638</v>
      </c>
      <c r="F114" t="s">
        <v>795</v>
      </c>
      <c r="G114" t="s">
        <v>638</v>
      </c>
      <c r="H114" s="7">
        <f t="shared" si="1"/>
        <v>68069</v>
      </c>
      <c r="I114" s="7">
        <v>10891.04</v>
      </c>
    </row>
    <row r="115" spans="1:9">
      <c r="A115" t="s">
        <v>3059</v>
      </c>
      <c r="B115" s="1">
        <v>42155</v>
      </c>
      <c r="C115" t="s">
        <v>3060</v>
      </c>
      <c r="D115">
        <v>1</v>
      </c>
      <c r="E115" t="s">
        <v>3061</v>
      </c>
      <c r="F115" t="s">
        <v>3224</v>
      </c>
      <c r="G115" t="s">
        <v>3061</v>
      </c>
      <c r="H115" s="7">
        <f t="shared" si="1"/>
        <v>51.749999999999993</v>
      </c>
      <c r="I115" s="7">
        <v>8.2799999999999994</v>
      </c>
    </row>
    <row r="116" spans="1:9">
      <c r="A116" t="s">
        <v>2093</v>
      </c>
      <c r="B116" s="1">
        <v>42139</v>
      </c>
      <c r="C116" t="s">
        <v>3157</v>
      </c>
      <c r="D116">
        <v>1</v>
      </c>
      <c r="E116" t="s">
        <v>1364</v>
      </c>
      <c r="F116" t="s">
        <v>1559</v>
      </c>
      <c r="G116" t="s">
        <v>1364</v>
      </c>
      <c r="H116" s="7">
        <f t="shared" si="1"/>
        <v>5599.125</v>
      </c>
      <c r="I116" s="7">
        <v>895.86</v>
      </c>
    </row>
    <row r="117" spans="1:9">
      <c r="A117" t="s">
        <v>1184</v>
      </c>
      <c r="B117" s="1">
        <v>42155</v>
      </c>
      <c r="C117" t="s">
        <v>2976</v>
      </c>
      <c r="D117">
        <v>1</v>
      </c>
      <c r="E117" t="s">
        <v>576</v>
      </c>
      <c r="F117" t="s">
        <v>704</v>
      </c>
      <c r="G117" t="s">
        <v>576</v>
      </c>
      <c r="H117" s="7">
        <f t="shared" si="1"/>
        <v>250</v>
      </c>
      <c r="I117" s="7">
        <v>40</v>
      </c>
    </row>
    <row r="118" spans="1:9">
      <c r="A118" t="s">
        <v>2855</v>
      </c>
      <c r="B118" s="1">
        <v>42147</v>
      </c>
      <c r="C118" t="s">
        <v>2856</v>
      </c>
      <c r="D118">
        <v>1</v>
      </c>
      <c r="E118" t="s">
        <v>576</v>
      </c>
      <c r="F118" t="s">
        <v>704</v>
      </c>
      <c r="G118" t="s">
        <v>576</v>
      </c>
      <c r="H118" s="7">
        <f t="shared" si="1"/>
        <v>215.49999999999997</v>
      </c>
      <c r="I118" s="7">
        <v>34.479999999999997</v>
      </c>
    </row>
    <row r="119" spans="1:9">
      <c r="A119" t="s">
        <v>2857</v>
      </c>
      <c r="B119" s="1">
        <v>42149</v>
      </c>
      <c r="C119" t="s">
        <v>2858</v>
      </c>
      <c r="D119">
        <v>1</v>
      </c>
      <c r="E119" t="s">
        <v>2859</v>
      </c>
      <c r="F119" t="s">
        <v>797</v>
      </c>
      <c r="G119" t="s">
        <v>2859</v>
      </c>
      <c r="H119" s="7">
        <f t="shared" si="1"/>
        <v>431585.4375</v>
      </c>
      <c r="I119" s="7">
        <v>69053.67</v>
      </c>
    </row>
    <row r="120" spans="1:9">
      <c r="A120" t="s">
        <v>1176</v>
      </c>
      <c r="B120" s="1">
        <v>42155</v>
      </c>
      <c r="C120" t="s">
        <v>2970</v>
      </c>
      <c r="D120">
        <v>1</v>
      </c>
      <c r="E120" t="s">
        <v>1871</v>
      </c>
      <c r="F120" t="s">
        <v>2201</v>
      </c>
      <c r="G120" t="s">
        <v>1871</v>
      </c>
      <c r="H120" s="7">
        <f t="shared" si="1"/>
        <v>79.3125</v>
      </c>
      <c r="I120" s="7">
        <v>12.69</v>
      </c>
    </row>
    <row r="121" spans="1:9">
      <c r="A121" t="s">
        <v>1249</v>
      </c>
      <c r="B121" s="1">
        <v>42155</v>
      </c>
      <c r="C121" t="s">
        <v>3036</v>
      </c>
      <c r="D121">
        <v>1</v>
      </c>
      <c r="E121" t="s">
        <v>1188</v>
      </c>
      <c r="F121" t="s">
        <v>1561</v>
      </c>
      <c r="G121" t="s">
        <v>1188</v>
      </c>
      <c r="H121" s="7">
        <f t="shared" si="1"/>
        <v>91.375</v>
      </c>
      <c r="I121" s="7">
        <v>14.62</v>
      </c>
    </row>
    <row r="122" spans="1:9">
      <c r="A122" t="s">
        <v>3049</v>
      </c>
      <c r="B122" s="1">
        <v>42155</v>
      </c>
      <c r="C122" t="s">
        <v>3050</v>
      </c>
      <c r="D122">
        <v>1</v>
      </c>
      <c r="E122" t="s">
        <v>1188</v>
      </c>
      <c r="F122" t="s">
        <v>1561</v>
      </c>
      <c r="G122" t="s">
        <v>1188</v>
      </c>
      <c r="H122" s="7">
        <f t="shared" si="1"/>
        <v>319</v>
      </c>
      <c r="I122" s="7">
        <v>51.04</v>
      </c>
    </row>
    <row r="123" spans="1:9">
      <c r="A123" t="s">
        <v>3082</v>
      </c>
      <c r="B123" s="1">
        <v>42155</v>
      </c>
      <c r="C123" t="s">
        <v>3083</v>
      </c>
      <c r="D123">
        <v>1</v>
      </c>
      <c r="E123" s="139" t="s">
        <v>7171</v>
      </c>
      <c r="F123" t="s">
        <v>3084</v>
      </c>
      <c r="G123" s="139" t="s">
        <v>7171</v>
      </c>
      <c r="H123" s="7">
        <f t="shared" si="1"/>
        <v>335.5625</v>
      </c>
      <c r="I123" s="7">
        <v>53.69</v>
      </c>
    </row>
    <row r="124" spans="1:9">
      <c r="A124" t="s">
        <v>3113</v>
      </c>
      <c r="B124" s="1">
        <v>42131</v>
      </c>
      <c r="C124" t="s">
        <v>3114</v>
      </c>
      <c r="D124">
        <v>1</v>
      </c>
      <c r="E124" t="s">
        <v>1412</v>
      </c>
      <c r="F124" t="s">
        <v>1564</v>
      </c>
      <c r="G124" t="s">
        <v>1412</v>
      </c>
      <c r="H124" s="7">
        <f t="shared" si="1"/>
        <v>167015.9375</v>
      </c>
      <c r="I124" s="7">
        <v>26722.55</v>
      </c>
    </row>
    <row r="125" spans="1:9">
      <c r="A125" t="s">
        <v>2980</v>
      </c>
      <c r="B125" s="1">
        <v>42155</v>
      </c>
      <c r="C125" t="s">
        <v>2981</v>
      </c>
      <c r="D125">
        <v>1</v>
      </c>
      <c r="E125" t="s">
        <v>2982</v>
      </c>
      <c r="F125" t="s">
        <v>3225</v>
      </c>
      <c r="G125" t="s">
        <v>2982</v>
      </c>
      <c r="H125" s="7">
        <f t="shared" si="1"/>
        <v>167.75</v>
      </c>
      <c r="I125" s="7">
        <v>26.84</v>
      </c>
    </row>
    <row r="126" spans="1:9">
      <c r="A126" t="s">
        <v>1181</v>
      </c>
      <c r="B126" s="1">
        <v>42155</v>
      </c>
      <c r="C126" t="s">
        <v>2973</v>
      </c>
      <c r="D126">
        <v>1</v>
      </c>
      <c r="E126" t="s">
        <v>2975</v>
      </c>
      <c r="F126" t="s">
        <v>961</v>
      </c>
      <c r="G126" t="s">
        <v>2975</v>
      </c>
      <c r="H126" s="7">
        <f t="shared" si="1"/>
        <v>167.75</v>
      </c>
      <c r="I126" s="7">
        <v>26.84</v>
      </c>
    </row>
    <row r="127" spans="1:9">
      <c r="A127" t="s">
        <v>1147</v>
      </c>
      <c r="B127" s="1">
        <v>42155</v>
      </c>
      <c r="C127" t="s">
        <v>2949</v>
      </c>
      <c r="D127">
        <v>1</v>
      </c>
      <c r="E127" t="s">
        <v>2455</v>
      </c>
      <c r="F127" t="s">
        <v>2695</v>
      </c>
      <c r="G127" t="s">
        <v>2455</v>
      </c>
      <c r="H127" s="7">
        <f t="shared" si="1"/>
        <v>186.1875</v>
      </c>
      <c r="I127" s="7">
        <v>29.79</v>
      </c>
    </row>
    <row r="128" spans="1:9">
      <c r="A128" t="s">
        <v>2926</v>
      </c>
      <c r="B128" s="1">
        <v>42155</v>
      </c>
      <c r="C128" t="s">
        <v>2927</v>
      </c>
      <c r="D128">
        <v>1</v>
      </c>
      <c r="E128" t="s">
        <v>275</v>
      </c>
      <c r="F128" t="s">
        <v>802</v>
      </c>
      <c r="G128" t="s">
        <v>275</v>
      </c>
      <c r="H128" s="7">
        <f t="shared" si="1"/>
        <v>310.375</v>
      </c>
      <c r="I128" s="7">
        <v>49.66</v>
      </c>
    </row>
    <row r="129" spans="1:9">
      <c r="A129" t="s">
        <v>2928</v>
      </c>
      <c r="B129" s="1">
        <v>42155</v>
      </c>
      <c r="C129" t="s">
        <v>2929</v>
      </c>
      <c r="D129">
        <v>1</v>
      </c>
      <c r="E129" t="s">
        <v>275</v>
      </c>
      <c r="F129" t="s">
        <v>802</v>
      </c>
      <c r="G129" t="s">
        <v>275</v>
      </c>
      <c r="H129" s="7">
        <f t="shared" si="1"/>
        <v>310.375</v>
      </c>
      <c r="I129" s="7">
        <v>49.66</v>
      </c>
    </row>
    <row r="130" spans="1:9">
      <c r="A130" t="s">
        <v>1231</v>
      </c>
      <c r="B130" s="1">
        <v>42155</v>
      </c>
      <c r="C130" t="s">
        <v>3018</v>
      </c>
      <c r="D130">
        <v>1</v>
      </c>
      <c r="E130" t="s">
        <v>3020</v>
      </c>
      <c r="F130" t="s">
        <v>1630</v>
      </c>
      <c r="G130" t="s">
        <v>3020</v>
      </c>
      <c r="H130" s="7">
        <f t="shared" si="1"/>
        <v>91.375</v>
      </c>
      <c r="I130" s="7">
        <v>14.62</v>
      </c>
    </row>
    <row r="131" spans="1:9">
      <c r="A131" t="s">
        <v>1258</v>
      </c>
      <c r="B131" s="1">
        <v>42155</v>
      </c>
      <c r="C131" t="s">
        <v>3064</v>
      </c>
      <c r="D131">
        <v>1</v>
      </c>
      <c r="E131" t="s">
        <v>3020</v>
      </c>
      <c r="F131" t="s">
        <v>1630</v>
      </c>
      <c r="G131" t="s">
        <v>3020</v>
      </c>
      <c r="H131" s="7">
        <f t="shared" si="1"/>
        <v>79.3125</v>
      </c>
      <c r="I131" s="7">
        <v>12.69</v>
      </c>
    </row>
    <row r="132" spans="1:9">
      <c r="A132" t="s">
        <v>3051</v>
      </c>
      <c r="B132" s="1">
        <v>42155</v>
      </c>
      <c r="C132" t="s">
        <v>3052</v>
      </c>
      <c r="D132">
        <v>1</v>
      </c>
      <c r="E132" t="s">
        <v>3053</v>
      </c>
      <c r="F132" s="25" t="s">
        <v>1568</v>
      </c>
      <c r="G132" t="s">
        <v>3053</v>
      </c>
      <c r="H132" s="7">
        <f t="shared" si="1"/>
        <v>109.5</v>
      </c>
      <c r="I132" s="7">
        <v>17.52</v>
      </c>
    </row>
    <row r="133" spans="1:9">
      <c r="A133" t="s">
        <v>1174</v>
      </c>
      <c r="B133" s="1">
        <v>42155</v>
      </c>
      <c r="C133" t="s">
        <v>2968</v>
      </c>
      <c r="D133">
        <v>1</v>
      </c>
      <c r="E133" t="s">
        <v>285</v>
      </c>
      <c r="F133" t="s">
        <v>804</v>
      </c>
      <c r="G133" t="s">
        <v>285</v>
      </c>
      <c r="H133" s="7">
        <f t="shared" si="1"/>
        <v>200.99999999999997</v>
      </c>
      <c r="I133" s="7">
        <v>32.159999999999997</v>
      </c>
    </row>
    <row r="134" spans="1:9">
      <c r="A134" t="s">
        <v>2095</v>
      </c>
      <c r="B134" s="1">
        <v>42139</v>
      </c>
      <c r="C134" t="s">
        <v>3158</v>
      </c>
      <c r="D134">
        <v>1</v>
      </c>
      <c r="E134" t="s">
        <v>503</v>
      </c>
      <c r="F134" t="s">
        <v>806</v>
      </c>
      <c r="G134" t="s">
        <v>503</v>
      </c>
      <c r="H134" s="7">
        <f t="shared" si="1"/>
        <v>11443.375</v>
      </c>
      <c r="I134" s="7">
        <v>1830.94</v>
      </c>
    </row>
    <row r="135" spans="1:9">
      <c r="A135" t="s">
        <v>2980</v>
      </c>
      <c r="B135" s="1">
        <v>42155</v>
      </c>
      <c r="C135" t="s">
        <v>2981</v>
      </c>
      <c r="D135">
        <v>1</v>
      </c>
      <c r="E135" t="s">
        <v>914</v>
      </c>
      <c r="F135" t="s">
        <v>913</v>
      </c>
      <c r="G135" t="s">
        <v>914</v>
      </c>
      <c r="H135" s="7">
        <f t="shared" si="1"/>
        <v>569.875</v>
      </c>
      <c r="I135" s="7">
        <v>91.18</v>
      </c>
    </row>
    <row r="136" spans="1:9">
      <c r="A136" t="s">
        <v>198</v>
      </c>
      <c r="B136" s="1">
        <v>42155</v>
      </c>
      <c r="C136" t="s">
        <v>3074</v>
      </c>
      <c r="D136">
        <v>1</v>
      </c>
      <c r="E136" t="s">
        <v>3075</v>
      </c>
      <c r="F136" t="s">
        <v>3226</v>
      </c>
      <c r="G136" t="s">
        <v>3075</v>
      </c>
      <c r="H136" s="7">
        <f t="shared" ref="H136:H199" si="2">+I136/0.16</f>
        <v>341.25</v>
      </c>
      <c r="I136" s="7">
        <v>54.6</v>
      </c>
    </row>
    <row r="137" spans="1:9">
      <c r="A137" t="s">
        <v>3170</v>
      </c>
      <c r="B137" s="1">
        <v>42143</v>
      </c>
      <c r="C137" t="s">
        <v>3171</v>
      </c>
      <c r="D137">
        <v>1</v>
      </c>
      <c r="E137" t="s">
        <v>3172</v>
      </c>
      <c r="F137" t="s">
        <v>3227</v>
      </c>
      <c r="G137" t="s">
        <v>3172</v>
      </c>
      <c r="H137" s="7">
        <f t="shared" si="2"/>
        <v>10096</v>
      </c>
      <c r="I137" s="7">
        <v>1615.36</v>
      </c>
    </row>
    <row r="138" spans="1:9">
      <c r="A138" t="s">
        <v>2063</v>
      </c>
      <c r="B138" s="1">
        <v>42136</v>
      </c>
      <c r="C138" t="s">
        <v>3142</v>
      </c>
      <c r="D138">
        <v>1</v>
      </c>
      <c r="E138" t="s">
        <v>1476</v>
      </c>
      <c r="F138" t="s">
        <v>1570</v>
      </c>
      <c r="G138" t="s">
        <v>1476</v>
      </c>
      <c r="H138" s="7">
        <f t="shared" si="2"/>
        <v>6158</v>
      </c>
      <c r="I138" s="7">
        <v>985.28</v>
      </c>
    </row>
    <row r="139" spans="1:9">
      <c r="A139" t="s">
        <v>439</v>
      </c>
      <c r="B139" s="1">
        <v>42136</v>
      </c>
      <c r="C139" t="s">
        <v>3140</v>
      </c>
      <c r="D139">
        <v>1</v>
      </c>
      <c r="E139" t="s">
        <v>446</v>
      </c>
      <c r="F139" t="s">
        <v>815</v>
      </c>
      <c r="G139" t="s">
        <v>446</v>
      </c>
      <c r="H139" s="7">
        <f t="shared" si="2"/>
        <v>2572.0625</v>
      </c>
      <c r="I139" s="7">
        <v>411.53</v>
      </c>
    </row>
    <row r="140" spans="1:9">
      <c r="A140" t="s">
        <v>1440</v>
      </c>
      <c r="B140" s="1">
        <v>42151</v>
      </c>
      <c r="C140" t="s">
        <v>3198</v>
      </c>
      <c r="D140">
        <v>1</v>
      </c>
      <c r="E140" t="s">
        <v>446</v>
      </c>
      <c r="F140" t="s">
        <v>815</v>
      </c>
      <c r="G140" t="s">
        <v>446</v>
      </c>
      <c r="H140" s="7">
        <f t="shared" si="2"/>
        <v>3665.8124999999995</v>
      </c>
      <c r="I140" s="7">
        <v>586.53</v>
      </c>
    </row>
    <row r="141" spans="1:9">
      <c r="A141" t="s">
        <v>2807</v>
      </c>
      <c r="B141" s="1">
        <v>42137</v>
      </c>
      <c r="C141" t="s">
        <v>2808</v>
      </c>
      <c r="D141">
        <v>1</v>
      </c>
      <c r="E141" t="s">
        <v>2809</v>
      </c>
      <c r="F141" t="s">
        <v>813</v>
      </c>
      <c r="G141" t="s">
        <v>2809</v>
      </c>
      <c r="H141" s="7">
        <f t="shared" si="2"/>
        <v>332370.9375</v>
      </c>
      <c r="I141" s="7">
        <v>53179.35</v>
      </c>
    </row>
    <row r="142" spans="1:9">
      <c r="A142" t="s">
        <v>3076</v>
      </c>
      <c r="B142" s="1">
        <v>42155</v>
      </c>
      <c r="C142" t="s">
        <v>3077</v>
      </c>
      <c r="D142">
        <v>1</v>
      </c>
      <c r="E142" s="139" t="s">
        <v>7347</v>
      </c>
      <c r="F142" t="s">
        <v>1608</v>
      </c>
      <c r="G142" s="139" t="s">
        <v>7347</v>
      </c>
      <c r="H142" s="7">
        <f t="shared" si="2"/>
        <v>419.37499999999994</v>
      </c>
      <c r="I142" s="7">
        <v>67.099999999999994</v>
      </c>
    </row>
    <row r="143" spans="1:9">
      <c r="A143" t="s">
        <v>1193</v>
      </c>
      <c r="B143" s="1">
        <v>42155</v>
      </c>
      <c r="C143" t="s">
        <v>2986</v>
      </c>
      <c r="D143">
        <v>1</v>
      </c>
      <c r="E143" t="s">
        <v>324</v>
      </c>
      <c r="F143" t="s">
        <v>820</v>
      </c>
      <c r="G143" t="s">
        <v>324</v>
      </c>
      <c r="H143" s="7">
        <f t="shared" si="2"/>
        <v>49.9375</v>
      </c>
      <c r="I143" s="7">
        <v>7.99</v>
      </c>
    </row>
    <row r="144" spans="1:9">
      <c r="A144" t="s">
        <v>1172</v>
      </c>
      <c r="B144" s="1">
        <v>42155</v>
      </c>
      <c r="C144" t="s">
        <v>2966</v>
      </c>
      <c r="D144">
        <v>1</v>
      </c>
      <c r="E144" t="s">
        <v>2967</v>
      </c>
      <c r="F144" t="s">
        <v>3228</v>
      </c>
      <c r="G144" t="s">
        <v>2967</v>
      </c>
      <c r="H144" s="7">
        <f t="shared" si="2"/>
        <v>66.375</v>
      </c>
      <c r="I144" s="7">
        <v>10.62</v>
      </c>
    </row>
    <row r="145" spans="1:9">
      <c r="A145" t="s">
        <v>3117</v>
      </c>
      <c r="B145" s="1">
        <v>42131</v>
      </c>
      <c r="C145" t="s">
        <v>3118</v>
      </c>
      <c r="D145">
        <v>1</v>
      </c>
      <c r="E145" t="s">
        <v>1455</v>
      </c>
      <c r="F145" t="s">
        <v>1573</v>
      </c>
      <c r="G145" t="s">
        <v>1455</v>
      </c>
      <c r="H145" s="7">
        <f t="shared" si="2"/>
        <v>9750</v>
      </c>
      <c r="I145" s="7">
        <v>1560</v>
      </c>
    </row>
    <row r="146" spans="1:9">
      <c r="A146" t="s">
        <v>3057</v>
      </c>
      <c r="B146" s="1">
        <v>42155</v>
      </c>
      <c r="C146" t="s">
        <v>3058</v>
      </c>
      <c r="D146">
        <v>1</v>
      </c>
      <c r="E146" t="s">
        <v>263</v>
      </c>
      <c r="F146" t="s">
        <v>821</v>
      </c>
      <c r="G146" t="s">
        <v>263</v>
      </c>
      <c r="H146" s="7">
        <f t="shared" si="2"/>
        <v>344.8125</v>
      </c>
      <c r="I146" s="7">
        <v>55.17</v>
      </c>
    </row>
    <row r="147" spans="1:9">
      <c r="A147" t="s">
        <v>2937</v>
      </c>
      <c r="B147" s="1">
        <v>42155</v>
      </c>
      <c r="C147" t="s">
        <v>2938</v>
      </c>
      <c r="D147">
        <v>1</v>
      </c>
      <c r="E147" t="s">
        <v>263</v>
      </c>
      <c r="F147" t="s">
        <v>821</v>
      </c>
      <c r="G147" t="s">
        <v>263</v>
      </c>
      <c r="H147" s="7">
        <f t="shared" si="2"/>
        <v>344.8125</v>
      </c>
      <c r="I147" s="7">
        <v>55.17</v>
      </c>
    </row>
    <row r="148" spans="1:9">
      <c r="A148" t="s">
        <v>2939</v>
      </c>
      <c r="B148" s="1">
        <v>42155</v>
      </c>
      <c r="C148" t="s">
        <v>2940</v>
      </c>
      <c r="D148">
        <v>1</v>
      </c>
      <c r="E148" t="s">
        <v>263</v>
      </c>
      <c r="F148" t="s">
        <v>821</v>
      </c>
      <c r="G148" t="s">
        <v>263</v>
      </c>
      <c r="H148" s="7">
        <f t="shared" si="2"/>
        <v>758.625</v>
      </c>
      <c r="I148" s="7">
        <v>121.38</v>
      </c>
    </row>
    <row r="149" spans="1:9">
      <c r="A149" t="s">
        <v>3124</v>
      </c>
      <c r="B149" s="1">
        <v>42132</v>
      </c>
      <c r="C149" t="s">
        <v>3125</v>
      </c>
      <c r="D149">
        <v>2</v>
      </c>
      <c r="E149" t="s">
        <v>455</v>
      </c>
      <c r="F149" t="s">
        <v>823</v>
      </c>
      <c r="G149" t="s">
        <v>455</v>
      </c>
      <c r="H149" s="7">
        <f t="shared" si="2"/>
        <v>11128.75</v>
      </c>
      <c r="I149" s="7">
        <v>1780.6</v>
      </c>
    </row>
    <row r="150" spans="1:9">
      <c r="A150" t="s">
        <v>2580</v>
      </c>
      <c r="B150" s="1">
        <v>42131</v>
      </c>
      <c r="C150" t="s">
        <v>3112</v>
      </c>
      <c r="D150">
        <v>2</v>
      </c>
      <c r="E150" t="s">
        <v>455</v>
      </c>
      <c r="F150" t="s">
        <v>823</v>
      </c>
      <c r="G150" t="s">
        <v>455</v>
      </c>
      <c r="H150" s="7">
        <f t="shared" si="2"/>
        <v>12440.9375</v>
      </c>
      <c r="I150" s="7">
        <v>1990.55</v>
      </c>
    </row>
    <row r="151" spans="1:9">
      <c r="A151" t="s">
        <v>497</v>
      </c>
      <c r="B151" s="1">
        <v>42143</v>
      </c>
      <c r="C151" t="s">
        <v>2161</v>
      </c>
      <c r="D151">
        <v>2</v>
      </c>
      <c r="E151" t="s">
        <v>455</v>
      </c>
      <c r="F151" t="s">
        <v>823</v>
      </c>
      <c r="G151" t="s">
        <v>455</v>
      </c>
      <c r="H151" s="7">
        <f t="shared" si="2"/>
        <v>11713.0625</v>
      </c>
      <c r="I151" s="7">
        <v>1874.09</v>
      </c>
    </row>
    <row r="152" spans="1:9">
      <c r="A152" t="s">
        <v>1426</v>
      </c>
      <c r="B152" s="1">
        <v>42151</v>
      </c>
      <c r="C152" t="s">
        <v>2166</v>
      </c>
      <c r="D152">
        <v>2</v>
      </c>
      <c r="E152" t="s">
        <v>455</v>
      </c>
      <c r="F152" t="s">
        <v>823</v>
      </c>
      <c r="G152" t="s">
        <v>455</v>
      </c>
      <c r="H152" s="7">
        <f t="shared" si="2"/>
        <v>19418.9375</v>
      </c>
      <c r="I152" s="7">
        <v>3107.03</v>
      </c>
    </row>
    <row r="153" spans="1:9">
      <c r="A153" t="s">
        <v>1424</v>
      </c>
      <c r="B153" s="1">
        <v>42151</v>
      </c>
      <c r="C153" t="s">
        <v>3189</v>
      </c>
      <c r="D153">
        <v>1</v>
      </c>
      <c r="E153" t="s">
        <v>455</v>
      </c>
      <c r="F153" t="s">
        <v>823</v>
      </c>
      <c r="G153" t="s">
        <v>455</v>
      </c>
      <c r="H153" s="7">
        <f t="shared" si="2"/>
        <v>75</v>
      </c>
      <c r="I153" s="7">
        <v>12</v>
      </c>
    </row>
    <row r="154" spans="1:9">
      <c r="A154" t="s">
        <v>1169</v>
      </c>
      <c r="B154" s="1">
        <v>42155</v>
      </c>
      <c r="C154" t="s">
        <v>2964</v>
      </c>
      <c r="D154">
        <v>1</v>
      </c>
      <c r="E154" t="s">
        <v>2965</v>
      </c>
      <c r="F154" t="s">
        <v>863</v>
      </c>
      <c r="G154" t="s">
        <v>2965</v>
      </c>
      <c r="H154" s="7">
        <f t="shared" si="2"/>
        <v>167.75</v>
      </c>
      <c r="I154" s="7">
        <v>26.84</v>
      </c>
    </row>
    <row r="155" spans="1:9">
      <c r="A155" t="s">
        <v>1197</v>
      </c>
      <c r="B155" s="1">
        <v>42155</v>
      </c>
      <c r="C155" t="s">
        <v>2987</v>
      </c>
      <c r="D155">
        <v>1</v>
      </c>
      <c r="E155" t="s">
        <v>2988</v>
      </c>
      <c r="F155" t="s">
        <v>3229</v>
      </c>
      <c r="G155" t="s">
        <v>2988</v>
      </c>
      <c r="H155" s="7">
        <f t="shared" si="2"/>
        <v>200.99999999999997</v>
      </c>
      <c r="I155" s="7">
        <v>32.159999999999997</v>
      </c>
    </row>
    <row r="156" spans="1:9">
      <c r="A156" t="s">
        <v>2578</v>
      </c>
      <c r="B156" s="1">
        <v>42131</v>
      </c>
      <c r="C156" t="s">
        <v>2113</v>
      </c>
      <c r="D156">
        <v>2</v>
      </c>
      <c r="E156" t="s">
        <v>650</v>
      </c>
      <c r="F156" t="s">
        <v>827</v>
      </c>
      <c r="G156" t="s">
        <v>650</v>
      </c>
      <c r="H156" s="7">
        <f t="shared" si="2"/>
        <v>1757</v>
      </c>
      <c r="I156" s="7">
        <v>281.12</v>
      </c>
    </row>
    <row r="157" spans="1:9">
      <c r="A157" t="s">
        <v>2125</v>
      </c>
      <c r="B157" s="1">
        <v>42143</v>
      </c>
      <c r="C157" t="s">
        <v>2148</v>
      </c>
      <c r="D157">
        <v>2</v>
      </c>
      <c r="E157" t="s">
        <v>650</v>
      </c>
      <c r="F157" t="s">
        <v>827</v>
      </c>
      <c r="G157" t="s">
        <v>650</v>
      </c>
      <c r="H157" s="7">
        <f t="shared" si="2"/>
        <v>1669.5</v>
      </c>
      <c r="I157" s="7">
        <v>267.12</v>
      </c>
    </row>
    <row r="158" spans="1:9">
      <c r="A158" t="s">
        <v>1335</v>
      </c>
      <c r="B158" s="1">
        <v>42131</v>
      </c>
      <c r="C158" t="s">
        <v>3111</v>
      </c>
      <c r="D158">
        <v>1</v>
      </c>
      <c r="E158" t="s">
        <v>650</v>
      </c>
      <c r="F158" t="s">
        <v>827</v>
      </c>
      <c r="G158" t="s">
        <v>650</v>
      </c>
      <c r="H158" s="7">
        <f t="shared" si="2"/>
        <v>2516.5</v>
      </c>
      <c r="I158" s="7">
        <v>402.64</v>
      </c>
    </row>
    <row r="159" spans="1:9">
      <c r="A159" t="s">
        <v>3054</v>
      </c>
      <c r="B159" s="1">
        <v>42155</v>
      </c>
      <c r="C159" t="s">
        <v>3055</v>
      </c>
      <c r="D159">
        <v>1</v>
      </c>
      <c r="E159" t="s">
        <v>336</v>
      </c>
      <c r="F159" t="s">
        <v>828</v>
      </c>
      <c r="G159" t="s">
        <v>336</v>
      </c>
      <c r="H159" s="7">
        <f t="shared" si="2"/>
        <v>60.75</v>
      </c>
      <c r="I159" s="7">
        <v>9.7200000000000006</v>
      </c>
    </row>
    <row r="160" spans="1:9">
      <c r="A160" t="s">
        <v>1235</v>
      </c>
      <c r="B160" s="1">
        <v>42155</v>
      </c>
      <c r="C160" t="s">
        <v>3021</v>
      </c>
      <c r="D160">
        <v>1</v>
      </c>
      <c r="E160" t="s">
        <v>3022</v>
      </c>
      <c r="F160" t="s">
        <v>3230</v>
      </c>
      <c r="G160" t="s">
        <v>3231</v>
      </c>
      <c r="H160" s="7">
        <f t="shared" si="2"/>
        <v>145.6875</v>
      </c>
      <c r="I160" s="7">
        <v>23.31</v>
      </c>
    </row>
    <row r="161" spans="1:11">
      <c r="A161" t="s">
        <v>2108</v>
      </c>
      <c r="B161" s="1">
        <v>42142</v>
      </c>
      <c r="C161" t="s">
        <v>3162</v>
      </c>
      <c r="D161">
        <v>1</v>
      </c>
      <c r="E161" t="s">
        <v>529</v>
      </c>
      <c r="F161" t="s">
        <v>829</v>
      </c>
      <c r="G161" t="s">
        <v>529</v>
      </c>
      <c r="H161" s="7">
        <f t="shared" si="2"/>
        <v>107758.625</v>
      </c>
      <c r="I161" s="7">
        <v>17241.38</v>
      </c>
    </row>
    <row r="162" spans="1:11">
      <c r="A162" t="s">
        <v>2610</v>
      </c>
      <c r="B162" s="1">
        <v>42136</v>
      </c>
      <c r="C162" t="s">
        <v>3137</v>
      </c>
      <c r="D162">
        <v>1</v>
      </c>
      <c r="E162" t="s">
        <v>557</v>
      </c>
      <c r="F162" s="19" t="s">
        <v>956</v>
      </c>
      <c r="G162" s="19" t="s">
        <v>957</v>
      </c>
      <c r="H162" s="7">
        <f t="shared" si="2"/>
        <v>36890.4375</v>
      </c>
      <c r="I162" s="7">
        <v>5902.47</v>
      </c>
    </row>
    <row r="163" spans="1:11">
      <c r="A163" t="s">
        <v>2914</v>
      </c>
      <c r="B163" s="1">
        <v>42154</v>
      </c>
      <c r="C163" t="s">
        <v>2915</v>
      </c>
      <c r="D163">
        <v>1</v>
      </c>
      <c r="E163" t="s">
        <v>2916</v>
      </c>
      <c r="F163" s="19" t="s">
        <v>716</v>
      </c>
      <c r="G163" s="19" t="s">
        <v>717</v>
      </c>
      <c r="H163" s="7">
        <f t="shared" si="2"/>
        <v>2953.125</v>
      </c>
      <c r="I163" s="7">
        <v>472.5</v>
      </c>
      <c r="J163" s="7"/>
      <c r="K163" s="7"/>
    </row>
    <row r="164" spans="1:11">
      <c r="A164" t="s">
        <v>2914</v>
      </c>
      <c r="B164" s="1">
        <v>42154</v>
      </c>
      <c r="C164" t="s">
        <v>2915</v>
      </c>
      <c r="D164">
        <v>1</v>
      </c>
      <c r="E164" t="s">
        <v>2916</v>
      </c>
      <c r="F164" s="19" t="s">
        <v>2736</v>
      </c>
      <c r="G164" s="19" t="s">
        <v>7348</v>
      </c>
      <c r="H164" s="7">
        <f t="shared" si="2"/>
        <v>116.375</v>
      </c>
      <c r="I164" s="7">
        <v>18.62</v>
      </c>
      <c r="J164" s="7"/>
      <c r="K164" s="7"/>
    </row>
    <row r="165" spans="1:11">
      <c r="A165" t="s">
        <v>2914</v>
      </c>
      <c r="B165" s="1">
        <v>42154</v>
      </c>
      <c r="C165" t="s">
        <v>2915</v>
      </c>
      <c r="D165">
        <v>1</v>
      </c>
      <c r="E165" t="s">
        <v>2916</v>
      </c>
      <c r="F165" s="19" t="s">
        <v>714</v>
      </c>
      <c r="G165" s="19" t="s">
        <v>2990</v>
      </c>
      <c r="H165" s="7">
        <f t="shared" si="2"/>
        <v>300.875</v>
      </c>
      <c r="I165" s="7">
        <v>48.14</v>
      </c>
      <c r="J165" s="7"/>
      <c r="K165" s="7"/>
    </row>
    <row r="166" spans="1:11">
      <c r="A166" t="s">
        <v>2914</v>
      </c>
      <c r="B166" s="1">
        <v>42154</v>
      </c>
      <c r="C166" t="s">
        <v>2915</v>
      </c>
      <c r="D166">
        <v>1</v>
      </c>
      <c r="E166" t="s">
        <v>2916</v>
      </c>
      <c r="F166" s="19" t="s">
        <v>714</v>
      </c>
      <c r="G166" s="19" t="s">
        <v>2990</v>
      </c>
      <c r="H166" s="7">
        <f t="shared" si="2"/>
        <v>270.6875</v>
      </c>
      <c r="I166" s="7">
        <v>43.31</v>
      </c>
      <c r="J166" s="7"/>
      <c r="K166" s="7"/>
    </row>
    <row r="167" spans="1:11">
      <c r="A167" t="s">
        <v>2914</v>
      </c>
      <c r="B167" s="1">
        <v>42154</v>
      </c>
      <c r="C167" t="s">
        <v>2915</v>
      </c>
      <c r="D167">
        <v>1</v>
      </c>
      <c r="E167" t="s">
        <v>2916</v>
      </c>
      <c r="F167" s="19" t="s">
        <v>3689</v>
      </c>
      <c r="G167" s="19" t="s">
        <v>6294</v>
      </c>
      <c r="H167" s="7">
        <f t="shared" si="2"/>
        <v>129.3125</v>
      </c>
      <c r="I167" s="7">
        <v>20.69</v>
      </c>
      <c r="J167" s="7"/>
      <c r="K167" s="7"/>
    </row>
    <row r="168" spans="1:11">
      <c r="A168" t="s">
        <v>2914</v>
      </c>
      <c r="B168" s="1">
        <v>42154</v>
      </c>
      <c r="C168" t="s">
        <v>2915</v>
      </c>
      <c r="D168">
        <v>1</v>
      </c>
      <c r="E168" t="s">
        <v>2916</v>
      </c>
      <c r="F168" s="19" t="s">
        <v>2736</v>
      </c>
      <c r="G168" s="19" t="s">
        <v>7348</v>
      </c>
      <c r="H168" s="7">
        <f t="shared" si="2"/>
        <v>116.375</v>
      </c>
      <c r="I168" s="7">
        <v>18.62</v>
      </c>
      <c r="J168" s="7"/>
      <c r="K168" s="7"/>
    </row>
    <row r="169" spans="1:11">
      <c r="A169" t="s">
        <v>2914</v>
      </c>
      <c r="B169" s="1">
        <v>42154</v>
      </c>
      <c r="C169" t="s">
        <v>2915</v>
      </c>
      <c r="D169">
        <v>1</v>
      </c>
      <c r="E169" t="s">
        <v>2916</v>
      </c>
      <c r="F169" s="19" t="s">
        <v>7349</v>
      </c>
      <c r="G169" s="19" t="s">
        <v>7350</v>
      </c>
      <c r="H169" s="7">
        <f t="shared" si="2"/>
        <v>112.0625</v>
      </c>
      <c r="I169" s="7">
        <v>17.93</v>
      </c>
      <c r="J169" s="7"/>
      <c r="K169" s="7"/>
    </row>
    <row r="170" spans="1:11">
      <c r="A170" t="s">
        <v>2914</v>
      </c>
      <c r="B170" s="1">
        <v>42154</v>
      </c>
      <c r="C170" t="s">
        <v>2915</v>
      </c>
      <c r="D170">
        <v>1</v>
      </c>
      <c r="E170" t="s">
        <v>2916</v>
      </c>
      <c r="F170" s="19" t="s">
        <v>2743</v>
      </c>
      <c r="G170" s="19" t="s">
        <v>7351</v>
      </c>
      <c r="H170" s="7">
        <f t="shared" si="2"/>
        <v>158.625</v>
      </c>
      <c r="I170" s="7">
        <v>25.38</v>
      </c>
      <c r="J170" s="7">
        <f>4157.44-H163-H164-H165-H166-H167-H168-H169-H170</f>
        <v>2.4999999995998223E-3</v>
      </c>
      <c r="K170" s="7">
        <f>665.19-I163-I164-I165-I166-I167-I168-I169-I170</f>
        <v>4.6185277824406512E-14</v>
      </c>
    </row>
    <row r="171" spans="1:11">
      <c r="A171" t="s">
        <v>1255</v>
      </c>
      <c r="B171" s="1">
        <v>42155</v>
      </c>
      <c r="C171" t="s">
        <v>3047</v>
      </c>
      <c r="D171">
        <v>1</v>
      </c>
      <c r="E171" t="s">
        <v>3048</v>
      </c>
      <c r="F171" t="s">
        <v>722</v>
      </c>
      <c r="G171" t="s">
        <v>723</v>
      </c>
      <c r="H171" s="7">
        <f t="shared" si="2"/>
        <v>342.25</v>
      </c>
      <c r="I171" s="7">
        <v>54.76</v>
      </c>
    </row>
    <row r="172" spans="1:11">
      <c r="A172" t="s">
        <v>1328</v>
      </c>
      <c r="B172" s="1">
        <v>42130</v>
      </c>
      <c r="C172" t="s">
        <v>3105</v>
      </c>
      <c r="D172">
        <v>1</v>
      </c>
      <c r="E172" t="s">
        <v>1344</v>
      </c>
      <c r="F172" s="19" t="s">
        <v>808</v>
      </c>
      <c r="G172" s="19" t="s">
        <v>5717</v>
      </c>
      <c r="H172" s="7">
        <f t="shared" si="2"/>
        <v>16182.1875</v>
      </c>
      <c r="I172" s="7">
        <v>2589.15</v>
      </c>
    </row>
    <row r="173" spans="1:11">
      <c r="A173" t="s">
        <v>1481</v>
      </c>
      <c r="B173" s="1">
        <v>42154</v>
      </c>
      <c r="C173" t="s">
        <v>3208</v>
      </c>
      <c r="D173">
        <v>1</v>
      </c>
      <c r="E173" t="s">
        <v>3210</v>
      </c>
      <c r="F173" t="s">
        <v>739</v>
      </c>
      <c r="G173" s="19" t="s">
        <v>3249</v>
      </c>
      <c r="H173" s="7">
        <f t="shared" si="2"/>
        <v>11117.4375</v>
      </c>
      <c r="I173" s="7">
        <v>1778.79</v>
      </c>
    </row>
    <row r="174" spans="1:11">
      <c r="A174" t="s">
        <v>2769</v>
      </c>
      <c r="B174" s="1">
        <v>42139</v>
      </c>
      <c r="C174" t="s">
        <v>2770</v>
      </c>
      <c r="D174">
        <v>1</v>
      </c>
      <c r="E174" t="s">
        <v>2771</v>
      </c>
      <c r="F174" s="133" t="s">
        <v>799</v>
      </c>
      <c r="G174" s="133" t="s">
        <v>0</v>
      </c>
      <c r="H174" s="7">
        <f t="shared" si="2"/>
        <v>44571.625</v>
      </c>
      <c r="I174" s="7">
        <v>7131.46</v>
      </c>
    </row>
    <row r="175" spans="1:11">
      <c r="A175" t="s">
        <v>431</v>
      </c>
      <c r="B175" s="1">
        <v>42130</v>
      </c>
      <c r="C175" t="s">
        <v>3106</v>
      </c>
      <c r="D175">
        <v>1</v>
      </c>
      <c r="E175" t="s">
        <v>3107</v>
      </c>
      <c r="F175" t="s">
        <v>822</v>
      </c>
      <c r="G175" t="s">
        <v>7550</v>
      </c>
      <c r="H175" s="7">
        <f t="shared" si="2"/>
        <v>915.31249999999989</v>
      </c>
      <c r="I175" s="7">
        <v>146.44999999999999</v>
      </c>
    </row>
    <row r="176" spans="1:11">
      <c r="A176" t="s">
        <v>1404</v>
      </c>
      <c r="B176" s="1">
        <v>42144</v>
      </c>
      <c r="C176" t="s">
        <v>3173</v>
      </c>
      <c r="D176">
        <v>1</v>
      </c>
      <c r="E176" t="s">
        <v>3174</v>
      </c>
      <c r="F176" s="19" t="s">
        <v>3246</v>
      </c>
      <c r="G176" s="19" t="s">
        <v>7549</v>
      </c>
      <c r="H176" s="7">
        <f t="shared" si="2"/>
        <v>68965.5</v>
      </c>
      <c r="I176" s="7">
        <v>11034.48</v>
      </c>
    </row>
    <row r="177" spans="1:12">
      <c r="A177" t="s">
        <v>2632</v>
      </c>
      <c r="B177" s="1">
        <v>42138</v>
      </c>
      <c r="C177" t="s">
        <v>3150</v>
      </c>
      <c r="D177">
        <v>1</v>
      </c>
      <c r="E177" t="s">
        <v>3151</v>
      </c>
      <c r="F177" t="s">
        <v>3247</v>
      </c>
      <c r="G177" t="s">
        <v>7548</v>
      </c>
      <c r="H177" s="7">
        <f t="shared" si="2"/>
        <v>68965.5</v>
      </c>
      <c r="I177" s="7">
        <v>11034.48</v>
      </c>
    </row>
    <row r="178" spans="1:12">
      <c r="A178" t="s">
        <v>2816</v>
      </c>
      <c r="B178" s="1">
        <v>42140</v>
      </c>
      <c r="C178" t="s">
        <v>2817</v>
      </c>
      <c r="D178">
        <v>1</v>
      </c>
      <c r="E178" t="s">
        <v>2818</v>
      </c>
      <c r="F178" t="s">
        <v>830</v>
      </c>
      <c r="G178" t="s">
        <v>7547</v>
      </c>
      <c r="H178" s="7">
        <f t="shared" si="2"/>
        <v>264764.25</v>
      </c>
      <c r="I178" s="7">
        <v>42362.28</v>
      </c>
    </row>
    <row r="179" spans="1:12">
      <c r="A179" t="s">
        <v>2775</v>
      </c>
      <c r="B179" s="1">
        <v>42129</v>
      </c>
      <c r="C179" t="s">
        <v>2776</v>
      </c>
      <c r="D179">
        <v>1</v>
      </c>
      <c r="E179" t="s">
        <v>2777</v>
      </c>
      <c r="F179" t="s">
        <v>830</v>
      </c>
      <c r="G179" t="s">
        <v>7547</v>
      </c>
      <c r="H179" s="7">
        <f t="shared" si="2"/>
        <v>303977.8125</v>
      </c>
      <c r="I179" s="7">
        <v>48636.45</v>
      </c>
    </row>
    <row r="180" spans="1:12">
      <c r="A180" t="s">
        <v>2860</v>
      </c>
      <c r="B180" s="1">
        <v>42149</v>
      </c>
      <c r="C180" t="s">
        <v>2861</v>
      </c>
      <c r="D180">
        <v>1</v>
      </c>
      <c r="E180" t="s">
        <v>2862</v>
      </c>
      <c r="F180" t="s">
        <v>768</v>
      </c>
      <c r="G180" t="s">
        <v>283</v>
      </c>
      <c r="H180" s="7">
        <f t="shared" si="2"/>
        <v>336</v>
      </c>
      <c r="I180" s="7">
        <v>53.76</v>
      </c>
    </row>
    <row r="181" spans="1:12">
      <c r="A181" t="s">
        <v>2772</v>
      </c>
      <c r="B181" s="1">
        <v>42129</v>
      </c>
      <c r="C181" t="s">
        <v>2773</v>
      </c>
      <c r="D181">
        <v>1</v>
      </c>
      <c r="E181" t="s">
        <v>2774</v>
      </c>
      <c r="F181" t="s">
        <v>799</v>
      </c>
      <c r="G181" t="s">
        <v>0</v>
      </c>
      <c r="H181" s="7">
        <f t="shared" si="2"/>
        <v>470.625</v>
      </c>
      <c r="I181" s="7">
        <v>75.3</v>
      </c>
    </row>
    <row r="182" spans="1:12">
      <c r="A182" t="s">
        <v>2778</v>
      </c>
      <c r="B182" s="1">
        <v>42129</v>
      </c>
      <c r="C182" t="s">
        <v>2779</v>
      </c>
      <c r="D182">
        <v>1</v>
      </c>
      <c r="E182" t="s">
        <v>2266</v>
      </c>
      <c r="F182" t="s">
        <v>799</v>
      </c>
      <c r="G182" t="s">
        <v>0</v>
      </c>
      <c r="H182" s="7">
        <f t="shared" si="2"/>
        <v>1574.75</v>
      </c>
      <c r="I182" s="7">
        <v>251.96</v>
      </c>
    </row>
    <row r="183" spans="1:12">
      <c r="A183" t="s">
        <v>2780</v>
      </c>
      <c r="B183" s="1">
        <v>42129</v>
      </c>
      <c r="C183" t="s">
        <v>2781</v>
      </c>
      <c r="D183">
        <v>1</v>
      </c>
      <c r="E183" t="s">
        <v>2269</v>
      </c>
      <c r="F183" s="25" t="s">
        <v>799</v>
      </c>
      <c r="G183" t="s">
        <v>0</v>
      </c>
      <c r="H183" s="7">
        <f t="shared" si="2"/>
        <v>14963.874999999998</v>
      </c>
      <c r="I183" s="7">
        <v>2394.2199999999998</v>
      </c>
    </row>
    <row r="184" spans="1:12">
      <c r="A184" t="s">
        <v>3044</v>
      </c>
      <c r="B184" s="1">
        <v>42155</v>
      </c>
      <c r="C184" t="s">
        <v>3045</v>
      </c>
      <c r="D184">
        <v>1</v>
      </c>
      <c r="E184" t="s">
        <v>3046</v>
      </c>
      <c r="F184" t="s">
        <v>847</v>
      </c>
      <c r="G184" t="s">
        <v>7546</v>
      </c>
      <c r="H184" s="7">
        <f t="shared" si="2"/>
        <v>1137.25</v>
      </c>
      <c r="I184" s="7">
        <v>181.96</v>
      </c>
    </row>
    <row r="185" spans="1:12">
      <c r="A185" t="s">
        <v>2919</v>
      </c>
      <c r="B185" s="1">
        <v>42146</v>
      </c>
      <c r="C185" t="s">
        <v>2920</v>
      </c>
      <c r="D185">
        <v>1</v>
      </c>
      <c r="E185" t="s">
        <v>2921</v>
      </c>
      <c r="F185" s="25" t="s">
        <v>2751</v>
      </c>
      <c r="G185" t="s">
        <v>3248</v>
      </c>
      <c r="H185" s="7">
        <f t="shared" si="2"/>
        <v>586357.1875</v>
      </c>
      <c r="I185" s="7">
        <v>93817.15</v>
      </c>
    </row>
    <row r="186" spans="1:12">
      <c r="A186" t="s">
        <v>2847</v>
      </c>
      <c r="B186" s="1">
        <v>42145</v>
      </c>
      <c r="C186" t="s">
        <v>2848</v>
      </c>
      <c r="D186">
        <v>1</v>
      </c>
      <c r="E186" t="s">
        <v>1136</v>
      </c>
      <c r="F186" t="s">
        <v>854</v>
      </c>
      <c r="G186" t="s">
        <v>7545</v>
      </c>
      <c r="H186" s="7">
        <f t="shared" si="2"/>
        <v>307290</v>
      </c>
      <c r="I186" s="7">
        <v>49166.400000000001</v>
      </c>
      <c r="J186" s="60">
        <f>+H186-[1]MAY.2015!$H$233</f>
        <v>2320.125</v>
      </c>
      <c r="K186" s="60">
        <f>+I186-[1]MAY.2015!$I$233</f>
        <v>371.22000000000116</v>
      </c>
      <c r="L186" t="s">
        <v>960</v>
      </c>
    </row>
    <row r="187" spans="1:12">
      <c r="A187" t="s">
        <v>494</v>
      </c>
      <c r="B187" s="1">
        <v>42143</v>
      </c>
      <c r="C187" t="s">
        <v>2159</v>
      </c>
      <c r="D187">
        <v>2</v>
      </c>
      <c r="E187" t="s">
        <v>1237</v>
      </c>
      <c r="F187" t="s">
        <v>832</v>
      </c>
      <c r="G187" t="s">
        <v>1585</v>
      </c>
      <c r="H187" s="7">
        <f t="shared" si="2"/>
        <v>719.875</v>
      </c>
      <c r="I187" s="7">
        <v>115.18</v>
      </c>
    </row>
    <row r="188" spans="1:12">
      <c r="A188" t="s">
        <v>3115</v>
      </c>
      <c r="B188" s="1">
        <v>42131</v>
      </c>
      <c r="C188" t="s">
        <v>3116</v>
      </c>
      <c r="D188">
        <v>1</v>
      </c>
      <c r="E188" t="s">
        <v>1461</v>
      </c>
      <c r="F188" t="s">
        <v>1648</v>
      </c>
      <c r="G188" t="s">
        <v>5725</v>
      </c>
      <c r="H188" s="7">
        <f t="shared" si="2"/>
        <v>668.1875</v>
      </c>
      <c r="I188" s="7">
        <v>106.91</v>
      </c>
    </row>
    <row r="189" spans="1:12">
      <c r="A189" t="s">
        <v>2620</v>
      </c>
      <c r="B189" s="1">
        <v>42136</v>
      </c>
      <c r="C189" t="s">
        <v>3145</v>
      </c>
      <c r="D189">
        <v>1</v>
      </c>
      <c r="E189" t="s">
        <v>1461</v>
      </c>
      <c r="F189" t="s">
        <v>1648</v>
      </c>
      <c r="G189" t="s">
        <v>5725</v>
      </c>
      <c r="H189" s="7">
        <f t="shared" si="2"/>
        <v>1086.5625</v>
      </c>
      <c r="I189" s="7">
        <v>173.85</v>
      </c>
    </row>
    <row r="190" spans="1:12">
      <c r="A190" t="s">
        <v>1383</v>
      </c>
      <c r="B190" s="1">
        <v>42143</v>
      </c>
      <c r="C190" t="s">
        <v>3167</v>
      </c>
      <c r="D190">
        <v>1</v>
      </c>
      <c r="E190" t="s">
        <v>1461</v>
      </c>
      <c r="F190" t="s">
        <v>1648</v>
      </c>
      <c r="G190" t="s">
        <v>5725</v>
      </c>
      <c r="H190" s="7">
        <f t="shared" si="2"/>
        <v>754.875</v>
      </c>
      <c r="I190" s="7">
        <v>120.78</v>
      </c>
    </row>
    <row r="191" spans="1:12">
      <c r="A191" t="s">
        <v>539</v>
      </c>
      <c r="B191" s="1">
        <v>42151</v>
      </c>
      <c r="C191" t="s">
        <v>3194</v>
      </c>
      <c r="D191">
        <v>1</v>
      </c>
      <c r="E191" t="s">
        <v>1461</v>
      </c>
      <c r="F191" t="s">
        <v>1648</v>
      </c>
      <c r="G191" t="s">
        <v>5725</v>
      </c>
      <c r="H191" s="7">
        <f t="shared" si="2"/>
        <v>1089</v>
      </c>
      <c r="I191" s="7">
        <v>174.24</v>
      </c>
    </row>
    <row r="192" spans="1:12">
      <c r="A192" t="s">
        <v>3099</v>
      </c>
      <c r="B192" s="1">
        <v>42128</v>
      </c>
      <c r="C192" t="s">
        <v>3100</v>
      </c>
      <c r="D192">
        <v>1</v>
      </c>
      <c r="E192" t="s">
        <v>452</v>
      </c>
      <c r="F192" t="s">
        <v>863</v>
      </c>
      <c r="G192" t="s">
        <v>331</v>
      </c>
      <c r="H192" s="7">
        <f t="shared" si="2"/>
        <v>18724.9375</v>
      </c>
      <c r="I192" s="7">
        <v>2995.99</v>
      </c>
    </row>
    <row r="193" spans="1:12">
      <c r="A193" t="s">
        <v>442</v>
      </c>
      <c r="B193" s="1">
        <v>42136</v>
      </c>
      <c r="C193" t="s">
        <v>3141</v>
      </c>
      <c r="D193">
        <v>1</v>
      </c>
      <c r="E193" t="s">
        <v>452</v>
      </c>
      <c r="F193" t="s">
        <v>863</v>
      </c>
      <c r="G193" t="s">
        <v>331</v>
      </c>
      <c r="H193" s="7">
        <f t="shared" si="2"/>
        <v>15981.125</v>
      </c>
      <c r="I193" s="7">
        <v>2556.98</v>
      </c>
    </row>
    <row r="194" spans="1:12">
      <c r="A194" t="s">
        <v>1438</v>
      </c>
      <c r="B194" s="1">
        <v>42151</v>
      </c>
      <c r="C194" t="s">
        <v>3197</v>
      </c>
      <c r="D194">
        <v>1</v>
      </c>
      <c r="E194" t="s">
        <v>452</v>
      </c>
      <c r="F194" t="s">
        <v>863</v>
      </c>
      <c r="G194" t="s">
        <v>331</v>
      </c>
      <c r="H194" s="7">
        <f t="shared" si="2"/>
        <v>12888.5625</v>
      </c>
      <c r="I194" s="7">
        <v>2062.17</v>
      </c>
    </row>
    <row r="195" spans="1:12">
      <c r="A195" t="s">
        <v>1116</v>
      </c>
      <c r="B195" s="1">
        <v>42153</v>
      </c>
      <c r="C195" t="s">
        <v>2899</v>
      </c>
      <c r="D195">
        <v>1</v>
      </c>
      <c r="E195" t="s">
        <v>2900</v>
      </c>
      <c r="F195" t="s">
        <v>873</v>
      </c>
      <c r="G195" t="s">
        <v>2900</v>
      </c>
      <c r="H195" s="7">
        <f t="shared" si="2"/>
        <v>197214.1875</v>
      </c>
      <c r="I195" s="7">
        <v>31554.27</v>
      </c>
    </row>
    <row r="196" spans="1:12">
      <c r="A196" t="s">
        <v>2820</v>
      </c>
      <c r="B196" s="1">
        <v>42140</v>
      </c>
      <c r="C196" t="s">
        <v>2340</v>
      </c>
      <c r="D196">
        <v>1</v>
      </c>
      <c r="E196" t="s">
        <v>107</v>
      </c>
      <c r="F196" t="s">
        <v>799</v>
      </c>
      <c r="G196" t="s">
        <v>0</v>
      </c>
      <c r="H196" s="7">
        <f t="shared" si="2"/>
        <v>149115.9375</v>
      </c>
      <c r="I196" s="7">
        <v>23858.55</v>
      </c>
      <c r="J196" s="60">
        <f>+H196-[1]MAY.2015!$H$308</f>
        <v>75.875</v>
      </c>
      <c r="K196" s="60">
        <f>+I196-[1]MAY.2015!$I$308</f>
        <v>12.139999999999418</v>
      </c>
      <c r="L196" t="s">
        <v>960</v>
      </c>
    </row>
    <row r="197" spans="1:12">
      <c r="A197" t="s">
        <v>2801</v>
      </c>
      <c r="B197" s="1">
        <v>42131</v>
      </c>
      <c r="C197" t="s">
        <v>2365</v>
      </c>
      <c r="D197">
        <v>1</v>
      </c>
      <c r="E197" t="s">
        <v>107</v>
      </c>
      <c r="F197" t="s">
        <v>799</v>
      </c>
      <c r="G197" t="s">
        <v>0</v>
      </c>
      <c r="H197" s="7">
        <f t="shared" si="2"/>
        <v>303975.125</v>
      </c>
      <c r="I197" s="7">
        <v>48636.02</v>
      </c>
    </row>
    <row r="198" spans="1:12">
      <c r="A198" t="s">
        <v>2835</v>
      </c>
      <c r="B198" s="1">
        <v>42144</v>
      </c>
      <c r="C198" t="s">
        <v>2836</v>
      </c>
      <c r="D198">
        <v>1</v>
      </c>
      <c r="E198" t="s">
        <v>107</v>
      </c>
      <c r="F198" t="s">
        <v>799</v>
      </c>
      <c r="G198" t="s">
        <v>0</v>
      </c>
      <c r="H198" s="7">
        <f t="shared" si="2"/>
        <v>245323.37499999997</v>
      </c>
      <c r="I198" s="7">
        <v>39251.74</v>
      </c>
      <c r="J198" s="60">
        <f>+H198-[1]MAY.2015!$H$314</f>
        <v>-501.6875000000291</v>
      </c>
      <c r="K198" s="60">
        <f>+I198-[1]MAY.2015!$I$314</f>
        <v>-80.270000000004075</v>
      </c>
      <c r="L198" t="s">
        <v>960</v>
      </c>
    </row>
    <row r="199" spans="1:12">
      <c r="A199" t="s">
        <v>2331</v>
      </c>
      <c r="B199" s="1">
        <v>42144</v>
      </c>
      <c r="C199" t="s">
        <v>2839</v>
      </c>
      <c r="D199">
        <v>1</v>
      </c>
      <c r="E199" t="s">
        <v>107</v>
      </c>
      <c r="F199" t="s">
        <v>799</v>
      </c>
      <c r="G199" t="s">
        <v>0</v>
      </c>
      <c r="H199" s="7">
        <f t="shared" si="2"/>
        <v>157262.5</v>
      </c>
      <c r="I199" s="7">
        <v>25162</v>
      </c>
      <c r="J199" s="60">
        <f>+H199-[1]MAY.2015!$H$315</f>
        <v>851.75</v>
      </c>
      <c r="K199" s="60">
        <f>+I199-[1]MAY.2015!$I$315</f>
        <v>136.27999999999884</v>
      </c>
      <c r="L199" t="s">
        <v>960</v>
      </c>
    </row>
    <row r="200" spans="1:12">
      <c r="A200" t="s">
        <v>2428</v>
      </c>
      <c r="B200" s="1">
        <v>42154</v>
      </c>
      <c r="C200" t="s">
        <v>2913</v>
      </c>
      <c r="D200">
        <v>1</v>
      </c>
      <c r="E200" t="s">
        <v>107</v>
      </c>
      <c r="F200" t="s">
        <v>799</v>
      </c>
      <c r="G200" t="s">
        <v>0</v>
      </c>
      <c r="H200" s="7">
        <f t="shared" ref="H200:H263" si="3">+I200/0.16</f>
        <v>263222.8125</v>
      </c>
      <c r="I200" s="7">
        <v>42115.65</v>
      </c>
      <c r="J200" s="60">
        <f>+H200-[1]MAY.2015!$H$347</f>
        <v>2321.0625</v>
      </c>
      <c r="K200" s="60">
        <f>+I200-[1]MAY.2015!$I$347</f>
        <v>371.37000000000262</v>
      </c>
      <c r="L200" t="s">
        <v>960</v>
      </c>
    </row>
    <row r="201" spans="1:12">
      <c r="A201" t="s">
        <v>1326</v>
      </c>
      <c r="B201" s="1">
        <v>42129</v>
      </c>
      <c r="C201" t="s">
        <v>3104</v>
      </c>
      <c r="D201">
        <v>1</v>
      </c>
      <c r="E201" t="s">
        <v>107</v>
      </c>
      <c r="F201" t="s">
        <v>799</v>
      </c>
      <c r="G201" t="s">
        <v>0</v>
      </c>
      <c r="H201" s="7">
        <f t="shared" si="3"/>
        <v>112069</v>
      </c>
      <c r="I201" s="7">
        <v>17931.04</v>
      </c>
    </row>
    <row r="202" spans="1:12">
      <c r="A202" t="s">
        <v>2594</v>
      </c>
      <c r="B202" s="1">
        <v>42132</v>
      </c>
      <c r="C202" t="s">
        <v>3126</v>
      </c>
      <c r="D202">
        <v>1</v>
      </c>
      <c r="E202" t="s">
        <v>107</v>
      </c>
      <c r="F202" t="s">
        <v>799</v>
      </c>
      <c r="G202" t="s">
        <v>0</v>
      </c>
      <c r="H202" s="7">
        <f t="shared" si="3"/>
        <v>86077.25</v>
      </c>
      <c r="I202" s="7">
        <v>13772.36</v>
      </c>
    </row>
    <row r="203" spans="1:12">
      <c r="A203" t="s">
        <v>2595</v>
      </c>
      <c r="B203" s="1">
        <v>42132</v>
      </c>
      <c r="C203" t="s">
        <v>3127</v>
      </c>
      <c r="D203">
        <v>1</v>
      </c>
      <c r="E203" t="s">
        <v>107</v>
      </c>
      <c r="F203" t="s">
        <v>799</v>
      </c>
      <c r="G203" t="s">
        <v>0</v>
      </c>
      <c r="H203" s="7">
        <f t="shared" si="3"/>
        <v>173046</v>
      </c>
      <c r="I203" s="7">
        <v>27687.360000000001</v>
      </c>
    </row>
    <row r="204" spans="1:12">
      <c r="A204" t="s">
        <v>2917</v>
      </c>
      <c r="B204" s="1">
        <v>42130</v>
      </c>
      <c r="C204" t="s">
        <v>1315</v>
      </c>
      <c r="D204">
        <v>1</v>
      </c>
      <c r="E204" t="s">
        <v>2918</v>
      </c>
      <c r="F204" t="s">
        <v>722</v>
      </c>
      <c r="G204" t="s">
        <v>7551</v>
      </c>
      <c r="H204" s="7">
        <f t="shared" si="3"/>
        <v>607.75</v>
      </c>
      <c r="I204" s="7">
        <v>97.24</v>
      </c>
    </row>
    <row r="205" spans="1:12">
      <c r="A205" t="s">
        <v>3097</v>
      </c>
      <c r="B205" s="1">
        <v>42144</v>
      </c>
      <c r="C205" t="s">
        <v>1315</v>
      </c>
      <c r="D205">
        <v>1</v>
      </c>
      <c r="E205" t="s">
        <v>1316</v>
      </c>
      <c r="F205" t="s">
        <v>3689</v>
      </c>
      <c r="G205" t="s">
        <v>6294</v>
      </c>
      <c r="H205" s="7">
        <f t="shared" si="3"/>
        <v>82.75</v>
      </c>
      <c r="I205" s="7">
        <v>13.24</v>
      </c>
      <c r="J205" s="7"/>
      <c r="K205" s="7"/>
    </row>
    <row r="206" spans="1:12">
      <c r="A206" t="s">
        <v>3097</v>
      </c>
      <c r="B206" s="1">
        <v>42144</v>
      </c>
      <c r="C206" t="s">
        <v>1315</v>
      </c>
      <c r="D206">
        <v>1</v>
      </c>
      <c r="E206" t="s">
        <v>1316</v>
      </c>
      <c r="F206" t="s">
        <v>1543</v>
      </c>
      <c r="G206" t="s">
        <v>7352</v>
      </c>
      <c r="H206" s="7">
        <f t="shared" si="3"/>
        <v>129.3125</v>
      </c>
      <c r="I206" s="7">
        <v>20.69</v>
      </c>
    </row>
    <row r="207" spans="1:12">
      <c r="A207" t="s">
        <v>3097</v>
      </c>
      <c r="B207" s="1">
        <v>42144</v>
      </c>
      <c r="C207" t="s">
        <v>1315</v>
      </c>
      <c r="D207">
        <v>1</v>
      </c>
      <c r="E207" t="s">
        <v>1316</v>
      </c>
      <c r="F207" t="s">
        <v>714</v>
      </c>
      <c r="G207" t="s">
        <v>2990</v>
      </c>
      <c r="H207" s="7">
        <f t="shared" si="3"/>
        <v>571.5625</v>
      </c>
      <c r="I207" s="7">
        <v>91.45</v>
      </c>
      <c r="J207" s="60">
        <f>783.63-H205-H206-H207</f>
        <v>4.9999999999954525E-3</v>
      </c>
      <c r="K207" s="60">
        <f>125.38-I205-I206-I207</f>
        <v>0</v>
      </c>
    </row>
    <row r="208" spans="1:12">
      <c r="A208" t="s">
        <v>2142</v>
      </c>
      <c r="B208" s="1">
        <v>42146</v>
      </c>
      <c r="C208" t="s">
        <v>3179</v>
      </c>
      <c r="D208">
        <v>1</v>
      </c>
      <c r="E208" t="s">
        <v>520</v>
      </c>
      <c r="F208" t="s">
        <v>834</v>
      </c>
      <c r="G208" t="s">
        <v>520</v>
      </c>
      <c r="H208" s="7">
        <f t="shared" si="3"/>
        <v>5172.4375</v>
      </c>
      <c r="I208" s="7">
        <v>827.59</v>
      </c>
    </row>
    <row r="209" spans="1:9">
      <c r="A209" t="s">
        <v>2144</v>
      </c>
      <c r="B209" s="1">
        <v>42146</v>
      </c>
      <c r="C209" t="s">
        <v>3180</v>
      </c>
      <c r="D209">
        <v>1</v>
      </c>
      <c r="E209" t="s">
        <v>520</v>
      </c>
      <c r="F209" t="s">
        <v>834</v>
      </c>
      <c r="G209" t="s">
        <v>520</v>
      </c>
      <c r="H209" s="7">
        <f t="shared" si="3"/>
        <v>12931</v>
      </c>
      <c r="I209" s="7">
        <v>2068.96</v>
      </c>
    </row>
    <row r="210" spans="1:9">
      <c r="A210" t="s">
        <v>1409</v>
      </c>
      <c r="B210" s="1">
        <v>42146</v>
      </c>
      <c r="C210" t="s">
        <v>3181</v>
      </c>
      <c r="D210">
        <v>1</v>
      </c>
      <c r="E210" t="s">
        <v>520</v>
      </c>
      <c r="F210" t="s">
        <v>834</v>
      </c>
      <c r="G210" t="s">
        <v>520</v>
      </c>
      <c r="H210" s="7">
        <f t="shared" si="3"/>
        <v>12931</v>
      </c>
      <c r="I210" s="7">
        <v>2068.96</v>
      </c>
    </row>
    <row r="211" spans="1:9">
      <c r="A211" t="s">
        <v>525</v>
      </c>
      <c r="B211" s="1">
        <v>42151</v>
      </c>
      <c r="C211" t="s">
        <v>3188</v>
      </c>
      <c r="D211">
        <v>1</v>
      </c>
      <c r="E211" t="s">
        <v>520</v>
      </c>
      <c r="F211" t="s">
        <v>834</v>
      </c>
      <c r="G211" t="s">
        <v>520</v>
      </c>
      <c r="H211" s="7">
        <f t="shared" si="3"/>
        <v>4827.5625</v>
      </c>
      <c r="I211" s="7">
        <v>772.41</v>
      </c>
    </row>
    <row r="212" spans="1:9">
      <c r="A212" t="s">
        <v>3066</v>
      </c>
      <c r="B212" s="1">
        <v>42155</v>
      </c>
      <c r="C212" t="s">
        <v>3067</v>
      </c>
      <c r="D212">
        <v>1</v>
      </c>
      <c r="E212" t="s">
        <v>2499</v>
      </c>
      <c r="F212" s="25" t="s">
        <v>700</v>
      </c>
      <c r="G212" t="s">
        <v>2499</v>
      </c>
      <c r="H212" s="7">
        <f t="shared" si="3"/>
        <v>259.5</v>
      </c>
      <c r="I212" s="7">
        <v>41.52</v>
      </c>
    </row>
    <row r="213" spans="1:9">
      <c r="A213" t="s">
        <v>1352</v>
      </c>
      <c r="B213" s="1">
        <v>42136</v>
      </c>
      <c r="C213" t="s">
        <v>2117</v>
      </c>
      <c r="D213">
        <v>2</v>
      </c>
      <c r="E213" t="s">
        <v>472</v>
      </c>
      <c r="F213" t="s">
        <v>836</v>
      </c>
      <c r="G213" t="s">
        <v>472</v>
      </c>
      <c r="H213" s="7">
        <f t="shared" si="3"/>
        <v>6122.375</v>
      </c>
      <c r="I213" s="7">
        <v>979.58</v>
      </c>
    </row>
    <row r="214" spans="1:9">
      <c r="A214" t="s">
        <v>1181</v>
      </c>
      <c r="B214" s="1">
        <v>42155</v>
      </c>
      <c r="C214" t="s">
        <v>2973</v>
      </c>
      <c r="D214">
        <v>1</v>
      </c>
      <c r="E214" t="s">
        <v>2709</v>
      </c>
      <c r="F214" t="s">
        <v>929</v>
      </c>
      <c r="G214" t="s">
        <v>2709</v>
      </c>
      <c r="H214" s="7">
        <f t="shared" si="3"/>
        <v>69</v>
      </c>
      <c r="I214" s="7">
        <v>11.04</v>
      </c>
    </row>
    <row r="215" spans="1:9">
      <c r="A215" t="s">
        <v>3011</v>
      </c>
      <c r="B215" s="1">
        <v>42155</v>
      </c>
      <c r="C215" t="s">
        <v>3012</v>
      </c>
      <c r="D215">
        <v>1</v>
      </c>
      <c r="E215" t="s">
        <v>2709</v>
      </c>
      <c r="F215" t="s">
        <v>929</v>
      </c>
      <c r="G215" t="s">
        <v>2709</v>
      </c>
      <c r="H215" s="7">
        <f t="shared" si="3"/>
        <v>69</v>
      </c>
      <c r="I215" s="7">
        <v>11.04</v>
      </c>
    </row>
    <row r="216" spans="1:9">
      <c r="A216" t="s">
        <v>1262</v>
      </c>
      <c r="B216" s="1">
        <v>42155</v>
      </c>
      <c r="C216" t="s">
        <v>3073</v>
      </c>
      <c r="D216">
        <v>1</v>
      </c>
      <c r="E216" t="s">
        <v>2709</v>
      </c>
      <c r="F216" t="s">
        <v>929</v>
      </c>
      <c r="G216" t="s">
        <v>2709</v>
      </c>
      <c r="H216" s="7">
        <f t="shared" si="3"/>
        <v>69</v>
      </c>
      <c r="I216" s="7">
        <v>11.04</v>
      </c>
    </row>
    <row r="217" spans="1:9">
      <c r="A217" t="s">
        <v>1199</v>
      </c>
      <c r="B217" s="1">
        <v>42155</v>
      </c>
      <c r="C217" t="s">
        <v>2989</v>
      </c>
      <c r="D217">
        <v>1</v>
      </c>
      <c r="E217" t="s">
        <v>2991</v>
      </c>
      <c r="F217" t="s">
        <v>929</v>
      </c>
      <c r="G217" t="s">
        <v>2991</v>
      </c>
      <c r="H217" s="7">
        <f t="shared" si="3"/>
        <v>69</v>
      </c>
      <c r="I217" s="7">
        <v>11.04</v>
      </c>
    </row>
    <row r="218" spans="1:9">
      <c r="A218" t="s">
        <v>1187</v>
      </c>
      <c r="B218" s="1">
        <v>42155</v>
      </c>
      <c r="C218" t="s">
        <v>2977</v>
      </c>
      <c r="D218">
        <v>1</v>
      </c>
      <c r="E218" t="s">
        <v>283</v>
      </c>
      <c r="F218" t="s">
        <v>768</v>
      </c>
      <c r="G218" t="s">
        <v>283</v>
      </c>
      <c r="H218" s="7">
        <f t="shared" si="3"/>
        <v>358.5</v>
      </c>
      <c r="I218" s="7">
        <v>57.36</v>
      </c>
    </row>
    <row r="219" spans="1:9">
      <c r="A219" t="s">
        <v>1216</v>
      </c>
      <c r="B219" s="1">
        <v>42155</v>
      </c>
      <c r="C219" t="s">
        <v>3005</v>
      </c>
      <c r="D219">
        <v>1</v>
      </c>
      <c r="E219" t="s">
        <v>283</v>
      </c>
      <c r="F219" t="s">
        <v>768</v>
      </c>
      <c r="G219" t="s">
        <v>283</v>
      </c>
      <c r="H219" s="7">
        <f t="shared" si="3"/>
        <v>358.5</v>
      </c>
      <c r="I219" s="7">
        <v>57.36</v>
      </c>
    </row>
    <row r="220" spans="1:9">
      <c r="A220" t="s">
        <v>2061</v>
      </c>
      <c r="B220" s="1">
        <v>42136</v>
      </c>
      <c r="C220" t="s">
        <v>3138</v>
      </c>
      <c r="D220">
        <v>1</v>
      </c>
      <c r="E220" t="s">
        <v>467</v>
      </c>
      <c r="F220" t="s">
        <v>838</v>
      </c>
      <c r="G220" t="s">
        <v>467</v>
      </c>
      <c r="H220" s="7">
        <f t="shared" si="3"/>
        <v>4031.25</v>
      </c>
      <c r="I220" s="7">
        <v>645</v>
      </c>
    </row>
    <row r="221" spans="1:9">
      <c r="A221" t="s">
        <v>536</v>
      </c>
      <c r="B221" s="1">
        <v>42151</v>
      </c>
      <c r="C221" t="s">
        <v>3191</v>
      </c>
      <c r="D221">
        <v>1</v>
      </c>
      <c r="E221" t="s">
        <v>467</v>
      </c>
      <c r="F221" t="s">
        <v>838</v>
      </c>
      <c r="G221" t="s">
        <v>467</v>
      </c>
      <c r="H221" s="7">
        <f t="shared" si="3"/>
        <v>3150</v>
      </c>
      <c r="I221" s="7">
        <v>504</v>
      </c>
    </row>
    <row r="222" spans="1:9">
      <c r="A222" t="s">
        <v>504</v>
      </c>
      <c r="B222" s="1">
        <v>42146</v>
      </c>
      <c r="C222" t="s">
        <v>3182</v>
      </c>
      <c r="D222">
        <v>1</v>
      </c>
      <c r="E222" t="s">
        <v>3183</v>
      </c>
      <c r="F222" t="s">
        <v>3244</v>
      </c>
      <c r="G222" t="s">
        <v>3183</v>
      </c>
      <c r="H222" s="7">
        <f t="shared" si="3"/>
        <v>6066.3125</v>
      </c>
      <c r="I222" s="7">
        <v>970.61</v>
      </c>
    </row>
    <row r="223" spans="1:9">
      <c r="A223" t="s">
        <v>1257</v>
      </c>
      <c r="B223" s="1">
        <v>42155</v>
      </c>
      <c r="C223" t="s">
        <v>3063</v>
      </c>
      <c r="D223">
        <v>1</v>
      </c>
      <c r="E223" t="s">
        <v>2420</v>
      </c>
      <c r="F223" t="s">
        <v>837</v>
      </c>
      <c r="G223" t="s">
        <v>2420</v>
      </c>
      <c r="H223" s="7">
        <f t="shared" si="3"/>
        <v>355.3125</v>
      </c>
      <c r="I223" s="7">
        <v>56.85</v>
      </c>
    </row>
    <row r="224" spans="1:9">
      <c r="A224" t="s">
        <v>447</v>
      </c>
      <c r="B224" s="1">
        <v>42136</v>
      </c>
      <c r="C224" t="s">
        <v>2129</v>
      </c>
      <c r="D224">
        <v>2</v>
      </c>
      <c r="E224" t="s">
        <v>1349</v>
      </c>
      <c r="F224" t="s">
        <v>1588</v>
      </c>
      <c r="G224" t="s">
        <v>1349</v>
      </c>
      <c r="H224" s="7">
        <f t="shared" si="3"/>
        <v>9500</v>
      </c>
      <c r="I224" s="7">
        <v>1520</v>
      </c>
    </row>
    <row r="225" spans="1:9">
      <c r="A225" t="s">
        <v>533</v>
      </c>
      <c r="B225" s="1">
        <v>42151</v>
      </c>
      <c r="C225" t="s">
        <v>3190</v>
      </c>
      <c r="D225">
        <v>1</v>
      </c>
      <c r="E225" t="s">
        <v>1341</v>
      </c>
      <c r="F225" t="s">
        <v>1589</v>
      </c>
      <c r="G225" t="s">
        <v>1341</v>
      </c>
      <c r="H225" s="7">
        <f t="shared" si="3"/>
        <v>1720</v>
      </c>
      <c r="I225" s="7">
        <v>275.2</v>
      </c>
    </row>
    <row r="226" spans="1:9">
      <c r="A226" t="s">
        <v>2058</v>
      </c>
      <c r="B226" s="1">
        <v>42136</v>
      </c>
      <c r="C226" t="s">
        <v>2126</v>
      </c>
      <c r="D226">
        <v>2</v>
      </c>
      <c r="E226" t="s">
        <v>665</v>
      </c>
      <c r="F226" t="s">
        <v>844</v>
      </c>
      <c r="G226" t="s">
        <v>665</v>
      </c>
      <c r="H226" s="7">
        <f t="shared" si="3"/>
        <v>900</v>
      </c>
      <c r="I226" s="7">
        <v>144</v>
      </c>
    </row>
    <row r="227" spans="1:9">
      <c r="A227" t="s">
        <v>1385</v>
      </c>
      <c r="B227" s="1">
        <v>42143</v>
      </c>
      <c r="C227" t="s">
        <v>2160</v>
      </c>
      <c r="D227">
        <v>2</v>
      </c>
      <c r="E227" t="s">
        <v>665</v>
      </c>
      <c r="F227" t="s">
        <v>844</v>
      </c>
      <c r="G227" t="s">
        <v>665</v>
      </c>
      <c r="H227" s="7">
        <f t="shared" si="3"/>
        <v>2000</v>
      </c>
      <c r="I227" s="7">
        <v>320</v>
      </c>
    </row>
    <row r="228" spans="1:9">
      <c r="A228" t="s">
        <v>2106</v>
      </c>
      <c r="B228" s="1">
        <v>42142</v>
      </c>
      <c r="C228" t="s">
        <v>3161</v>
      </c>
      <c r="D228">
        <v>1</v>
      </c>
      <c r="E228" t="s">
        <v>532</v>
      </c>
      <c r="F228" t="s">
        <v>845</v>
      </c>
      <c r="G228" t="s">
        <v>532</v>
      </c>
      <c r="H228" s="7">
        <f t="shared" si="3"/>
        <v>107758.625</v>
      </c>
      <c r="I228" s="7">
        <v>17241.38</v>
      </c>
    </row>
    <row r="229" spans="1:9">
      <c r="A229" t="s">
        <v>2980</v>
      </c>
      <c r="B229" s="1">
        <v>42155</v>
      </c>
      <c r="C229" t="s">
        <v>2981</v>
      </c>
      <c r="D229">
        <v>1</v>
      </c>
      <c r="E229" t="s">
        <v>2983</v>
      </c>
      <c r="F229" t="s">
        <v>3232</v>
      </c>
      <c r="G229" t="s">
        <v>2983</v>
      </c>
      <c r="H229" s="7">
        <f t="shared" si="3"/>
        <v>793.625</v>
      </c>
      <c r="I229" s="7">
        <v>126.98</v>
      </c>
    </row>
    <row r="230" spans="1:9">
      <c r="A230" t="s">
        <v>3094</v>
      </c>
      <c r="B230" s="1">
        <v>42151</v>
      </c>
      <c r="C230" t="s">
        <v>3095</v>
      </c>
      <c r="D230">
        <v>1</v>
      </c>
      <c r="E230" t="s">
        <v>3096</v>
      </c>
      <c r="F230" t="s">
        <v>790</v>
      </c>
      <c r="G230" t="s">
        <v>3096</v>
      </c>
      <c r="H230" s="7">
        <f t="shared" si="3"/>
        <v>-1191.625</v>
      </c>
      <c r="I230" s="7">
        <v>-190.66</v>
      </c>
    </row>
    <row r="231" spans="1:9">
      <c r="A231" t="s">
        <v>1431</v>
      </c>
      <c r="B231" s="1">
        <v>42151</v>
      </c>
      <c r="C231" t="s">
        <v>3192</v>
      </c>
      <c r="D231">
        <v>1</v>
      </c>
      <c r="E231" t="s">
        <v>3193</v>
      </c>
      <c r="F231" s="139" t="s">
        <v>3705</v>
      </c>
      <c r="G231" t="s">
        <v>3193</v>
      </c>
      <c r="H231" s="7">
        <f t="shared" si="3"/>
        <v>194</v>
      </c>
      <c r="I231" s="7">
        <v>31.04</v>
      </c>
    </row>
    <row r="232" spans="1:9">
      <c r="A232" t="s">
        <v>1246</v>
      </c>
      <c r="B232" s="1">
        <v>42155</v>
      </c>
      <c r="C232" t="s">
        <v>3032</v>
      </c>
      <c r="D232">
        <v>1</v>
      </c>
      <c r="E232" t="s">
        <v>2450</v>
      </c>
      <c r="F232" t="s">
        <v>847</v>
      </c>
      <c r="G232" t="s">
        <v>2450</v>
      </c>
      <c r="H232" s="7">
        <f t="shared" si="3"/>
        <v>41.125</v>
      </c>
      <c r="I232" s="7">
        <v>6.58</v>
      </c>
    </row>
    <row r="233" spans="1:9">
      <c r="A233" t="s">
        <v>3042</v>
      </c>
      <c r="B233" s="1">
        <v>42155</v>
      </c>
      <c r="C233" t="s">
        <v>3043</v>
      </c>
      <c r="D233">
        <v>1</v>
      </c>
      <c r="E233" t="s">
        <v>2450</v>
      </c>
      <c r="F233" t="s">
        <v>847</v>
      </c>
      <c r="G233" t="s">
        <v>2450</v>
      </c>
      <c r="H233" s="7">
        <f t="shared" si="3"/>
        <v>86.0625</v>
      </c>
      <c r="I233" s="7">
        <v>13.77</v>
      </c>
    </row>
    <row r="234" spans="1:9">
      <c r="A234" t="s">
        <v>2924</v>
      </c>
      <c r="B234" s="1">
        <v>42155</v>
      </c>
      <c r="C234" t="s">
        <v>2925</v>
      </c>
      <c r="D234">
        <v>1</v>
      </c>
      <c r="E234" t="s">
        <v>2450</v>
      </c>
      <c r="F234" t="s">
        <v>847</v>
      </c>
      <c r="G234" t="s">
        <v>2450</v>
      </c>
      <c r="H234" s="7">
        <f t="shared" si="3"/>
        <v>532</v>
      </c>
      <c r="I234" s="7">
        <v>85.12</v>
      </c>
    </row>
    <row r="235" spans="1:9">
      <c r="A235" t="s">
        <v>1253</v>
      </c>
      <c r="B235" s="1">
        <v>42155</v>
      </c>
      <c r="C235" t="s">
        <v>3041</v>
      </c>
      <c r="D235">
        <v>1</v>
      </c>
      <c r="E235" t="s">
        <v>1860</v>
      </c>
      <c r="F235" t="s">
        <v>847</v>
      </c>
      <c r="G235" t="s">
        <v>1860</v>
      </c>
      <c r="H235" s="7">
        <f t="shared" si="3"/>
        <v>33.375</v>
      </c>
      <c r="I235" s="7">
        <v>5.34</v>
      </c>
    </row>
    <row r="236" spans="1:9">
      <c r="A236" t="s">
        <v>1819</v>
      </c>
      <c r="B236" s="1">
        <v>42155</v>
      </c>
      <c r="C236" t="s">
        <v>3015</v>
      </c>
      <c r="D236">
        <v>1</v>
      </c>
      <c r="E236" t="s">
        <v>3016</v>
      </c>
      <c r="F236" t="s">
        <v>847</v>
      </c>
      <c r="G236" t="s">
        <v>3016</v>
      </c>
      <c r="H236" s="7">
        <f t="shared" si="3"/>
        <v>644.8125</v>
      </c>
      <c r="I236" s="7">
        <v>103.17</v>
      </c>
    </row>
    <row r="237" spans="1:9">
      <c r="A237" t="s">
        <v>2615</v>
      </c>
      <c r="B237" s="1">
        <v>42136</v>
      </c>
      <c r="C237" t="s">
        <v>3139</v>
      </c>
      <c r="D237">
        <v>1</v>
      </c>
      <c r="E237" t="s">
        <v>449</v>
      </c>
      <c r="F237" t="s">
        <v>848</v>
      </c>
      <c r="G237" t="s">
        <v>449</v>
      </c>
      <c r="H237" s="7">
        <f t="shared" si="3"/>
        <v>2800</v>
      </c>
      <c r="I237" s="7">
        <v>448</v>
      </c>
    </row>
    <row r="238" spans="1:9">
      <c r="A238" t="s">
        <v>3119</v>
      </c>
      <c r="B238" s="1">
        <v>42131</v>
      </c>
      <c r="C238" t="s">
        <v>3120</v>
      </c>
      <c r="D238">
        <v>1</v>
      </c>
      <c r="E238" t="s">
        <v>645</v>
      </c>
      <c r="F238" t="s">
        <v>769</v>
      </c>
      <c r="G238" t="s">
        <v>645</v>
      </c>
      <c r="H238" s="7">
        <f t="shared" si="3"/>
        <v>1807.1249999999998</v>
      </c>
      <c r="I238" s="7">
        <v>289.14</v>
      </c>
    </row>
    <row r="239" spans="1:9">
      <c r="A239" t="s">
        <v>450</v>
      </c>
      <c r="B239" s="1">
        <v>42136</v>
      </c>
      <c r="C239" t="s">
        <v>3144</v>
      </c>
      <c r="D239">
        <v>1</v>
      </c>
      <c r="E239" t="s">
        <v>645</v>
      </c>
      <c r="F239" t="s">
        <v>769</v>
      </c>
      <c r="G239" t="s">
        <v>645</v>
      </c>
      <c r="H239" s="7">
        <f t="shared" si="3"/>
        <v>3269.0624999999995</v>
      </c>
      <c r="I239" s="7">
        <v>523.04999999999995</v>
      </c>
    </row>
    <row r="240" spans="1:9">
      <c r="A240" t="s">
        <v>1434</v>
      </c>
      <c r="B240" s="1">
        <v>42151</v>
      </c>
      <c r="C240" t="s">
        <v>3195</v>
      </c>
      <c r="D240">
        <v>1</v>
      </c>
      <c r="E240" t="s">
        <v>645</v>
      </c>
      <c r="F240" t="s">
        <v>769</v>
      </c>
      <c r="G240" t="s">
        <v>645</v>
      </c>
      <c r="H240" s="7">
        <f t="shared" si="3"/>
        <v>4234.125</v>
      </c>
      <c r="I240" s="7">
        <v>677.46</v>
      </c>
    </row>
    <row r="241" spans="1:9">
      <c r="A241" t="s">
        <v>1256</v>
      </c>
      <c r="B241" s="1">
        <v>42155</v>
      </c>
      <c r="C241" t="s">
        <v>3062</v>
      </c>
      <c r="D241">
        <v>1</v>
      </c>
      <c r="E241" t="s">
        <v>321</v>
      </c>
      <c r="F241" t="s">
        <v>769</v>
      </c>
      <c r="G241" t="s">
        <v>321</v>
      </c>
      <c r="H241" s="7">
        <f t="shared" si="3"/>
        <v>58.625000000000007</v>
      </c>
      <c r="I241" s="7">
        <v>9.3800000000000008</v>
      </c>
    </row>
    <row r="242" spans="1:9">
      <c r="A242" t="s">
        <v>2922</v>
      </c>
      <c r="B242" s="1">
        <v>42155</v>
      </c>
      <c r="C242" t="s">
        <v>2923</v>
      </c>
      <c r="D242">
        <v>1</v>
      </c>
      <c r="E242" t="s">
        <v>321</v>
      </c>
      <c r="F242" t="s">
        <v>769</v>
      </c>
      <c r="G242" t="s">
        <v>321</v>
      </c>
      <c r="H242" s="7">
        <f t="shared" si="3"/>
        <v>387.0625</v>
      </c>
      <c r="I242" s="7">
        <v>61.93</v>
      </c>
    </row>
    <row r="243" spans="1:9">
      <c r="A243" t="s">
        <v>2980</v>
      </c>
      <c r="B243" s="1">
        <v>42155</v>
      </c>
      <c r="C243" t="s">
        <v>2981</v>
      </c>
      <c r="D243">
        <v>1</v>
      </c>
      <c r="E243" t="s">
        <v>916</v>
      </c>
      <c r="F243" t="s">
        <v>915</v>
      </c>
      <c r="G243" t="s">
        <v>916</v>
      </c>
      <c r="H243" s="7">
        <f t="shared" si="3"/>
        <v>862.0625</v>
      </c>
      <c r="I243" s="7">
        <v>137.93</v>
      </c>
    </row>
    <row r="244" spans="1:9">
      <c r="A244" t="s">
        <v>1219</v>
      </c>
      <c r="B244" s="1">
        <v>42155</v>
      </c>
      <c r="C244" t="s">
        <v>3006</v>
      </c>
      <c r="D244">
        <v>1</v>
      </c>
      <c r="E244" t="s">
        <v>916</v>
      </c>
      <c r="F244" t="s">
        <v>915</v>
      </c>
      <c r="G244" t="s">
        <v>916</v>
      </c>
      <c r="H244" s="7">
        <f t="shared" si="3"/>
        <v>737.0625</v>
      </c>
      <c r="I244" s="7">
        <v>117.93</v>
      </c>
    </row>
    <row r="245" spans="1:9">
      <c r="A245" t="s">
        <v>1204</v>
      </c>
      <c r="B245" s="1">
        <v>42155</v>
      </c>
      <c r="C245" t="s">
        <v>2998</v>
      </c>
      <c r="D245">
        <v>1</v>
      </c>
      <c r="E245" t="s">
        <v>1276</v>
      </c>
      <c r="F245" t="s">
        <v>1592</v>
      </c>
      <c r="G245" t="s">
        <v>1276</v>
      </c>
      <c r="H245" s="7">
        <f t="shared" si="3"/>
        <v>511.18750000000006</v>
      </c>
      <c r="I245" s="7">
        <v>81.790000000000006</v>
      </c>
    </row>
    <row r="246" spans="1:9">
      <c r="A246" t="s">
        <v>1258</v>
      </c>
      <c r="B246" s="1">
        <v>42155</v>
      </c>
      <c r="C246" t="s">
        <v>3064</v>
      </c>
      <c r="D246">
        <v>1</v>
      </c>
      <c r="E246" t="s">
        <v>3065</v>
      </c>
      <c r="F246" t="s">
        <v>3233</v>
      </c>
      <c r="G246" t="s">
        <v>3065</v>
      </c>
      <c r="H246" s="7">
        <f t="shared" si="3"/>
        <v>503.24999999999994</v>
      </c>
      <c r="I246" s="7">
        <v>80.52</v>
      </c>
    </row>
    <row r="247" spans="1:9">
      <c r="A247" t="s">
        <v>1699</v>
      </c>
      <c r="B247" s="1">
        <v>42144</v>
      </c>
      <c r="C247" t="s">
        <v>2837</v>
      </c>
      <c r="D247">
        <v>1</v>
      </c>
      <c r="E247" t="s">
        <v>2838</v>
      </c>
      <c r="F247" t="s">
        <v>965</v>
      </c>
      <c r="G247" t="s">
        <v>2838</v>
      </c>
      <c r="H247" s="7">
        <f t="shared" si="3"/>
        <v>191435.3125</v>
      </c>
      <c r="I247" s="7">
        <v>30629.65</v>
      </c>
    </row>
    <row r="248" spans="1:9">
      <c r="A248" t="s">
        <v>1477</v>
      </c>
      <c r="B248" s="1">
        <v>42154</v>
      </c>
      <c r="C248" t="s">
        <v>3206</v>
      </c>
      <c r="D248">
        <v>1</v>
      </c>
      <c r="E248" t="s">
        <v>3207</v>
      </c>
      <c r="F248" t="s">
        <v>867</v>
      </c>
      <c r="G248" t="s">
        <v>3207</v>
      </c>
      <c r="H248" s="7">
        <f t="shared" si="3"/>
        <v>54275.812499999993</v>
      </c>
      <c r="I248" s="7">
        <v>8684.1299999999992</v>
      </c>
    </row>
    <row r="249" spans="1:9">
      <c r="A249" t="s">
        <v>1423</v>
      </c>
      <c r="B249" s="1">
        <v>42151</v>
      </c>
      <c r="C249" t="s">
        <v>2164</v>
      </c>
      <c r="D249">
        <v>2</v>
      </c>
      <c r="E249" t="s">
        <v>1358</v>
      </c>
      <c r="F249" t="s">
        <v>1593</v>
      </c>
      <c r="G249" t="s">
        <v>1358</v>
      </c>
      <c r="H249" s="7">
        <f t="shared" si="3"/>
        <v>350</v>
      </c>
      <c r="I249" s="7">
        <v>56</v>
      </c>
    </row>
    <row r="250" spans="1:9">
      <c r="A250" t="s">
        <v>1219</v>
      </c>
      <c r="B250" s="1">
        <v>42155</v>
      </c>
      <c r="C250" t="s">
        <v>3006</v>
      </c>
      <c r="D250">
        <v>1</v>
      </c>
      <c r="E250" t="s">
        <v>3008</v>
      </c>
      <c r="F250" t="s">
        <v>3234</v>
      </c>
      <c r="G250" t="s">
        <v>3008</v>
      </c>
      <c r="H250" s="7">
        <f t="shared" si="3"/>
        <v>335.5</v>
      </c>
      <c r="I250" s="7">
        <v>53.68</v>
      </c>
    </row>
    <row r="251" spans="1:9">
      <c r="A251" t="s">
        <v>1219</v>
      </c>
      <c r="B251" s="1">
        <v>42155</v>
      </c>
      <c r="C251" t="s">
        <v>3006</v>
      </c>
      <c r="D251">
        <v>1</v>
      </c>
      <c r="E251" t="s">
        <v>920</v>
      </c>
      <c r="F251" t="s">
        <v>919</v>
      </c>
      <c r="G251" t="s">
        <v>920</v>
      </c>
      <c r="H251" s="7">
        <f t="shared" si="3"/>
        <v>838.74999999999989</v>
      </c>
      <c r="I251" s="7">
        <v>134.19999999999999</v>
      </c>
    </row>
    <row r="252" spans="1:9">
      <c r="A252" t="s">
        <v>3034</v>
      </c>
      <c r="B252" s="1">
        <v>42155</v>
      </c>
      <c r="C252" t="s">
        <v>3035</v>
      </c>
      <c r="D252">
        <v>1</v>
      </c>
      <c r="E252" t="s">
        <v>1152</v>
      </c>
      <c r="F252" t="s">
        <v>1594</v>
      </c>
      <c r="G252" t="s">
        <v>1152</v>
      </c>
      <c r="H252" s="7">
        <f t="shared" si="3"/>
        <v>206.875</v>
      </c>
      <c r="I252" s="7">
        <v>33.1</v>
      </c>
    </row>
    <row r="253" spans="1:9">
      <c r="A253" t="s">
        <v>1156</v>
      </c>
      <c r="B253" s="1">
        <v>42155</v>
      </c>
      <c r="C253" t="s">
        <v>2956</v>
      </c>
      <c r="D253">
        <v>1</v>
      </c>
      <c r="E253" t="s">
        <v>1200</v>
      </c>
      <c r="F253" t="s">
        <v>1595</v>
      </c>
      <c r="G253" t="s">
        <v>1200</v>
      </c>
      <c r="H253" s="7">
        <f t="shared" si="3"/>
        <v>103.4375</v>
      </c>
      <c r="I253" s="7">
        <v>16.55</v>
      </c>
    </row>
    <row r="254" spans="1:9">
      <c r="A254" t="s">
        <v>2980</v>
      </c>
      <c r="B254" s="1">
        <v>42155</v>
      </c>
      <c r="C254" t="s">
        <v>2981</v>
      </c>
      <c r="D254">
        <v>1</v>
      </c>
      <c r="E254" t="s">
        <v>2984</v>
      </c>
      <c r="F254" t="s">
        <v>917</v>
      </c>
      <c r="G254" t="s">
        <v>2984</v>
      </c>
      <c r="H254" s="7">
        <f t="shared" si="3"/>
        <v>108.62499999999999</v>
      </c>
      <c r="I254" s="7">
        <v>17.38</v>
      </c>
    </row>
    <row r="255" spans="1:9">
      <c r="A255" t="s">
        <v>1191</v>
      </c>
      <c r="B255" s="1">
        <v>42155</v>
      </c>
      <c r="C255" t="s">
        <v>2985</v>
      </c>
      <c r="D255">
        <v>1</v>
      </c>
      <c r="E255" t="s">
        <v>333</v>
      </c>
      <c r="F255" t="s">
        <v>852</v>
      </c>
      <c r="G255" t="s">
        <v>333</v>
      </c>
      <c r="H255" s="7">
        <f t="shared" si="3"/>
        <v>64.625</v>
      </c>
      <c r="I255" s="7">
        <v>10.34</v>
      </c>
    </row>
    <row r="256" spans="1:9">
      <c r="A256" t="s">
        <v>1242</v>
      </c>
      <c r="B256" s="1">
        <v>42155</v>
      </c>
      <c r="C256" t="s">
        <v>3027</v>
      </c>
      <c r="D256">
        <v>1</v>
      </c>
      <c r="E256" t="s">
        <v>333</v>
      </c>
      <c r="F256" t="s">
        <v>852</v>
      </c>
      <c r="G256" t="s">
        <v>333</v>
      </c>
      <c r="H256" s="7">
        <f t="shared" si="3"/>
        <v>52.5625</v>
      </c>
      <c r="I256" s="7">
        <v>8.41</v>
      </c>
    </row>
    <row r="257" spans="1:9">
      <c r="A257" t="s">
        <v>3086</v>
      </c>
      <c r="B257" s="1">
        <v>42128</v>
      </c>
      <c r="C257" t="s">
        <v>3087</v>
      </c>
      <c r="D257">
        <v>1</v>
      </c>
      <c r="E257" t="s">
        <v>3088</v>
      </c>
      <c r="F257" s="133" t="s">
        <v>799</v>
      </c>
      <c r="G257" t="s">
        <v>3088</v>
      </c>
      <c r="H257" s="7">
        <f t="shared" si="3"/>
        <v>7500</v>
      </c>
      <c r="I257" s="7">
        <v>1200</v>
      </c>
    </row>
    <row r="258" spans="1:9">
      <c r="A258" t="s">
        <v>196</v>
      </c>
      <c r="B258" s="1">
        <v>42155</v>
      </c>
      <c r="C258" t="s">
        <v>3028</v>
      </c>
      <c r="D258">
        <v>1</v>
      </c>
      <c r="E258" t="s">
        <v>3029</v>
      </c>
      <c r="F258" t="s">
        <v>3242</v>
      </c>
      <c r="G258" t="s">
        <v>3029</v>
      </c>
      <c r="H258" s="7">
        <f t="shared" si="3"/>
        <v>64.6875</v>
      </c>
      <c r="I258" s="7">
        <v>10.35</v>
      </c>
    </row>
    <row r="259" spans="1:9">
      <c r="A259" t="s">
        <v>3134</v>
      </c>
      <c r="B259" s="1">
        <v>42136</v>
      </c>
      <c r="C259" t="s">
        <v>2115</v>
      </c>
      <c r="D259">
        <v>2</v>
      </c>
      <c r="E259" t="s">
        <v>2105</v>
      </c>
      <c r="F259" t="s">
        <v>2222</v>
      </c>
      <c r="G259" t="s">
        <v>2105</v>
      </c>
      <c r="H259" s="7">
        <f t="shared" si="3"/>
        <v>2100</v>
      </c>
      <c r="I259" s="7">
        <v>336</v>
      </c>
    </row>
    <row r="260" spans="1:9">
      <c r="A260" t="s">
        <v>1164</v>
      </c>
      <c r="B260" s="1">
        <v>42155</v>
      </c>
      <c r="C260" t="s">
        <v>2961</v>
      </c>
      <c r="D260">
        <v>1</v>
      </c>
      <c r="E260" t="s">
        <v>2962</v>
      </c>
      <c r="F260" t="s">
        <v>2222</v>
      </c>
      <c r="G260" t="s">
        <v>2962</v>
      </c>
      <c r="H260" s="7">
        <f t="shared" si="3"/>
        <v>250</v>
      </c>
      <c r="I260" s="7">
        <v>40</v>
      </c>
    </row>
    <row r="261" spans="1:9">
      <c r="A261" t="s">
        <v>1145</v>
      </c>
      <c r="B261" s="1">
        <v>42155</v>
      </c>
      <c r="C261" t="s">
        <v>2948</v>
      </c>
      <c r="D261">
        <v>1</v>
      </c>
      <c r="E261" t="s">
        <v>315</v>
      </c>
      <c r="F261" t="s">
        <v>857</v>
      </c>
      <c r="G261" t="s">
        <v>315</v>
      </c>
      <c r="H261" s="7">
        <f t="shared" si="3"/>
        <v>60.75</v>
      </c>
      <c r="I261" s="7">
        <v>9.7200000000000006</v>
      </c>
    </row>
    <row r="262" spans="1:9">
      <c r="A262" t="s">
        <v>3109</v>
      </c>
      <c r="B262" s="1">
        <v>42131</v>
      </c>
      <c r="C262" t="s">
        <v>3110</v>
      </c>
      <c r="D262">
        <v>2</v>
      </c>
      <c r="E262" t="s">
        <v>457</v>
      </c>
      <c r="F262" t="s">
        <v>858</v>
      </c>
      <c r="G262" t="s">
        <v>457</v>
      </c>
      <c r="H262" s="7">
        <f t="shared" si="3"/>
        <v>43600</v>
      </c>
      <c r="I262" s="7">
        <v>6976</v>
      </c>
    </row>
    <row r="263" spans="1:9">
      <c r="A263" t="s">
        <v>2090</v>
      </c>
      <c r="B263" s="1">
        <v>42139</v>
      </c>
      <c r="C263" t="s">
        <v>3156</v>
      </c>
      <c r="D263">
        <v>2</v>
      </c>
      <c r="E263" t="s">
        <v>457</v>
      </c>
      <c r="F263" t="s">
        <v>858</v>
      </c>
      <c r="G263" t="s">
        <v>457</v>
      </c>
      <c r="H263" s="7">
        <f t="shared" si="3"/>
        <v>6800</v>
      </c>
      <c r="I263" s="7">
        <v>1088</v>
      </c>
    </row>
    <row r="264" spans="1:9">
      <c r="A264" t="s">
        <v>2655</v>
      </c>
      <c r="B264" s="1">
        <v>42146</v>
      </c>
      <c r="C264" t="s">
        <v>3177</v>
      </c>
      <c r="D264">
        <v>2</v>
      </c>
      <c r="E264" t="s">
        <v>457</v>
      </c>
      <c r="F264" t="s">
        <v>858</v>
      </c>
      <c r="G264" t="s">
        <v>457</v>
      </c>
      <c r="H264" s="7">
        <f t="shared" ref="H264:H327" si="4">+I264/0.16</f>
        <v>6850</v>
      </c>
      <c r="I264" s="7">
        <v>1096</v>
      </c>
    </row>
    <row r="265" spans="1:9">
      <c r="A265" t="s">
        <v>558</v>
      </c>
      <c r="B265" s="1">
        <v>42152</v>
      </c>
      <c r="C265" t="s">
        <v>3199</v>
      </c>
      <c r="D265">
        <v>2</v>
      </c>
      <c r="E265" t="s">
        <v>457</v>
      </c>
      <c r="F265" t="s">
        <v>858</v>
      </c>
      <c r="G265" t="s">
        <v>457</v>
      </c>
      <c r="H265" s="7">
        <f t="shared" si="4"/>
        <v>26400</v>
      </c>
      <c r="I265" s="7">
        <v>4224</v>
      </c>
    </row>
    <row r="266" spans="1:9">
      <c r="A266" t="s">
        <v>1238</v>
      </c>
      <c r="B266" s="1">
        <v>42155</v>
      </c>
      <c r="C266" t="s">
        <v>3023</v>
      </c>
      <c r="D266">
        <v>1</v>
      </c>
      <c r="E266" t="s">
        <v>3024</v>
      </c>
      <c r="F266" t="s">
        <v>2189</v>
      </c>
      <c r="G266" t="s">
        <v>3024</v>
      </c>
      <c r="H266" s="7">
        <f t="shared" si="4"/>
        <v>887.93749999999989</v>
      </c>
      <c r="I266" s="7">
        <v>142.07</v>
      </c>
    </row>
    <row r="267" spans="1:9">
      <c r="A267" t="s">
        <v>1247</v>
      </c>
      <c r="B267" s="1">
        <v>42155</v>
      </c>
      <c r="C267" t="s">
        <v>3033</v>
      </c>
      <c r="D267">
        <v>1</v>
      </c>
      <c r="E267" t="s">
        <v>3024</v>
      </c>
      <c r="F267" t="s">
        <v>2189</v>
      </c>
      <c r="G267" t="s">
        <v>3024</v>
      </c>
      <c r="H267" s="7">
        <f t="shared" si="4"/>
        <v>814.625</v>
      </c>
      <c r="I267" s="7">
        <v>130.34</v>
      </c>
    </row>
    <row r="268" spans="1:9">
      <c r="A268" t="s">
        <v>2658</v>
      </c>
      <c r="B268" s="1">
        <v>42146</v>
      </c>
      <c r="C268" t="s">
        <v>3178</v>
      </c>
      <c r="D268">
        <v>1</v>
      </c>
      <c r="E268" t="s">
        <v>538</v>
      </c>
      <c r="F268" t="s">
        <v>859</v>
      </c>
      <c r="G268" t="s">
        <v>538</v>
      </c>
      <c r="H268" s="7">
        <f t="shared" si="4"/>
        <v>6896.5625</v>
      </c>
      <c r="I268" s="7">
        <v>1103.45</v>
      </c>
    </row>
    <row r="269" spans="1:9">
      <c r="A269" t="s">
        <v>2055</v>
      </c>
      <c r="B269" s="1">
        <v>42136</v>
      </c>
      <c r="C269" t="s">
        <v>2124</v>
      </c>
      <c r="D269">
        <v>2</v>
      </c>
      <c r="E269" t="s">
        <v>474</v>
      </c>
      <c r="F269" t="s">
        <v>860</v>
      </c>
      <c r="G269" t="s">
        <v>474</v>
      </c>
      <c r="H269" s="7">
        <f t="shared" si="4"/>
        <v>600</v>
      </c>
      <c r="I269" s="7">
        <v>96</v>
      </c>
    </row>
    <row r="270" spans="1:9">
      <c r="A270" t="s">
        <v>3069</v>
      </c>
      <c r="B270" s="1">
        <v>42155</v>
      </c>
      <c r="C270" t="s">
        <v>3070</v>
      </c>
      <c r="D270">
        <v>1</v>
      </c>
      <c r="E270" s="139" t="s">
        <v>7353</v>
      </c>
      <c r="F270" t="s">
        <v>3071</v>
      </c>
      <c r="G270" s="139" t="s">
        <v>7353</v>
      </c>
      <c r="H270" s="7">
        <f t="shared" si="4"/>
        <v>335.5</v>
      </c>
      <c r="I270" s="7">
        <v>53.68</v>
      </c>
    </row>
    <row r="271" spans="1:9">
      <c r="A271" t="s">
        <v>1252</v>
      </c>
      <c r="B271" s="1">
        <v>42155</v>
      </c>
      <c r="C271" t="s">
        <v>3040</v>
      </c>
      <c r="D271">
        <v>1</v>
      </c>
      <c r="E271" t="s">
        <v>1259</v>
      </c>
      <c r="F271" t="s">
        <v>1603</v>
      </c>
      <c r="G271" t="s">
        <v>1259</v>
      </c>
      <c r="H271" s="7">
        <f t="shared" si="4"/>
        <v>109.6875</v>
      </c>
      <c r="I271" s="7">
        <v>17.55</v>
      </c>
    </row>
    <row r="272" spans="1:9">
      <c r="A272" t="s">
        <v>3002</v>
      </c>
      <c r="B272" s="1">
        <v>42155</v>
      </c>
      <c r="C272" t="s">
        <v>3003</v>
      </c>
      <c r="D272">
        <v>1</v>
      </c>
      <c r="E272" t="s">
        <v>3004</v>
      </c>
      <c r="F272" t="s">
        <v>2701</v>
      </c>
      <c r="G272" t="s">
        <v>3004</v>
      </c>
      <c r="H272" s="7">
        <f t="shared" si="4"/>
        <v>350</v>
      </c>
      <c r="I272" s="7">
        <v>56</v>
      </c>
    </row>
    <row r="273" spans="1:9">
      <c r="A273" t="s">
        <v>444</v>
      </c>
      <c r="B273" s="1">
        <v>42136</v>
      </c>
      <c r="C273" t="s">
        <v>3143</v>
      </c>
      <c r="D273">
        <v>1</v>
      </c>
      <c r="E273" t="s">
        <v>2660</v>
      </c>
      <c r="F273" t="s">
        <v>2701</v>
      </c>
      <c r="G273" t="s">
        <v>2660</v>
      </c>
      <c r="H273" s="7">
        <f t="shared" si="4"/>
        <v>2229.5</v>
      </c>
      <c r="I273" s="7">
        <v>356.72</v>
      </c>
    </row>
    <row r="274" spans="1:9">
      <c r="A274" t="s">
        <v>1437</v>
      </c>
      <c r="B274" s="1">
        <v>42151</v>
      </c>
      <c r="C274" t="s">
        <v>3196</v>
      </c>
      <c r="D274">
        <v>1</v>
      </c>
      <c r="E274" t="s">
        <v>2660</v>
      </c>
      <c r="F274" t="s">
        <v>2701</v>
      </c>
      <c r="G274" t="s">
        <v>2660</v>
      </c>
      <c r="H274" s="7">
        <f t="shared" si="4"/>
        <v>1602</v>
      </c>
      <c r="I274" s="7">
        <v>256.32</v>
      </c>
    </row>
    <row r="275" spans="1:9">
      <c r="A275" t="s">
        <v>1245</v>
      </c>
      <c r="B275" s="1">
        <v>42155</v>
      </c>
      <c r="C275" t="s">
        <v>3030</v>
      </c>
      <c r="D275">
        <v>1</v>
      </c>
      <c r="E275" t="s">
        <v>3031</v>
      </c>
      <c r="F275" t="s">
        <v>3235</v>
      </c>
      <c r="G275" t="s">
        <v>3031</v>
      </c>
      <c r="H275" s="7">
        <f t="shared" si="4"/>
        <v>512.1875</v>
      </c>
      <c r="I275" s="7">
        <v>81.95</v>
      </c>
    </row>
    <row r="276" spans="1:9">
      <c r="A276" t="s">
        <v>1158</v>
      </c>
      <c r="B276" s="1">
        <v>42155</v>
      </c>
      <c r="C276" t="s">
        <v>2957</v>
      </c>
      <c r="D276">
        <v>1</v>
      </c>
      <c r="E276" t="s">
        <v>1957</v>
      </c>
      <c r="F276" t="s">
        <v>2223</v>
      </c>
      <c r="G276" t="s">
        <v>1957</v>
      </c>
      <c r="H276" s="7">
        <f t="shared" si="4"/>
        <v>65.6875</v>
      </c>
      <c r="I276" s="7">
        <v>10.51</v>
      </c>
    </row>
    <row r="277" spans="1:9">
      <c r="A277" t="s">
        <v>3069</v>
      </c>
      <c r="B277" s="1">
        <v>42155</v>
      </c>
      <c r="C277" t="s">
        <v>3070</v>
      </c>
      <c r="D277">
        <v>1</v>
      </c>
      <c r="E277" t="s">
        <v>3072</v>
      </c>
      <c r="F277" t="s">
        <v>3236</v>
      </c>
      <c r="G277" t="s">
        <v>3072</v>
      </c>
      <c r="H277" s="7">
        <f t="shared" si="4"/>
        <v>797.25</v>
      </c>
      <c r="I277" s="7">
        <v>127.56</v>
      </c>
    </row>
    <row r="278" spans="1:9">
      <c r="A278" t="s">
        <v>3069</v>
      </c>
      <c r="B278" s="1">
        <v>42155</v>
      </c>
      <c r="C278" t="s">
        <v>3070</v>
      </c>
      <c r="D278">
        <v>1</v>
      </c>
      <c r="E278" t="s">
        <v>2230</v>
      </c>
      <c r="F278" t="s">
        <v>2229</v>
      </c>
      <c r="G278" t="s">
        <v>2230</v>
      </c>
      <c r="H278" s="7">
        <f t="shared" si="4"/>
        <v>977.1875</v>
      </c>
      <c r="I278" s="7">
        <v>156.35</v>
      </c>
    </row>
    <row r="279" spans="1:9">
      <c r="A279" t="s">
        <v>1251</v>
      </c>
      <c r="B279" s="1">
        <v>42155</v>
      </c>
      <c r="C279" t="s">
        <v>3037</v>
      </c>
      <c r="D279">
        <v>1</v>
      </c>
      <c r="E279" t="s">
        <v>3038</v>
      </c>
      <c r="F279" t="s">
        <v>2724</v>
      </c>
      <c r="G279" t="s">
        <v>3038</v>
      </c>
      <c r="H279" s="7">
        <f t="shared" si="4"/>
        <v>387</v>
      </c>
      <c r="I279" s="7">
        <v>61.92</v>
      </c>
    </row>
    <row r="280" spans="1:9">
      <c r="A280" t="s">
        <v>1199</v>
      </c>
      <c r="B280" s="1">
        <v>42155</v>
      </c>
      <c r="C280" t="s">
        <v>2989</v>
      </c>
      <c r="D280">
        <v>1</v>
      </c>
      <c r="E280" t="s">
        <v>2992</v>
      </c>
      <c r="F280" t="s">
        <v>778</v>
      </c>
      <c r="G280" t="s">
        <v>2992</v>
      </c>
      <c r="H280" s="7">
        <f t="shared" si="4"/>
        <v>251.75</v>
      </c>
      <c r="I280" s="7">
        <v>40.28</v>
      </c>
    </row>
    <row r="281" spans="1:9">
      <c r="A281" t="s">
        <v>3011</v>
      </c>
      <c r="B281" s="1">
        <v>42155</v>
      </c>
      <c r="C281" t="s">
        <v>3012</v>
      </c>
      <c r="D281">
        <v>1</v>
      </c>
      <c r="E281" t="s">
        <v>2992</v>
      </c>
      <c r="F281" t="s">
        <v>778</v>
      </c>
      <c r="G281" t="s">
        <v>2992</v>
      </c>
      <c r="H281" s="7">
        <f t="shared" si="4"/>
        <v>209.8125</v>
      </c>
      <c r="I281" s="7">
        <v>33.57</v>
      </c>
    </row>
    <row r="282" spans="1:9">
      <c r="A282" t="s">
        <v>2995</v>
      </c>
      <c r="B282" s="1">
        <v>42155</v>
      </c>
      <c r="C282" t="s">
        <v>2996</v>
      </c>
      <c r="D282">
        <v>1</v>
      </c>
      <c r="E282" t="s">
        <v>2997</v>
      </c>
      <c r="F282" t="s">
        <v>2233</v>
      </c>
      <c r="G282" t="s">
        <v>2997</v>
      </c>
      <c r="H282" s="7">
        <f t="shared" si="4"/>
        <v>517.3125</v>
      </c>
      <c r="I282" s="7">
        <v>82.77</v>
      </c>
    </row>
    <row r="283" spans="1:9">
      <c r="A283" t="s">
        <v>1264</v>
      </c>
      <c r="B283" s="1">
        <v>42155</v>
      </c>
      <c r="C283" t="s">
        <v>3079</v>
      </c>
      <c r="D283">
        <v>1</v>
      </c>
      <c r="E283" t="s">
        <v>3080</v>
      </c>
      <c r="F283" t="s">
        <v>780</v>
      </c>
      <c r="G283" t="s">
        <v>3080</v>
      </c>
      <c r="H283" s="7">
        <f t="shared" si="4"/>
        <v>335.5625</v>
      </c>
      <c r="I283" s="7">
        <v>53.69</v>
      </c>
    </row>
    <row r="284" spans="1:9">
      <c r="A284" t="s">
        <v>1263</v>
      </c>
      <c r="B284" s="1">
        <v>42155</v>
      </c>
      <c r="C284" t="s">
        <v>3078</v>
      </c>
      <c r="D284">
        <v>1</v>
      </c>
      <c r="E284" s="139" t="s">
        <v>7354</v>
      </c>
      <c r="F284" t="s">
        <v>7355</v>
      </c>
      <c r="G284" s="139" t="s">
        <v>7354</v>
      </c>
      <c r="H284" s="7">
        <f t="shared" si="4"/>
        <v>335.5</v>
      </c>
      <c r="I284" s="7">
        <v>53.68</v>
      </c>
    </row>
    <row r="285" spans="1:9">
      <c r="A285" t="s">
        <v>1339</v>
      </c>
      <c r="B285" s="1">
        <v>42131</v>
      </c>
      <c r="C285" t="s">
        <v>2114</v>
      </c>
      <c r="D285">
        <v>2</v>
      </c>
      <c r="E285" t="s">
        <v>1501</v>
      </c>
      <c r="F285" s="139" t="s">
        <v>1604</v>
      </c>
      <c r="G285" t="s">
        <v>1501</v>
      </c>
      <c r="H285" s="7">
        <f t="shared" si="4"/>
        <v>2000</v>
      </c>
      <c r="I285" s="7">
        <v>320</v>
      </c>
    </row>
    <row r="286" spans="1:9">
      <c r="A286" t="s">
        <v>2613</v>
      </c>
      <c r="B286" s="1">
        <v>42136</v>
      </c>
      <c r="C286" t="s">
        <v>2127</v>
      </c>
      <c r="D286">
        <v>2</v>
      </c>
      <c r="E286" t="s">
        <v>1501</v>
      </c>
      <c r="F286" s="139" t="s">
        <v>1604</v>
      </c>
      <c r="G286" t="s">
        <v>1501</v>
      </c>
      <c r="H286" s="7">
        <f t="shared" si="4"/>
        <v>2000</v>
      </c>
      <c r="I286" s="7">
        <v>320</v>
      </c>
    </row>
    <row r="287" spans="1:9">
      <c r="A287" t="s">
        <v>1394</v>
      </c>
      <c r="B287" s="1">
        <v>42143</v>
      </c>
      <c r="C287" t="s">
        <v>3169</v>
      </c>
      <c r="D287">
        <v>2</v>
      </c>
      <c r="E287" t="s">
        <v>1501</v>
      </c>
      <c r="F287" s="139" t="s">
        <v>1604</v>
      </c>
      <c r="G287" t="s">
        <v>1501</v>
      </c>
      <c r="H287" s="7">
        <f t="shared" si="4"/>
        <v>1200</v>
      </c>
      <c r="I287" s="7">
        <v>192</v>
      </c>
    </row>
    <row r="288" spans="1:9">
      <c r="A288" t="s">
        <v>535</v>
      </c>
      <c r="B288" s="1">
        <v>42151</v>
      </c>
      <c r="C288" t="s">
        <v>2167</v>
      </c>
      <c r="D288">
        <v>2</v>
      </c>
      <c r="E288" t="s">
        <v>1501</v>
      </c>
      <c r="F288" s="139" t="s">
        <v>1604</v>
      </c>
      <c r="G288" t="s">
        <v>1501</v>
      </c>
      <c r="H288" s="7">
        <f t="shared" si="4"/>
        <v>1900</v>
      </c>
      <c r="I288" s="7">
        <v>304</v>
      </c>
    </row>
    <row r="289" spans="1:10">
      <c r="A289" t="s">
        <v>1345</v>
      </c>
      <c r="B289" s="1">
        <v>42135</v>
      </c>
      <c r="C289" t="s">
        <v>3131</v>
      </c>
      <c r="D289">
        <v>1</v>
      </c>
      <c r="E289" t="s">
        <v>436</v>
      </c>
      <c r="F289" t="s">
        <v>868</v>
      </c>
      <c r="G289" t="s">
        <v>436</v>
      </c>
      <c r="H289" s="7">
        <f t="shared" si="4"/>
        <v>6445</v>
      </c>
      <c r="I289" s="7">
        <v>1031.2</v>
      </c>
    </row>
    <row r="290" spans="1:10">
      <c r="A290" t="s">
        <v>2137</v>
      </c>
      <c r="B290" s="1">
        <v>42146</v>
      </c>
      <c r="C290" t="s">
        <v>3176</v>
      </c>
      <c r="D290">
        <v>1</v>
      </c>
      <c r="E290" t="s">
        <v>436</v>
      </c>
      <c r="F290" t="s">
        <v>868</v>
      </c>
      <c r="G290" t="s">
        <v>436</v>
      </c>
      <c r="H290" s="7">
        <f t="shared" si="4"/>
        <v>10930.5625</v>
      </c>
      <c r="I290" s="7">
        <v>1748.89</v>
      </c>
    </row>
    <row r="291" spans="1:10">
      <c r="A291" t="s">
        <v>1264</v>
      </c>
      <c r="B291" s="1">
        <v>42155</v>
      </c>
      <c r="C291" t="s">
        <v>3079</v>
      </c>
      <c r="D291">
        <v>1</v>
      </c>
      <c r="E291" t="s">
        <v>3081</v>
      </c>
      <c r="F291" t="s">
        <v>935</v>
      </c>
      <c r="G291" t="s">
        <v>3081</v>
      </c>
      <c r="H291" s="7">
        <f t="shared" si="4"/>
        <v>86.187499999999986</v>
      </c>
      <c r="I291" s="7">
        <v>13.79</v>
      </c>
    </row>
    <row r="292" spans="1:10">
      <c r="A292" t="s">
        <v>1251</v>
      </c>
      <c r="B292" s="1">
        <v>42155</v>
      </c>
      <c r="C292" t="s">
        <v>3037</v>
      </c>
      <c r="D292">
        <v>1</v>
      </c>
      <c r="E292" t="s">
        <v>3039</v>
      </c>
      <c r="F292" t="s">
        <v>935</v>
      </c>
      <c r="G292" t="s">
        <v>3081</v>
      </c>
      <c r="H292" s="7">
        <f t="shared" si="4"/>
        <v>86.187499999999986</v>
      </c>
      <c r="I292" s="7">
        <v>13.79</v>
      </c>
    </row>
    <row r="293" spans="1:10">
      <c r="A293" t="s">
        <v>1210</v>
      </c>
      <c r="B293" s="1">
        <v>42155</v>
      </c>
      <c r="C293" t="s">
        <v>2999</v>
      </c>
      <c r="D293">
        <v>1</v>
      </c>
      <c r="E293" t="s">
        <v>3001</v>
      </c>
      <c r="F293" t="s">
        <v>935</v>
      </c>
      <c r="G293" t="s">
        <v>3081</v>
      </c>
      <c r="H293" s="7">
        <f t="shared" si="4"/>
        <v>86.187499999999986</v>
      </c>
      <c r="I293" s="7">
        <v>13.79</v>
      </c>
    </row>
    <row r="294" spans="1:10">
      <c r="A294" t="s">
        <v>1263</v>
      </c>
      <c r="B294" s="1">
        <v>42155</v>
      </c>
      <c r="C294" t="s">
        <v>3078</v>
      </c>
      <c r="D294">
        <v>1</v>
      </c>
      <c r="E294" t="s">
        <v>3001</v>
      </c>
      <c r="F294" t="s">
        <v>935</v>
      </c>
      <c r="G294" t="s">
        <v>3081</v>
      </c>
      <c r="H294" s="7">
        <f t="shared" si="4"/>
        <v>86.187499999999986</v>
      </c>
      <c r="I294" s="7">
        <v>13.79</v>
      </c>
    </row>
    <row r="295" spans="1:10">
      <c r="A295" t="s">
        <v>1263</v>
      </c>
      <c r="B295" s="1">
        <v>42155</v>
      </c>
      <c r="C295" t="s">
        <v>3078</v>
      </c>
      <c r="D295">
        <v>1</v>
      </c>
      <c r="E295" t="s">
        <v>3001</v>
      </c>
      <c r="F295" t="s">
        <v>935</v>
      </c>
      <c r="G295" t="s">
        <v>3081</v>
      </c>
      <c r="H295" s="7">
        <f t="shared" si="4"/>
        <v>167.8125</v>
      </c>
      <c r="I295" s="7">
        <v>26.85</v>
      </c>
    </row>
    <row r="296" spans="1:10">
      <c r="A296" t="s">
        <v>3082</v>
      </c>
      <c r="B296" s="1">
        <v>42155</v>
      </c>
      <c r="C296" t="s">
        <v>3083</v>
      </c>
      <c r="D296">
        <v>1</v>
      </c>
      <c r="E296" t="s">
        <v>3001</v>
      </c>
      <c r="F296" t="s">
        <v>935</v>
      </c>
      <c r="G296" t="s">
        <v>3081</v>
      </c>
      <c r="H296" s="7">
        <f t="shared" si="4"/>
        <v>86.187499999999986</v>
      </c>
      <c r="I296" s="7">
        <v>13.79</v>
      </c>
    </row>
    <row r="297" spans="1:10">
      <c r="A297" t="s">
        <v>3069</v>
      </c>
      <c r="B297" s="1">
        <v>42155</v>
      </c>
      <c r="C297" t="s">
        <v>3070</v>
      </c>
      <c r="D297">
        <v>1</v>
      </c>
      <c r="E297" t="s">
        <v>785</v>
      </c>
      <c r="F297" t="s">
        <v>784</v>
      </c>
      <c r="G297" t="s">
        <v>785</v>
      </c>
      <c r="H297" s="7">
        <f t="shared" si="4"/>
        <v>105</v>
      </c>
      <c r="I297" s="7">
        <v>16.8</v>
      </c>
    </row>
    <row r="298" spans="1:10">
      <c r="A298" t="s">
        <v>2831</v>
      </c>
      <c r="B298" s="1">
        <v>42144</v>
      </c>
      <c r="C298" t="s">
        <v>2832</v>
      </c>
      <c r="D298">
        <v>1</v>
      </c>
      <c r="E298" t="s">
        <v>1015</v>
      </c>
      <c r="F298" t="s">
        <v>3237</v>
      </c>
      <c r="G298" t="s">
        <v>3238</v>
      </c>
      <c r="H298" s="7">
        <f t="shared" si="4"/>
        <v>322663.875</v>
      </c>
      <c r="I298" s="7">
        <v>51626.22</v>
      </c>
    </row>
    <row r="299" spans="1:10">
      <c r="A299" t="s">
        <v>2823</v>
      </c>
      <c r="B299" s="1">
        <v>42142</v>
      </c>
      <c r="C299" t="s">
        <v>2824</v>
      </c>
      <c r="D299">
        <v>1</v>
      </c>
      <c r="E299" t="s">
        <v>2825</v>
      </c>
      <c r="F299" t="s">
        <v>875</v>
      </c>
      <c r="G299" t="s">
        <v>2825</v>
      </c>
      <c r="H299" s="7">
        <f t="shared" si="4"/>
        <v>388207.875</v>
      </c>
      <c r="I299" s="7">
        <v>62113.26</v>
      </c>
    </row>
    <row r="300" spans="1:10">
      <c r="A300" t="s">
        <v>1783</v>
      </c>
      <c r="B300" s="1">
        <v>42154</v>
      </c>
      <c r="C300" t="s">
        <v>2901</v>
      </c>
      <c r="D300">
        <v>1</v>
      </c>
      <c r="E300" t="s">
        <v>2902</v>
      </c>
      <c r="F300" t="s">
        <v>3237</v>
      </c>
      <c r="G300" t="s">
        <v>2902</v>
      </c>
      <c r="H300" s="7">
        <f t="shared" si="4"/>
        <v>156876.3125</v>
      </c>
      <c r="I300" s="7">
        <v>25100.21</v>
      </c>
    </row>
    <row r="301" spans="1:10">
      <c r="A301" t="s">
        <v>2863</v>
      </c>
      <c r="B301" s="1">
        <v>42149</v>
      </c>
      <c r="C301" t="s">
        <v>2864</v>
      </c>
      <c r="D301">
        <v>1</v>
      </c>
      <c r="E301" t="s">
        <v>2865</v>
      </c>
      <c r="F301" t="s">
        <v>3237</v>
      </c>
      <c r="G301" t="s">
        <v>2865</v>
      </c>
      <c r="H301" s="7">
        <f t="shared" si="4"/>
        <v>275488.4375</v>
      </c>
      <c r="I301" s="7">
        <v>44078.15</v>
      </c>
    </row>
    <row r="302" spans="1:10">
      <c r="A302" t="s">
        <v>2819</v>
      </c>
      <c r="B302" s="1">
        <v>42140</v>
      </c>
      <c r="C302" t="s">
        <v>2340</v>
      </c>
      <c r="D302">
        <v>1</v>
      </c>
      <c r="E302" t="s">
        <v>0</v>
      </c>
      <c r="F302" t="s">
        <v>799</v>
      </c>
      <c r="G302" t="s">
        <v>0</v>
      </c>
      <c r="H302" s="7">
        <f t="shared" si="4"/>
        <v>-148652.125</v>
      </c>
      <c r="I302" s="7">
        <v>-23784.34</v>
      </c>
      <c r="J302" s="2"/>
    </row>
    <row r="303" spans="1:10">
      <c r="A303" t="s">
        <v>2800</v>
      </c>
      <c r="B303" s="1">
        <v>42131</v>
      </c>
      <c r="C303" t="s">
        <v>2365</v>
      </c>
      <c r="D303">
        <v>1</v>
      </c>
      <c r="E303" t="s">
        <v>0</v>
      </c>
      <c r="F303" t="s">
        <v>799</v>
      </c>
      <c r="G303" t="s">
        <v>0</v>
      </c>
      <c r="H303" s="7">
        <f t="shared" si="4"/>
        <v>-301012.875</v>
      </c>
      <c r="I303" s="7">
        <v>-48162.06</v>
      </c>
      <c r="J303" s="2"/>
    </row>
    <row r="304" spans="1:10">
      <c r="A304" t="s">
        <v>2785</v>
      </c>
      <c r="B304" s="1">
        <v>42129</v>
      </c>
      <c r="C304" t="s">
        <v>2786</v>
      </c>
      <c r="D304">
        <v>1</v>
      </c>
      <c r="E304" t="s">
        <v>0</v>
      </c>
      <c r="F304" t="s">
        <v>799</v>
      </c>
      <c r="G304" t="s">
        <v>0</v>
      </c>
      <c r="H304" s="7">
        <f t="shared" si="4"/>
        <v>140193.5</v>
      </c>
      <c r="I304" s="7">
        <v>22430.959999999999</v>
      </c>
    </row>
    <row r="305" spans="1:9">
      <c r="A305" t="s">
        <v>2787</v>
      </c>
      <c r="B305" s="1">
        <v>42129</v>
      </c>
      <c r="C305" t="s">
        <v>2788</v>
      </c>
      <c r="D305">
        <v>1</v>
      </c>
      <c r="E305" t="s">
        <v>0</v>
      </c>
      <c r="F305" t="s">
        <v>799</v>
      </c>
      <c r="G305" t="s">
        <v>0</v>
      </c>
      <c r="H305" s="7">
        <f t="shared" si="4"/>
        <v>156409.0625</v>
      </c>
      <c r="I305" s="7">
        <v>25025.45</v>
      </c>
    </row>
    <row r="306" spans="1:9">
      <c r="A306" t="s">
        <v>2789</v>
      </c>
      <c r="B306" s="1">
        <v>42129</v>
      </c>
      <c r="C306" t="s">
        <v>2790</v>
      </c>
      <c r="D306">
        <v>1</v>
      </c>
      <c r="E306" t="s">
        <v>0</v>
      </c>
      <c r="F306" t="s">
        <v>799</v>
      </c>
      <c r="G306" t="s">
        <v>0</v>
      </c>
      <c r="H306" s="7">
        <f t="shared" si="4"/>
        <v>156409.0625</v>
      </c>
      <c r="I306" s="7">
        <v>25025.45</v>
      </c>
    </row>
    <row r="307" spans="1:9">
      <c r="A307" t="s">
        <v>2791</v>
      </c>
      <c r="B307" s="1">
        <v>42129</v>
      </c>
      <c r="C307" t="s">
        <v>2792</v>
      </c>
      <c r="D307">
        <v>1</v>
      </c>
      <c r="E307" t="s">
        <v>0</v>
      </c>
      <c r="F307" t="s">
        <v>799</v>
      </c>
      <c r="G307" t="s">
        <v>0</v>
      </c>
      <c r="H307" s="7">
        <f t="shared" si="4"/>
        <v>156409.0625</v>
      </c>
      <c r="I307" s="7">
        <v>25025.45</v>
      </c>
    </row>
    <row r="308" spans="1:9">
      <c r="A308" t="s">
        <v>2793</v>
      </c>
      <c r="B308" s="1">
        <v>42129</v>
      </c>
      <c r="C308" t="s">
        <v>2794</v>
      </c>
      <c r="D308">
        <v>1</v>
      </c>
      <c r="E308" t="s">
        <v>0</v>
      </c>
      <c r="F308" t="s">
        <v>799</v>
      </c>
      <c r="G308" t="s">
        <v>0</v>
      </c>
      <c r="H308" s="7">
        <f t="shared" si="4"/>
        <v>318082.8125</v>
      </c>
      <c r="I308" s="7">
        <v>50893.25</v>
      </c>
    </row>
    <row r="309" spans="1:9">
      <c r="A309" t="s">
        <v>2795</v>
      </c>
      <c r="B309" s="1">
        <v>42129</v>
      </c>
      <c r="C309" t="s">
        <v>2796</v>
      </c>
      <c r="D309">
        <v>1</v>
      </c>
      <c r="E309" t="s">
        <v>0</v>
      </c>
      <c r="F309" t="s">
        <v>799</v>
      </c>
      <c r="G309" t="s">
        <v>0</v>
      </c>
      <c r="H309" s="7">
        <f t="shared" si="4"/>
        <v>318082.8125</v>
      </c>
      <c r="I309" s="7">
        <v>50893.25</v>
      </c>
    </row>
    <row r="310" spans="1:9">
      <c r="A310" t="s">
        <v>27</v>
      </c>
      <c r="B310" s="1">
        <v>42129</v>
      </c>
      <c r="C310" t="s">
        <v>2797</v>
      </c>
      <c r="D310">
        <v>1</v>
      </c>
      <c r="E310" t="s">
        <v>0</v>
      </c>
      <c r="F310" t="s">
        <v>799</v>
      </c>
      <c r="G310" t="s">
        <v>0</v>
      </c>
      <c r="H310" s="7">
        <f t="shared" si="4"/>
        <v>186123.9375</v>
      </c>
      <c r="I310" s="7">
        <v>29779.83</v>
      </c>
    </row>
    <row r="311" spans="1:9">
      <c r="A311" t="s">
        <v>2798</v>
      </c>
      <c r="B311" s="1">
        <v>42131</v>
      </c>
      <c r="C311" t="s">
        <v>2799</v>
      </c>
      <c r="D311">
        <v>1</v>
      </c>
      <c r="E311" t="s">
        <v>0</v>
      </c>
      <c r="F311" t="s">
        <v>799</v>
      </c>
      <c r="G311" t="s">
        <v>0</v>
      </c>
      <c r="H311" s="7">
        <f t="shared" si="4"/>
        <v>482093.5625</v>
      </c>
      <c r="I311" s="7">
        <v>77134.97</v>
      </c>
    </row>
    <row r="312" spans="1:9">
      <c r="A312" t="s">
        <v>2802</v>
      </c>
      <c r="B312" s="1">
        <v>42132</v>
      </c>
      <c r="C312" t="s">
        <v>2803</v>
      </c>
      <c r="D312">
        <v>1</v>
      </c>
      <c r="E312" t="s">
        <v>0</v>
      </c>
      <c r="F312" t="s">
        <v>799</v>
      </c>
      <c r="G312" t="s">
        <v>0</v>
      </c>
      <c r="H312" s="7">
        <f t="shared" si="4"/>
        <v>167890.8125</v>
      </c>
      <c r="I312" s="7">
        <v>26862.53</v>
      </c>
    </row>
    <row r="313" spans="1:9">
      <c r="A313" t="s">
        <v>2813</v>
      </c>
      <c r="B313" s="1">
        <v>42139</v>
      </c>
      <c r="C313" t="s">
        <v>2814</v>
      </c>
      <c r="D313">
        <v>1</v>
      </c>
      <c r="E313" t="s">
        <v>0</v>
      </c>
      <c r="F313" t="s">
        <v>799</v>
      </c>
      <c r="G313" t="s">
        <v>0</v>
      </c>
      <c r="H313" s="7">
        <f t="shared" si="4"/>
        <v>226534.375</v>
      </c>
      <c r="I313" s="7">
        <v>36245.5</v>
      </c>
    </row>
    <row r="314" spans="1:9">
      <c r="A314" t="s">
        <v>2821</v>
      </c>
      <c r="B314" s="1">
        <v>42142</v>
      </c>
      <c r="C314" t="s">
        <v>2822</v>
      </c>
      <c r="D314">
        <v>1</v>
      </c>
      <c r="E314" t="s">
        <v>0</v>
      </c>
      <c r="F314" t="s">
        <v>799</v>
      </c>
      <c r="G314" t="s">
        <v>0</v>
      </c>
      <c r="H314" s="7">
        <f t="shared" si="4"/>
        <v>318082.8125</v>
      </c>
      <c r="I314" s="7">
        <v>50893.25</v>
      </c>
    </row>
    <row r="315" spans="1:9">
      <c r="A315" t="s">
        <v>2826</v>
      </c>
      <c r="B315" s="1">
        <v>42142</v>
      </c>
      <c r="C315" t="s">
        <v>2827</v>
      </c>
      <c r="D315">
        <v>1</v>
      </c>
      <c r="E315" t="s">
        <v>0</v>
      </c>
      <c r="F315" t="s">
        <v>799</v>
      </c>
      <c r="G315" t="s">
        <v>0</v>
      </c>
      <c r="H315" s="7">
        <f t="shared" si="4"/>
        <v>388207.875</v>
      </c>
      <c r="I315" s="7">
        <v>62113.26</v>
      </c>
    </row>
    <row r="316" spans="1:9">
      <c r="A316" t="s">
        <v>2828</v>
      </c>
      <c r="B316" s="1">
        <v>42143</v>
      </c>
      <c r="C316" t="s">
        <v>2829</v>
      </c>
      <c r="D316">
        <v>1</v>
      </c>
      <c r="E316" t="s">
        <v>0</v>
      </c>
      <c r="F316" t="s">
        <v>799</v>
      </c>
      <c r="G316" t="s">
        <v>0</v>
      </c>
      <c r="H316" s="7">
        <f t="shared" si="4"/>
        <v>322663.875</v>
      </c>
      <c r="I316" s="7">
        <v>51626.22</v>
      </c>
    </row>
    <row r="317" spans="1:9">
      <c r="A317" t="s">
        <v>1027</v>
      </c>
      <c r="B317" s="1">
        <v>42144</v>
      </c>
      <c r="C317" t="s">
        <v>2830</v>
      </c>
      <c r="D317">
        <v>1</v>
      </c>
      <c r="E317" t="s">
        <v>0</v>
      </c>
      <c r="F317" t="s">
        <v>799</v>
      </c>
      <c r="G317" t="s">
        <v>0</v>
      </c>
      <c r="H317" s="7">
        <f t="shared" si="4"/>
        <v>444746.125</v>
      </c>
      <c r="I317" s="7">
        <v>71159.38</v>
      </c>
    </row>
    <row r="318" spans="1:9">
      <c r="A318" t="s">
        <v>2833</v>
      </c>
      <c r="B318" s="1">
        <v>42144</v>
      </c>
      <c r="C318" t="s">
        <v>2834</v>
      </c>
      <c r="D318">
        <v>1</v>
      </c>
      <c r="E318" t="s">
        <v>0</v>
      </c>
      <c r="F318" t="s">
        <v>799</v>
      </c>
      <c r="G318" t="s">
        <v>0</v>
      </c>
      <c r="H318" s="7">
        <f t="shared" si="4"/>
        <v>245825.0625</v>
      </c>
      <c r="I318" s="7">
        <v>39332.01</v>
      </c>
    </row>
    <row r="319" spans="1:9">
      <c r="A319" t="s">
        <v>2840</v>
      </c>
      <c r="B319" s="1">
        <v>42145</v>
      </c>
      <c r="C319" t="s">
        <v>2841</v>
      </c>
      <c r="D319">
        <v>1</v>
      </c>
      <c r="E319" t="s">
        <v>0</v>
      </c>
      <c r="F319" t="s">
        <v>799</v>
      </c>
      <c r="G319" t="s">
        <v>0</v>
      </c>
      <c r="H319" s="7">
        <f t="shared" si="4"/>
        <v>322662.125</v>
      </c>
      <c r="I319" s="7">
        <v>51625.94</v>
      </c>
    </row>
    <row r="320" spans="1:9">
      <c r="A320" t="s">
        <v>2842</v>
      </c>
      <c r="B320" s="1">
        <v>42145</v>
      </c>
      <c r="C320" t="s">
        <v>2843</v>
      </c>
      <c r="D320">
        <v>1</v>
      </c>
      <c r="E320" t="s">
        <v>0</v>
      </c>
      <c r="F320" t="s">
        <v>799</v>
      </c>
      <c r="G320" t="s">
        <v>0</v>
      </c>
      <c r="H320" s="7">
        <f t="shared" si="4"/>
        <v>149115.9375</v>
      </c>
      <c r="I320" s="7">
        <v>23858.55</v>
      </c>
    </row>
    <row r="321" spans="1:9">
      <c r="A321" t="s">
        <v>1708</v>
      </c>
      <c r="B321" s="1">
        <v>42145</v>
      </c>
      <c r="C321" t="s">
        <v>2844</v>
      </c>
      <c r="D321">
        <v>1</v>
      </c>
      <c r="E321" t="s">
        <v>0</v>
      </c>
      <c r="F321" t="s">
        <v>799</v>
      </c>
      <c r="G321" t="s">
        <v>0</v>
      </c>
      <c r="H321" s="7">
        <f t="shared" si="4"/>
        <v>242050.6875</v>
      </c>
      <c r="I321" s="7">
        <v>38728.11</v>
      </c>
    </row>
    <row r="322" spans="1:9">
      <c r="A322" t="s">
        <v>2845</v>
      </c>
      <c r="B322" s="1">
        <v>42145</v>
      </c>
      <c r="C322" t="s">
        <v>2846</v>
      </c>
      <c r="D322">
        <v>1</v>
      </c>
      <c r="E322" t="s">
        <v>0</v>
      </c>
      <c r="F322" t="s">
        <v>799</v>
      </c>
      <c r="G322" t="s">
        <v>0</v>
      </c>
      <c r="H322" s="7">
        <f t="shared" si="4"/>
        <v>482095.3125</v>
      </c>
      <c r="I322" s="7">
        <v>77135.25</v>
      </c>
    </row>
    <row r="323" spans="1:9">
      <c r="A323" t="s">
        <v>2849</v>
      </c>
      <c r="B323" s="1">
        <v>42145</v>
      </c>
      <c r="C323" t="s">
        <v>2850</v>
      </c>
      <c r="D323">
        <v>1</v>
      </c>
      <c r="E323" t="s">
        <v>0</v>
      </c>
      <c r="F323" t="s">
        <v>799</v>
      </c>
      <c r="G323" t="s">
        <v>0</v>
      </c>
      <c r="H323" s="7">
        <f t="shared" si="4"/>
        <v>388206.1875</v>
      </c>
      <c r="I323" s="7">
        <v>62112.99</v>
      </c>
    </row>
    <row r="324" spans="1:9">
      <c r="A324" t="s">
        <v>2852</v>
      </c>
      <c r="B324" s="1">
        <v>42146</v>
      </c>
      <c r="C324" t="s">
        <v>2851</v>
      </c>
      <c r="D324">
        <v>1</v>
      </c>
      <c r="E324" t="s">
        <v>0</v>
      </c>
      <c r="F324" t="s">
        <v>799</v>
      </c>
      <c r="G324" t="s">
        <v>0</v>
      </c>
      <c r="H324" s="7">
        <f t="shared" si="4"/>
        <v>186583.75</v>
      </c>
      <c r="I324" s="7">
        <v>29853.4</v>
      </c>
    </row>
    <row r="325" spans="1:9">
      <c r="A325" t="s">
        <v>2853</v>
      </c>
      <c r="B325" s="1">
        <v>42146</v>
      </c>
      <c r="C325" t="s">
        <v>2854</v>
      </c>
      <c r="D325">
        <v>1</v>
      </c>
      <c r="E325" t="s">
        <v>0</v>
      </c>
      <c r="F325" t="s">
        <v>799</v>
      </c>
      <c r="G325" t="s">
        <v>0</v>
      </c>
      <c r="H325" s="7">
        <f t="shared" si="4"/>
        <v>157262.5</v>
      </c>
      <c r="I325" s="7">
        <v>25162</v>
      </c>
    </row>
    <row r="326" spans="1:9">
      <c r="A326" t="s">
        <v>2866</v>
      </c>
      <c r="B326" s="1">
        <v>42149</v>
      </c>
      <c r="C326" t="s">
        <v>2867</v>
      </c>
      <c r="D326">
        <v>1</v>
      </c>
      <c r="E326" t="s">
        <v>0</v>
      </c>
      <c r="F326" t="s">
        <v>799</v>
      </c>
      <c r="G326" t="s">
        <v>0</v>
      </c>
      <c r="H326" s="7">
        <f t="shared" si="4"/>
        <v>164790.0625</v>
      </c>
      <c r="I326" s="7">
        <v>26366.41</v>
      </c>
    </row>
    <row r="327" spans="1:9">
      <c r="A327" t="s">
        <v>2358</v>
      </c>
      <c r="B327" s="1">
        <v>42152</v>
      </c>
      <c r="C327" t="s">
        <v>2874</v>
      </c>
      <c r="D327">
        <v>1</v>
      </c>
      <c r="E327" t="s">
        <v>0</v>
      </c>
      <c r="F327" t="s">
        <v>799</v>
      </c>
      <c r="G327" t="s">
        <v>0</v>
      </c>
      <c r="H327" s="7">
        <f t="shared" si="4"/>
        <v>164788.375</v>
      </c>
      <c r="I327" s="7">
        <v>26366.14</v>
      </c>
    </row>
    <row r="328" spans="1:9">
      <c r="A328" t="s">
        <v>2359</v>
      </c>
      <c r="B328" s="1">
        <v>42152</v>
      </c>
      <c r="C328" t="s">
        <v>2875</v>
      </c>
      <c r="D328">
        <v>1</v>
      </c>
      <c r="E328" t="s">
        <v>0</v>
      </c>
      <c r="F328" t="s">
        <v>799</v>
      </c>
      <c r="G328" t="s">
        <v>0</v>
      </c>
      <c r="H328" s="7">
        <f t="shared" ref="H328:H353" si="5">+I328/0.16</f>
        <v>149117.6875</v>
      </c>
      <c r="I328" s="7">
        <v>23858.83</v>
      </c>
    </row>
    <row r="329" spans="1:9">
      <c r="A329" t="s">
        <v>2878</v>
      </c>
      <c r="B329" s="1">
        <v>42152</v>
      </c>
      <c r="C329" t="s">
        <v>2879</v>
      </c>
      <c r="D329">
        <v>1</v>
      </c>
      <c r="E329" t="s">
        <v>0</v>
      </c>
      <c r="F329" t="s">
        <v>799</v>
      </c>
      <c r="G329" t="s">
        <v>0</v>
      </c>
      <c r="H329" s="7">
        <f t="shared" si="5"/>
        <v>405066.125</v>
      </c>
      <c r="I329" s="7">
        <v>64810.58</v>
      </c>
    </row>
    <row r="330" spans="1:9">
      <c r="A330" t="s">
        <v>2880</v>
      </c>
      <c r="B330" s="1">
        <v>42152</v>
      </c>
      <c r="C330" t="s">
        <v>2881</v>
      </c>
      <c r="D330">
        <v>1</v>
      </c>
      <c r="E330" t="s">
        <v>0</v>
      </c>
      <c r="F330" t="s">
        <v>799</v>
      </c>
      <c r="G330" t="s">
        <v>0</v>
      </c>
      <c r="H330" s="7">
        <f t="shared" si="5"/>
        <v>245825.0625</v>
      </c>
      <c r="I330" s="7">
        <v>39332.01</v>
      </c>
    </row>
    <row r="331" spans="1:9">
      <c r="A331" t="s">
        <v>1106</v>
      </c>
      <c r="B331" s="1">
        <v>42152</v>
      </c>
      <c r="C331" t="s">
        <v>2882</v>
      </c>
      <c r="D331">
        <v>1</v>
      </c>
      <c r="E331" t="s">
        <v>0</v>
      </c>
      <c r="F331" t="s">
        <v>799</v>
      </c>
      <c r="G331" t="s">
        <v>0</v>
      </c>
      <c r="H331" s="7">
        <f t="shared" si="5"/>
        <v>405066.125</v>
      </c>
      <c r="I331" s="7">
        <v>64810.58</v>
      </c>
    </row>
    <row r="332" spans="1:9">
      <c r="A332" t="s">
        <v>2883</v>
      </c>
      <c r="B332" s="1">
        <v>42153</v>
      </c>
      <c r="C332" t="s">
        <v>2884</v>
      </c>
      <c r="D332">
        <v>1</v>
      </c>
      <c r="E332" t="s">
        <v>0</v>
      </c>
      <c r="F332" t="s">
        <v>799</v>
      </c>
      <c r="G332" t="s">
        <v>0</v>
      </c>
      <c r="H332" s="7">
        <f t="shared" si="5"/>
        <v>223283.18749999997</v>
      </c>
      <c r="I332" s="7">
        <v>35725.31</v>
      </c>
    </row>
    <row r="333" spans="1:9">
      <c r="A333" t="s">
        <v>2885</v>
      </c>
      <c r="B333" s="1">
        <v>42153</v>
      </c>
      <c r="C333" t="s">
        <v>2886</v>
      </c>
      <c r="D333">
        <v>1</v>
      </c>
      <c r="E333" t="s">
        <v>0</v>
      </c>
      <c r="F333" t="s">
        <v>799</v>
      </c>
      <c r="G333" t="s">
        <v>0</v>
      </c>
      <c r="H333" s="7">
        <f t="shared" si="5"/>
        <v>263222.8125</v>
      </c>
      <c r="I333" s="7">
        <v>42115.65</v>
      </c>
    </row>
    <row r="334" spans="1:9">
      <c r="A334" t="s">
        <v>2887</v>
      </c>
      <c r="B334" s="1">
        <v>42153</v>
      </c>
      <c r="C334" t="s">
        <v>2888</v>
      </c>
      <c r="D334">
        <v>1</v>
      </c>
      <c r="E334" t="s">
        <v>0</v>
      </c>
      <c r="F334" t="s">
        <v>799</v>
      </c>
      <c r="G334" t="s">
        <v>0</v>
      </c>
      <c r="H334" s="7">
        <f t="shared" si="5"/>
        <v>275486.6875</v>
      </c>
      <c r="I334" s="7">
        <v>44077.87</v>
      </c>
    </row>
    <row r="335" spans="1:9">
      <c r="A335" t="s">
        <v>2889</v>
      </c>
      <c r="B335" s="1">
        <v>42153</v>
      </c>
      <c r="C335" t="s">
        <v>2890</v>
      </c>
      <c r="D335">
        <v>1</v>
      </c>
      <c r="E335" t="s">
        <v>0</v>
      </c>
      <c r="F335" t="s">
        <v>799</v>
      </c>
      <c r="G335" t="s">
        <v>0</v>
      </c>
      <c r="H335" s="7">
        <f t="shared" si="5"/>
        <v>213642.74999999997</v>
      </c>
      <c r="I335" s="7">
        <v>34182.839999999997</v>
      </c>
    </row>
    <row r="336" spans="1:9">
      <c r="A336" t="s">
        <v>2891</v>
      </c>
      <c r="B336" s="1">
        <v>42153</v>
      </c>
      <c r="C336" t="s">
        <v>2892</v>
      </c>
      <c r="D336">
        <v>1</v>
      </c>
      <c r="E336" t="s">
        <v>0</v>
      </c>
      <c r="F336" t="s">
        <v>799</v>
      </c>
      <c r="G336" t="s">
        <v>0</v>
      </c>
      <c r="H336" s="7">
        <f t="shared" si="5"/>
        <v>213642.74999999997</v>
      </c>
      <c r="I336" s="7">
        <v>34182.839999999997</v>
      </c>
    </row>
    <row r="337" spans="1:9">
      <c r="A337" t="s">
        <v>2893</v>
      </c>
      <c r="B337" s="1">
        <v>42153</v>
      </c>
      <c r="C337" t="s">
        <v>2894</v>
      </c>
      <c r="D337">
        <v>1</v>
      </c>
      <c r="E337" t="s">
        <v>0</v>
      </c>
      <c r="F337" t="s">
        <v>799</v>
      </c>
      <c r="G337" t="s">
        <v>0</v>
      </c>
      <c r="H337" s="7">
        <f t="shared" si="5"/>
        <v>245823.37499999997</v>
      </c>
      <c r="I337" s="7">
        <v>39331.74</v>
      </c>
    </row>
    <row r="338" spans="1:9">
      <c r="A338" t="s">
        <v>2895</v>
      </c>
      <c r="B338" s="1">
        <v>42153</v>
      </c>
      <c r="C338" t="s">
        <v>2896</v>
      </c>
      <c r="D338">
        <v>1</v>
      </c>
      <c r="E338" t="s">
        <v>0</v>
      </c>
      <c r="F338" t="s">
        <v>799</v>
      </c>
      <c r="G338" t="s">
        <v>0</v>
      </c>
      <c r="H338" s="7">
        <f t="shared" si="5"/>
        <v>177356.3125</v>
      </c>
      <c r="I338" s="7">
        <v>28377.01</v>
      </c>
    </row>
    <row r="339" spans="1:9">
      <c r="A339" t="s">
        <v>2897</v>
      </c>
      <c r="B339" s="1">
        <v>42153</v>
      </c>
      <c r="C339" t="s">
        <v>2898</v>
      </c>
      <c r="D339">
        <v>1</v>
      </c>
      <c r="E339" t="s">
        <v>0</v>
      </c>
      <c r="F339" t="s">
        <v>799</v>
      </c>
      <c r="G339" t="s">
        <v>0</v>
      </c>
      <c r="H339" s="7">
        <f t="shared" si="5"/>
        <v>177356.3125</v>
      </c>
      <c r="I339" s="7">
        <v>28377.01</v>
      </c>
    </row>
    <row r="340" spans="1:9">
      <c r="A340" t="s">
        <v>2903</v>
      </c>
      <c r="B340" s="1">
        <v>42154</v>
      </c>
      <c r="C340" t="s">
        <v>2904</v>
      </c>
      <c r="D340">
        <v>1</v>
      </c>
      <c r="E340" t="s">
        <v>0</v>
      </c>
      <c r="F340" t="s">
        <v>799</v>
      </c>
      <c r="G340" t="s">
        <v>0</v>
      </c>
      <c r="H340" s="7">
        <f t="shared" si="5"/>
        <v>332370.9375</v>
      </c>
      <c r="I340" s="7">
        <v>53179.35</v>
      </c>
    </row>
    <row r="341" spans="1:9">
      <c r="A341" t="s">
        <v>2905</v>
      </c>
      <c r="B341" s="1">
        <v>42154</v>
      </c>
      <c r="C341" t="s">
        <v>2906</v>
      </c>
      <c r="D341">
        <v>1</v>
      </c>
      <c r="E341" t="s">
        <v>0</v>
      </c>
      <c r="F341" t="s">
        <v>799</v>
      </c>
      <c r="G341" t="s">
        <v>0</v>
      </c>
      <c r="H341" s="7">
        <f t="shared" si="5"/>
        <v>303976.8125</v>
      </c>
      <c r="I341" s="7">
        <v>48636.29</v>
      </c>
    </row>
    <row r="342" spans="1:9">
      <c r="A342" t="s">
        <v>2907</v>
      </c>
      <c r="B342" s="1">
        <v>42154</v>
      </c>
      <c r="C342" t="s">
        <v>2908</v>
      </c>
      <c r="D342">
        <v>1</v>
      </c>
      <c r="E342" t="s">
        <v>0</v>
      </c>
      <c r="F342" t="s">
        <v>799</v>
      </c>
      <c r="G342" t="s">
        <v>0</v>
      </c>
      <c r="H342" s="7">
        <f t="shared" si="5"/>
        <v>303976.8125</v>
      </c>
      <c r="I342" s="7">
        <v>48636.29</v>
      </c>
    </row>
    <row r="343" spans="1:9">
      <c r="A343" t="s">
        <v>2909</v>
      </c>
      <c r="B343" s="1">
        <v>42154</v>
      </c>
      <c r="C343" t="s">
        <v>2910</v>
      </c>
      <c r="D343">
        <v>1</v>
      </c>
      <c r="E343" t="s">
        <v>0</v>
      </c>
      <c r="F343" t="s">
        <v>799</v>
      </c>
      <c r="G343" t="s">
        <v>0</v>
      </c>
      <c r="H343" s="7">
        <f t="shared" si="5"/>
        <v>302316.0625</v>
      </c>
      <c r="I343" s="7">
        <v>48370.57</v>
      </c>
    </row>
    <row r="344" spans="1:9">
      <c r="A344" t="s">
        <v>1790</v>
      </c>
      <c r="B344" s="1">
        <v>42154</v>
      </c>
      <c r="C344" t="s">
        <v>2911</v>
      </c>
      <c r="D344">
        <v>1</v>
      </c>
      <c r="E344" t="s">
        <v>0</v>
      </c>
      <c r="F344" t="s">
        <v>799</v>
      </c>
      <c r="G344" t="s">
        <v>0</v>
      </c>
      <c r="H344" s="7">
        <f t="shared" si="5"/>
        <v>332370.9375</v>
      </c>
      <c r="I344" s="7">
        <v>53179.35</v>
      </c>
    </row>
    <row r="345" spans="1:9">
      <c r="A345" t="s">
        <v>1134</v>
      </c>
      <c r="B345" s="1">
        <v>42154</v>
      </c>
      <c r="C345" t="s">
        <v>2912</v>
      </c>
      <c r="D345">
        <v>1</v>
      </c>
      <c r="E345" t="s">
        <v>0</v>
      </c>
      <c r="F345" t="s">
        <v>799</v>
      </c>
      <c r="G345" t="s">
        <v>0</v>
      </c>
      <c r="H345" s="7">
        <f t="shared" si="5"/>
        <v>275488.4375</v>
      </c>
      <c r="I345" s="7">
        <v>44078.15</v>
      </c>
    </row>
    <row r="346" spans="1:9">
      <c r="A346" t="s">
        <v>3009</v>
      </c>
      <c r="B346" s="1">
        <v>42155</v>
      </c>
      <c r="C346" t="s">
        <v>3010</v>
      </c>
      <c r="D346">
        <v>1</v>
      </c>
      <c r="E346" t="s">
        <v>414</v>
      </c>
      <c r="F346" t="s">
        <v>878</v>
      </c>
      <c r="G346" t="s">
        <v>414</v>
      </c>
      <c r="H346" s="7">
        <f t="shared" si="5"/>
        <v>380</v>
      </c>
      <c r="I346" s="7">
        <v>60.8</v>
      </c>
    </row>
    <row r="347" spans="1:9">
      <c r="A347" t="s">
        <v>2941</v>
      </c>
      <c r="B347" s="1">
        <v>42155</v>
      </c>
      <c r="C347" t="s">
        <v>2942</v>
      </c>
      <c r="D347">
        <v>1</v>
      </c>
      <c r="E347" t="s">
        <v>414</v>
      </c>
      <c r="F347" t="s">
        <v>878</v>
      </c>
      <c r="G347" t="s">
        <v>414</v>
      </c>
      <c r="H347" s="7">
        <f t="shared" si="5"/>
        <v>380</v>
      </c>
      <c r="I347" s="7">
        <v>60.8</v>
      </c>
    </row>
    <row r="348" spans="1:9">
      <c r="A348" t="s">
        <v>2782</v>
      </c>
      <c r="B348" s="1">
        <v>42129</v>
      </c>
      <c r="C348" t="s">
        <v>2783</v>
      </c>
      <c r="D348">
        <v>1</v>
      </c>
      <c r="E348" t="s">
        <v>2784</v>
      </c>
      <c r="F348" t="s">
        <v>3239</v>
      </c>
      <c r="G348" t="s">
        <v>2784</v>
      </c>
      <c r="H348" s="7">
        <f t="shared" si="5"/>
        <v>303976.8125</v>
      </c>
      <c r="I348" s="7">
        <v>48636.29</v>
      </c>
    </row>
    <row r="349" spans="1:9">
      <c r="A349" t="s">
        <v>2868</v>
      </c>
      <c r="B349" s="1">
        <v>42151</v>
      </c>
      <c r="C349" t="s">
        <v>2869</v>
      </c>
      <c r="D349">
        <v>1</v>
      </c>
      <c r="E349" t="s">
        <v>2870</v>
      </c>
      <c r="F349" t="s">
        <v>951</v>
      </c>
      <c r="G349" t="s">
        <v>2870</v>
      </c>
      <c r="H349" s="7">
        <f t="shared" si="5"/>
        <v>431583.6875</v>
      </c>
      <c r="I349" s="7">
        <v>69053.39</v>
      </c>
    </row>
    <row r="350" spans="1:9">
      <c r="A350" t="s">
        <v>1210</v>
      </c>
      <c r="B350" s="1">
        <v>42155</v>
      </c>
      <c r="C350" t="s">
        <v>2999</v>
      </c>
      <c r="D350">
        <v>1</v>
      </c>
      <c r="E350" t="s">
        <v>1615</v>
      </c>
      <c r="F350" t="s">
        <v>1614</v>
      </c>
      <c r="G350" t="s">
        <v>1615</v>
      </c>
      <c r="H350" s="7">
        <f t="shared" si="5"/>
        <v>587.125</v>
      </c>
      <c r="I350" s="7">
        <v>93.94</v>
      </c>
    </row>
    <row r="351" spans="1:9">
      <c r="A351" t="s">
        <v>1337</v>
      </c>
      <c r="B351" s="1">
        <v>42131</v>
      </c>
      <c r="C351" t="s">
        <v>3121</v>
      </c>
      <c r="D351">
        <v>1</v>
      </c>
      <c r="E351" t="s">
        <v>3122</v>
      </c>
      <c r="F351" t="s">
        <v>3240</v>
      </c>
      <c r="G351" t="s">
        <v>3122</v>
      </c>
      <c r="H351" s="7">
        <f t="shared" si="5"/>
        <v>2600</v>
      </c>
      <c r="I351" s="7">
        <v>416</v>
      </c>
    </row>
    <row r="352" spans="1:9">
      <c r="A352" t="s">
        <v>3101</v>
      </c>
      <c r="B352" s="1">
        <v>42129</v>
      </c>
      <c r="C352" t="s">
        <v>3102</v>
      </c>
      <c r="D352">
        <v>2</v>
      </c>
      <c r="E352" t="s">
        <v>3103</v>
      </c>
      <c r="F352" t="s">
        <v>3241</v>
      </c>
      <c r="G352" t="s">
        <v>3103</v>
      </c>
      <c r="H352" s="7">
        <f t="shared" si="5"/>
        <v>2800</v>
      </c>
      <c r="I352" s="7">
        <v>448</v>
      </c>
    </row>
    <row r="353" spans="1:11">
      <c r="A353" t="s">
        <v>3154</v>
      </c>
      <c r="B353" s="1">
        <v>42139</v>
      </c>
      <c r="C353" t="s">
        <v>3155</v>
      </c>
      <c r="D353">
        <v>2</v>
      </c>
      <c r="E353" t="s">
        <v>3103</v>
      </c>
      <c r="F353" t="s">
        <v>3241</v>
      </c>
      <c r="G353" t="s">
        <v>3103</v>
      </c>
      <c r="H353" s="7">
        <f t="shared" si="5"/>
        <v>1500</v>
      </c>
      <c r="I353" s="7">
        <v>240</v>
      </c>
    </row>
    <row r="355" spans="1:11">
      <c r="H355" s="8"/>
      <c r="I355" s="8"/>
    </row>
    <row r="356" spans="1:11">
      <c r="H356" s="9">
        <f>SUM(H7:H355)</f>
        <v>20216569.9375</v>
      </c>
      <c r="I356" s="9">
        <f>SUM(I7:I355)</f>
        <v>3234651.1900000004</v>
      </c>
    </row>
    <row r="357" spans="1:11">
      <c r="H357" s="10">
        <f>3552784.71-324451.65</f>
        <v>3228333.06</v>
      </c>
      <c r="I357" s="10">
        <f>+H357-I356</f>
        <v>-6318.1300000003539</v>
      </c>
      <c r="J357" t="s">
        <v>960</v>
      </c>
    </row>
    <row r="358" spans="1:11" s="84" customFormat="1">
      <c r="A358" s="84" t="s">
        <v>3089</v>
      </c>
      <c r="B358" s="147">
        <v>42155</v>
      </c>
      <c r="C358" s="84" t="s">
        <v>3090</v>
      </c>
      <c r="D358" s="84">
        <v>1</v>
      </c>
      <c r="E358" s="84" t="s">
        <v>3091</v>
      </c>
      <c r="F358" s="84" t="s">
        <v>1559</v>
      </c>
      <c r="G358" s="84" t="s">
        <v>3091</v>
      </c>
      <c r="H358" s="148">
        <f>+I358/0.16</f>
        <v>-21023.625</v>
      </c>
      <c r="I358" s="148">
        <v>-3363.78</v>
      </c>
      <c r="J358" s="112"/>
    </row>
    <row r="359" spans="1:11" s="84" customFormat="1">
      <c r="A359" s="84" t="s">
        <v>1299</v>
      </c>
      <c r="B359" s="147">
        <v>42155</v>
      </c>
      <c r="C359" s="84" t="s">
        <v>3092</v>
      </c>
      <c r="D359" s="84">
        <v>1</v>
      </c>
      <c r="E359" s="84" t="s">
        <v>3093</v>
      </c>
      <c r="F359" s="84" t="s">
        <v>1559</v>
      </c>
      <c r="G359" s="84" t="s">
        <v>3093</v>
      </c>
      <c r="H359" s="148">
        <f>+I359/0.16</f>
        <v>-18464.6875</v>
      </c>
      <c r="I359" s="148">
        <v>-2954.35</v>
      </c>
      <c r="K359" s="112"/>
    </row>
    <row r="360" spans="1:11">
      <c r="F360" s="11"/>
      <c r="I360" s="9">
        <f>+I359+I358+I356</f>
        <v>3228333.0600000005</v>
      </c>
    </row>
    <row r="361" spans="1:11">
      <c r="F361" s="11"/>
    </row>
    <row r="362" spans="1:11">
      <c r="F362" s="11"/>
    </row>
    <row r="363" spans="1:11">
      <c r="F363" s="11"/>
    </row>
    <row r="364" spans="1:11">
      <c r="F364" s="12" t="s">
        <v>696</v>
      </c>
    </row>
    <row r="365" spans="1:11">
      <c r="F365" s="13" t="s">
        <v>7289</v>
      </c>
    </row>
    <row r="366" spans="1:11">
      <c r="F366" s="11"/>
    </row>
    <row r="367" spans="1:11">
      <c r="A367" s="14"/>
      <c r="B367" s="14"/>
      <c r="C367" s="14"/>
      <c r="D367" s="14"/>
      <c r="E367" s="14"/>
      <c r="F367" s="14" t="s">
        <v>692</v>
      </c>
      <c r="G367" s="14" t="s">
        <v>693</v>
      </c>
      <c r="H367" s="15" t="s">
        <v>694</v>
      </c>
      <c r="I367" s="14" t="s">
        <v>695</v>
      </c>
      <c r="J367" s="14" t="s">
        <v>697</v>
      </c>
    </row>
    <row r="368" spans="1:11">
      <c r="A368" s="150" t="s">
        <v>7544</v>
      </c>
      <c r="B368">
        <v>85</v>
      </c>
      <c r="F368" t="s">
        <v>1604</v>
      </c>
      <c r="G368" t="s">
        <v>1501</v>
      </c>
      <c r="H368" s="7">
        <f t="shared" ref="H368:H431" si="6">+I368/0.16</f>
        <v>9200</v>
      </c>
      <c r="I368" s="7">
        <f t="shared" ref="I368:I431" si="7">+SUMIF($F$7:$F$353,F368,$I$7:$I$353)</f>
        <v>1472</v>
      </c>
    </row>
    <row r="369" spans="1:9">
      <c r="A369" s="150" t="s">
        <v>7544</v>
      </c>
      <c r="B369">
        <v>85</v>
      </c>
      <c r="F369" t="s">
        <v>3245</v>
      </c>
      <c r="G369" t="s">
        <v>3014</v>
      </c>
      <c r="H369" s="7">
        <f t="shared" si="6"/>
        <v>206.875</v>
      </c>
      <c r="I369" s="7">
        <f t="shared" si="7"/>
        <v>33.1</v>
      </c>
    </row>
    <row r="370" spans="1:9">
      <c r="A370" s="150" t="s">
        <v>7544</v>
      </c>
      <c r="B370">
        <v>85</v>
      </c>
      <c r="F370" t="s">
        <v>923</v>
      </c>
      <c r="G370" t="s">
        <v>3000</v>
      </c>
      <c r="H370" s="7">
        <f t="shared" si="6"/>
        <v>2205.25</v>
      </c>
      <c r="I370" s="7">
        <f t="shared" si="7"/>
        <v>352.84</v>
      </c>
    </row>
    <row r="371" spans="1:9">
      <c r="A371" s="150" t="s">
        <v>7544</v>
      </c>
      <c r="B371">
        <v>85</v>
      </c>
      <c r="F371" s="23" t="s">
        <v>733</v>
      </c>
      <c r="G371" t="s">
        <v>3216</v>
      </c>
      <c r="H371" s="7">
        <f t="shared" si="6"/>
        <v>355.875</v>
      </c>
      <c r="I371" s="7">
        <f t="shared" si="7"/>
        <v>56.94</v>
      </c>
    </row>
    <row r="372" spans="1:9">
      <c r="A372" s="150" t="s">
        <v>7544</v>
      </c>
      <c r="B372">
        <v>85</v>
      </c>
      <c r="F372" t="s">
        <v>701</v>
      </c>
      <c r="G372" t="s">
        <v>462</v>
      </c>
      <c r="H372" s="7">
        <f t="shared" si="6"/>
        <v>3103.4375</v>
      </c>
      <c r="I372" s="7">
        <f t="shared" si="7"/>
        <v>496.55</v>
      </c>
    </row>
    <row r="373" spans="1:9">
      <c r="A373" s="150" t="s">
        <v>7544</v>
      </c>
      <c r="B373">
        <v>85</v>
      </c>
      <c r="F373" t="s">
        <v>879</v>
      </c>
      <c r="G373" t="s">
        <v>880</v>
      </c>
      <c r="H373" s="7">
        <f t="shared" si="6"/>
        <v>889.625</v>
      </c>
      <c r="I373" s="7">
        <f t="shared" si="7"/>
        <v>142.34</v>
      </c>
    </row>
    <row r="374" spans="1:9">
      <c r="A374" s="150" t="s">
        <v>7544</v>
      </c>
      <c r="B374">
        <v>85</v>
      </c>
      <c r="F374" t="s">
        <v>2241</v>
      </c>
      <c r="G374" t="s">
        <v>3007</v>
      </c>
      <c r="H374" s="7">
        <f t="shared" si="6"/>
        <v>217.25000000000003</v>
      </c>
      <c r="I374" s="7">
        <f t="shared" si="7"/>
        <v>34.760000000000005</v>
      </c>
    </row>
    <row r="375" spans="1:9">
      <c r="A375" s="150" t="s">
        <v>7544</v>
      </c>
      <c r="B375">
        <v>85</v>
      </c>
      <c r="F375" t="s">
        <v>2191</v>
      </c>
      <c r="G375" t="s">
        <v>1938</v>
      </c>
      <c r="H375" s="7">
        <f t="shared" si="6"/>
        <v>385</v>
      </c>
      <c r="I375" s="7">
        <f t="shared" si="7"/>
        <v>61.6</v>
      </c>
    </row>
    <row r="376" spans="1:9">
      <c r="A376" s="150" t="s">
        <v>7544</v>
      </c>
      <c r="B376">
        <v>85</v>
      </c>
      <c r="F376" t="s">
        <v>711</v>
      </c>
      <c r="G376" t="s">
        <v>2994</v>
      </c>
      <c r="H376" s="7">
        <f t="shared" si="6"/>
        <v>404.62499999999994</v>
      </c>
      <c r="I376" s="7">
        <f t="shared" si="7"/>
        <v>64.739999999999995</v>
      </c>
    </row>
    <row r="377" spans="1:9">
      <c r="A377" s="150" t="s">
        <v>7544</v>
      </c>
      <c r="B377">
        <v>85</v>
      </c>
      <c r="F377" t="s">
        <v>707</v>
      </c>
      <c r="G377" t="s">
        <v>2873</v>
      </c>
      <c r="H377" s="7">
        <f t="shared" si="6"/>
        <v>153712.375</v>
      </c>
      <c r="I377" s="7">
        <f t="shared" si="7"/>
        <v>24593.98</v>
      </c>
    </row>
    <row r="378" spans="1:9">
      <c r="A378" s="150" t="s">
        <v>7544</v>
      </c>
      <c r="B378">
        <v>85</v>
      </c>
      <c r="F378" s="19" t="s">
        <v>7349</v>
      </c>
      <c r="G378" s="19" t="s">
        <v>7350</v>
      </c>
      <c r="H378" s="7">
        <f t="shared" si="6"/>
        <v>112.0625</v>
      </c>
      <c r="I378" s="7">
        <f t="shared" si="7"/>
        <v>17.93</v>
      </c>
    </row>
    <row r="379" spans="1:9">
      <c r="A379" s="150" t="s">
        <v>7544</v>
      </c>
      <c r="B379">
        <v>85</v>
      </c>
      <c r="F379" t="s">
        <v>3217</v>
      </c>
      <c r="G379" t="s">
        <v>2877</v>
      </c>
      <c r="H379" s="7">
        <f t="shared" si="6"/>
        <v>157264.1875</v>
      </c>
      <c r="I379" s="7">
        <f t="shared" si="7"/>
        <v>25162.27</v>
      </c>
    </row>
    <row r="380" spans="1:9">
      <c r="A380" s="150" t="s">
        <v>7544</v>
      </c>
      <c r="B380">
        <v>85</v>
      </c>
      <c r="F380" t="s">
        <v>714</v>
      </c>
      <c r="G380" t="s">
        <v>2990</v>
      </c>
      <c r="H380" s="7">
        <f t="shared" si="6"/>
        <v>3804.9374999999995</v>
      </c>
      <c r="I380" s="7">
        <f t="shared" si="7"/>
        <v>608.79</v>
      </c>
    </row>
    <row r="381" spans="1:9">
      <c r="A381" s="150" t="s">
        <v>7544</v>
      </c>
      <c r="B381">
        <v>85</v>
      </c>
      <c r="F381" t="s">
        <v>1628</v>
      </c>
      <c r="G381" t="s">
        <v>3019</v>
      </c>
      <c r="H381" s="7">
        <f t="shared" si="6"/>
        <v>535.8125</v>
      </c>
      <c r="I381" s="7">
        <f t="shared" si="7"/>
        <v>85.73</v>
      </c>
    </row>
    <row r="382" spans="1:9">
      <c r="A382" s="150" t="s">
        <v>7544</v>
      </c>
      <c r="B382">
        <v>85</v>
      </c>
      <c r="F382" s="25" t="s">
        <v>737</v>
      </c>
      <c r="G382" t="s">
        <v>3148</v>
      </c>
      <c r="H382" s="7">
        <f t="shared" si="6"/>
        <v>11450.874999999998</v>
      </c>
      <c r="I382" s="7">
        <f t="shared" si="7"/>
        <v>1832.1399999999999</v>
      </c>
    </row>
    <row r="383" spans="1:9">
      <c r="A383" s="150" t="s">
        <v>7544</v>
      </c>
      <c r="B383">
        <v>85</v>
      </c>
      <c r="F383" s="25" t="s">
        <v>735</v>
      </c>
      <c r="G383" s="63" t="s">
        <v>736</v>
      </c>
      <c r="H383" s="7">
        <f t="shared" si="6"/>
        <v>200</v>
      </c>
      <c r="I383" s="7">
        <f t="shared" si="7"/>
        <v>32</v>
      </c>
    </row>
    <row r="384" spans="1:9">
      <c r="A384" s="150" t="s">
        <v>7544</v>
      </c>
      <c r="B384">
        <v>85</v>
      </c>
      <c r="F384" s="25" t="s">
        <v>741</v>
      </c>
      <c r="G384" s="26" t="s">
        <v>742</v>
      </c>
      <c r="H384" s="7">
        <f t="shared" si="6"/>
        <v>1011.9999999999999</v>
      </c>
      <c r="I384" s="7">
        <f t="shared" si="7"/>
        <v>161.91999999999999</v>
      </c>
    </row>
    <row r="385" spans="1:10">
      <c r="A385" s="150" t="s">
        <v>7544</v>
      </c>
      <c r="B385">
        <v>85</v>
      </c>
      <c r="F385" t="s">
        <v>739</v>
      </c>
      <c r="G385" s="19" t="s">
        <v>3249</v>
      </c>
      <c r="H385" s="7">
        <f t="shared" si="6"/>
        <v>11117.4375</v>
      </c>
      <c r="I385" s="7">
        <f t="shared" si="7"/>
        <v>1778.79</v>
      </c>
    </row>
    <row r="386" spans="1:10">
      <c r="A386" s="150" t="s">
        <v>7544</v>
      </c>
      <c r="B386">
        <v>85</v>
      </c>
      <c r="F386" s="25" t="s">
        <v>743</v>
      </c>
      <c r="G386" s="26" t="s">
        <v>744</v>
      </c>
      <c r="H386" s="7">
        <f t="shared" si="6"/>
        <v>139</v>
      </c>
      <c r="I386" s="7">
        <f t="shared" si="7"/>
        <v>22.24</v>
      </c>
    </row>
    <row r="387" spans="1:10">
      <c r="A387" s="150" t="s">
        <v>7544</v>
      </c>
      <c r="B387">
        <v>85</v>
      </c>
      <c r="F387" t="s">
        <v>790</v>
      </c>
      <c r="G387" t="s">
        <v>428</v>
      </c>
      <c r="H387" s="7">
        <f t="shared" si="6"/>
        <v>1386817.8125</v>
      </c>
      <c r="I387" s="7">
        <f t="shared" si="7"/>
        <v>221890.85</v>
      </c>
    </row>
    <row r="388" spans="1:10">
      <c r="A388" s="150" t="s">
        <v>7544</v>
      </c>
      <c r="B388">
        <v>85</v>
      </c>
      <c r="F388" s="19" t="s">
        <v>3246</v>
      </c>
      <c r="G388" s="19" t="s">
        <v>7549</v>
      </c>
      <c r="H388" s="7">
        <f t="shared" si="6"/>
        <v>68965.5</v>
      </c>
      <c r="I388" s="7">
        <f t="shared" si="7"/>
        <v>11034.48</v>
      </c>
    </row>
    <row r="389" spans="1:10">
      <c r="A389" s="150" t="s">
        <v>7544</v>
      </c>
      <c r="B389" s="150" t="s">
        <v>7566</v>
      </c>
      <c r="F389" s="19" t="s">
        <v>956</v>
      </c>
      <c r="G389" s="19" t="s">
        <v>957</v>
      </c>
      <c r="H389" s="7">
        <f t="shared" si="6"/>
        <v>36890.4375</v>
      </c>
      <c r="I389" s="7">
        <f t="shared" si="7"/>
        <v>5902.47</v>
      </c>
      <c r="J389">
        <v>3934.98</v>
      </c>
    </row>
    <row r="390" spans="1:10">
      <c r="A390" s="150" t="s">
        <v>7544</v>
      </c>
      <c r="B390">
        <v>85</v>
      </c>
      <c r="F390" s="19" t="s">
        <v>3220</v>
      </c>
      <c r="G390" t="s">
        <v>2936</v>
      </c>
      <c r="H390" s="7">
        <f t="shared" si="6"/>
        <v>462.6875</v>
      </c>
      <c r="I390" s="7">
        <f t="shared" si="7"/>
        <v>74.03</v>
      </c>
    </row>
    <row r="391" spans="1:10">
      <c r="A391" s="150" t="s">
        <v>7544</v>
      </c>
      <c r="B391">
        <v>85</v>
      </c>
      <c r="F391" t="s">
        <v>1543</v>
      </c>
      <c r="G391" t="s">
        <v>7352</v>
      </c>
      <c r="H391" s="7">
        <f t="shared" si="6"/>
        <v>129.3125</v>
      </c>
      <c r="I391" s="7">
        <f t="shared" si="7"/>
        <v>20.69</v>
      </c>
    </row>
    <row r="392" spans="1:10">
      <c r="A392" s="150" t="s">
        <v>7544</v>
      </c>
      <c r="B392">
        <v>85</v>
      </c>
      <c r="F392" s="19" t="s">
        <v>881</v>
      </c>
      <c r="G392" t="s">
        <v>882</v>
      </c>
      <c r="H392" s="7">
        <f t="shared" si="6"/>
        <v>100.875</v>
      </c>
      <c r="I392" s="7">
        <f t="shared" si="7"/>
        <v>16.14</v>
      </c>
    </row>
    <row r="393" spans="1:10">
      <c r="A393" s="150" t="s">
        <v>7544</v>
      </c>
      <c r="B393">
        <v>85</v>
      </c>
      <c r="F393" s="19" t="s">
        <v>808</v>
      </c>
      <c r="G393" s="19" t="s">
        <v>5717</v>
      </c>
      <c r="H393" s="7">
        <f t="shared" si="6"/>
        <v>16182.1875</v>
      </c>
      <c r="I393" s="7">
        <f t="shared" si="7"/>
        <v>2589.15</v>
      </c>
    </row>
    <row r="394" spans="1:10">
      <c r="A394" s="150" t="s">
        <v>7544</v>
      </c>
      <c r="B394">
        <v>85</v>
      </c>
      <c r="F394" s="19" t="s">
        <v>726</v>
      </c>
      <c r="G394" t="s">
        <v>293</v>
      </c>
      <c r="H394" s="7">
        <f t="shared" si="6"/>
        <v>237.87499999999997</v>
      </c>
      <c r="I394" s="7">
        <f t="shared" si="7"/>
        <v>38.059999999999995</v>
      </c>
    </row>
    <row r="395" spans="1:10">
      <c r="A395" s="150" t="s">
        <v>7544</v>
      </c>
      <c r="B395">
        <v>85</v>
      </c>
      <c r="F395" s="19" t="s">
        <v>759</v>
      </c>
      <c r="G395" t="s">
        <v>270</v>
      </c>
      <c r="H395" s="7">
        <f t="shared" si="6"/>
        <v>188.8125</v>
      </c>
      <c r="I395" s="7">
        <f t="shared" si="7"/>
        <v>30.21</v>
      </c>
    </row>
    <row r="396" spans="1:10">
      <c r="A396" s="150" t="s">
        <v>7544</v>
      </c>
      <c r="B396">
        <v>85</v>
      </c>
      <c r="F396" s="19" t="s">
        <v>755</v>
      </c>
      <c r="G396" t="s">
        <v>3130</v>
      </c>
      <c r="H396" s="7">
        <f t="shared" si="6"/>
        <v>2165.4375</v>
      </c>
      <c r="I396" s="7">
        <f t="shared" si="7"/>
        <v>346.47</v>
      </c>
    </row>
    <row r="397" spans="1:10">
      <c r="A397" s="150" t="s">
        <v>7544</v>
      </c>
      <c r="B397">
        <v>85</v>
      </c>
      <c r="F397" s="19" t="s">
        <v>1551</v>
      </c>
      <c r="G397" t="s">
        <v>1436</v>
      </c>
      <c r="H397" s="7">
        <f t="shared" si="6"/>
        <v>2147.5</v>
      </c>
      <c r="I397" s="7">
        <f t="shared" si="7"/>
        <v>343.6</v>
      </c>
    </row>
    <row r="398" spans="1:10">
      <c r="A398" s="150" t="s">
        <v>7544</v>
      </c>
      <c r="B398">
        <v>85</v>
      </c>
      <c r="F398" s="19" t="s">
        <v>3218</v>
      </c>
      <c r="G398" t="s">
        <v>3026</v>
      </c>
      <c r="H398" s="7">
        <f t="shared" si="6"/>
        <v>317.25</v>
      </c>
      <c r="I398" s="7">
        <f t="shared" si="7"/>
        <v>50.76</v>
      </c>
    </row>
    <row r="399" spans="1:10">
      <c r="A399" s="150" t="s">
        <v>7544</v>
      </c>
      <c r="B399">
        <v>85</v>
      </c>
      <c r="F399" t="s">
        <v>791</v>
      </c>
      <c r="G399" t="s">
        <v>2806</v>
      </c>
      <c r="H399" s="7">
        <f t="shared" si="6"/>
        <v>558905.3125</v>
      </c>
      <c r="I399" s="7">
        <f t="shared" si="7"/>
        <v>89424.85</v>
      </c>
    </row>
    <row r="400" spans="1:10">
      <c r="A400" s="150" t="s">
        <v>7544</v>
      </c>
      <c r="B400">
        <v>85</v>
      </c>
      <c r="F400" t="s">
        <v>797</v>
      </c>
      <c r="G400" t="s">
        <v>2859</v>
      </c>
      <c r="H400" s="7">
        <f t="shared" si="6"/>
        <v>431585.4375</v>
      </c>
      <c r="I400" s="7">
        <f t="shared" si="7"/>
        <v>69053.67</v>
      </c>
    </row>
    <row r="401" spans="1:9">
      <c r="A401" s="150" t="s">
        <v>7544</v>
      </c>
      <c r="B401">
        <v>85</v>
      </c>
      <c r="F401" t="s">
        <v>1559</v>
      </c>
      <c r="G401" t="s">
        <v>1364</v>
      </c>
      <c r="H401" s="7">
        <f t="shared" si="6"/>
        <v>5599.125</v>
      </c>
      <c r="I401" s="7">
        <f t="shared" si="7"/>
        <v>895.86</v>
      </c>
    </row>
    <row r="402" spans="1:9">
      <c r="A402" s="150" t="s">
        <v>7544</v>
      </c>
      <c r="B402">
        <v>85</v>
      </c>
      <c r="F402" t="s">
        <v>3223</v>
      </c>
      <c r="G402" t="s">
        <v>3202</v>
      </c>
      <c r="H402" s="7">
        <f t="shared" si="6"/>
        <v>67810.625</v>
      </c>
      <c r="I402" s="7">
        <f t="shared" si="7"/>
        <v>10849.7</v>
      </c>
    </row>
    <row r="403" spans="1:9">
      <c r="A403" s="150" t="s">
        <v>7544</v>
      </c>
      <c r="B403">
        <v>85</v>
      </c>
      <c r="F403" t="s">
        <v>795</v>
      </c>
      <c r="G403" t="s">
        <v>638</v>
      </c>
      <c r="H403" s="7">
        <f t="shared" si="6"/>
        <v>68069</v>
      </c>
      <c r="I403" s="7">
        <f t="shared" si="7"/>
        <v>10891.04</v>
      </c>
    </row>
    <row r="404" spans="1:9">
      <c r="A404" s="150" t="s">
        <v>7544</v>
      </c>
      <c r="B404">
        <v>85</v>
      </c>
      <c r="F404" t="s">
        <v>3224</v>
      </c>
      <c r="G404" t="s">
        <v>3061</v>
      </c>
      <c r="H404" s="7">
        <f t="shared" si="6"/>
        <v>51.749999999999993</v>
      </c>
      <c r="I404" s="7">
        <f t="shared" si="7"/>
        <v>8.2799999999999994</v>
      </c>
    </row>
    <row r="405" spans="1:9">
      <c r="A405" s="150" t="s">
        <v>7544</v>
      </c>
      <c r="B405">
        <v>85</v>
      </c>
      <c r="F405" t="s">
        <v>704</v>
      </c>
      <c r="G405" t="s">
        <v>237</v>
      </c>
      <c r="H405" s="7">
        <f t="shared" si="6"/>
        <v>2189.625</v>
      </c>
      <c r="I405" s="7">
        <f t="shared" si="7"/>
        <v>350.34000000000003</v>
      </c>
    </row>
    <row r="406" spans="1:9">
      <c r="A406" s="150" t="s">
        <v>7544</v>
      </c>
      <c r="B406">
        <v>85</v>
      </c>
      <c r="F406" t="s">
        <v>2201</v>
      </c>
      <c r="G406" t="s">
        <v>1871</v>
      </c>
      <c r="H406" s="7">
        <f t="shared" si="6"/>
        <v>79.3125</v>
      </c>
      <c r="I406" s="7">
        <f t="shared" si="7"/>
        <v>12.69</v>
      </c>
    </row>
    <row r="407" spans="1:9">
      <c r="A407" s="150" t="s">
        <v>7544</v>
      </c>
      <c r="B407">
        <v>85</v>
      </c>
      <c r="F407" t="s">
        <v>1564</v>
      </c>
      <c r="G407" t="s">
        <v>1412</v>
      </c>
      <c r="H407" s="7">
        <f t="shared" si="6"/>
        <v>167015.9375</v>
      </c>
      <c r="I407" s="7">
        <f t="shared" si="7"/>
        <v>26722.55</v>
      </c>
    </row>
    <row r="408" spans="1:9">
      <c r="A408" s="150" t="s">
        <v>7544</v>
      </c>
      <c r="B408">
        <v>85</v>
      </c>
      <c r="F408" t="s">
        <v>1561</v>
      </c>
      <c r="G408" t="s">
        <v>1188</v>
      </c>
      <c r="H408" s="7">
        <f t="shared" si="6"/>
        <v>410.37499999999994</v>
      </c>
      <c r="I408" s="7">
        <f t="shared" si="7"/>
        <v>65.66</v>
      </c>
    </row>
    <row r="409" spans="1:9">
      <c r="A409" s="150" t="s">
        <v>7544</v>
      </c>
      <c r="B409">
        <v>85</v>
      </c>
      <c r="F409" t="s">
        <v>2695</v>
      </c>
      <c r="G409" t="s">
        <v>2455</v>
      </c>
      <c r="H409" s="7">
        <f t="shared" si="6"/>
        <v>186.1875</v>
      </c>
      <c r="I409" s="7">
        <f t="shared" si="7"/>
        <v>29.79</v>
      </c>
    </row>
    <row r="410" spans="1:9">
      <c r="A410" s="150" t="s">
        <v>7544</v>
      </c>
      <c r="B410">
        <v>85</v>
      </c>
      <c r="F410" t="s">
        <v>3084</v>
      </c>
      <c r="G410" s="139" t="s">
        <v>7171</v>
      </c>
      <c r="H410" s="7">
        <f t="shared" si="6"/>
        <v>335.5625</v>
      </c>
      <c r="I410" s="7">
        <f t="shared" si="7"/>
        <v>53.69</v>
      </c>
    </row>
    <row r="411" spans="1:9">
      <c r="A411" s="150" t="s">
        <v>7544</v>
      </c>
      <c r="B411">
        <v>85</v>
      </c>
      <c r="F411" t="s">
        <v>961</v>
      </c>
      <c r="G411" t="s">
        <v>2975</v>
      </c>
      <c r="H411" s="7">
        <f t="shared" si="6"/>
        <v>167.75</v>
      </c>
      <c r="I411" s="7">
        <f t="shared" si="7"/>
        <v>26.84</v>
      </c>
    </row>
    <row r="412" spans="1:9">
      <c r="A412" s="150" t="s">
        <v>7544</v>
      </c>
      <c r="B412">
        <v>85</v>
      </c>
      <c r="F412" t="s">
        <v>3225</v>
      </c>
      <c r="G412" t="s">
        <v>2982</v>
      </c>
      <c r="H412" s="7">
        <f t="shared" si="6"/>
        <v>167.75</v>
      </c>
      <c r="I412" s="7">
        <f t="shared" si="7"/>
        <v>26.84</v>
      </c>
    </row>
    <row r="413" spans="1:9">
      <c r="A413" s="150" t="s">
        <v>7544</v>
      </c>
      <c r="B413">
        <v>85</v>
      </c>
      <c r="F413" t="s">
        <v>804</v>
      </c>
      <c r="G413" t="s">
        <v>285</v>
      </c>
      <c r="H413" s="7">
        <f t="shared" si="6"/>
        <v>200.99999999999997</v>
      </c>
      <c r="I413" s="7">
        <f t="shared" si="7"/>
        <v>32.159999999999997</v>
      </c>
    </row>
    <row r="414" spans="1:9">
      <c r="A414" s="150" t="s">
        <v>7544</v>
      </c>
      <c r="B414">
        <v>85</v>
      </c>
      <c r="F414" s="25" t="s">
        <v>1568</v>
      </c>
      <c r="G414" t="s">
        <v>3053</v>
      </c>
      <c r="H414" s="7">
        <f t="shared" si="6"/>
        <v>109.5</v>
      </c>
      <c r="I414" s="7">
        <f t="shared" si="7"/>
        <v>17.52</v>
      </c>
    </row>
    <row r="415" spans="1:9">
      <c r="A415" s="150" t="s">
        <v>7544</v>
      </c>
      <c r="B415">
        <v>85</v>
      </c>
      <c r="F415" s="17" t="s">
        <v>703</v>
      </c>
      <c r="G415" t="s">
        <v>2945</v>
      </c>
      <c r="H415" s="7">
        <f t="shared" si="6"/>
        <v>77.625</v>
      </c>
      <c r="I415" s="7">
        <f t="shared" si="7"/>
        <v>12.42</v>
      </c>
    </row>
    <row r="416" spans="1:9">
      <c r="A416" s="150" t="s">
        <v>7544</v>
      </c>
      <c r="B416">
        <v>85</v>
      </c>
      <c r="F416" t="s">
        <v>1570</v>
      </c>
      <c r="G416" t="s">
        <v>1476</v>
      </c>
      <c r="H416" s="7">
        <f t="shared" si="6"/>
        <v>6158</v>
      </c>
      <c r="I416" s="7">
        <f t="shared" si="7"/>
        <v>985.28</v>
      </c>
    </row>
    <row r="417" spans="1:11">
      <c r="A417" s="150" t="s">
        <v>7544</v>
      </c>
      <c r="B417">
        <v>85</v>
      </c>
      <c r="F417" t="s">
        <v>815</v>
      </c>
      <c r="G417" t="s">
        <v>446</v>
      </c>
      <c r="H417" s="7">
        <f t="shared" si="6"/>
        <v>6237.8749999999991</v>
      </c>
      <c r="I417" s="7">
        <f t="shared" si="7"/>
        <v>998.06</v>
      </c>
    </row>
    <row r="418" spans="1:11">
      <c r="A418" s="150" t="s">
        <v>7544</v>
      </c>
      <c r="B418">
        <v>85</v>
      </c>
      <c r="F418" t="s">
        <v>913</v>
      </c>
      <c r="G418" t="s">
        <v>914</v>
      </c>
      <c r="H418" s="7">
        <f t="shared" si="6"/>
        <v>569.875</v>
      </c>
      <c r="I418" s="7">
        <f t="shared" si="7"/>
        <v>91.18</v>
      </c>
    </row>
    <row r="419" spans="1:11">
      <c r="A419" s="150" t="s">
        <v>7544</v>
      </c>
      <c r="B419">
        <v>85</v>
      </c>
      <c r="F419" t="s">
        <v>3226</v>
      </c>
      <c r="G419" t="s">
        <v>3075</v>
      </c>
      <c r="H419" s="7">
        <f t="shared" si="6"/>
        <v>341.25</v>
      </c>
      <c r="I419" s="7">
        <f t="shared" si="7"/>
        <v>54.6</v>
      </c>
    </row>
    <row r="420" spans="1:11">
      <c r="A420" s="150" t="s">
        <v>7544</v>
      </c>
      <c r="B420">
        <v>85</v>
      </c>
      <c r="F420" t="s">
        <v>722</v>
      </c>
      <c r="G420" t="s">
        <v>723</v>
      </c>
      <c r="H420" s="7">
        <f t="shared" si="6"/>
        <v>6216.6249999999991</v>
      </c>
      <c r="I420" s="7">
        <f t="shared" si="7"/>
        <v>994.65999999999985</v>
      </c>
    </row>
    <row r="421" spans="1:11">
      <c r="A421" s="150" t="s">
        <v>7544</v>
      </c>
      <c r="B421">
        <v>85</v>
      </c>
      <c r="F421" t="s">
        <v>3227</v>
      </c>
      <c r="G421" t="s">
        <v>3172</v>
      </c>
      <c r="H421" s="7">
        <f t="shared" si="6"/>
        <v>10096</v>
      </c>
      <c r="I421" s="7">
        <f t="shared" si="7"/>
        <v>1615.36</v>
      </c>
    </row>
    <row r="422" spans="1:11">
      <c r="A422" s="150" t="s">
        <v>7544</v>
      </c>
      <c r="B422">
        <v>85</v>
      </c>
      <c r="F422" t="s">
        <v>813</v>
      </c>
      <c r="G422" t="s">
        <v>2809</v>
      </c>
      <c r="H422" s="7">
        <f t="shared" si="6"/>
        <v>332370.9375</v>
      </c>
      <c r="I422" s="7">
        <f t="shared" si="7"/>
        <v>53179.35</v>
      </c>
    </row>
    <row r="423" spans="1:11">
      <c r="A423" s="150" t="s">
        <v>7544</v>
      </c>
      <c r="B423">
        <v>85</v>
      </c>
      <c r="F423" t="s">
        <v>1608</v>
      </c>
      <c r="G423" s="139" t="s">
        <v>7347</v>
      </c>
      <c r="H423" s="7">
        <f t="shared" si="6"/>
        <v>419.37499999999994</v>
      </c>
      <c r="I423" s="7">
        <f t="shared" si="7"/>
        <v>67.099999999999994</v>
      </c>
    </row>
    <row r="424" spans="1:11">
      <c r="A424" s="150" t="s">
        <v>7544</v>
      </c>
      <c r="B424">
        <v>85</v>
      </c>
      <c r="F424" t="s">
        <v>806</v>
      </c>
      <c r="G424" t="s">
        <v>503</v>
      </c>
      <c r="H424" s="7">
        <f t="shared" si="6"/>
        <v>11443.375</v>
      </c>
      <c r="I424" s="7">
        <f t="shared" si="7"/>
        <v>1830.94</v>
      </c>
    </row>
    <row r="425" spans="1:11">
      <c r="A425" s="150" t="s">
        <v>7544</v>
      </c>
      <c r="B425">
        <v>85</v>
      </c>
      <c r="F425" t="s">
        <v>820</v>
      </c>
      <c r="G425" t="s">
        <v>324</v>
      </c>
      <c r="H425" s="7">
        <f t="shared" si="6"/>
        <v>49.9375</v>
      </c>
      <c r="I425" s="7">
        <f t="shared" si="7"/>
        <v>7.99</v>
      </c>
    </row>
    <row r="426" spans="1:11">
      <c r="A426" s="150" t="s">
        <v>7544</v>
      </c>
      <c r="B426">
        <v>85</v>
      </c>
      <c r="F426" t="s">
        <v>823</v>
      </c>
      <c r="G426" t="s">
        <v>455</v>
      </c>
      <c r="H426" s="7">
        <f t="shared" si="6"/>
        <v>54776.6875</v>
      </c>
      <c r="I426" s="7">
        <f t="shared" si="7"/>
        <v>8764.27</v>
      </c>
    </row>
    <row r="427" spans="1:11">
      <c r="A427" s="150" t="s">
        <v>7544</v>
      </c>
      <c r="B427">
        <v>85</v>
      </c>
      <c r="F427" t="s">
        <v>1573</v>
      </c>
      <c r="G427" t="s">
        <v>1455</v>
      </c>
      <c r="H427" s="7">
        <f t="shared" si="6"/>
        <v>9750</v>
      </c>
      <c r="I427" s="7">
        <f t="shared" si="7"/>
        <v>1560</v>
      </c>
    </row>
    <row r="428" spans="1:11">
      <c r="A428" s="150" t="s">
        <v>7544</v>
      </c>
      <c r="B428">
        <v>85</v>
      </c>
      <c r="F428" t="s">
        <v>821</v>
      </c>
      <c r="G428" t="s">
        <v>263</v>
      </c>
      <c r="H428" s="7">
        <f t="shared" si="6"/>
        <v>1448.25</v>
      </c>
      <c r="I428" s="7">
        <f t="shared" si="7"/>
        <v>231.72</v>
      </c>
    </row>
    <row r="429" spans="1:11">
      <c r="A429" s="150" t="s">
        <v>7544</v>
      </c>
      <c r="B429">
        <v>85</v>
      </c>
      <c r="F429" t="s">
        <v>3228</v>
      </c>
      <c r="G429" t="s">
        <v>2967</v>
      </c>
      <c r="H429" s="7">
        <f t="shared" si="6"/>
        <v>66.375</v>
      </c>
      <c r="I429" s="7">
        <f t="shared" si="7"/>
        <v>10.62</v>
      </c>
    </row>
    <row r="430" spans="1:11">
      <c r="A430" s="150" t="s">
        <v>7544</v>
      </c>
      <c r="B430">
        <v>85</v>
      </c>
      <c r="F430" s="19" t="s">
        <v>716</v>
      </c>
      <c r="G430" s="19" t="s">
        <v>717</v>
      </c>
      <c r="H430" s="7">
        <f t="shared" si="6"/>
        <v>2953.125</v>
      </c>
      <c r="I430" s="7">
        <f t="shared" si="7"/>
        <v>472.5</v>
      </c>
    </row>
    <row r="431" spans="1:11">
      <c r="A431" s="150" t="s">
        <v>7544</v>
      </c>
      <c r="B431">
        <v>85</v>
      </c>
      <c r="F431" t="s">
        <v>822</v>
      </c>
      <c r="G431" t="s">
        <v>7550</v>
      </c>
      <c r="H431" s="7">
        <f t="shared" si="6"/>
        <v>915.31249999999989</v>
      </c>
      <c r="I431" s="7">
        <f t="shared" si="7"/>
        <v>146.44999999999999</v>
      </c>
      <c r="J431">
        <f>3.92+3.92+8.45</f>
        <v>16.29</v>
      </c>
      <c r="K431">
        <f>+H431*0.04</f>
        <v>36.612499999999997</v>
      </c>
    </row>
    <row r="432" spans="1:11">
      <c r="A432" s="150" t="s">
        <v>7544</v>
      </c>
      <c r="B432">
        <v>85</v>
      </c>
      <c r="F432" t="s">
        <v>3229</v>
      </c>
      <c r="G432" t="s">
        <v>2988</v>
      </c>
      <c r="H432" s="7">
        <f t="shared" ref="H432:H495" si="8">+I432/0.16</f>
        <v>200.99999999999997</v>
      </c>
      <c r="I432" s="7">
        <f t="shared" ref="I432:I495" si="9">+SUMIF($F$7:$F$353,F432,$I$7:$I$353)</f>
        <v>32.159999999999997</v>
      </c>
    </row>
    <row r="433" spans="1:10">
      <c r="A433" s="150" t="s">
        <v>7544</v>
      </c>
      <c r="B433">
        <v>85</v>
      </c>
      <c r="F433" t="s">
        <v>827</v>
      </c>
      <c r="G433" t="s">
        <v>650</v>
      </c>
      <c r="H433" s="7">
        <f t="shared" si="8"/>
        <v>5943</v>
      </c>
      <c r="I433" s="7">
        <f t="shared" si="9"/>
        <v>950.88</v>
      </c>
    </row>
    <row r="434" spans="1:10">
      <c r="A434" s="150" t="s">
        <v>7544</v>
      </c>
      <c r="B434">
        <v>85</v>
      </c>
      <c r="F434" t="s">
        <v>828</v>
      </c>
      <c r="G434" t="s">
        <v>336</v>
      </c>
      <c r="H434" s="7">
        <f t="shared" si="8"/>
        <v>60.75</v>
      </c>
      <c r="I434" s="7">
        <f t="shared" si="9"/>
        <v>9.7200000000000006</v>
      </c>
    </row>
    <row r="435" spans="1:10">
      <c r="A435" s="150" t="s">
        <v>7544</v>
      </c>
      <c r="B435">
        <v>85</v>
      </c>
      <c r="F435" t="s">
        <v>3230</v>
      </c>
      <c r="G435" t="s">
        <v>3231</v>
      </c>
      <c r="H435" s="7">
        <f t="shared" si="8"/>
        <v>145.6875</v>
      </c>
      <c r="I435" s="7">
        <f t="shared" si="9"/>
        <v>23.31</v>
      </c>
    </row>
    <row r="436" spans="1:10">
      <c r="A436" s="150" t="s">
        <v>7544</v>
      </c>
      <c r="B436">
        <v>85</v>
      </c>
      <c r="F436" t="s">
        <v>830</v>
      </c>
      <c r="G436" t="s">
        <v>7547</v>
      </c>
      <c r="H436" s="7">
        <f t="shared" si="8"/>
        <v>568742.0625</v>
      </c>
      <c r="I436" s="7">
        <f t="shared" si="9"/>
        <v>90998.73</v>
      </c>
    </row>
    <row r="437" spans="1:10">
      <c r="A437" s="150" t="s">
        <v>7544</v>
      </c>
      <c r="B437">
        <v>85</v>
      </c>
      <c r="F437" t="s">
        <v>836</v>
      </c>
      <c r="G437" t="s">
        <v>472</v>
      </c>
      <c r="H437" s="7">
        <f t="shared" si="8"/>
        <v>6122.375</v>
      </c>
      <c r="I437" s="7">
        <f t="shared" si="9"/>
        <v>979.58</v>
      </c>
    </row>
    <row r="438" spans="1:10">
      <c r="A438" s="150" t="s">
        <v>7544</v>
      </c>
      <c r="B438">
        <v>85</v>
      </c>
      <c r="F438" t="s">
        <v>3247</v>
      </c>
      <c r="G438" t="s">
        <v>7548</v>
      </c>
      <c r="H438" s="7">
        <f t="shared" si="8"/>
        <v>68965.5</v>
      </c>
      <c r="I438" s="7">
        <f t="shared" si="9"/>
        <v>11034.48</v>
      </c>
    </row>
    <row r="439" spans="1:10">
      <c r="A439" s="150" t="s">
        <v>7544</v>
      </c>
      <c r="B439" s="150" t="s">
        <v>7566</v>
      </c>
      <c r="F439" t="s">
        <v>829</v>
      </c>
      <c r="G439" t="s">
        <v>529</v>
      </c>
      <c r="H439" s="7">
        <f t="shared" si="8"/>
        <v>107758.625</v>
      </c>
      <c r="I439" s="7">
        <f t="shared" si="9"/>
        <v>17241.38</v>
      </c>
      <c r="J439">
        <v>14285.71</v>
      </c>
    </row>
    <row r="440" spans="1:10">
      <c r="A440" s="150" t="s">
        <v>7544</v>
      </c>
      <c r="B440">
        <v>85</v>
      </c>
      <c r="F440" t="s">
        <v>834</v>
      </c>
      <c r="G440" t="s">
        <v>520</v>
      </c>
      <c r="H440" s="7">
        <f t="shared" si="8"/>
        <v>35862</v>
      </c>
      <c r="I440" s="7">
        <f t="shared" si="9"/>
        <v>5737.92</v>
      </c>
    </row>
    <row r="441" spans="1:10">
      <c r="A441" s="150" t="s">
        <v>7544</v>
      </c>
      <c r="B441">
        <v>85</v>
      </c>
      <c r="F441" s="25" t="s">
        <v>700</v>
      </c>
      <c r="G441" t="s">
        <v>301</v>
      </c>
      <c r="H441" s="7">
        <f t="shared" si="8"/>
        <v>405.12500000000006</v>
      </c>
      <c r="I441" s="7">
        <f t="shared" si="9"/>
        <v>64.820000000000007</v>
      </c>
    </row>
    <row r="442" spans="1:10">
      <c r="A442" s="150" t="s">
        <v>7544</v>
      </c>
      <c r="B442">
        <v>85</v>
      </c>
      <c r="F442" t="s">
        <v>1589</v>
      </c>
      <c r="G442" t="s">
        <v>1341</v>
      </c>
      <c r="H442" s="7">
        <f t="shared" si="8"/>
        <v>1720</v>
      </c>
      <c r="I442" s="7">
        <f t="shared" si="9"/>
        <v>275.2</v>
      </c>
    </row>
    <row r="443" spans="1:10">
      <c r="A443" s="150" t="s">
        <v>7544</v>
      </c>
      <c r="B443">
        <v>85</v>
      </c>
      <c r="F443" s="19" t="s">
        <v>2736</v>
      </c>
      <c r="G443" s="19" t="s">
        <v>7348</v>
      </c>
      <c r="H443" s="7">
        <f t="shared" si="8"/>
        <v>232.75</v>
      </c>
      <c r="I443" s="7">
        <f t="shared" si="9"/>
        <v>37.24</v>
      </c>
    </row>
    <row r="444" spans="1:10">
      <c r="A444" s="150" t="s">
        <v>7544</v>
      </c>
      <c r="B444">
        <v>85</v>
      </c>
      <c r="F444" t="s">
        <v>838</v>
      </c>
      <c r="G444" t="s">
        <v>467</v>
      </c>
      <c r="H444" s="7">
        <f t="shared" si="8"/>
        <v>7181.25</v>
      </c>
      <c r="I444" s="7">
        <f t="shared" si="9"/>
        <v>1149</v>
      </c>
    </row>
    <row r="445" spans="1:10">
      <c r="A445" s="150" t="s">
        <v>7544</v>
      </c>
      <c r="B445">
        <v>85</v>
      </c>
      <c r="F445" t="s">
        <v>3244</v>
      </c>
      <c r="G445" t="s">
        <v>3183</v>
      </c>
      <c r="H445" s="7">
        <f t="shared" si="8"/>
        <v>6066.3125</v>
      </c>
      <c r="I445" s="7">
        <f t="shared" si="9"/>
        <v>970.61</v>
      </c>
    </row>
    <row r="446" spans="1:10">
      <c r="A446" s="150" t="s">
        <v>7544</v>
      </c>
      <c r="B446">
        <v>85</v>
      </c>
      <c r="F446" t="s">
        <v>837</v>
      </c>
      <c r="G446" t="s">
        <v>2420</v>
      </c>
      <c r="H446" s="7">
        <f t="shared" si="8"/>
        <v>355.3125</v>
      </c>
      <c r="I446" s="7">
        <f t="shared" si="9"/>
        <v>56.85</v>
      </c>
    </row>
    <row r="447" spans="1:10">
      <c r="A447" s="150" t="s">
        <v>7544</v>
      </c>
      <c r="B447">
        <v>85</v>
      </c>
      <c r="F447" t="s">
        <v>1588</v>
      </c>
      <c r="G447" t="s">
        <v>1349</v>
      </c>
      <c r="H447" s="7">
        <f t="shared" si="8"/>
        <v>9500</v>
      </c>
      <c r="I447" s="7">
        <f t="shared" si="9"/>
        <v>1520</v>
      </c>
    </row>
    <row r="448" spans="1:10">
      <c r="A448" s="150" t="s">
        <v>7544</v>
      </c>
      <c r="B448">
        <v>85</v>
      </c>
      <c r="F448" t="s">
        <v>768</v>
      </c>
      <c r="G448" t="s">
        <v>283</v>
      </c>
      <c r="H448" s="7">
        <f t="shared" si="8"/>
        <v>1053</v>
      </c>
      <c r="I448" s="7">
        <f t="shared" si="9"/>
        <v>168.48000000000002</v>
      </c>
    </row>
    <row r="449" spans="1:10">
      <c r="A449" s="150" t="s">
        <v>7544</v>
      </c>
      <c r="B449">
        <v>85</v>
      </c>
      <c r="F449" t="s">
        <v>1528</v>
      </c>
      <c r="G449" t="s">
        <v>1514</v>
      </c>
      <c r="H449" s="7">
        <f t="shared" si="8"/>
        <v>7350</v>
      </c>
      <c r="I449" s="7">
        <f t="shared" si="9"/>
        <v>1176</v>
      </c>
    </row>
    <row r="450" spans="1:10">
      <c r="A450" s="150" t="s">
        <v>7544</v>
      </c>
      <c r="B450">
        <v>85</v>
      </c>
      <c r="F450" t="s">
        <v>844</v>
      </c>
      <c r="G450" t="s">
        <v>665</v>
      </c>
      <c r="H450" s="7">
        <f t="shared" si="8"/>
        <v>2900</v>
      </c>
      <c r="I450" s="7">
        <f t="shared" si="9"/>
        <v>464</v>
      </c>
    </row>
    <row r="451" spans="1:10">
      <c r="A451" s="150" t="s">
        <v>7544</v>
      </c>
      <c r="B451">
        <v>85</v>
      </c>
      <c r="F451" t="s">
        <v>3232</v>
      </c>
      <c r="G451" t="s">
        <v>2983</v>
      </c>
      <c r="H451" s="7">
        <f t="shared" si="8"/>
        <v>793.625</v>
      </c>
      <c r="I451" s="7">
        <f t="shared" si="9"/>
        <v>126.98</v>
      </c>
    </row>
    <row r="452" spans="1:10">
      <c r="A452" s="150" t="s">
        <v>7544</v>
      </c>
      <c r="B452" s="150" t="s">
        <v>7566</v>
      </c>
      <c r="F452" t="s">
        <v>845</v>
      </c>
      <c r="G452" t="s">
        <v>532</v>
      </c>
      <c r="H452" s="7">
        <f t="shared" si="8"/>
        <v>107758.625</v>
      </c>
      <c r="I452" s="7">
        <f t="shared" si="9"/>
        <v>17241.38</v>
      </c>
      <c r="J452">
        <v>14285.71</v>
      </c>
    </row>
    <row r="453" spans="1:10">
      <c r="A453" s="150" t="s">
        <v>7544</v>
      </c>
      <c r="B453">
        <v>85</v>
      </c>
      <c r="F453" s="19" t="s">
        <v>2743</v>
      </c>
      <c r="G453" s="19" t="s">
        <v>7351</v>
      </c>
      <c r="H453" s="7">
        <f t="shared" si="8"/>
        <v>158.625</v>
      </c>
      <c r="I453" s="7">
        <f t="shared" si="9"/>
        <v>25.38</v>
      </c>
    </row>
    <row r="454" spans="1:10">
      <c r="A454" s="150" t="s">
        <v>7544</v>
      </c>
      <c r="B454">
        <v>85</v>
      </c>
      <c r="F454" s="139" t="s">
        <v>3705</v>
      </c>
      <c r="G454" t="s">
        <v>3193</v>
      </c>
      <c r="H454" s="7">
        <f t="shared" si="8"/>
        <v>194</v>
      </c>
      <c r="I454" s="7">
        <f t="shared" si="9"/>
        <v>31.04</v>
      </c>
    </row>
    <row r="455" spans="1:10">
      <c r="A455" s="150" t="s">
        <v>7544</v>
      </c>
      <c r="B455">
        <v>85</v>
      </c>
      <c r="F455" t="s">
        <v>847</v>
      </c>
      <c r="G455" t="s">
        <v>2450</v>
      </c>
      <c r="H455" s="7">
        <f t="shared" si="8"/>
        <v>2474.6250000000005</v>
      </c>
      <c r="I455" s="7">
        <f t="shared" si="9"/>
        <v>395.94000000000005</v>
      </c>
    </row>
    <row r="456" spans="1:10">
      <c r="A456" s="150" t="s">
        <v>7544</v>
      </c>
      <c r="B456">
        <v>85</v>
      </c>
      <c r="F456" t="s">
        <v>965</v>
      </c>
      <c r="G456" t="s">
        <v>2838</v>
      </c>
      <c r="H456" s="7">
        <f t="shared" si="8"/>
        <v>191435.3125</v>
      </c>
      <c r="I456" s="7">
        <f t="shared" si="9"/>
        <v>30629.65</v>
      </c>
    </row>
    <row r="457" spans="1:10">
      <c r="A457" s="150" t="s">
        <v>7544</v>
      </c>
      <c r="B457">
        <v>85</v>
      </c>
      <c r="F457" s="19" t="s">
        <v>3689</v>
      </c>
      <c r="G457" s="19" t="s">
        <v>6294</v>
      </c>
      <c r="H457" s="7">
        <f t="shared" si="8"/>
        <v>212.0625</v>
      </c>
      <c r="I457" s="7">
        <f t="shared" si="9"/>
        <v>33.93</v>
      </c>
    </row>
    <row r="458" spans="1:10">
      <c r="A458" s="150" t="s">
        <v>7544</v>
      </c>
      <c r="B458">
        <v>85</v>
      </c>
      <c r="F458" t="s">
        <v>769</v>
      </c>
      <c r="G458" t="s">
        <v>321</v>
      </c>
      <c r="H458" s="7">
        <f t="shared" si="8"/>
        <v>9756.0000000000018</v>
      </c>
      <c r="I458" s="7">
        <f t="shared" si="9"/>
        <v>1560.9600000000003</v>
      </c>
    </row>
    <row r="459" spans="1:10">
      <c r="A459" s="150" t="s">
        <v>7544</v>
      </c>
      <c r="B459">
        <v>85</v>
      </c>
      <c r="F459" t="s">
        <v>1592</v>
      </c>
      <c r="G459" t="s">
        <v>1276</v>
      </c>
      <c r="H459" s="7">
        <f t="shared" si="8"/>
        <v>511.18750000000006</v>
      </c>
      <c r="I459" s="7">
        <f t="shared" si="9"/>
        <v>81.790000000000006</v>
      </c>
    </row>
    <row r="460" spans="1:10">
      <c r="A460" s="150" t="s">
        <v>7544</v>
      </c>
      <c r="B460">
        <v>85</v>
      </c>
      <c r="F460" t="s">
        <v>915</v>
      </c>
      <c r="G460" t="s">
        <v>916</v>
      </c>
      <c r="H460" s="7">
        <f t="shared" si="8"/>
        <v>1599.125</v>
      </c>
      <c r="I460" s="7">
        <f t="shared" si="9"/>
        <v>255.86</v>
      </c>
    </row>
    <row r="461" spans="1:10">
      <c r="A461" s="150" t="s">
        <v>7544</v>
      </c>
      <c r="B461">
        <v>85</v>
      </c>
      <c r="F461" t="s">
        <v>848</v>
      </c>
      <c r="G461" t="s">
        <v>449</v>
      </c>
      <c r="H461" s="7">
        <f t="shared" si="8"/>
        <v>2800</v>
      </c>
      <c r="I461" s="7">
        <f t="shared" si="9"/>
        <v>448</v>
      </c>
    </row>
    <row r="462" spans="1:10">
      <c r="A462" s="150" t="s">
        <v>7544</v>
      </c>
      <c r="B462">
        <v>85</v>
      </c>
      <c r="F462" t="s">
        <v>3233</v>
      </c>
      <c r="G462" t="s">
        <v>3065</v>
      </c>
      <c r="H462" s="7">
        <f t="shared" si="8"/>
        <v>503.24999999999994</v>
      </c>
      <c r="I462" s="7">
        <f t="shared" si="9"/>
        <v>80.52</v>
      </c>
    </row>
    <row r="463" spans="1:10">
      <c r="A463" s="150" t="s">
        <v>7544</v>
      </c>
      <c r="B463">
        <v>85</v>
      </c>
      <c r="F463" t="s">
        <v>1593</v>
      </c>
      <c r="G463" t="s">
        <v>1358</v>
      </c>
      <c r="H463" s="7">
        <f t="shared" si="8"/>
        <v>350</v>
      </c>
      <c r="I463" s="7">
        <f t="shared" si="9"/>
        <v>56</v>
      </c>
    </row>
    <row r="464" spans="1:10">
      <c r="A464" s="150" t="s">
        <v>7544</v>
      </c>
      <c r="B464">
        <v>85</v>
      </c>
      <c r="F464" t="s">
        <v>1594</v>
      </c>
      <c r="G464" t="s">
        <v>1152</v>
      </c>
      <c r="H464" s="7">
        <f t="shared" si="8"/>
        <v>206.875</v>
      </c>
      <c r="I464" s="7">
        <f t="shared" si="9"/>
        <v>33.1</v>
      </c>
    </row>
    <row r="465" spans="1:9">
      <c r="A465" s="150" t="s">
        <v>7544</v>
      </c>
      <c r="B465">
        <v>85</v>
      </c>
      <c r="F465" t="s">
        <v>1595</v>
      </c>
      <c r="G465" t="s">
        <v>1200</v>
      </c>
      <c r="H465" s="7">
        <f t="shared" si="8"/>
        <v>103.4375</v>
      </c>
      <c r="I465" s="7">
        <f t="shared" si="9"/>
        <v>16.55</v>
      </c>
    </row>
    <row r="466" spans="1:9">
      <c r="A466" s="150" t="s">
        <v>7544</v>
      </c>
      <c r="B466">
        <v>85</v>
      </c>
      <c r="F466" t="s">
        <v>919</v>
      </c>
      <c r="G466" t="s">
        <v>920</v>
      </c>
      <c r="H466" s="7">
        <f t="shared" si="8"/>
        <v>838.74999999999989</v>
      </c>
      <c r="I466" s="7">
        <f t="shared" si="9"/>
        <v>134.19999999999999</v>
      </c>
    </row>
    <row r="467" spans="1:9">
      <c r="A467" s="150" t="s">
        <v>7544</v>
      </c>
      <c r="B467">
        <v>85</v>
      </c>
      <c r="F467" t="s">
        <v>854</v>
      </c>
      <c r="G467" t="s">
        <v>7545</v>
      </c>
      <c r="H467" s="7">
        <f t="shared" si="8"/>
        <v>307290</v>
      </c>
      <c r="I467" s="7">
        <f t="shared" si="9"/>
        <v>49166.400000000001</v>
      </c>
    </row>
    <row r="468" spans="1:9">
      <c r="A468" s="150" t="s">
        <v>7544</v>
      </c>
      <c r="B468">
        <v>85</v>
      </c>
      <c r="F468" t="s">
        <v>917</v>
      </c>
      <c r="G468" t="s">
        <v>2984</v>
      </c>
      <c r="H468" s="7">
        <f t="shared" si="8"/>
        <v>108.62499999999999</v>
      </c>
      <c r="I468" s="7">
        <f t="shared" si="9"/>
        <v>17.38</v>
      </c>
    </row>
    <row r="469" spans="1:9">
      <c r="A469" s="150" t="s">
        <v>7544</v>
      </c>
      <c r="B469">
        <v>85</v>
      </c>
      <c r="F469" t="s">
        <v>852</v>
      </c>
      <c r="G469" t="s">
        <v>333</v>
      </c>
      <c r="H469" s="7">
        <f t="shared" si="8"/>
        <v>117.1875</v>
      </c>
      <c r="I469" s="7">
        <f t="shared" si="9"/>
        <v>18.75</v>
      </c>
    </row>
    <row r="470" spans="1:9">
      <c r="A470" s="150" t="s">
        <v>7544</v>
      </c>
      <c r="B470">
        <v>85</v>
      </c>
      <c r="F470" t="s">
        <v>3234</v>
      </c>
      <c r="G470" t="s">
        <v>3008</v>
      </c>
      <c r="H470" s="7">
        <f t="shared" si="8"/>
        <v>335.5</v>
      </c>
      <c r="I470" s="7">
        <f t="shared" si="9"/>
        <v>53.68</v>
      </c>
    </row>
    <row r="471" spans="1:9">
      <c r="A471" s="150" t="s">
        <v>7544</v>
      </c>
      <c r="B471">
        <v>85</v>
      </c>
      <c r="F471" t="s">
        <v>832</v>
      </c>
      <c r="G471" t="s">
        <v>1585</v>
      </c>
      <c r="H471" s="7">
        <f t="shared" si="8"/>
        <v>719.875</v>
      </c>
      <c r="I471" s="7">
        <f t="shared" si="9"/>
        <v>115.18</v>
      </c>
    </row>
    <row r="472" spans="1:9">
      <c r="A472" s="150" t="s">
        <v>7544</v>
      </c>
      <c r="B472">
        <v>85</v>
      </c>
      <c r="F472" t="s">
        <v>3242</v>
      </c>
      <c r="G472" t="s">
        <v>3029</v>
      </c>
      <c r="H472" s="7">
        <f t="shared" si="8"/>
        <v>64.6875</v>
      </c>
      <c r="I472" s="7">
        <f t="shared" si="9"/>
        <v>10.35</v>
      </c>
    </row>
    <row r="473" spans="1:9">
      <c r="A473" s="150" t="s">
        <v>7544</v>
      </c>
      <c r="B473">
        <v>85</v>
      </c>
      <c r="F473" t="s">
        <v>860</v>
      </c>
      <c r="G473" t="s">
        <v>474</v>
      </c>
      <c r="H473" s="7">
        <f t="shared" si="8"/>
        <v>600</v>
      </c>
      <c r="I473" s="7">
        <f t="shared" si="9"/>
        <v>96</v>
      </c>
    </row>
    <row r="474" spans="1:9">
      <c r="A474" s="150" t="s">
        <v>7544</v>
      </c>
      <c r="B474">
        <v>85</v>
      </c>
      <c r="F474" t="s">
        <v>857</v>
      </c>
      <c r="G474" t="s">
        <v>315</v>
      </c>
      <c r="H474" s="7">
        <f t="shared" si="8"/>
        <v>60.75</v>
      </c>
      <c r="I474" s="7">
        <f t="shared" si="9"/>
        <v>9.7200000000000006</v>
      </c>
    </row>
    <row r="475" spans="1:9">
      <c r="A475" s="150" t="s">
        <v>7544</v>
      </c>
      <c r="B475">
        <v>85</v>
      </c>
      <c r="F475" t="s">
        <v>858</v>
      </c>
      <c r="G475" t="s">
        <v>457</v>
      </c>
      <c r="H475" s="7">
        <f t="shared" si="8"/>
        <v>83650</v>
      </c>
      <c r="I475" s="7">
        <f t="shared" si="9"/>
        <v>13384</v>
      </c>
    </row>
    <row r="476" spans="1:9">
      <c r="A476" s="150" t="s">
        <v>7544</v>
      </c>
      <c r="B476">
        <v>85</v>
      </c>
      <c r="F476" t="s">
        <v>2189</v>
      </c>
      <c r="G476" t="s">
        <v>3024</v>
      </c>
      <c r="H476" s="7">
        <f t="shared" si="8"/>
        <v>1702.5624999999998</v>
      </c>
      <c r="I476" s="7">
        <f t="shared" si="9"/>
        <v>272.40999999999997</v>
      </c>
    </row>
    <row r="477" spans="1:9">
      <c r="A477" s="150" t="s">
        <v>7544</v>
      </c>
      <c r="B477">
        <v>85</v>
      </c>
      <c r="F477" t="s">
        <v>929</v>
      </c>
      <c r="G477" t="s">
        <v>2709</v>
      </c>
      <c r="H477" s="7">
        <f t="shared" si="8"/>
        <v>276</v>
      </c>
      <c r="I477" s="7">
        <f t="shared" si="9"/>
        <v>44.16</v>
      </c>
    </row>
    <row r="478" spans="1:9">
      <c r="A478" s="150" t="s">
        <v>7544</v>
      </c>
      <c r="B478">
        <v>85</v>
      </c>
      <c r="F478" t="s">
        <v>859</v>
      </c>
      <c r="G478" t="s">
        <v>538</v>
      </c>
      <c r="H478" s="7">
        <f t="shared" si="8"/>
        <v>6896.5625</v>
      </c>
      <c r="I478" s="7">
        <f t="shared" si="9"/>
        <v>1103.45</v>
      </c>
    </row>
    <row r="479" spans="1:9">
      <c r="A479" s="150" t="s">
        <v>7544</v>
      </c>
      <c r="B479">
        <v>85</v>
      </c>
      <c r="F479" t="s">
        <v>3071</v>
      </c>
      <c r="G479" s="139" t="s">
        <v>7353</v>
      </c>
      <c r="H479" s="7">
        <f t="shared" si="8"/>
        <v>335.5</v>
      </c>
      <c r="I479" s="7">
        <f t="shared" si="9"/>
        <v>53.68</v>
      </c>
    </row>
    <row r="480" spans="1:9">
      <c r="A480" s="150" t="s">
        <v>7544</v>
      </c>
      <c r="B480">
        <v>85</v>
      </c>
      <c r="F480" t="s">
        <v>2222</v>
      </c>
      <c r="G480" t="s">
        <v>2105</v>
      </c>
      <c r="H480" s="7">
        <f t="shared" si="8"/>
        <v>2350</v>
      </c>
      <c r="I480" s="7">
        <f t="shared" si="9"/>
        <v>376</v>
      </c>
    </row>
    <row r="481" spans="1:9">
      <c r="A481" s="150" t="s">
        <v>7544</v>
      </c>
      <c r="B481">
        <v>85</v>
      </c>
      <c r="F481" t="s">
        <v>3235</v>
      </c>
      <c r="G481" t="s">
        <v>3031</v>
      </c>
      <c r="H481" s="7">
        <f t="shared" si="8"/>
        <v>512.1875</v>
      </c>
      <c r="I481" s="7">
        <f t="shared" si="9"/>
        <v>81.95</v>
      </c>
    </row>
    <row r="482" spans="1:9">
      <c r="A482" s="150" t="s">
        <v>7544</v>
      </c>
      <c r="B482">
        <v>85</v>
      </c>
      <c r="F482" t="s">
        <v>1648</v>
      </c>
      <c r="G482" t="s">
        <v>5725</v>
      </c>
      <c r="H482" s="7">
        <f t="shared" si="8"/>
        <v>3598.6249999999995</v>
      </c>
      <c r="I482" s="7">
        <f t="shared" si="9"/>
        <v>575.78</v>
      </c>
    </row>
    <row r="483" spans="1:9">
      <c r="A483" s="150" t="s">
        <v>7544</v>
      </c>
      <c r="B483">
        <v>85</v>
      </c>
      <c r="F483" t="s">
        <v>2223</v>
      </c>
      <c r="G483" t="s">
        <v>1957</v>
      </c>
      <c r="H483" s="7">
        <f t="shared" si="8"/>
        <v>65.6875</v>
      </c>
      <c r="I483" s="7">
        <f t="shared" si="9"/>
        <v>10.51</v>
      </c>
    </row>
    <row r="484" spans="1:9">
      <c r="A484" s="150" t="s">
        <v>7544</v>
      </c>
      <c r="B484">
        <v>85</v>
      </c>
      <c r="F484" t="s">
        <v>3236</v>
      </c>
      <c r="G484" t="s">
        <v>3072</v>
      </c>
      <c r="H484" s="7">
        <f t="shared" si="8"/>
        <v>797.25</v>
      </c>
      <c r="I484" s="7">
        <f t="shared" si="9"/>
        <v>127.56</v>
      </c>
    </row>
    <row r="485" spans="1:9">
      <c r="A485" s="150" t="s">
        <v>7544</v>
      </c>
      <c r="B485">
        <v>85</v>
      </c>
      <c r="F485" t="s">
        <v>867</v>
      </c>
      <c r="G485" t="s">
        <v>3207</v>
      </c>
      <c r="H485" s="7">
        <f t="shared" si="8"/>
        <v>54275.812499999993</v>
      </c>
      <c r="I485" s="7">
        <f t="shared" si="9"/>
        <v>8684.1299999999992</v>
      </c>
    </row>
    <row r="486" spans="1:9">
      <c r="A486" s="150" t="s">
        <v>7544</v>
      </c>
      <c r="B486">
        <v>85</v>
      </c>
      <c r="F486" t="s">
        <v>2701</v>
      </c>
      <c r="G486" t="s">
        <v>2660</v>
      </c>
      <c r="H486" s="7">
        <f t="shared" si="8"/>
        <v>4181.5</v>
      </c>
      <c r="I486" s="7">
        <f t="shared" si="9"/>
        <v>669.04</v>
      </c>
    </row>
    <row r="487" spans="1:9">
      <c r="A487" s="150" t="s">
        <v>7544</v>
      </c>
      <c r="B487">
        <v>85</v>
      </c>
      <c r="F487" t="s">
        <v>863</v>
      </c>
      <c r="G487" t="s">
        <v>331</v>
      </c>
      <c r="H487" s="7">
        <f t="shared" si="8"/>
        <v>47762.374999999993</v>
      </c>
      <c r="I487" s="7">
        <f t="shared" si="9"/>
        <v>7641.98</v>
      </c>
    </row>
    <row r="488" spans="1:9">
      <c r="A488" s="150" t="s">
        <v>7544</v>
      </c>
      <c r="B488">
        <v>85</v>
      </c>
      <c r="F488" t="s">
        <v>2724</v>
      </c>
      <c r="G488" t="s">
        <v>3038</v>
      </c>
      <c r="H488" s="7">
        <f t="shared" si="8"/>
        <v>387</v>
      </c>
      <c r="I488" s="7">
        <f t="shared" si="9"/>
        <v>61.92</v>
      </c>
    </row>
    <row r="489" spans="1:9">
      <c r="A489" s="150" t="s">
        <v>7544</v>
      </c>
      <c r="B489">
        <v>85</v>
      </c>
      <c r="F489" s="20" t="s">
        <v>1552</v>
      </c>
      <c r="G489" s="17" t="s">
        <v>1553</v>
      </c>
      <c r="H489" s="7">
        <f t="shared" si="8"/>
        <v>95</v>
      </c>
      <c r="I489" s="7">
        <f t="shared" si="9"/>
        <v>15.2</v>
      </c>
    </row>
    <row r="490" spans="1:9">
      <c r="A490" s="150" t="s">
        <v>7544</v>
      </c>
      <c r="B490">
        <v>85</v>
      </c>
      <c r="F490" t="s">
        <v>2229</v>
      </c>
      <c r="G490" t="s">
        <v>2230</v>
      </c>
      <c r="H490" s="7">
        <f t="shared" si="8"/>
        <v>977.1875</v>
      </c>
      <c r="I490" s="7">
        <f t="shared" si="9"/>
        <v>156.35</v>
      </c>
    </row>
    <row r="491" spans="1:9">
      <c r="A491" s="150" t="s">
        <v>7544</v>
      </c>
      <c r="B491">
        <v>85</v>
      </c>
      <c r="F491" t="s">
        <v>2233</v>
      </c>
      <c r="G491" t="s">
        <v>2997</v>
      </c>
      <c r="H491" s="7">
        <f t="shared" si="8"/>
        <v>517.3125</v>
      </c>
      <c r="I491" s="7">
        <f t="shared" si="9"/>
        <v>82.77</v>
      </c>
    </row>
    <row r="492" spans="1:9">
      <c r="A492" s="150" t="s">
        <v>7544</v>
      </c>
      <c r="B492">
        <v>85</v>
      </c>
      <c r="F492" t="s">
        <v>7355</v>
      </c>
      <c r="G492" s="139" t="s">
        <v>7354</v>
      </c>
      <c r="H492" s="7">
        <f t="shared" si="8"/>
        <v>335.5</v>
      </c>
      <c r="I492" s="7">
        <f t="shared" si="9"/>
        <v>53.68</v>
      </c>
    </row>
    <row r="493" spans="1:9">
      <c r="A493" s="150" t="s">
        <v>7544</v>
      </c>
      <c r="B493">
        <v>85</v>
      </c>
      <c r="F493" t="s">
        <v>1603</v>
      </c>
      <c r="G493" t="s">
        <v>1259</v>
      </c>
      <c r="H493" s="7">
        <f t="shared" si="8"/>
        <v>109.6875</v>
      </c>
      <c r="I493" s="7">
        <f t="shared" si="9"/>
        <v>17.55</v>
      </c>
    </row>
    <row r="494" spans="1:9">
      <c r="A494" s="150" t="s">
        <v>7544</v>
      </c>
      <c r="B494">
        <v>85</v>
      </c>
      <c r="F494" t="s">
        <v>778</v>
      </c>
      <c r="G494" t="s">
        <v>2992</v>
      </c>
      <c r="H494" s="7">
        <f t="shared" si="8"/>
        <v>461.56249999999994</v>
      </c>
      <c r="I494" s="7">
        <f t="shared" si="9"/>
        <v>73.849999999999994</v>
      </c>
    </row>
    <row r="495" spans="1:9">
      <c r="A495" s="150" t="s">
        <v>7544</v>
      </c>
      <c r="B495">
        <v>85</v>
      </c>
      <c r="F495" t="s">
        <v>780</v>
      </c>
      <c r="G495" t="s">
        <v>3080</v>
      </c>
      <c r="H495" s="7">
        <f t="shared" si="8"/>
        <v>335.5625</v>
      </c>
      <c r="I495" s="7">
        <f t="shared" si="9"/>
        <v>53.69</v>
      </c>
    </row>
    <row r="496" spans="1:9">
      <c r="A496" s="150" t="s">
        <v>7544</v>
      </c>
      <c r="B496">
        <v>85</v>
      </c>
      <c r="F496" s="133" t="s">
        <v>799</v>
      </c>
      <c r="G496" s="133" t="s">
        <v>0</v>
      </c>
      <c r="H496" s="7">
        <f t="shared" ref="H496:H511" si="10">+I496/0.16</f>
        <v>12240206.750000004</v>
      </c>
      <c r="I496" s="7">
        <f t="shared" ref="I496:I511" si="11">+SUMIF($F$7:$F$353,F496,$I$7:$I$353)</f>
        <v>1958433.0800000005</v>
      </c>
    </row>
    <row r="497" spans="1:9">
      <c r="A497" s="150" t="s">
        <v>7544</v>
      </c>
      <c r="B497">
        <v>85</v>
      </c>
      <c r="F497" t="s">
        <v>873</v>
      </c>
      <c r="G497" t="s">
        <v>2900</v>
      </c>
      <c r="H497" s="7">
        <f t="shared" si="10"/>
        <v>197214.1875</v>
      </c>
      <c r="I497" s="7">
        <f t="shared" si="11"/>
        <v>31554.27</v>
      </c>
    </row>
    <row r="498" spans="1:9">
      <c r="A498" s="150" t="s">
        <v>7544</v>
      </c>
      <c r="B498">
        <v>85</v>
      </c>
      <c r="F498" t="s">
        <v>868</v>
      </c>
      <c r="G498" t="s">
        <v>436</v>
      </c>
      <c r="H498" s="7">
        <f t="shared" si="10"/>
        <v>17375.5625</v>
      </c>
      <c r="I498" s="7">
        <f t="shared" si="11"/>
        <v>2780.09</v>
      </c>
    </row>
    <row r="499" spans="1:9">
      <c r="A499" s="150" t="s">
        <v>7544</v>
      </c>
      <c r="B499">
        <v>85</v>
      </c>
      <c r="F499" t="s">
        <v>3237</v>
      </c>
      <c r="G499" t="s">
        <v>3238</v>
      </c>
      <c r="H499" s="7">
        <f t="shared" si="10"/>
        <v>755028.62499999988</v>
      </c>
      <c r="I499" s="7">
        <f t="shared" si="11"/>
        <v>120804.57999999999</v>
      </c>
    </row>
    <row r="500" spans="1:9">
      <c r="A500" s="150" t="s">
        <v>7544</v>
      </c>
      <c r="B500">
        <v>85</v>
      </c>
      <c r="F500" s="25" t="s">
        <v>2751</v>
      </c>
      <c r="G500" t="s">
        <v>3248</v>
      </c>
      <c r="H500" s="7">
        <f t="shared" si="10"/>
        <v>586357.1875</v>
      </c>
      <c r="I500" s="7">
        <f t="shared" si="11"/>
        <v>93817.15</v>
      </c>
    </row>
    <row r="501" spans="1:9">
      <c r="A501" s="150" t="s">
        <v>7544</v>
      </c>
      <c r="B501">
        <v>85</v>
      </c>
      <c r="F501" t="s">
        <v>875</v>
      </c>
      <c r="G501" t="s">
        <v>2825</v>
      </c>
      <c r="H501" s="7">
        <f t="shared" si="10"/>
        <v>388207.875</v>
      </c>
      <c r="I501" s="7">
        <f t="shared" si="11"/>
        <v>62113.26</v>
      </c>
    </row>
    <row r="502" spans="1:9">
      <c r="A502" s="150" t="s">
        <v>7544</v>
      </c>
      <c r="B502">
        <v>85</v>
      </c>
      <c r="F502" t="s">
        <v>878</v>
      </c>
      <c r="G502" t="s">
        <v>414</v>
      </c>
      <c r="H502" s="7">
        <f t="shared" si="10"/>
        <v>760</v>
      </c>
      <c r="I502" s="7">
        <f t="shared" si="11"/>
        <v>121.6</v>
      </c>
    </row>
    <row r="503" spans="1:9">
      <c r="A503" s="150" t="s">
        <v>7544</v>
      </c>
      <c r="B503">
        <v>85</v>
      </c>
      <c r="F503" t="s">
        <v>935</v>
      </c>
      <c r="G503" t="s">
        <v>3081</v>
      </c>
      <c r="H503" s="7">
        <f t="shared" si="10"/>
        <v>598.74999999999989</v>
      </c>
      <c r="I503" s="7">
        <f t="shared" si="11"/>
        <v>95.799999999999983</v>
      </c>
    </row>
    <row r="504" spans="1:9">
      <c r="A504" s="150" t="s">
        <v>7544</v>
      </c>
      <c r="B504">
        <v>85</v>
      </c>
      <c r="F504" t="s">
        <v>784</v>
      </c>
      <c r="G504" t="s">
        <v>785</v>
      </c>
      <c r="H504" s="7">
        <f t="shared" si="10"/>
        <v>105</v>
      </c>
      <c r="I504" s="7">
        <f t="shared" si="11"/>
        <v>16.8</v>
      </c>
    </row>
    <row r="505" spans="1:9">
      <c r="A505" s="150" t="s">
        <v>7544</v>
      </c>
      <c r="B505">
        <v>85</v>
      </c>
      <c r="F505" t="s">
        <v>3239</v>
      </c>
      <c r="G505" t="s">
        <v>2784</v>
      </c>
      <c r="H505" s="7">
        <f t="shared" si="10"/>
        <v>303976.8125</v>
      </c>
      <c r="I505" s="7">
        <f t="shared" si="11"/>
        <v>48636.29</v>
      </c>
    </row>
    <row r="506" spans="1:9">
      <c r="A506" s="150" t="s">
        <v>7544</v>
      </c>
      <c r="B506">
        <v>85</v>
      </c>
      <c r="F506" t="s">
        <v>3240</v>
      </c>
      <c r="G506" t="s">
        <v>3122</v>
      </c>
      <c r="H506" s="7">
        <f t="shared" si="10"/>
        <v>2600</v>
      </c>
      <c r="I506" s="7">
        <f t="shared" si="11"/>
        <v>416</v>
      </c>
    </row>
    <row r="507" spans="1:9">
      <c r="A507" s="150" t="s">
        <v>7544</v>
      </c>
      <c r="B507">
        <v>85</v>
      </c>
      <c r="F507" t="s">
        <v>1630</v>
      </c>
      <c r="G507" t="s">
        <v>3020</v>
      </c>
      <c r="H507" s="7">
        <f t="shared" si="10"/>
        <v>170.6875</v>
      </c>
      <c r="I507" s="7">
        <f t="shared" si="11"/>
        <v>27.31</v>
      </c>
    </row>
    <row r="508" spans="1:9">
      <c r="A508" s="150" t="s">
        <v>7544</v>
      </c>
      <c r="B508">
        <v>85</v>
      </c>
      <c r="F508" t="s">
        <v>802</v>
      </c>
      <c r="G508" t="s">
        <v>275</v>
      </c>
      <c r="H508" s="7">
        <f t="shared" si="10"/>
        <v>620.75</v>
      </c>
      <c r="I508" s="7">
        <f t="shared" si="11"/>
        <v>99.32</v>
      </c>
    </row>
    <row r="509" spans="1:9">
      <c r="A509" s="150" t="s">
        <v>7544</v>
      </c>
      <c r="B509">
        <v>85</v>
      </c>
      <c r="F509" t="s">
        <v>1614</v>
      </c>
      <c r="G509" t="s">
        <v>1615</v>
      </c>
      <c r="H509" s="7">
        <f t="shared" si="10"/>
        <v>587.125</v>
      </c>
      <c r="I509" s="7">
        <f t="shared" si="11"/>
        <v>93.94</v>
      </c>
    </row>
    <row r="510" spans="1:9">
      <c r="A510" s="150" t="s">
        <v>7544</v>
      </c>
      <c r="B510">
        <v>85</v>
      </c>
      <c r="F510" t="s">
        <v>3241</v>
      </c>
      <c r="G510" t="s">
        <v>3103</v>
      </c>
      <c r="H510" s="7">
        <f t="shared" si="10"/>
        <v>4300</v>
      </c>
      <c r="I510" s="7">
        <f t="shared" si="11"/>
        <v>688</v>
      </c>
    </row>
    <row r="511" spans="1:9">
      <c r="A511" s="150" t="s">
        <v>7544</v>
      </c>
      <c r="B511">
        <v>85</v>
      </c>
      <c r="F511" t="s">
        <v>951</v>
      </c>
      <c r="G511" t="s">
        <v>2870</v>
      </c>
      <c r="H511" s="7">
        <f t="shared" si="10"/>
        <v>431583.6875</v>
      </c>
      <c r="I511" s="7">
        <f t="shared" si="11"/>
        <v>69053.39</v>
      </c>
    </row>
    <row r="512" spans="1:9">
      <c r="H512" s="109"/>
      <c r="I512" s="109"/>
    </row>
    <row r="513" spans="1:11">
      <c r="H513" s="9">
        <f>SUM(H368:H512)</f>
        <v>20216569.937500004</v>
      </c>
      <c r="I513" s="9">
        <f>SUM(I368:I512)</f>
        <v>3234651.19</v>
      </c>
      <c r="J513">
        <f>SUM(J368:J511)</f>
        <v>32522.69</v>
      </c>
    </row>
    <row r="514" spans="1:11">
      <c r="H514" s="151">
        <f>+H356</f>
        <v>20216569.9375</v>
      </c>
      <c r="I514" s="151">
        <f>+I356</f>
        <v>3234651.1900000004</v>
      </c>
    </row>
    <row r="515" spans="1:11">
      <c r="H515" s="149"/>
      <c r="I515" s="149"/>
    </row>
    <row r="516" spans="1:11">
      <c r="H516" s="10">
        <f>3552784.71-324451.65</f>
        <v>3228333.06</v>
      </c>
      <c r="J516" t="s">
        <v>960</v>
      </c>
    </row>
    <row r="517" spans="1:11" s="84" customFormat="1">
      <c r="A517" s="84" t="s">
        <v>3089</v>
      </c>
      <c r="B517" s="147">
        <v>42155</v>
      </c>
      <c r="C517" s="84" t="s">
        <v>3090</v>
      </c>
      <c r="D517" s="84">
        <v>1</v>
      </c>
      <c r="E517" s="84" t="s">
        <v>3091</v>
      </c>
      <c r="F517" s="84" t="s">
        <v>1559</v>
      </c>
      <c r="G517" s="84" t="s">
        <v>3091</v>
      </c>
      <c r="H517" s="148">
        <f>+I517/0.16</f>
        <v>-21023.625</v>
      </c>
      <c r="I517" s="148">
        <v>-3363.78</v>
      </c>
      <c r="J517" s="112"/>
    </row>
    <row r="518" spans="1:11" s="84" customFormat="1">
      <c r="A518" s="84" t="s">
        <v>1299</v>
      </c>
      <c r="B518" s="147">
        <v>42155</v>
      </c>
      <c r="C518" s="84" t="s">
        <v>3092</v>
      </c>
      <c r="D518" s="84">
        <v>1</v>
      </c>
      <c r="E518" s="84" t="s">
        <v>3093</v>
      </c>
      <c r="F518" s="84" t="s">
        <v>1559</v>
      </c>
      <c r="G518" s="84" t="s">
        <v>3093</v>
      </c>
      <c r="H518" s="148">
        <f>+I518/0.16</f>
        <v>-18464.6875</v>
      </c>
      <c r="I518" s="148">
        <v>-2954.35</v>
      </c>
      <c r="K518" s="112"/>
    </row>
    <row r="519" spans="1:11">
      <c r="F519" s="11"/>
      <c r="I519" s="9">
        <f>+I518+I517+I515</f>
        <v>-6318.13</v>
      </c>
    </row>
    <row r="520" spans="1:11">
      <c r="I520" s="10">
        <f>+I519+I513</f>
        <v>3228333.06</v>
      </c>
    </row>
  </sheetData>
  <autoFilter ref="A6:L353"/>
  <sortState ref="A1:K456">
    <sortCondition ref="E1:E456"/>
  </sortState>
  <conditionalFormatting sqref="F368:G511"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482"/>
  <sheetViews>
    <sheetView topLeftCell="A460" workbookViewId="0">
      <selection activeCell="A331" sqref="A331:K483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2.28515625" bestFit="1" customWidth="1"/>
    <col min="4" max="4" width="2" bestFit="1" customWidth="1"/>
    <col min="5" max="5" width="14.28515625" customWidth="1"/>
    <col min="6" max="6" width="17.140625" customWidth="1"/>
    <col min="7" max="7" width="23.5703125" customWidth="1"/>
    <col min="8" max="8" width="14.140625" style="7" bestFit="1" customWidth="1"/>
    <col min="9" max="9" width="13.140625" style="7" bestFit="1" customWidth="1"/>
    <col min="10" max="10" width="9.5703125" bestFit="1" customWidth="1"/>
  </cols>
  <sheetData>
    <row r="1" spans="1:9">
      <c r="A1" t="s">
        <v>684</v>
      </c>
    </row>
    <row r="2" spans="1:9">
      <c r="A2" t="s">
        <v>4583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1370</v>
      </c>
      <c r="B7" s="1">
        <v>42165</v>
      </c>
      <c r="C7" t="s">
        <v>3586</v>
      </c>
      <c r="D7">
        <v>1</v>
      </c>
      <c r="E7" t="s">
        <v>1514</v>
      </c>
      <c r="F7" t="s">
        <v>1528</v>
      </c>
      <c r="G7" t="s">
        <v>3656</v>
      </c>
      <c r="H7" s="7">
        <f>+I7/0.16</f>
        <v>7350</v>
      </c>
      <c r="I7" s="7">
        <v>1176</v>
      </c>
    </row>
    <row r="8" spans="1:9">
      <c r="A8" t="s">
        <v>1423</v>
      </c>
      <c r="B8" s="1">
        <v>42179</v>
      </c>
      <c r="C8" t="s">
        <v>3638</v>
      </c>
      <c r="D8">
        <v>1</v>
      </c>
      <c r="E8" t="s">
        <v>1514</v>
      </c>
      <c r="F8" t="s">
        <v>1528</v>
      </c>
      <c r="G8" t="s">
        <v>3656</v>
      </c>
      <c r="H8" s="7">
        <f t="shared" ref="H8:H71" si="0">+I8/0.16</f>
        <v>14000</v>
      </c>
      <c r="I8" s="7">
        <v>2240</v>
      </c>
    </row>
    <row r="9" spans="1:9">
      <c r="A9" t="s">
        <v>1960</v>
      </c>
      <c r="B9" s="1">
        <v>42185</v>
      </c>
      <c r="C9" t="s">
        <v>3453</v>
      </c>
      <c r="D9">
        <v>1</v>
      </c>
      <c r="E9" t="s">
        <v>923</v>
      </c>
      <c r="F9" t="s">
        <v>923</v>
      </c>
      <c r="G9" s="139" t="s">
        <v>7356</v>
      </c>
      <c r="H9" s="7">
        <f t="shared" si="0"/>
        <v>743.125</v>
      </c>
      <c r="I9" s="7">
        <v>118.9</v>
      </c>
    </row>
    <row r="10" spans="1:9">
      <c r="A10" t="s">
        <v>2024</v>
      </c>
      <c r="B10" s="1">
        <v>42185</v>
      </c>
      <c r="C10" t="s">
        <v>3511</v>
      </c>
      <c r="D10">
        <v>1</v>
      </c>
      <c r="E10" t="s">
        <v>923</v>
      </c>
      <c r="F10" t="s">
        <v>923</v>
      </c>
      <c r="G10" s="139" t="s">
        <v>7356</v>
      </c>
      <c r="H10" s="7">
        <f t="shared" si="0"/>
        <v>290.5625</v>
      </c>
      <c r="I10" s="7">
        <v>46.49</v>
      </c>
    </row>
    <row r="11" spans="1:9">
      <c r="A11" t="s">
        <v>2012</v>
      </c>
      <c r="B11" s="1">
        <v>42185</v>
      </c>
      <c r="C11" t="s">
        <v>3501</v>
      </c>
      <c r="D11">
        <v>1</v>
      </c>
      <c r="E11" t="s">
        <v>879</v>
      </c>
      <c r="F11" t="s">
        <v>879</v>
      </c>
      <c r="G11" s="139" t="s">
        <v>7357</v>
      </c>
      <c r="H11" s="7">
        <f t="shared" si="0"/>
        <v>276.8125</v>
      </c>
      <c r="I11" s="7">
        <v>44.29</v>
      </c>
    </row>
    <row r="12" spans="1:9">
      <c r="A12" t="s">
        <v>2015</v>
      </c>
      <c r="B12" s="1">
        <v>42185</v>
      </c>
      <c r="C12" t="s">
        <v>3502</v>
      </c>
      <c r="D12">
        <v>1</v>
      </c>
      <c r="E12" t="s">
        <v>879</v>
      </c>
      <c r="F12" t="s">
        <v>879</v>
      </c>
      <c r="G12" s="139" t="s">
        <v>7357</v>
      </c>
      <c r="H12" s="7">
        <f t="shared" si="0"/>
        <v>307.3125</v>
      </c>
      <c r="I12" s="7">
        <v>49.17</v>
      </c>
    </row>
    <row r="13" spans="1:9">
      <c r="A13" t="s">
        <v>2108</v>
      </c>
      <c r="B13" s="1">
        <v>42170</v>
      </c>
      <c r="C13" t="s">
        <v>3596</v>
      </c>
      <c r="D13">
        <v>1</v>
      </c>
      <c r="E13" t="s">
        <v>3597</v>
      </c>
      <c r="F13" t="s">
        <v>3657</v>
      </c>
      <c r="G13" t="s">
        <v>3597</v>
      </c>
      <c r="H13" s="7">
        <f t="shared" si="0"/>
        <v>27000</v>
      </c>
      <c r="I13" s="7">
        <v>4320</v>
      </c>
    </row>
    <row r="14" spans="1:9">
      <c r="A14" t="s">
        <v>3298</v>
      </c>
      <c r="B14" s="1">
        <v>42171</v>
      </c>
      <c r="C14" t="s">
        <v>3299</v>
      </c>
      <c r="D14">
        <v>1</v>
      </c>
      <c r="E14" t="s">
        <v>3300</v>
      </c>
      <c r="F14" t="s">
        <v>2187</v>
      </c>
      <c r="G14" t="s">
        <v>3658</v>
      </c>
      <c r="H14" s="7">
        <f t="shared" si="0"/>
        <v>226534.375</v>
      </c>
      <c r="I14" s="7">
        <v>36245.5</v>
      </c>
    </row>
    <row r="15" spans="1:9">
      <c r="A15" t="s">
        <v>1955</v>
      </c>
      <c r="B15" s="1">
        <v>42185</v>
      </c>
      <c r="C15" t="s">
        <v>3451</v>
      </c>
      <c r="D15">
        <v>1</v>
      </c>
      <c r="E15" t="s">
        <v>2241</v>
      </c>
      <c r="F15" t="s">
        <v>2241</v>
      </c>
      <c r="G15" s="139" t="s">
        <v>2710</v>
      </c>
      <c r="H15" s="7">
        <f t="shared" si="0"/>
        <v>101.75</v>
      </c>
      <c r="I15" s="7">
        <v>16.28</v>
      </c>
    </row>
    <row r="16" spans="1:9">
      <c r="A16" t="s">
        <v>1958</v>
      </c>
      <c r="B16" s="1">
        <v>42185</v>
      </c>
      <c r="C16" t="s">
        <v>3452</v>
      </c>
      <c r="D16">
        <v>1</v>
      </c>
      <c r="E16" t="s">
        <v>745</v>
      </c>
      <c r="F16" t="s">
        <v>745</v>
      </c>
      <c r="G16" s="139" t="s">
        <v>746</v>
      </c>
      <c r="H16" s="7">
        <f t="shared" si="0"/>
        <v>88.8125</v>
      </c>
      <c r="I16" s="7">
        <v>14.21</v>
      </c>
    </row>
    <row r="17" spans="1:9">
      <c r="A17" t="s">
        <v>1952</v>
      </c>
      <c r="B17" s="1">
        <v>42185</v>
      </c>
      <c r="C17" t="s">
        <v>3450</v>
      </c>
      <c r="D17">
        <v>1</v>
      </c>
      <c r="E17" t="s">
        <v>714</v>
      </c>
      <c r="F17" t="s">
        <v>714</v>
      </c>
      <c r="G17" s="139" t="s">
        <v>715</v>
      </c>
      <c r="H17" s="7">
        <f t="shared" si="0"/>
        <v>317.25</v>
      </c>
      <c r="I17" s="7">
        <v>50.76</v>
      </c>
    </row>
    <row r="18" spans="1:9">
      <c r="A18" t="s">
        <v>1962</v>
      </c>
      <c r="B18" s="1">
        <v>42185</v>
      </c>
      <c r="C18" t="s">
        <v>3456</v>
      </c>
      <c r="D18">
        <v>1</v>
      </c>
      <c r="E18" t="s">
        <v>714</v>
      </c>
      <c r="F18" t="s">
        <v>714</v>
      </c>
      <c r="G18" s="139" t="s">
        <v>715</v>
      </c>
      <c r="H18" s="7">
        <f t="shared" si="0"/>
        <v>312.9375</v>
      </c>
      <c r="I18" s="7">
        <v>50.07</v>
      </c>
    </row>
    <row r="19" spans="1:9">
      <c r="A19" t="s">
        <v>1968</v>
      </c>
      <c r="B19" s="1">
        <v>42185</v>
      </c>
      <c r="C19" t="s">
        <v>3470</v>
      </c>
      <c r="D19">
        <v>1</v>
      </c>
      <c r="E19" t="s">
        <v>714</v>
      </c>
      <c r="F19" t="s">
        <v>714</v>
      </c>
      <c r="G19" s="139" t="s">
        <v>715</v>
      </c>
      <c r="H19" s="7">
        <f t="shared" si="0"/>
        <v>158.625</v>
      </c>
      <c r="I19" s="7">
        <v>25.38</v>
      </c>
    </row>
    <row r="20" spans="1:9">
      <c r="A20" t="s">
        <v>2012</v>
      </c>
      <c r="B20" s="1">
        <v>42185</v>
      </c>
      <c r="C20" t="s">
        <v>3501</v>
      </c>
      <c r="D20">
        <v>1</v>
      </c>
      <c r="E20" t="s">
        <v>714</v>
      </c>
      <c r="F20" t="s">
        <v>714</v>
      </c>
      <c r="G20" s="139" t="s">
        <v>715</v>
      </c>
      <c r="H20" s="7">
        <f t="shared" si="0"/>
        <v>317.25</v>
      </c>
      <c r="I20" s="7">
        <v>50.76</v>
      </c>
    </row>
    <row r="21" spans="1:9">
      <c r="A21" t="s">
        <v>2012</v>
      </c>
      <c r="B21" s="1">
        <v>42185</v>
      </c>
      <c r="C21" t="s">
        <v>3501</v>
      </c>
      <c r="D21">
        <v>1</v>
      </c>
      <c r="E21" t="s">
        <v>714</v>
      </c>
      <c r="F21" t="s">
        <v>714</v>
      </c>
      <c r="G21" s="139" t="s">
        <v>715</v>
      </c>
      <c r="H21" s="7">
        <f t="shared" si="0"/>
        <v>377.56249999999994</v>
      </c>
      <c r="I21" s="7">
        <v>60.41</v>
      </c>
    </row>
    <row r="22" spans="1:9">
      <c r="A22" t="s">
        <v>3504</v>
      </c>
      <c r="B22" s="1">
        <v>42185</v>
      </c>
      <c r="C22" t="s">
        <v>3505</v>
      </c>
      <c r="D22">
        <v>1</v>
      </c>
      <c r="E22" t="s">
        <v>714</v>
      </c>
      <c r="F22" t="s">
        <v>714</v>
      </c>
      <c r="G22" s="139" t="s">
        <v>715</v>
      </c>
      <c r="H22" s="7">
        <f t="shared" si="0"/>
        <v>158.625</v>
      </c>
      <c r="I22" s="7">
        <v>25.38</v>
      </c>
    </row>
    <row r="23" spans="1:9">
      <c r="A23" t="s">
        <v>3504</v>
      </c>
      <c r="B23" s="1">
        <v>42185</v>
      </c>
      <c r="C23" t="s">
        <v>3505</v>
      </c>
      <c r="D23">
        <v>1</v>
      </c>
      <c r="E23" t="s">
        <v>714</v>
      </c>
      <c r="F23" t="s">
        <v>714</v>
      </c>
      <c r="G23" s="139" t="s">
        <v>715</v>
      </c>
      <c r="H23" s="7">
        <f t="shared" si="0"/>
        <v>188.8125</v>
      </c>
      <c r="I23" s="7">
        <v>30.21</v>
      </c>
    </row>
    <row r="24" spans="1:9">
      <c r="A24" t="s">
        <v>2024</v>
      </c>
      <c r="B24" s="1">
        <v>42185</v>
      </c>
      <c r="C24" t="s">
        <v>3511</v>
      </c>
      <c r="D24">
        <v>1</v>
      </c>
      <c r="E24" t="s">
        <v>714</v>
      </c>
      <c r="F24" t="s">
        <v>714</v>
      </c>
      <c r="G24" s="139" t="s">
        <v>715</v>
      </c>
      <c r="H24" s="7">
        <f t="shared" si="0"/>
        <v>46.5625</v>
      </c>
      <c r="I24" s="7">
        <v>7.45</v>
      </c>
    </row>
    <row r="25" spans="1:9">
      <c r="A25" t="s">
        <v>1962</v>
      </c>
      <c r="B25" s="1">
        <v>42185</v>
      </c>
      <c r="C25" t="s">
        <v>3456</v>
      </c>
      <c r="D25">
        <v>1</v>
      </c>
      <c r="E25" t="s">
        <v>751</v>
      </c>
      <c r="F25" t="s">
        <v>751</v>
      </c>
      <c r="G25" s="139" t="s">
        <v>7358</v>
      </c>
      <c r="H25" s="7">
        <f t="shared" si="0"/>
        <v>1256.9375</v>
      </c>
      <c r="I25" s="7">
        <v>201.11</v>
      </c>
    </row>
    <row r="26" spans="1:9">
      <c r="A26" t="s">
        <v>1947</v>
      </c>
      <c r="B26" s="1">
        <v>42185</v>
      </c>
      <c r="C26" t="s">
        <v>3442</v>
      </c>
      <c r="D26">
        <v>1</v>
      </c>
      <c r="E26" s="139" t="s">
        <v>299</v>
      </c>
      <c r="F26" s="17" t="s">
        <v>706</v>
      </c>
      <c r="G26" s="139" t="s">
        <v>299</v>
      </c>
      <c r="H26" s="7">
        <f t="shared" si="0"/>
        <v>69.375</v>
      </c>
      <c r="I26" s="7">
        <v>11.1</v>
      </c>
    </row>
    <row r="27" spans="1:9">
      <c r="A27" t="s">
        <v>1968</v>
      </c>
      <c r="B27" s="1">
        <v>42185</v>
      </c>
      <c r="C27" t="s">
        <v>3470</v>
      </c>
      <c r="D27">
        <v>1</v>
      </c>
      <c r="E27" t="s">
        <v>749</v>
      </c>
      <c r="F27" t="s">
        <v>749</v>
      </c>
      <c r="G27" s="139" t="s">
        <v>7359</v>
      </c>
      <c r="H27" s="7">
        <f t="shared" si="0"/>
        <v>85.375</v>
      </c>
      <c r="I27" s="7">
        <v>13.66</v>
      </c>
    </row>
    <row r="28" spans="1:9">
      <c r="A28" t="s">
        <v>1962</v>
      </c>
      <c r="B28" s="1">
        <v>42185</v>
      </c>
      <c r="C28" t="s">
        <v>3456</v>
      </c>
      <c r="D28">
        <v>1</v>
      </c>
      <c r="E28" t="s">
        <v>3457</v>
      </c>
      <c r="F28" t="s">
        <v>3457</v>
      </c>
      <c r="G28" s="139" t="s">
        <v>7360</v>
      </c>
      <c r="H28" s="7">
        <f t="shared" si="0"/>
        <v>922.4375</v>
      </c>
      <c r="I28" s="7">
        <v>147.59</v>
      </c>
    </row>
    <row r="29" spans="1:9">
      <c r="A29" t="s">
        <v>458</v>
      </c>
      <c r="B29" s="1">
        <v>42165</v>
      </c>
      <c r="C29" t="s">
        <v>3577</v>
      </c>
      <c r="D29">
        <v>1</v>
      </c>
      <c r="E29" t="s">
        <v>3578</v>
      </c>
      <c r="F29" t="s">
        <v>3659</v>
      </c>
      <c r="G29" t="s">
        <v>3660</v>
      </c>
      <c r="H29" s="7">
        <f t="shared" si="0"/>
        <v>862.0625</v>
      </c>
      <c r="I29" s="7">
        <v>137.93</v>
      </c>
    </row>
    <row r="30" spans="1:9">
      <c r="A30" t="s">
        <v>3257</v>
      </c>
      <c r="B30" s="1">
        <v>42157</v>
      </c>
      <c r="C30" t="s">
        <v>3258</v>
      </c>
      <c r="D30">
        <v>1</v>
      </c>
      <c r="E30" t="s">
        <v>3259</v>
      </c>
      <c r="F30" t="s">
        <v>707</v>
      </c>
      <c r="G30" t="s">
        <v>3661</v>
      </c>
      <c r="H30" s="7">
        <f t="shared" si="0"/>
        <v>197213.1875</v>
      </c>
      <c r="I30" s="7">
        <v>31554.11</v>
      </c>
    </row>
    <row r="31" spans="1:9">
      <c r="A31" t="s">
        <v>176</v>
      </c>
      <c r="B31" s="1">
        <v>42185</v>
      </c>
      <c r="C31" t="s">
        <v>3370</v>
      </c>
      <c r="D31">
        <v>1</v>
      </c>
      <c r="E31" t="s">
        <v>3371</v>
      </c>
      <c r="F31" t="s">
        <v>2192</v>
      </c>
      <c r="G31" t="s">
        <v>3662</v>
      </c>
      <c r="H31" s="7">
        <f t="shared" si="0"/>
        <v>405066.125</v>
      </c>
      <c r="I31" s="7">
        <v>64810.58</v>
      </c>
    </row>
    <row r="32" spans="1:9">
      <c r="A32" t="s">
        <v>3284</v>
      </c>
      <c r="B32" s="1">
        <v>42165</v>
      </c>
      <c r="C32" t="s">
        <v>3285</v>
      </c>
      <c r="D32">
        <v>1</v>
      </c>
      <c r="E32" t="s">
        <v>3286</v>
      </c>
      <c r="F32" t="s">
        <v>2192</v>
      </c>
      <c r="G32" t="s">
        <v>3662</v>
      </c>
      <c r="H32" s="7">
        <f t="shared" si="0"/>
        <v>167666.6875</v>
      </c>
      <c r="I32" s="7">
        <v>26826.67</v>
      </c>
    </row>
    <row r="33" spans="1:9">
      <c r="A33" t="s">
        <v>2893</v>
      </c>
      <c r="B33" s="1">
        <v>42180</v>
      </c>
      <c r="C33" t="s">
        <v>3345</v>
      </c>
      <c r="D33">
        <v>1</v>
      </c>
      <c r="E33" t="s">
        <v>3346</v>
      </c>
      <c r="F33" t="s">
        <v>2690</v>
      </c>
      <c r="G33" t="s">
        <v>3663</v>
      </c>
      <c r="H33" s="7">
        <f t="shared" si="0"/>
        <v>149040.0625</v>
      </c>
      <c r="I33" s="7">
        <v>23846.41</v>
      </c>
    </row>
    <row r="34" spans="1:9">
      <c r="A34" t="s">
        <v>3113</v>
      </c>
      <c r="B34" s="1">
        <v>42157</v>
      </c>
      <c r="C34" t="s">
        <v>3556</v>
      </c>
      <c r="D34">
        <v>1</v>
      </c>
      <c r="E34" t="s">
        <v>2092</v>
      </c>
      <c r="F34" t="s">
        <v>2196</v>
      </c>
      <c r="G34" t="s">
        <v>2092</v>
      </c>
      <c r="H34" s="7">
        <f t="shared" si="0"/>
        <v>8000</v>
      </c>
      <c r="I34" s="7">
        <v>1280</v>
      </c>
    </row>
    <row r="35" spans="1:9">
      <c r="A35" t="s">
        <v>1952</v>
      </c>
      <c r="B35" s="1">
        <v>42185</v>
      </c>
      <c r="C35" t="s">
        <v>3450</v>
      </c>
      <c r="D35">
        <v>1</v>
      </c>
      <c r="E35" t="s">
        <v>723</v>
      </c>
      <c r="F35" t="s">
        <v>722</v>
      </c>
      <c r="G35" t="s">
        <v>723</v>
      </c>
      <c r="H35" s="7">
        <f t="shared" si="0"/>
        <v>277.6875</v>
      </c>
      <c r="I35" s="7">
        <v>44.43</v>
      </c>
    </row>
    <row r="36" spans="1:9">
      <c r="A36" t="s">
        <v>1955</v>
      </c>
      <c r="B36" s="1">
        <v>42185</v>
      </c>
      <c r="C36" t="s">
        <v>3451</v>
      </c>
      <c r="D36">
        <v>1</v>
      </c>
      <c r="E36" t="s">
        <v>723</v>
      </c>
      <c r="F36" t="s">
        <v>722</v>
      </c>
      <c r="G36" t="s">
        <v>723</v>
      </c>
      <c r="H36" s="7">
        <f t="shared" si="0"/>
        <v>49.125</v>
      </c>
      <c r="I36" s="7">
        <v>7.86</v>
      </c>
    </row>
    <row r="37" spans="1:9">
      <c r="A37" t="s">
        <v>1958</v>
      </c>
      <c r="B37" s="1">
        <v>42185</v>
      </c>
      <c r="C37" t="s">
        <v>3452</v>
      </c>
      <c r="D37">
        <v>1</v>
      </c>
      <c r="E37" t="s">
        <v>723</v>
      </c>
      <c r="F37" t="s">
        <v>722</v>
      </c>
      <c r="G37" t="s">
        <v>723</v>
      </c>
      <c r="H37" s="7">
        <f t="shared" si="0"/>
        <v>176.8125</v>
      </c>
      <c r="I37" s="7">
        <v>28.29</v>
      </c>
    </row>
    <row r="38" spans="1:9">
      <c r="A38" t="s">
        <v>1960</v>
      </c>
      <c r="B38" s="1">
        <v>42185</v>
      </c>
      <c r="C38" t="s">
        <v>3453</v>
      </c>
      <c r="D38">
        <v>1</v>
      </c>
      <c r="E38" t="s">
        <v>723</v>
      </c>
      <c r="F38" t="s">
        <v>722</v>
      </c>
      <c r="G38" t="s">
        <v>723</v>
      </c>
      <c r="H38" s="7">
        <f t="shared" si="0"/>
        <v>476.81250000000006</v>
      </c>
      <c r="I38" s="7">
        <v>76.290000000000006</v>
      </c>
    </row>
    <row r="39" spans="1:9">
      <c r="A39" t="s">
        <v>1962</v>
      </c>
      <c r="B39" s="1">
        <v>42185</v>
      </c>
      <c r="C39" t="s">
        <v>3456</v>
      </c>
      <c r="D39">
        <v>1</v>
      </c>
      <c r="E39" t="s">
        <v>723</v>
      </c>
      <c r="F39" t="s">
        <v>722</v>
      </c>
      <c r="G39" t="s">
        <v>723</v>
      </c>
      <c r="H39" s="7">
        <f t="shared" si="0"/>
        <v>938.8125</v>
      </c>
      <c r="I39" s="7">
        <v>150.21</v>
      </c>
    </row>
    <row r="40" spans="1:9">
      <c r="A40" t="s">
        <v>3461</v>
      </c>
      <c r="B40" s="1">
        <v>42185</v>
      </c>
      <c r="C40" t="s">
        <v>3462</v>
      </c>
      <c r="D40">
        <v>1</v>
      </c>
      <c r="E40" t="s">
        <v>723</v>
      </c>
      <c r="F40" t="s">
        <v>722</v>
      </c>
      <c r="G40" t="s">
        <v>723</v>
      </c>
      <c r="H40" s="7">
        <f t="shared" si="0"/>
        <v>56.0625</v>
      </c>
      <c r="I40" s="7">
        <v>8.9700000000000006</v>
      </c>
    </row>
    <row r="41" spans="1:9">
      <c r="A41" t="s">
        <v>1968</v>
      </c>
      <c r="B41" s="1">
        <v>42185</v>
      </c>
      <c r="C41" t="s">
        <v>3470</v>
      </c>
      <c r="D41">
        <v>1</v>
      </c>
      <c r="E41" t="s">
        <v>723</v>
      </c>
      <c r="F41" t="s">
        <v>722</v>
      </c>
      <c r="G41" t="s">
        <v>723</v>
      </c>
      <c r="H41" s="7">
        <f t="shared" si="0"/>
        <v>56.0625</v>
      </c>
      <c r="I41" s="7">
        <v>8.9700000000000006</v>
      </c>
    </row>
    <row r="42" spans="1:9">
      <c r="A42" t="s">
        <v>2006</v>
      </c>
      <c r="B42" s="1">
        <v>42185</v>
      </c>
      <c r="C42" t="s">
        <v>3500</v>
      </c>
      <c r="D42">
        <v>1</v>
      </c>
      <c r="E42" t="s">
        <v>723</v>
      </c>
      <c r="F42" t="s">
        <v>722</v>
      </c>
      <c r="G42" t="s">
        <v>723</v>
      </c>
      <c r="H42" s="7">
        <f t="shared" si="0"/>
        <v>174.25</v>
      </c>
      <c r="I42" s="7">
        <v>27.88</v>
      </c>
    </row>
    <row r="43" spans="1:9">
      <c r="A43" t="s">
        <v>2012</v>
      </c>
      <c r="B43" s="1">
        <v>42185</v>
      </c>
      <c r="C43" t="s">
        <v>3501</v>
      </c>
      <c r="D43">
        <v>1</v>
      </c>
      <c r="E43" t="s">
        <v>723</v>
      </c>
      <c r="F43" t="s">
        <v>722</v>
      </c>
      <c r="G43" t="s">
        <v>723</v>
      </c>
      <c r="H43" s="7">
        <f t="shared" si="0"/>
        <v>732.8125</v>
      </c>
      <c r="I43" s="7">
        <v>117.25</v>
      </c>
    </row>
    <row r="44" spans="1:9">
      <c r="A44" t="s">
        <v>2015</v>
      </c>
      <c r="B44" s="1">
        <v>42185</v>
      </c>
      <c r="C44" t="s">
        <v>3502</v>
      </c>
      <c r="D44">
        <v>1</v>
      </c>
      <c r="E44" t="s">
        <v>723</v>
      </c>
      <c r="F44" t="s">
        <v>722</v>
      </c>
      <c r="G44" t="s">
        <v>723</v>
      </c>
      <c r="H44" s="7">
        <f t="shared" si="0"/>
        <v>732.8125</v>
      </c>
      <c r="I44" s="7">
        <v>117.25</v>
      </c>
    </row>
    <row r="45" spans="1:9">
      <c r="A45" t="s">
        <v>3504</v>
      </c>
      <c r="B45" s="1">
        <v>42185</v>
      </c>
      <c r="C45" t="s">
        <v>3505</v>
      </c>
      <c r="D45">
        <v>1</v>
      </c>
      <c r="E45" t="s">
        <v>723</v>
      </c>
      <c r="F45" t="s">
        <v>722</v>
      </c>
      <c r="G45" t="s">
        <v>723</v>
      </c>
      <c r="H45" s="7">
        <f t="shared" si="0"/>
        <v>56.0625</v>
      </c>
      <c r="I45" s="7">
        <v>8.9700000000000006</v>
      </c>
    </row>
    <row r="46" spans="1:9">
      <c r="A46" t="s">
        <v>2024</v>
      </c>
      <c r="B46" s="1">
        <v>42185</v>
      </c>
      <c r="C46" t="s">
        <v>3511</v>
      </c>
      <c r="D46">
        <v>1</v>
      </c>
      <c r="E46" t="s">
        <v>723</v>
      </c>
      <c r="F46" t="s">
        <v>722</v>
      </c>
      <c r="G46" t="s">
        <v>723</v>
      </c>
      <c r="H46" s="7">
        <f t="shared" si="0"/>
        <v>212.9375</v>
      </c>
      <c r="I46" s="7">
        <v>34.07</v>
      </c>
    </row>
    <row r="47" spans="1:9">
      <c r="A47" t="s">
        <v>3334</v>
      </c>
      <c r="B47" s="1">
        <v>42177</v>
      </c>
      <c r="C47" t="s">
        <v>3321</v>
      </c>
      <c r="D47">
        <v>1</v>
      </c>
      <c r="E47" t="s">
        <v>3335</v>
      </c>
      <c r="F47" t="s">
        <v>724</v>
      </c>
      <c r="G47" t="s">
        <v>3664</v>
      </c>
      <c r="H47" s="7">
        <f t="shared" si="0"/>
        <v>275488.4375</v>
      </c>
      <c r="I47" s="7">
        <v>44078.15</v>
      </c>
    </row>
    <row r="48" spans="1:9">
      <c r="A48" t="s">
        <v>3264</v>
      </c>
      <c r="B48" s="1">
        <v>42158</v>
      </c>
      <c r="C48" t="s">
        <v>3265</v>
      </c>
      <c r="D48">
        <v>1</v>
      </c>
      <c r="E48" t="s">
        <v>3266</v>
      </c>
      <c r="F48" t="s">
        <v>724</v>
      </c>
      <c r="G48" t="s">
        <v>3664</v>
      </c>
      <c r="H48" s="7">
        <f t="shared" si="0"/>
        <v>263222.8125</v>
      </c>
      <c r="I48" s="7">
        <v>42115.65</v>
      </c>
    </row>
    <row r="49" spans="1:9">
      <c r="A49" t="s">
        <v>2012</v>
      </c>
      <c r="B49" s="1">
        <v>42185</v>
      </c>
      <c r="C49" t="s">
        <v>3501</v>
      </c>
      <c r="D49">
        <v>1</v>
      </c>
      <c r="E49" t="s">
        <v>881</v>
      </c>
      <c r="F49" t="s">
        <v>881</v>
      </c>
      <c r="G49" s="139" t="s">
        <v>7361</v>
      </c>
      <c r="H49" s="7">
        <f t="shared" si="0"/>
        <v>54.75</v>
      </c>
      <c r="I49" s="7">
        <v>8.76</v>
      </c>
    </row>
    <row r="50" spans="1:9">
      <c r="A50" t="s">
        <v>3521</v>
      </c>
      <c r="B50" s="1">
        <v>42185</v>
      </c>
      <c r="C50" t="s">
        <v>3522</v>
      </c>
      <c r="D50">
        <v>1</v>
      </c>
      <c r="E50" t="s">
        <v>3523</v>
      </c>
      <c r="F50" t="s">
        <v>3523</v>
      </c>
      <c r="G50" s="139" t="s">
        <v>7362</v>
      </c>
      <c r="H50" s="7">
        <f t="shared" si="0"/>
        <v>169.8125</v>
      </c>
      <c r="I50" s="7">
        <v>27.17</v>
      </c>
    </row>
    <row r="51" spans="1:9">
      <c r="A51" t="s">
        <v>1985</v>
      </c>
      <c r="B51" s="1">
        <v>42185</v>
      </c>
      <c r="C51" t="s">
        <v>3479</v>
      </c>
      <c r="D51">
        <v>1</v>
      </c>
      <c r="E51" t="s">
        <v>731</v>
      </c>
      <c r="F51" t="s">
        <v>731</v>
      </c>
      <c r="G51" s="139" t="s">
        <v>7363</v>
      </c>
      <c r="H51" s="7">
        <f t="shared" si="0"/>
        <v>466.875</v>
      </c>
      <c r="I51" s="7">
        <v>74.7</v>
      </c>
    </row>
    <row r="52" spans="1:9">
      <c r="A52" t="s">
        <v>2015</v>
      </c>
      <c r="B52" s="1">
        <v>42185</v>
      </c>
      <c r="C52" t="s">
        <v>3502</v>
      </c>
      <c r="D52">
        <v>1</v>
      </c>
      <c r="E52" t="s">
        <v>3503</v>
      </c>
      <c r="F52" t="s">
        <v>3503</v>
      </c>
      <c r="G52" s="139" t="s">
        <v>950</v>
      </c>
      <c r="H52" s="7">
        <f t="shared" si="0"/>
        <v>75</v>
      </c>
      <c r="I52" s="7">
        <v>12</v>
      </c>
    </row>
    <row r="53" spans="1:9">
      <c r="A53" t="s">
        <v>463</v>
      </c>
      <c r="B53" s="1">
        <v>42165</v>
      </c>
      <c r="C53" t="s">
        <v>3580</v>
      </c>
      <c r="D53">
        <v>1</v>
      </c>
      <c r="E53" t="s">
        <v>1436</v>
      </c>
      <c r="F53" t="s">
        <v>1551</v>
      </c>
      <c r="G53" t="s">
        <v>3665</v>
      </c>
      <c r="H53" s="7">
        <f t="shared" si="0"/>
        <v>2952.875</v>
      </c>
      <c r="I53" s="7">
        <v>472.46</v>
      </c>
    </row>
    <row r="54" spans="1:9">
      <c r="A54" t="s">
        <v>2664</v>
      </c>
      <c r="B54" s="1">
        <v>42179</v>
      </c>
      <c r="C54" t="s">
        <v>3628</v>
      </c>
      <c r="D54">
        <v>1</v>
      </c>
      <c r="E54" t="s">
        <v>1436</v>
      </c>
      <c r="F54" t="s">
        <v>1551</v>
      </c>
      <c r="G54" t="s">
        <v>3665</v>
      </c>
      <c r="H54" s="7">
        <f t="shared" si="0"/>
        <v>581.625</v>
      </c>
      <c r="I54" s="7">
        <v>93.06</v>
      </c>
    </row>
    <row r="55" spans="1:9">
      <c r="A55" t="s">
        <v>1991</v>
      </c>
      <c r="B55" s="1">
        <v>42185</v>
      </c>
      <c r="C55" t="s">
        <v>3485</v>
      </c>
      <c r="D55">
        <v>1</v>
      </c>
      <c r="E55" t="s">
        <v>726</v>
      </c>
      <c r="F55" t="s">
        <v>726</v>
      </c>
      <c r="G55" s="139" t="s">
        <v>7364</v>
      </c>
      <c r="H55" s="7">
        <f t="shared" si="0"/>
        <v>69.0625</v>
      </c>
      <c r="I55" s="7">
        <v>11.05</v>
      </c>
    </row>
    <row r="56" spans="1:9">
      <c r="A56" t="s">
        <v>1462</v>
      </c>
      <c r="B56" s="1">
        <v>42185</v>
      </c>
      <c r="C56" t="s">
        <v>3147</v>
      </c>
      <c r="D56">
        <v>1</v>
      </c>
      <c r="E56" t="s">
        <v>3650</v>
      </c>
      <c r="F56" s="25" t="s">
        <v>735</v>
      </c>
      <c r="G56" s="63" t="s">
        <v>736</v>
      </c>
      <c r="H56" s="7">
        <f t="shared" si="0"/>
        <v>285</v>
      </c>
      <c r="I56" s="7">
        <v>45.6</v>
      </c>
    </row>
    <row r="57" spans="1:9">
      <c r="A57" t="s">
        <v>2163</v>
      </c>
      <c r="B57" s="1">
        <v>42185</v>
      </c>
      <c r="C57" t="s">
        <v>3147</v>
      </c>
      <c r="D57">
        <v>1</v>
      </c>
      <c r="E57" t="s">
        <v>3653</v>
      </c>
      <c r="F57" t="s">
        <v>1552</v>
      </c>
      <c r="G57" t="s">
        <v>3666</v>
      </c>
      <c r="H57" s="7">
        <f t="shared" si="0"/>
        <v>95</v>
      </c>
      <c r="I57" s="7">
        <v>15.2</v>
      </c>
    </row>
    <row r="58" spans="1:9">
      <c r="A58" t="s">
        <v>2165</v>
      </c>
      <c r="B58" s="1">
        <v>42185</v>
      </c>
      <c r="C58" t="s">
        <v>3147</v>
      </c>
      <c r="D58">
        <v>1</v>
      </c>
      <c r="E58" t="s">
        <v>3216</v>
      </c>
      <c r="F58" t="s">
        <v>733</v>
      </c>
      <c r="G58" t="s">
        <v>3667</v>
      </c>
      <c r="H58" s="7">
        <f t="shared" si="0"/>
        <v>634.4375</v>
      </c>
      <c r="I58" s="7">
        <v>101.51</v>
      </c>
    </row>
    <row r="59" spans="1:9">
      <c r="A59" t="s">
        <v>1469</v>
      </c>
      <c r="B59" s="1">
        <v>42185</v>
      </c>
      <c r="C59" t="s">
        <v>3208</v>
      </c>
      <c r="D59">
        <v>1</v>
      </c>
      <c r="E59" t="s">
        <v>3652</v>
      </c>
      <c r="F59" t="s">
        <v>739</v>
      </c>
      <c r="G59" t="s">
        <v>3249</v>
      </c>
      <c r="H59" s="7">
        <f t="shared" si="0"/>
        <v>10904.9375</v>
      </c>
      <c r="I59" s="7">
        <v>1744.79</v>
      </c>
    </row>
    <row r="60" spans="1:9">
      <c r="A60" t="s">
        <v>552</v>
      </c>
      <c r="B60" s="1">
        <v>42185</v>
      </c>
      <c r="C60" t="s">
        <v>3208</v>
      </c>
      <c r="D60">
        <v>1</v>
      </c>
      <c r="E60" t="s">
        <v>3649</v>
      </c>
      <c r="F60" s="25" t="s">
        <v>737</v>
      </c>
      <c r="G60" s="63" t="s">
        <v>738</v>
      </c>
      <c r="H60" s="7">
        <f t="shared" si="0"/>
        <v>13092.937499999998</v>
      </c>
      <c r="I60" s="7">
        <v>2094.87</v>
      </c>
    </row>
    <row r="61" spans="1:9">
      <c r="A61" t="s">
        <v>2586</v>
      </c>
      <c r="B61" s="1">
        <v>42158</v>
      </c>
      <c r="C61" t="s">
        <v>3563</v>
      </c>
      <c r="D61">
        <v>1</v>
      </c>
      <c r="E61" t="s">
        <v>428</v>
      </c>
      <c r="F61" t="s">
        <v>790</v>
      </c>
      <c r="G61" t="s">
        <v>3219</v>
      </c>
      <c r="H61" s="7">
        <f t="shared" si="0"/>
        <v>324.3125</v>
      </c>
      <c r="I61" s="7">
        <v>51.89</v>
      </c>
    </row>
    <row r="62" spans="1:9">
      <c r="A62" t="s">
        <v>2595</v>
      </c>
      <c r="B62" s="1">
        <v>42158</v>
      </c>
      <c r="C62" t="s">
        <v>3568</v>
      </c>
      <c r="D62">
        <v>1</v>
      </c>
      <c r="E62" t="s">
        <v>428</v>
      </c>
      <c r="F62" t="s">
        <v>790</v>
      </c>
      <c r="G62" t="s">
        <v>3219</v>
      </c>
      <c r="H62" s="7">
        <f t="shared" si="0"/>
        <v>4834.9375</v>
      </c>
      <c r="I62" s="7">
        <v>773.59</v>
      </c>
    </row>
    <row r="63" spans="1:9">
      <c r="A63" t="s">
        <v>2597</v>
      </c>
      <c r="B63" s="1">
        <v>42159</v>
      </c>
      <c r="C63" t="s">
        <v>3569</v>
      </c>
      <c r="D63">
        <v>1</v>
      </c>
      <c r="E63" t="s">
        <v>428</v>
      </c>
      <c r="F63" t="s">
        <v>790</v>
      </c>
      <c r="G63" t="s">
        <v>3219</v>
      </c>
      <c r="H63" s="7">
        <f t="shared" si="0"/>
        <v>156383.625</v>
      </c>
      <c r="I63" s="7">
        <v>25021.38</v>
      </c>
    </row>
    <row r="64" spans="1:9">
      <c r="A64" t="s">
        <v>2048</v>
      </c>
      <c r="B64" s="1">
        <v>42160</v>
      </c>
      <c r="C64" t="s">
        <v>3570</v>
      </c>
      <c r="D64">
        <v>1</v>
      </c>
      <c r="E64" t="s">
        <v>428</v>
      </c>
      <c r="F64" t="s">
        <v>790</v>
      </c>
      <c r="G64" t="s">
        <v>3219</v>
      </c>
      <c r="H64" s="7">
        <f t="shared" si="0"/>
        <v>4104.25</v>
      </c>
      <c r="I64" s="7">
        <v>656.68</v>
      </c>
    </row>
    <row r="65" spans="1:9">
      <c r="A65" t="s">
        <v>1356</v>
      </c>
      <c r="B65" s="1">
        <v>42160</v>
      </c>
      <c r="C65" t="s">
        <v>3571</v>
      </c>
      <c r="D65">
        <v>1</v>
      </c>
      <c r="E65" t="s">
        <v>428</v>
      </c>
      <c r="F65" t="s">
        <v>790</v>
      </c>
      <c r="G65" t="s">
        <v>3219</v>
      </c>
      <c r="H65" s="7">
        <f t="shared" si="0"/>
        <v>68860.625</v>
      </c>
      <c r="I65" s="7">
        <v>11017.7</v>
      </c>
    </row>
    <row r="66" spans="1:9">
      <c r="A66" t="s">
        <v>2084</v>
      </c>
      <c r="B66" s="1">
        <v>42166</v>
      </c>
      <c r="C66" t="s">
        <v>3591</v>
      </c>
      <c r="D66">
        <v>1</v>
      </c>
      <c r="E66" t="s">
        <v>428</v>
      </c>
      <c r="F66" t="s">
        <v>790</v>
      </c>
      <c r="G66" t="s">
        <v>3219</v>
      </c>
      <c r="H66" s="7">
        <f t="shared" si="0"/>
        <v>8390.5</v>
      </c>
      <c r="I66" s="7">
        <v>1342.48</v>
      </c>
    </row>
    <row r="67" spans="1:9">
      <c r="A67" t="s">
        <v>3154</v>
      </c>
      <c r="B67" s="1">
        <v>42166</v>
      </c>
      <c r="C67" t="s">
        <v>3592</v>
      </c>
      <c r="D67">
        <v>1</v>
      </c>
      <c r="E67" t="s">
        <v>428</v>
      </c>
      <c r="F67" t="s">
        <v>790</v>
      </c>
      <c r="G67" t="s">
        <v>3219</v>
      </c>
      <c r="H67" s="7">
        <f t="shared" si="0"/>
        <v>2500</v>
      </c>
      <c r="I67" s="7">
        <v>400</v>
      </c>
    </row>
    <row r="68" spans="1:9">
      <c r="A68" t="s">
        <v>483</v>
      </c>
      <c r="B68" s="1">
        <v>42167</v>
      </c>
      <c r="C68" t="s">
        <v>3593</v>
      </c>
      <c r="D68">
        <v>1</v>
      </c>
      <c r="E68" t="s">
        <v>428</v>
      </c>
      <c r="F68" t="s">
        <v>790</v>
      </c>
      <c r="G68" t="s">
        <v>3219</v>
      </c>
      <c r="H68" s="7">
        <f t="shared" si="0"/>
        <v>56519.124999999993</v>
      </c>
      <c r="I68" s="7">
        <v>9043.06</v>
      </c>
    </row>
    <row r="69" spans="1:9">
      <c r="A69" t="s">
        <v>2100</v>
      </c>
      <c r="B69" s="1">
        <v>42167</v>
      </c>
      <c r="C69" t="s">
        <v>3594</v>
      </c>
      <c r="D69">
        <v>1</v>
      </c>
      <c r="E69" t="s">
        <v>428</v>
      </c>
      <c r="F69" t="s">
        <v>790</v>
      </c>
      <c r="G69" t="s">
        <v>3219</v>
      </c>
      <c r="H69" s="7">
        <f t="shared" si="0"/>
        <v>387092.8125</v>
      </c>
      <c r="I69" s="7">
        <v>61934.85</v>
      </c>
    </row>
    <row r="70" spans="1:9">
      <c r="A70" t="s">
        <v>2106</v>
      </c>
      <c r="B70" s="1">
        <v>42168</v>
      </c>
      <c r="C70" t="s">
        <v>3595</v>
      </c>
      <c r="D70">
        <v>1</v>
      </c>
      <c r="E70" t="s">
        <v>428</v>
      </c>
      <c r="F70" t="s">
        <v>790</v>
      </c>
      <c r="G70" t="s">
        <v>3219</v>
      </c>
      <c r="H70" s="7">
        <f t="shared" si="0"/>
        <v>1814.9999999999998</v>
      </c>
      <c r="I70" s="7">
        <v>290.39999999999998</v>
      </c>
    </row>
    <row r="71" spans="1:9">
      <c r="A71" t="s">
        <v>490</v>
      </c>
      <c r="B71" s="1">
        <v>42171</v>
      </c>
      <c r="C71" t="s">
        <v>3600</v>
      </c>
      <c r="D71">
        <v>1</v>
      </c>
      <c r="E71" t="s">
        <v>428</v>
      </c>
      <c r="F71" t="s">
        <v>790</v>
      </c>
      <c r="G71" t="s">
        <v>3219</v>
      </c>
      <c r="H71" s="7">
        <f t="shared" si="0"/>
        <v>40836.1875</v>
      </c>
      <c r="I71" s="7">
        <v>6533.79</v>
      </c>
    </row>
    <row r="72" spans="1:9">
      <c r="A72" t="s">
        <v>492</v>
      </c>
      <c r="B72" s="1">
        <v>42172</v>
      </c>
      <c r="C72" t="s">
        <v>3601</v>
      </c>
      <c r="D72">
        <v>1</v>
      </c>
      <c r="E72" t="s">
        <v>428</v>
      </c>
      <c r="F72" t="s">
        <v>790</v>
      </c>
      <c r="G72" t="s">
        <v>3219</v>
      </c>
      <c r="H72" s="7">
        <f t="shared" ref="H72:H135" si="1">+I72/0.16</f>
        <v>9278.9375</v>
      </c>
      <c r="I72" s="7">
        <v>1484.63</v>
      </c>
    </row>
    <row r="73" spans="1:9">
      <c r="A73" t="s">
        <v>494</v>
      </c>
      <c r="B73" s="1">
        <v>42172</v>
      </c>
      <c r="C73" t="s">
        <v>3604</v>
      </c>
      <c r="D73">
        <v>1</v>
      </c>
      <c r="E73" t="s">
        <v>428</v>
      </c>
      <c r="F73" t="s">
        <v>790</v>
      </c>
      <c r="G73" t="s">
        <v>3219</v>
      </c>
      <c r="H73" s="7">
        <f t="shared" si="1"/>
        <v>37462.5625</v>
      </c>
      <c r="I73" s="7">
        <v>5994.01</v>
      </c>
    </row>
    <row r="74" spans="1:9">
      <c r="A74" t="s">
        <v>2655</v>
      </c>
      <c r="B74" s="1">
        <v>42174</v>
      </c>
      <c r="C74" t="s">
        <v>3616</v>
      </c>
      <c r="D74">
        <v>1</v>
      </c>
      <c r="E74" t="s">
        <v>428</v>
      </c>
      <c r="F74" t="s">
        <v>790</v>
      </c>
      <c r="G74" t="s">
        <v>3219</v>
      </c>
      <c r="H74" s="7">
        <f t="shared" si="1"/>
        <v>70622.0625</v>
      </c>
      <c r="I74" s="7">
        <v>11299.53</v>
      </c>
    </row>
    <row r="75" spans="1:9">
      <c r="A75" t="s">
        <v>3617</v>
      </c>
      <c r="B75" s="1">
        <v>42177</v>
      </c>
      <c r="C75" t="s">
        <v>3618</v>
      </c>
      <c r="D75">
        <v>1</v>
      </c>
      <c r="E75" t="s">
        <v>428</v>
      </c>
      <c r="F75" t="s">
        <v>790</v>
      </c>
      <c r="G75" t="s">
        <v>3219</v>
      </c>
      <c r="H75" s="7">
        <f t="shared" si="1"/>
        <v>19488</v>
      </c>
      <c r="I75" s="7">
        <v>3118.08</v>
      </c>
    </row>
    <row r="76" spans="1:9">
      <c r="A76" t="s">
        <v>1443</v>
      </c>
      <c r="B76" s="1">
        <v>42181</v>
      </c>
      <c r="C76" t="s">
        <v>3642</v>
      </c>
      <c r="D76">
        <v>1</v>
      </c>
      <c r="E76" t="s">
        <v>428</v>
      </c>
      <c r="F76" t="s">
        <v>790</v>
      </c>
      <c r="G76" t="s">
        <v>3219</v>
      </c>
      <c r="H76" s="7">
        <f t="shared" si="1"/>
        <v>57442.25</v>
      </c>
      <c r="I76" s="7">
        <v>9190.76</v>
      </c>
    </row>
    <row r="77" spans="1:9">
      <c r="A77" t="s">
        <v>1446</v>
      </c>
      <c r="B77" s="1">
        <v>42181</v>
      </c>
      <c r="C77" t="s">
        <v>3643</v>
      </c>
      <c r="D77">
        <v>1</v>
      </c>
      <c r="E77" t="s">
        <v>428</v>
      </c>
      <c r="F77" t="s">
        <v>790</v>
      </c>
      <c r="G77" t="s">
        <v>3219</v>
      </c>
      <c r="H77" s="7">
        <f t="shared" si="1"/>
        <v>4318</v>
      </c>
      <c r="I77" s="7">
        <v>690.88</v>
      </c>
    </row>
    <row r="78" spans="1:9">
      <c r="A78" t="s">
        <v>545</v>
      </c>
      <c r="B78" s="1">
        <v>42184</v>
      </c>
      <c r="C78" t="s">
        <v>3644</v>
      </c>
      <c r="D78">
        <v>1</v>
      </c>
      <c r="E78" t="s">
        <v>428</v>
      </c>
      <c r="F78" t="s">
        <v>790</v>
      </c>
      <c r="G78" t="s">
        <v>3219</v>
      </c>
      <c r="H78" s="7">
        <f t="shared" si="1"/>
        <v>2200</v>
      </c>
      <c r="I78" s="7">
        <v>352</v>
      </c>
    </row>
    <row r="79" spans="1:9">
      <c r="A79" t="s">
        <v>1451</v>
      </c>
      <c r="B79" s="1">
        <v>42184</v>
      </c>
      <c r="C79" t="s">
        <v>3645</v>
      </c>
      <c r="D79">
        <v>1</v>
      </c>
      <c r="E79" t="s">
        <v>428</v>
      </c>
      <c r="F79" t="s">
        <v>790</v>
      </c>
      <c r="G79" t="s">
        <v>3219</v>
      </c>
      <c r="H79" s="7">
        <f t="shared" si="1"/>
        <v>6685.4375</v>
      </c>
      <c r="I79" s="7">
        <v>1069.67</v>
      </c>
    </row>
    <row r="80" spans="1:9">
      <c r="A80" t="s">
        <v>1453</v>
      </c>
      <c r="B80" s="1">
        <v>42184</v>
      </c>
      <c r="C80" t="s">
        <v>3646</v>
      </c>
      <c r="D80">
        <v>1</v>
      </c>
      <c r="E80" t="s">
        <v>428</v>
      </c>
      <c r="F80" t="s">
        <v>790</v>
      </c>
      <c r="G80" t="s">
        <v>3219</v>
      </c>
      <c r="H80" s="7">
        <f t="shared" si="1"/>
        <v>183792.6875</v>
      </c>
      <c r="I80" s="7">
        <v>29406.83</v>
      </c>
    </row>
    <row r="81" spans="1:9">
      <c r="A81" t="s">
        <v>1456</v>
      </c>
      <c r="B81" s="1">
        <v>42184</v>
      </c>
      <c r="C81" t="s">
        <v>3647</v>
      </c>
      <c r="D81">
        <v>1</v>
      </c>
      <c r="E81" t="s">
        <v>428</v>
      </c>
      <c r="F81" t="s">
        <v>790</v>
      </c>
      <c r="G81" t="s">
        <v>3219</v>
      </c>
      <c r="H81" s="7">
        <f t="shared" si="1"/>
        <v>1816.375</v>
      </c>
      <c r="I81" s="7">
        <v>290.62</v>
      </c>
    </row>
    <row r="82" spans="1:9">
      <c r="A82" t="s">
        <v>548</v>
      </c>
      <c r="B82" s="1">
        <v>42185</v>
      </c>
      <c r="C82" t="s">
        <v>3648</v>
      </c>
      <c r="D82">
        <v>1</v>
      </c>
      <c r="E82" t="s">
        <v>428</v>
      </c>
      <c r="F82" t="s">
        <v>790</v>
      </c>
      <c r="G82" t="s">
        <v>3219</v>
      </c>
      <c r="H82" s="7">
        <f t="shared" si="1"/>
        <v>324.3125</v>
      </c>
      <c r="I82" s="7">
        <v>51.89</v>
      </c>
    </row>
    <row r="83" spans="1:9">
      <c r="A83" t="s">
        <v>460</v>
      </c>
      <c r="B83" s="1">
        <v>42165</v>
      </c>
      <c r="C83" t="s">
        <v>3579</v>
      </c>
      <c r="D83">
        <v>1</v>
      </c>
      <c r="E83" t="s">
        <v>428</v>
      </c>
      <c r="F83" t="s">
        <v>790</v>
      </c>
      <c r="G83" t="s">
        <v>3219</v>
      </c>
      <c r="H83" s="7">
        <f t="shared" si="1"/>
        <v>5714.25</v>
      </c>
      <c r="I83" s="7">
        <v>914.28</v>
      </c>
    </row>
    <row r="84" spans="1:9">
      <c r="A84" t="s">
        <v>1945</v>
      </c>
      <c r="B84" s="1">
        <v>42185</v>
      </c>
      <c r="C84" t="s">
        <v>3437</v>
      </c>
      <c r="D84">
        <v>1</v>
      </c>
      <c r="E84" t="s">
        <v>3438</v>
      </c>
      <c r="F84" t="s">
        <v>759</v>
      </c>
      <c r="G84" s="139" t="s">
        <v>3221</v>
      </c>
      <c r="H84" s="7">
        <f t="shared" si="1"/>
        <v>80.9375</v>
      </c>
      <c r="I84" s="7">
        <v>12.95</v>
      </c>
    </row>
    <row r="85" spans="1:9">
      <c r="A85" t="s">
        <v>1962</v>
      </c>
      <c r="B85" s="1">
        <v>42185</v>
      </c>
      <c r="C85" t="s">
        <v>3456</v>
      </c>
      <c r="D85">
        <v>1</v>
      </c>
      <c r="E85" t="s">
        <v>925</v>
      </c>
      <c r="F85" t="s">
        <v>925</v>
      </c>
      <c r="G85" s="139" t="s">
        <v>7365</v>
      </c>
      <c r="H85" s="7">
        <f t="shared" si="1"/>
        <v>503.24999999999994</v>
      </c>
      <c r="I85" s="7">
        <v>80.52</v>
      </c>
    </row>
    <row r="86" spans="1:9">
      <c r="A86" t="s">
        <v>63</v>
      </c>
      <c r="B86" s="1">
        <v>42167</v>
      </c>
      <c r="C86" t="s">
        <v>3294</v>
      </c>
      <c r="D86">
        <v>1</v>
      </c>
      <c r="E86" t="s">
        <v>3295</v>
      </c>
      <c r="F86" t="s">
        <v>791</v>
      </c>
      <c r="G86" t="s">
        <v>3222</v>
      </c>
      <c r="H86" s="7">
        <f t="shared" si="1"/>
        <v>302316.0625</v>
      </c>
      <c r="I86" s="7">
        <v>48370.57</v>
      </c>
    </row>
    <row r="87" spans="1:9">
      <c r="A87" t="s">
        <v>3347</v>
      </c>
      <c r="B87" s="1">
        <v>42180</v>
      </c>
      <c r="C87" t="s">
        <v>3348</v>
      </c>
      <c r="D87">
        <v>1</v>
      </c>
      <c r="E87" t="s">
        <v>1115</v>
      </c>
      <c r="F87" t="s">
        <v>1554</v>
      </c>
      <c r="G87" t="s">
        <v>3668</v>
      </c>
      <c r="H87" s="7">
        <f t="shared" si="1"/>
        <v>149040.0625</v>
      </c>
      <c r="I87" s="7">
        <v>23846.41</v>
      </c>
    </row>
    <row r="88" spans="1:9">
      <c r="A88" t="s">
        <v>1781</v>
      </c>
      <c r="B88" s="1">
        <v>42182</v>
      </c>
      <c r="C88" t="s">
        <v>3351</v>
      </c>
      <c r="D88">
        <v>1</v>
      </c>
      <c r="E88" t="s">
        <v>1115</v>
      </c>
      <c r="F88" t="s">
        <v>1554</v>
      </c>
      <c r="G88" t="s">
        <v>3668</v>
      </c>
      <c r="H88" s="7">
        <f t="shared" si="1"/>
        <v>405066.125</v>
      </c>
      <c r="I88" s="7">
        <v>64810.58</v>
      </c>
    </row>
    <row r="89" spans="1:9">
      <c r="A89" t="s">
        <v>3331</v>
      </c>
      <c r="B89" s="1">
        <v>42175</v>
      </c>
      <c r="C89" t="s">
        <v>3332</v>
      </c>
      <c r="D89">
        <v>1</v>
      </c>
      <c r="E89" t="s">
        <v>3333</v>
      </c>
      <c r="F89" t="s">
        <v>1554</v>
      </c>
      <c r="G89" t="s">
        <v>3668</v>
      </c>
      <c r="H89" s="7">
        <f t="shared" si="1"/>
        <v>238390.8125</v>
      </c>
      <c r="I89" s="7">
        <v>38142.53</v>
      </c>
    </row>
    <row r="90" spans="1:9">
      <c r="A90" t="s">
        <v>3329</v>
      </c>
      <c r="B90" s="1">
        <v>42175</v>
      </c>
      <c r="C90" t="s">
        <v>3330</v>
      </c>
      <c r="D90">
        <v>1</v>
      </c>
      <c r="E90" t="s">
        <v>2806</v>
      </c>
      <c r="F90" t="s">
        <v>1554</v>
      </c>
      <c r="G90" t="s">
        <v>3668</v>
      </c>
      <c r="H90" s="7">
        <f t="shared" si="1"/>
        <v>444747.81249999994</v>
      </c>
      <c r="I90" s="7">
        <v>71159.649999999994</v>
      </c>
    </row>
    <row r="91" spans="1:9">
      <c r="A91" t="s">
        <v>1977</v>
      </c>
      <c r="B91" s="1">
        <v>42185</v>
      </c>
      <c r="C91" t="s">
        <v>3476</v>
      </c>
      <c r="D91">
        <v>1</v>
      </c>
      <c r="E91" t="s">
        <v>3477</v>
      </c>
      <c r="F91" t="s">
        <v>3477</v>
      </c>
      <c r="G91" s="139" t="s">
        <v>7366</v>
      </c>
      <c r="H91" s="7">
        <f t="shared" si="1"/>
        <v>243</v>
      </c>
      <c r="I91" s="7">
        <v>38.880000000000003</v>
      </c>
    </row>
    <row r="92" spans="1:9">
      <c r="A92" t="s">
        <v>471</v>
      </c>
      <c r="B92" s="1">
        <v>42165</v>
      </c>
      <c r="C92" t="s">
        <v>3584</v>
      </c>
      <c r="D92">
        <v>1</v>
      </c>
      <c r="E92" t="s">
        <v>638</v>
      </c>
      <c r="F92" t="s">
        <v>795</v>
      </c>
      <c r="G92" t="s">
        <v>638</v>
      </c>
      <c r="H92" s="7">
        <f t="shared" si="1"/>
        <v>60069.000000000007</v>
      </c>
      <c r="I92" s="7">
        <v>9611.0400000000009</v>
      </c>
    </row>
    <row r="93" spans="1:9">
      <c r="A93" t="s">
        <v>3504</v>
      </c>
      <c r="B93" s="1">
        <v>42185</v>
      </c>
      <c r="C93" t="s">
        <v>3505</v>
      </c>
      <c r="D93">
        <v>1</v>
      </c>
      <c r="E93" t="s">
        <v>885</v>
      </c>
      <c r="F93" t="s">
        <v>885</v>
      </c>
      <c r="G93" s="139" t="s">
        <v>7367</v>
      </c>
      <c r="H93" s="7">
        <f t="shared" si="1"/>
        <v>125.81249999999999</v>
      </c>
      <c r="I93" s="7">
        <v>20.13</v>
      </c>
    </row>
    <row r="94" spans="1:9">
      <c r="A94" t="s">
        <v>3536</v>
      </c>
      <c r="B94" s="1">
        <v>42185</v>
      </c>
      <c r="C94" t="s">
        <v>3537</v>
      </c>
      <c r="D94">
        <v>1</v>
      </c>
      <c r="E94" t="s">
        <v>704</v>
      </c>
      <c r="F94" t="s">
        <v>704</v>
      </c>
      <c r="G94" s="139" t="s">
        <v>237</v>
      </c>
      <c r="H94" s="7">
        <f t="shared" si="1"/>
        <v>689.6875</v>
      </c>
      <c r="I94" s="7">
        <v>110.35</v>
      </c>
    </row>
    <row r="95" spans="1:9">
      <c r="A95" t="s">
        <v>3538</v>
      </c>
      <c r="B95" s="1">
        <v>42185</v>
      </c>
      <c r="C95" t="s">
        <v>3539</v>
      </c>
      <c r="D95">
        <v>1</v>
      </c>
      <c r="E95" t="s">
        <v>704</v>
      </c>
      <c r="F95" t="s">
        <v>704</v>
      </c>
      <c r="G95" s="139" t="s">
        <v>237</v>
      </c>
      <c r="H95" s="7">
        <f t="shared" si="1"/>
        <v>215.49999999999997</v>
      </c>
      <c r="I95" s="7">
        <v>34.479999999999997</v>
      </c>
    </row>
    <row r="96" spans="1:9">
      <c r="A96" t="s">
        <v>3534</v>
      </c>
      <c r="B96" s="1">
        <v>42185</v>
      </c>
      <c r="C96" t="s">
        <v>3535</v>
      </c>
      <c r="D96">
        <v>1</v>
      </c>
      <c r="E96" t="s">
        <v>704</v>
      </c>
      <c r="F96" t="s">
        <v>704</v>
      </c>
      <c r="G96" s="139" t="s">
        <v>237</v>
      </c>
      <c r="H96" s="7">
        <f t="shared" si="1"/>
        <v>215.49999999999997</v>
      </c>
      <c r="I96" s="7">
        <v>34.479999999999997</v>
      </c>
    </row>
    <row r="97" spans="1:9">
      <c r="A97" t="s">
        <v>3540</v>
      </c>
      <c r="B97" s="1">
        <v>42185</v>
      </c>
      <c r="C97" t="s">
        <v>3541</v>
      </c>
      <c r="D97">
        <v>1</v>
      </c>
      <c r="E97" t="s">
        <v>704</v>
      </c>
      <c r="F97" t="s">
        <v>704</v>
      </c>
      <c r="G97" s="139" t="s">
        <v>237</v>
      </c>
      <c r="H97" s="7">
        <f t="shared" si="1"/>
        <v>215.49999999999997</v>
      </c>
      <c r="I97" s="7">
        <v>34.479999999999997</v>
      </c>
    </row>
    <row r="98" spans="1:9">
      <c r="A98" t="s">
        <v>174</v>
      </c>
      <c r="B98" s="1">
        <v>42185</v>
      </c>
      <c r="C98" t="s">
        <v>3369</v>
      </c>
      <c r="D98">
        <v>1</v>
      </c>
      <c r="E98" t="s">
        <v>2326</v>
      </c>
      <c r="F98" t="s">
        <v>797</v>
      </c>
      <c r="G98" t="s">
        <v>3669</v>
      </c>
      <c r="H98" s="7">
        <f t="shared" si="1"/>
        <v>191433.625</v>
      </c>
      <c r="I98" s="7">
        <v>30629.38</v>
      </c>
    </row>
    <row r="99" spans="1:9">
      <c r="A99" t="s">
        <v>3363</v>
      </c>
      <c r="B99" s="1">
        <v>42185</v>
      </c>
      <c r="C99" t="s">
        <v>3364</v>
      </c>
      <c r="D99">
        <v>1</v>
      </c>
      <c r="E99" t="s">
        <v>3365</v>
      </c>
      <c r="F99" t="s">
        <v>797</v>
      </c>
      <c r="G99" t="s">
        <v>3669</v>
      </c>
      <c r="H99" s="7">
        <f t="shared" si="1"/>
        <v>191433.625</v>
      </c>
      <c r="I99" s="7">
        <v>30629.38</v>
      </c>
    </row>
    <row r="100" spans="1:9">
      <c r="A100" t="s">
        <v>1949</v>
      </c>
      <c r="B100" s="1">
        <v>42185</v>
      </c>
      <c r="C100" t="s">
        <v>3443</v>
      </c>
      <c r="D100">
        <v>1</v>
      </c>
      <c r="E100" t="s">
        <v>3444</v>
      </c>
      <c r="F100" t="s">
        <v>1560</v>
      </c>
      <c r="G100" s="139" t="s">
        <v>7368</v>
      </c>
      <c r="H100" s="7">
        <f t="shared" si="1"/>
        <v>141</v>
      </c>
      <c r="I100" s="7">
        <v>22.56</v>
      </c>
    </row>
    <row r="101" spans="1:9">
      <c r="A101" t="s">
        <v>1951</v>
      </c>
      <c r="B101" s="1">
        <v>42185</v>
      </c>
      <c r="C101" t="s">
        <v>3449</v>
      </c>
      <c r="D101">
        <v>1</v>
      </c>
      <c r="E101" t="s">
        <v>1561</v>
      </c>
      <c r="F101" t="s">
        <v>1561</v>
      </c>
      <c r="G101" s="139" t="s">
        <v>7369</v>
      </c>
      <c r="H101" s="7">
        <f t="shared" si="1"/>
        <v>64.6875</v>
      </c>
      <c r="I101" s="7">
        <v>10.35</v>
      </c>
    </row>
    <row r="102" spans="1:9">
      <c r="A102" t="s">
        <v>3544</v>
      </c>
      <c r="B102" s="1">
        <v>42174</v>
      </c>
      <c r="C102" t="s">
        <v>3545</v>
      </c>
      <c r="D102">
        <v>1</v>
      </c>
      <c r="E102" t="s">
        <v>3546</v>
      </c>
      <c r="F102" t="s">
        <v>722</v>
      </c>
      <c r="G102" s="139" t="s">
        <v>722</v>
      </c>
      <c r="H102" s="7">
        <f t="shared" si="1"/>
        <v>311.375</v>
      </c>
      <c r="I102" s="7">
        <v>49.82</v>
      </c>
    </row>
    <row r="103" spans="1:9">
      <c r="A103" t="s">
        <v>3547</v>
      </c>
      <c r="B103" s="1">
        <v>42170</v>
      </c>
      <c r="C103" t="s">
        <v>3545</v>
      </c>
      <c r="D103">
        <v>1</v>
      </c>
      <c r="E103" t="s">
        <v>3548</v>
      </c>
      <c r="F103" t="s">
        <v>722</v>
      </c>
      <c r="G103" s="139" t="s">
        <v>722</v>
      </c>
      <c r="H103" s="7">
        <f t="shared" si="1"/>
        <v>1289.9375</v>
      </c>
      <c r="I103" s="7">
        <v>206.39</v>
      </c>
    </row>
    <row r="104" spans="1:9">
      <c r="A104" t="s">
        <v>3530</v>
      </c>
      <c r="B104" s="1">
        <v>42185</v>
      </c>
      <c r="C104" t="s">
        <v>3531</v>
      </c>
      <c r="D104">
        <v>1</v>
      </c>
      <c r="E104" t="s">
        <v>805</v>
      </c>
      <c r="F104" t="s">
        <v>805</v>
      </c>
      <c r="G104" s="139" t="s">
        <v>2377</v>
      </c>
      <c r="H104" s="7">
        <f t="shared" si="1"/>
        <v>310.6875</v>
      </c>
      <c r="I104" s="7">
        <v>49.71</v>
      </c>
    </row>
    <row r="105" spans="1:9">
      <c r="A105" t="s">
        <v>3532</v>
      </c>
      <c r="B105" s="1">
        <v>42185</v>
      </c>
      <c r="C105" t="s">
        <v>3533</v>
      </c>
      <c r="D105">
        <v>1</v>
      </c>
      <c r="E105" t="s">
        <v>805</v>
      </c>
      <c r="F105" t="s">
        <v>805</v>
      </c>
      <c r="G105" s="139" t="s">
        <v>2377</v>
      </c>
      <c r="H105" s="7">
        <f t="shared" si="1"/>
        <v>310.6875</v>
      </c>
      <c r="I105" s="7">
        <v>49.71</v>
      </c>
    </row>
    <row r="106" spans="1:9">
      <c r="A106" t="s">
        <v>3542</v>
      </c>
      <c r="B106" s="1">
        <v>42185</v>
      </c>
      <c r="C106" t="s">
        <v>3543</v>
      </c>
      <c r="D106">
        <v>1</v>
      </c>
      <c r="E106" t="s">
        <v>805</v>
      </c>
      <c r="F106" t="s">
        <v>805</v>
      </c>
      <c r="G106" s="139" t="s">
        <v>2377</v>
      </c>
      <c r="H106" s="7">
        <f t="shared" si="1"/>
        <v>310.6875</v>
      </c>
      <c r="I106" s="7">
        <v>49.71</v>
      </c>
    </row>
    <row r="107" spans="1:9">
      <c r="A107" t="s">
        <v>1325</v>
      </c>
      <c r="B107" s="1">
        <v>42156</v>
      </c>
      <c r="C107" t="s">
        <v>3555</v>
      </c>
      <c r="D107">
        <v>1</v>
      </c>
      <c r="E107" t="s">
        <v>433</v>
      </c>
      <c r="F107" t="s">
        <v>3670</v>
      </c>
      <c r="G107" t="s">
        <v>3671</v>
      </c>
      <c r="H107" s="7">
        <f t="shared" si="1"/>
        <v>2639.6875</v>
      </c>
      <c r="I107" s="7">
        <v>422.35</v>
      </c>
    </row>
    <row r="108" spans="1:9">
      <c r="A108" t="s">
        <v>1960</v>
      </c>
      <c r="B108" s="1">
        <v>42185</v>
      </c>
      <c r="C108" t="s">
        <v>3453</v>
      </c>
      <c r="D108">
        <v>1</v>
      </c>
      <c r="E108" t="s">
        <v>3454</v>
      </c>
      <c r="F108" t="s">
        <v>3454</v>
      </c>
      <c r="G108" s="139" t="s">
        <v>7370</v>
      </c>
      <c r="H108" s="7">
        <f t="shared" si="1"/>
        <v>209.68749999999997</v>
      </c>
      <c r="I108" s="7">
        <v>33.549999999999997</v>
      </c>
    </row>
    <row r="109" spans="1:9">
      <c r="A109" t="s">
        <v>1955</v>
      </c>
      <c r="B109" s="1">
        <v>42185</v>
      </c>
      <c r="C109" t="s">
        <v>3451</v>
      </c>
      <c r="D109">
        <v>1</v>
      </c>
      <c r="E109" t="s">
        <v>913</v>
      </c>
      <c r="F109" t="s">
        <v>913</v>
      </c>
      <c r="G109" s="139" t="s">
        <v>7371</v>
      </c>
      <c r="H109" s="7">
        <f t="shared" si="1"/>
        <v>582.6875</v>
      </c>
      <c r="I109" s="7">
        <v>93.23</v>
      </c>
    </row>
    <row r="110" spans="1:9">
      <c r="A110" t="s">
        <v>1952</v>
      </c>
      <c r="B110" s="1">
        <v>42185</v>
      </c>
      <c r="C110" t="s">
        <v>3450</v>
      </c>
      <c r="D110">
        <v>1</v>
      </c>
      <c r="E110" t="s">
        <v>1626</v>
      </c>
      <c r="F110" t="s">
        <v>1626</v>
      </c>
      <c r="G110" s="139" t="s">
        <v>7372</v>
      </c>
      <c r="H110" s="7">
        <f t="shared" si="1"/>
        <v>61.187499999999993</v>
      </c>
      <c r="I110" s="7">
        <v>9.7899999999999991</v>
      </c>
    </row>
    <row r="111" spans="1:9">
      <c r="A111" t="s">
        <v>1339</v>
      </c>
      <c r="B111" s="1">
        <v>42157</v>
      </c>
      <c r="C111" t="s">
        <v>3560</v>
      </c>
      <c r="D111">
        <v>1</v>
      </c>
      <c r="E111" t="s">
        <v>1476</v>
      </c>
      <c r="F111" t="s">
        <v>1570</v>
      </c>
      <c r="G111" t="s">
        <v>3672</v>
      </c>
      <c r="H111" s="7">
        <f t="shared" si="1"/>
        <v>256</v>
      </c>
      <c r="I111" s="7">
        <v>40.96</v>
      </c>
    </row>
    <row r="112" spans="1:9">
      <c r="A112" t="s">
        <v>480</v>
      </c>
      <c r="B112" s="1">
        <v>42165</v>
      </c>
      <c r="C112" t="s">
        <v>3590</v>
      </c>
      <c r="D112">
        <v>1</v>
      </c>
      <c r="E112" t="s">
        <v>1476</v>
      </c>
      <c r="F112" t="s">
        <v>1570</v>
      </c>
      <c r="G112" t="s">
        <v>3672</v>
      </c>
      <c r="H112" s="7">
        <f t="shared" si="1"/>
        <v>5028</v>
      </c>
      <c r="I112" s="7">
        <v>804.48</v>
      </c>
    </row>
    <row r="113" spans="1:9">
      <c r="A113" t="s">
        <v>1337</v>
      </c>
      <c r="B113" s="1">
        <v>42157</v>
      </c>
      <c r="C113" t="s">
        <v>2172</v>
      </c>
      <c r="D113">
        <v>2</v>
      </c>
      <c r="E113" t="s">
        <v>2122</v>
      </c>
      <c r="F113" t="s">
        <v>2208</v>
      </c>
      <c r="G113" t="s">
        <v>3673</v>
      </c>
      <c r="H113" s="7">
        <f t="shared" si="1"/>
        <v>8895</v>
      </c>
      <c r="I113" s="7">
        <v>1423.2</v>
      </c>
    </row>
    <row r="114" spans="1:9">
      <c r="A114" t="s">
        <v>475</v>
      </c>
      <c r="B114" s="1">
        <v>42165</v>
      </c>
      <c r="C114" t="s">
        <v>2582</v>
      </c>
      <c r="D114">
        <v>2</v>
      </c>
      <c r="E114" t="s">
        <v>2122</v>
      </c>
      <c r="F114" t="s">
        <v>2208</v>
      </c>
      <c r="G114" t="s">
        <v>3673</v>
      </c>
      <c r="H114" s="7">
        <f t="shared" si="1"/>
        <v>10995</v>
      </c>
      <c r="I114" s="7">
        <v>1759.2</v>
      </c>
    </row>
    <row r="115" spans="1:9">
      <c r="A115" t="s">
        <v>479</v>
      </c>
      <c r="B115" s="1">
        <v>42165</v>
      </c>
      <c r="C115" t="s">
        <v>3589</v>
      </c>
      <c r="D115">
        <v>1</v>
      </c>
      <c r="E115" t="s">
        <v>446</v>
      </c>
      <c r="F115" t="s">
        <v>815</v>
      </c>
      <c r="G115" t="s">
        <v>3674</v>
      </c>
      <c r="H115" s="7">
        <f t="shared" si="1"/>
        <v>2143.8125</v>
      </c>
      <c r="I115" s="7">
        <v>343.01</v>
      </c>
    </row>
    <row r="116" spans="1:9">
      <c r="A116" t="s">
        <v>3170</v>
      </c>
      <c r="B116" s="1">
        <v>42172</v>
      </c>
      <c r="C116" t="s">
        <v>3607</v>
      </c>
      <c r="D116">
        <v>1</v>
      </c>
      <c r="E116" t="s">
        <v>446</v>
      </c>
      <c r="F116" t="s">
        <v>815</v>
      </c>
      <c r="G116" t="s">
        <v>3674</v>
      </c>
      <c r="H116" s="7">
        <f t="shared" si="1"/>
        <v>1431.0625</v>
      </c>
      <c r="I116" s="7">
        <v>228.97</v>
      </c>
    </row>
    <row r="117" spans="1:9">
      <c r="A117" t="s">
        <v>1424</v>
      </c>
      <c r="B117" s="1">
        <v>42179</v>
      </c>
      <c r="C117" t="s">
        <v>3639</v>
      </c>
      <c r="D117">
        <v>1</v>
      </c>
      <c r="E117" t="s">
        <v>446</v>
      </c>
      <c r="F117" t="s">
        <v>815</v>
      </c>
      <c r="G117" t="s">
        <v>3674</v>
      </c>
      <c r="H117" s="7">
        <f t="shared" si="1"/>
        <v>2018.375</v>
      </c>
      <c r="I117" s="7">
        <v>322.94</v>
      </c>
    </row>
    <row r="118" spans="1:9">
      <c r="A118" t="s">
        <v>3366</v>
      </c>
      <c r="B118" s="1">
        <v>42185</v>
      </c>
      <c r="C118" t="s">
        <v>3367</v>
      </c>
      <c r="D118">
        <v>1</v>
      </c>
      <c r="E118" t="s">
        <v>3368</v>
      </c>
      <c r="F118" t="s">
        <v>813</v>
      </c>
      <c r="G118" t="s">
        <v>3675</v>
      </c>
      <c r="H118" s="7">
        <f t="shared" si="1"/>
        <v>164047</v>
      </c>
      <c r="I118" s="7">
        <v>26247.52</v>
      </c>
    </row>
    <row r="119" spans="1:9">
      <c r="A119" t="s">
        <v>1962</v>
      </c>
      <c r="B119" s="1">
        <v>42185</v>
      </c>
      <c r="C119" t="s">
        <v>3456</v>
      </c>
      <c r="D119">
        <v>1</v>
      </c>
      <c r="E119" t="s">
        <v>3458</v>
      </c>
      <c r="F119" t="s">
        <v>3458</v>
      </c>
      <c r="G119" s="139" t="s">
        <v>7373</v>
      </c>
      <c r="H119" s="7">
        <f t="shared" si="1"/>
        <v>754.875</v>
      </c>
      <c r="I119" s="7">
        <v>120.78</v>
      </c>
    </row>
    <row r="120" spans="1:9">
      <c r="A120" t="s">
        <v>1397</v>
      </c>
      <c r="B120" s="1">
        <v>42173</v>
      </c>
      <c r="C120" t="s">
        <v>3614</v>
      </c>
      <c r="D120">
        <v>1</v>
      </c>
      <c r="E120" t="s">
        <v>3615</v>
      </c>
      <c r="F120" t="s">
        <v>3676</v>
      </c>
      <c r="G120" t="s">
        <v>3615</v>
      </c>
      <c r="H120" s="7">
        <f t="shared" si="1"/>
        <v>2060.3125</v>
      </c>
      <c r="I120" s="7">
        <v>329.65</v>
      </c>
    </row>
    <row r="121" spans="1:9">
      <c r="A121" t="s">
        <v>1962</v>
      </c>
      <c r="B121" s="1">
        <v>42185</v>
      </c>
      <c r="C121" t="s">
        <v>3456</v>
      </c>
      <c r="D121">
        <v>1</v>
      </c>
      <c r="E121" t="s">
        <v>3459</v>
      </c>
      <c r="F121" t="s">
        <v>3459</v>
      </c>
      <c r="G121" s="139" t="s">
        <v>7374</v>
      </c>
      <c r="H121" s="7">
        <f t="shared" si="1"/>
        <v>159.5</v>
      </c>
      <c r="I121" s="7">
        <v>25.52</v>
      </c>
    </row>
    <row r="122" spans="1:9">
      <c r="A122" t="s">
        <v>1372</v>
      </c>
      <c r="B122" s="1">
        <v>42165</v>
      </c>
      <c r="C122" t="s">
        <v>3587</v>
      </c>
      <c r="D122">
        <v>1</v>
      </c>
      <c r="E122" t="s">
        <v>1455</v>
      </c>
      <c r="F122" t="s">
        <v>1573</v>
      </c>
      <c r="G122" t="s">
        <v>3677</v>
      </c>
      <c r="H122" s="7">
        <f t="shared" si="1"/>
        <v>20500</v>
      </c>
      <c r="I122" s="7">
        <v>3280</v>
      </c>
    </row>
    <row r="123" spans="1:9">
      <c r="A123" t="s">
        <v>3439</v>
      </c>
      <c r="B123" s="1">
        <v>42185</v>
      </c>
      <c r="C123" t="s">
        <v>3440</v>
      </c>
      <c r="D123">
        <v>1</v>
      </c>
      <c r="E123" t="s">
        <v>3441</v>
      </c>
      <c r="F123" t="s">
        <v>821</v>
      </c>
      <c r="G123" s="139" t="s">
        <v>5707</v>
      </c>
      <c r="H123" s="7">
        <f t="shared" si="1"/>
        <v>344.8125</v>
      </c>
      <c r="I123" s="7">
        <v>55.17</v>
      </c>
    </row>
    <row r="124" spans="1:9">
      <c r="A124" t="s">
        <v>2585</v>
      </c>
      <c r="B124" s="1">
        <v>42157</v>
      </c>
      <c r="C124" t="s">
        <v>2173</v>
      </c>
      <c r="D124">
        <v>2</v>
      </c>
      <c r="E124" t="s">
        <v>455</v>
      </c>
      <c r="F124" t="s">
        <v>823</v>
      </c>
      <c r="G124" t="s">
        <v>3678</v>
      </c>
      <c r="H124" s="7">
        <f t="shared" si="1"/>
        <v>7998.625</v>
      </c>
      <c r="I124" s="7">
        <v>1279.78</v>
      </c>
    </row>
    <row r="125" spans="1:9">
      <c r="A125" t="s">
        <v>481</v>
      </c>
      <c r="B125" s="1">
        <v>42165</v>
      </c>
      <c r="C125" t="s">
        <v>2588</v>
      </c>
      <c r="D125">
        <v>2</v>
      </c>
      <c r="E125" t="s">
        <v>455</v>
      </c>
      <c r="F125" t="s">
        <v>823</v>
      </c>
      <c r="G125" t="s">
        <v>3678</v>
      </c>
      <c r="H125" s="7">
        <f t="shared" si="1"/>
        <v>6168.875</v>
      </c>
      <c r="I125" s="7">
        <v>987.02</v>
      </c>
    </row>
    <row r="126" spans="1:9">
      <c r="A126" t="s">
        <v>3633</v>
      </c>
      <c r="B126" s="1">
        <v>42179</v>
      </c>
      <c r="C126" t="s">
        <v>2619</v>
      </c>
      <c r="D126">
        <v>2</v>
      </c>
      <c r="E126" t="s">
        <v>455</v>
      </c>
      <c r="F126" t="s">
        <v>823</v>
      </c>
      <c r="G126" t="s">
        <v>3678</v>
      </c>
      <c r="H126" s="7">
        <f t="shared" si="1"/>
        <v>3508.1874999999995</v>
      </c>
      <c r="I126" s="7">
        <v>561.30999999999995</v>
      </c>
    </row>
    <row r="127" spans="1:9">
      <c r="A127" t="s">
        <v>1385</v>
      </c>
      <c r="B127" s="1">
        <v>42172</v>
      </c>
      <c r="C127" t="s">
        <v>3605</v>
      </c>
      <c r="D127">
        <v>1</v>
      </c>
      <c r="E127" t="s">
        <v>2097</v>
      </c>
      <c r="F127" t="s">
        <v>2212</v>
      </c>
      <c r="G127" t="s">
        <v>3679</v>
      </c>
      <c r="H127" s="7">
        <f t="shared" si="1"/>
        <v>3785.625</v>
      </c>
      <c r="I127" s="7">
        <v>605.70000000000005</v>
      </c>
    </row>
    <row r="128" spans="1:9">
      <c r="A128" t="s">
        <v>512</v>
      </c>
      <c r="B128" s="1">
        <v>42179</v>
      </c>
      <c r="C128" t="s">
        <v>2600</v>
      </c>
      <c r="D128">
        <v>2</v>
      </c>
      <c r="E128" t="s">
        <v>650</v>
      </c>
      <c r="F128" t="s">
        <v>827</v>
      </c>
      <c r="G128" t="s">
        <v>650</v>
      </c>
      <c r="H128" s="7">
        <f t="shared" si="1"/>
        <v>2128</v>
      </c>
      <c r="I128" s="7">
        <v>340.48</v>
      </c>
    </row>
    <row r="129" spans="1:12">
      <c r="A129" t="s">
        <v>3322</v>
      </c>
      <c r="B129" s="1">
        <v>42174</v>
      </c>
      <c r="C129" t="s">
        <v>3320</v>
      </c>
      <c r="D129">
        <v>1</v>
      </c>
      <c r="E129" t="s">
        <v>3323</v>
      </c>
      <c r="F129" t="s">
        <v>2187</v>
      </c>
      <c r="G129" t="s">
        <v>3658</v>
      </c>
      <c r="H129" s="7">
        <f t="shared" si="1"/>
        <v>307341.625</v>
      </c>
      <c r="I129" s="7">
        <v>49174.66</v>
      </c>
      <c r="J129" s="60">
        <f>+H129-[1]JUN.2015!$H$40</f>
        <v>3347.875</v>
      </c>
      <c r="K129" s="60">
        <f>+I129-[1]JUN.2015!$I$40</f>
        <v>535.66000000000349</v>
      </c>
      <c r="L129" t="s">
        <v>960</v>
      </c>
    </row>
    <row r="130" spans="1:12">
      <c r="A130" t="s">
        <v>1931</v>
      </c>
      <c r="B130" s="1">
        <v>42185</v>
      </c>
      <c r="C130" t="s">
        <v>3412</v>
      </c>
      <c r="D130">
        <v>1</v>
      </c>
      <c r="E130" t="s">
        <v>3413</v>
      </c>
      <c r="F130" t="s">
        <v>711</v>
      </c>
      <c r="G130" s="139" t="s">
        <v>7375</v>
      </c>
      <c r="H130" s="7">
        <f t="shared" si="1"/>
        <v>112.0625</v>
      </c>
      <c r="I130" s="7">
        <v>17.93</v>
      </c>
    </row>
    <row r="131" spans="1:12">
      <c r="A131" t="s">
        <v>1933</v>
      </c>
      <c r="B131" s="1">
        <v>42185</v>
      </c>
      <c r="C131" t="s">
        <v>3416</v>
      </c>
      <c r="D131">
        <v>1</v>
      </c>
      <c r="E131" t="s">
        <v>3413</v>
      </c>
      <c r="F131" t="s">
        <v>711</v>
      </c>
      <c r="G131" s="139" t="s">
        <v>7375</v>
      </c>
      <c r="H131" s="7">
        <f t="shared" si="1"/>
        <v>353</v>
      </c>
      <c r="I131" s="7">
        <v>56.48</v>
      </c>
    </row>
    <row r="132" spans="1:12">
      <c r="A132" t="s">
        <v>535</v>
      </c>
      <c r="B132" s="1">
        <v>42180</v>
      </c>
      <c r="C132" t="s">
        <v>3640</v>
      </c>
      <c r="D132">
        <v>1</v>
      </c>
      <c r="E132" t="s">
        <v>3641</v>
      </c>
      <c r="F132" t="s">
        <v>1570</v>
      </c>
      <c r="G132" t="s">
        <v>3672</v>
      </c>
      <c r="H132" s="7">
        <f t="shared" si="1"/>
        <v>89655.1875</v>
      </c>
      <c r="I132" s="7">
        <v>14344.83</v>
      </c>
    </row>
    <row r="133" spans="1:12">
      <c r="A133" t="s">
        <v>3489</v>
      </c>
      <c r="B133" s="1">
        <v>42185</v>
      </c>
      <c r="C133" t="s">
        <v>3490</v>
      </c>
      <c r="D133">
        <v>1</v>
      </c>
      <c r="E133" t="s">
        <v>3491</v>
      </c>
      <c r="F133" t="s">
        <v>714</v>
      </c>
      <c r="G133" t="s">
        <v>715</v>
      </c>
      <c r="H133" s="7">
        <f t="shared" si="1"/>
        <v>571.5625</v>
      </c>
      <c r="I133" s="7">
        <v>91.45</v>
      </c>
    </row>
    <row r="134" spans="1:12">
      <c r="A134" t="s">
        <v>3527</v>
      </c>
      <c r="B134" s="1">
        <v>42185</v>
      </c>
      <c r="C134" t="s">
        <v>3506</v>
      </c>
      <c r="D134">
        <v>1</v>
      </c>
      <c r="E134" t="s">
        <v>3491</v>
      </c>
      <c r="F134" t="s">
        <v>714</v>
      </c>
      <c r="G134" t="s">
        <v>715</v>
      </c>
      <c r="H134" s="7">
        <f t="shared" si="1"/>
        <v>56.0625</v>
      </c>
      <c r="I134" s="7">
        <v>8.9700000000000006</v>
      </c>
    </row>
    <row r="135" spans="1:12">
      <c r="A135" t="s">
        <v>3527</v>
      </c>
      <c r="B135" s="1">
        <v>42185</v>
      </c>
      <c r="C135" t="s">
        <v>3506</v>
      </c>
      <c r="D135">
        <v>1</v>
      </c>
      <c r="E135" t="s">
        <v>3491</v>
      </c>
      <c r="F135" t="s">
        <v>714</v>
      </c>
      <c r="G135" t="s">
        <v>715</v>
      </c>
      <c r="H135" s="7">
        <f t="shared" si="1"/>
        <v>271.5625</v>
      </c>
      <c r="I135" s="7">
        <v>43.45</v>
      </c>
    </row>
    <row r="136" spans="1:12">
      <c r="A136" t="s">
        <v>3518</v>
      </c>
      <c r="B136" s="1">
        <v>42185</v>
      </c>
      <c r="C136" t="s">
        <v>1315</v>
      </c>
      <c r="D136">
        <v>1</v>
      </c>
      <c r="E136" t="s">
        <v>3491</v>
      </c>
      <c r="F136" t="s">
        <v>714</v>
      </c>
      <c r="G136" t="s">
        <v>715</v>
      </c>
      <c r="H136" s="7">
        <f t="shared" ref="H136:H199" si="2">+I136/0.16</f>
        <v>56.0625</v>
      </c>
      <c r="I136" s="7">
        <v>8.9700000000000006</v>
      </c>
    </row>
    <row r="137" spans="1:12">
      <c r="A137" t="s">
        <v>3518</v>
      </c>
      <c r="B137" s="1">
        <v>42185</v>
      </c>
      <c r="C137" t="s">
        <v>1315</v>
      </c>
      <c r="D137">
        <v>1</v>
      </c>
      <c r="E137" t="s">
        <v>3491</v>
      </c>
      <c r="F137" t="s">
        <v>714</v>
      </c>
      <c r="G137" t="s">
        <v>715</v>
      </c>
      <c r="H137" s="7">
        <f t="shared" si="2"/>
        <v>300.875</v>
      </c>
      <c r="I137" s="7">
        <v>48.14</v>
      </c>
    </row>
    <row r="138" spans="1:12">
      <c r="A138" t="s">
        <v>3463</v>
      </c>
      <c r="B138" s="1">
        <v>42185</v>
      </c>
      <c r="C138" t="s">
        <v>3464</v>
      </c>
      <c r="D138">
        <v>1</v>
      </c>
      <c r="E138" t="s">
        <v>3465</v>
      </c>
      <c r="F138" t="s">
        <v>751</v>
      </c>
      <c r="G138" s="139" t="s">
        <v>7358</v>
      </c>
      <c r="H138" s="7">
        <f t="shared" si="2"/>
        <v>222.43750000000003</v>
      </c>
      <c r="I138" s="7">
        <v>35.590000000000003</v>
      </c>
    </row>
    <row r="139" spans="1:12">
      <c r="A139" t="s">
        <v>3463</v>
      </c>
      <c r="B139" s="1">
        <v>42185</v>
      </c>
      <c r="C139" t="s">
        <v>3464</v>
      </c>
      <c r="D139">
        <v>1</v>
      </c>
      <c r="E139" t="s">
        <v>3465</v>
      </c>
      <c r="F139" t="s">
        <v>751</v>
      </c>
      <c r="G139" s="139" t="s">
        <v>7358</v>
      </c>
      <c r="H139" s="7">
        <f t="shared" si="2"/>
        <v>512.125</v>
      </c>
      <c r="I139" s="7">
        <v>81.94</v>
      </c>
    </row>
    <row r="140" spans="1:12">
      <c r="A140" t="s">
        <v>1927</v>
      </c>
      <c r="B140" s="1">
        <v>42185</v>
      </c>
      <c r="C140" t="s">
        <v>3406</v>
      </c>
      <c r="D140">
        <v>1</v>
      </c>
      <c r="E140" t="s">
        <v>3407</v>
      </c>
      <c r="F140" t="s">
        <v>3680</v>
      </c>
      <c r="G140" s="139" t="s">
        <v>1938</v>
      </c>
      <c r="H140" s="7">
        <f t="shared" si="2"/>
        <v>330</v>
      </c>
      <c r="I140" s="7">
        <v>52.8</v>
      </c>
    </row>
    <row r="141" spans="1:12">
      <c r="A141" t="s">
        <v>3269</v>
      </c>
      <c r="B141" s="1">
        <v>42160</v>
      </c>
      <c r="C141" t="s">
        <v>3270</v>
      </c>
      <c r="D141">
        <v>1</v>
      </c>
      <c r="E141" t="s">
        <v>3271</v>
      </c>
      <c r="F141" s="19" t="s">
        <v>1530</v>
      </c>
      <c r="G141" s="19" t="s">
        <v>3681</v>
      </c>
      <c r="H141" s="7">
        <f t="shared" si="2"/>
        <v>405066.125</v>
      </c>
      <c r="I141" s="7">
        <v>64810.58</v>
      </c>
    </row>
    <row r="142" spans="1:12">
      <c r="A142" t="s">
        <v>468</v>
      </c>
      <c r="B142" s="1">
        <v>42165</v>
      </c>
      <c r="C142" t="s">
        <v>3582</v>
      </c>
      <c r="D142">
        <v>1</v>
      </c>
      <c r="E142" t="s">
        <v>557</v>
      </c>
      <c r="F142" t="s">
        <v>956</v>
      </c>
      <c r="G142" t="s">
        <v>3682</v>
      </c>
      <c r="H142" s="7">
        <f t="shared" si="2"/>
        <v>36890.4375</v>
      </c>
      <c r="I142" s="7">
        <v>5902.47</v>
      </c>
    </row>
    <row r="143" spans="1:12">
      <c r="A143" t="s">
        <v>1921</v>
      </c>
      <c r="B143" s="1">
        <v>42185</v>
      </c>
      <c r="C143" t="s">
        <v>3390</v>
      </c>
      <c r="D143">
        <v>1</v>
      </c>
      <c r="E143" t="s">
        <v>3048</v>
      </c>
      <c r="F143" t="s">
        <v>722</v>
      </c>
      <c r="G143" s="139" t="s">
        <v>723</v>
      </c>
      <c r="H143" s="7">
        <f t="shared" si="2"/>
        <v>56.0625</v>
      </c>
      <c r="I143" s="7">
        <v>8.9700000000000006</v>
      </c>
    </row>
    <row r="144" spans="1:12">
      <c r="A144" t="s">
        <v>3395</v>
      </c>
      <c r="B144" s="1">
        <v>42185</v>
      </c>
      <c r="C144" t="s">
        <v>3396</v>
      </c>
      <c r="D144">
        <v>1</v>
      </c>
      <c r="E144" t="s">
        <v>3048</v>
      </c>
      <c r="F144" t="s">
        <v>722</v>
      </c>
      <c r="G144" s="139" t="s">
        <v>723</v>
      </c>
      <c r="H144" s="7">
        <f t="shared" si="2"/>
        <v>555.25</v>
      </c>
      <c r="I144" s="7">
        <v>88.84</v>
      </c>
    </row>
    <row r="145" spans="1:12">
      <c r="A145" t="s">
        <v>3463</v>
      </c>
      <c r="B145" s="1">
        <v>42185</v>
      </c>
      <c r="C145" t="s">
        <v>3464</v>
      </c>
      <c r="D145">
        <v>1</v>
      </c>
      <c r="E145" t="s">
        <v>3048</v>
      </c>
      <c r="F145" t="s">
        <v>722</v>
      </c>
      <c r="G145" s="139" t="s">
        <v>723</v>
      </c>
      <c r="H145" s="7">
        <f t="shared" si="2"/>
        <v>619.125</v>
      </c>
      <c r="I145" s="7">
        <v>99.06</v>
      </c>
    </row>
    <row r="146" spans="1:12">
      <c r="A146" t="s">
        <v>3272</v>
      </c>
      <c r="B146" s="1">
        <v>42161</v>
      </c>
      <c r="C146" t="s">
        <v>3273</v>
      </c>
      <c r="D146">
        <v>1</v>
      </c>
      <c r="E146" t="s">
        <v>3274</v>
      </c>
      <c r="F146" t="s">
        <v>724</v>
      </c>
      <c r="G146" t="s">
        <v>3664</v>
      </c>
      <c r="H146" s="7">
        <f t="shared" si="2"/>
        <v>163936.0625</v>
      </c>
      <c r="I146" s="7">
        <v>26229.77</v>
      </c>
      <c r="J146" s="60">
        <f>+H146-[1]JUN.2015!$H$83</f>
        <v>-854</v>
      </c>
      <c r="K146" s="60">
        <f>+I146-[1]JUN.2015!$I$83</f>
        <v>-136.63999999999942</v>
      </c>
      <c r="L146" t="s">
        <v>960</v>
      </c>
    </row>
    <row r="147" spans="1:12">
      <c r="A147" t="s">
        <v>3340</v>
      </c>
      <c r="B147" s="1">
        <v>42178</v>
      </c>
      <c r="C147" t="s">
        <v>3341</v>
      </c>
      <c r="D147">
        <v>1</v>
      </c>
      <c r="E147" t="s">
        <v>3342</v>
      </c>
      <c r="F147" t="s">
        <v>724</v>
      </c>
      <c r="G147" t="s">
        <v>3664</v>
      </c>
      <c r="H147" s="7">
        <f t="shared" si="2"/>
        <v>301793.75</v>
      </c>
      <c r="I147" s="7">
        <v>48287</v>
      </c>
      <c r="J147" s="60">
        <f>+H147-[1]JUN.2015!$H$88</f>
        <v>-522.3125</v>
      </c>
      <c r="K147" s="60">
        <f>+I147-[1]JUN.2015!$I$88</f>
        <v>-83.569999999999709</v>
      </c>
      <c r="L147" t="s">
        <v>960</v>
      </c>
    </row>
    <row r="148" spans="1:12">
      <c r="A148" t="s">
        <v>3287</v>
      </c>
      <c r="B148" s="1">
        <v>42166</v>
      </c>
      <c r="C148" t="s">
        <v>3288</v>
      </c>
      <c r="D148">
        <v>1</v>
      </c>
      <c r="E148" t="s">
        <v>3289</v>
      </c>
      <c r="F148" t="s">
        <v>724</v>
      </c>
      <c r="G148" t="s">
        <v>3664</v>
      </c>
      <c r="H148" s="7">
        <f t="shared" si="2"/>
        <v>163936.0625</v>
      </c>
      <c r="I148" s="7">
        <v>26229.77</v>
      </c>
      <c r="J148" s="60">
        <f>+H148-[1]JUN.2015!$H$84</f>
        <v>-854</v>
      </c>
      <c r="K148" s="60">
        <f>+I148-[1]JUN.2015!$I$84</f>
        <v>-136.63999999999942</v>
      </c>
      <c r="L148" t="s">
        <v>960</v>
      </c>
    </row>
    <row r="149" spans="1:12">
      <c r="A149" t="s">
        <v>3489</v>
      </c>
      <c r="B149" s="1">
        <v>42185</v>
      </c>
      <c r="C149" t="s">
        <v>3490</v>
      </c>
      <c r="D149">
        <v>1</v>
      </c>
      <c r="E149" t="s">
        <v>3492</v>
      </c>
      <c r="F149" t="s">
        <v>1543</v>
      </c>
      <c r="G149" s="139" t="s">
        <v>7376</v>
      </c>
      <c r="H149" s="7">
        <f t="shared" si="2"/>
        <v>129.3125</v>
      </c>
      <c r="I149" s="7">
        <v>20.69</v>
      </c>
    </row>
    <row r="150" spans="1:12">
      <c r="A150" t="s">
        <v>3518</v>
      </c>
      <c r="B150" s="1">
        <v>42185</v>
      </c>
      <c r="C150" t="s">
        <v>1315</v>
      </c>
      <c r="D150">
        <v>1</v>
      </c>
      <c r="E150" t="s">
        <v>3492</v>
      </c>
      <c r="F150" t="s">
        <v>1543</v>
      </c>
      <c r="G150" s="139" t="s">
        <v>7376</v>
      </c>
      <c r="H150" s="7">
        <f t="shared" si="2"/>
        <v>68.9375</v>
      </c>
      <c r="I150" s="7">
        <v>11.03</v>
      </c>
    </row>
    <row r="151" spans="1:12">
      <c r="A151" t="s">
        <v>1925</v>
      </c>
      <c r="B151" s="1">
        <v>42185</v>
      </c>
      <c r="C151" t="s">
        <v>3404</v>
      </c>
      <c r="D151">
        <v>1</v>
      </c>
      <c r="E151" t="s">
        <v>3405</v>
      </c>
      <c r="F151" t="s">
        <v>3523</v>
      </c>
      <c r="G151" s="139" t="s">
        <v>7362</v>
      </c>
      <c r="H151" s="7">
        <f t="shared" si="2"/>
        <v>26.75</v>
      </c>
      <c r="I151" s="7">
        <v>4.28</v>
      </c>
    </row>
    <row r="152" spans="1:12">
      <c r="A152" t="s">
        <v>1929</v>
      </c>
      <c r="B152" s="1">
        <v>42185</v>
      </c>
      <c r="C152" t="s">
        <v>3408</v>
      </c>
      <c r="D152">
        <v>1</v>
      </c>
      <c r="E152" t="s">
        <v>3409</v>
      </c>
      <c r="F152" t="s">
        <v>726</v>
      </c>
      <c r="G152" s="139" t="s">
        <v>7364</v>
      </c>
      <c r="H152" s="7">
        <f t="shared" si="2"/>
        <v>104.3125</v>
      </c>
      <c r="I152" s="7">
        <v>16.690000000000001</v>
      </c>
    </row>
    <row r="153" spans="1:12">
      <c r="A153" t="s">
        <v>1937</v>
      </c>
      <c r="B153" s="1">
        <v>42185</v>
      </c>
      <c r="C153" t="s">
        <v>3419</v>
      </c>
      <c r="D153">
        <v>1</v>
      </c>
      <c r="E153" t="s">
        <v>3420</v>
      </c>
      <c r="F153" t="s">
        <v>759</v>
      </c>
      <c r="G153" s="139" t="s">
        <v>3221</v>
      </c>
      <c r="H153" s="7">
        <f t="shared" si="2"/>
        <v>61.750000000000007</v>
      </c>
      <c r="I153" s="7">
        <v>9.8800000000000008</v>
      </c>
    </row>
    <row r="154" spans="1:12">
      <c r="A154" t="s">
        <v>218</v>
      </c>
      <c r="B154" s="1">
        <v>42185</v>
      </c>
      <c r="C154" t="s">
        <v>3425</v>
      </c>
      <c r="D154">
        <v>1</v>
      </c>
      <c r="E154" t="s">
        <v>3426</v>
      </c>
      <c r="F154" t="s">
        <v>755</v>
      </c>
      <c r="G154" s="139" t="s">
        <v>7377</v>
      </c>
      <c r="H154" s="7">
        <f t="shared" si="2"/>
        <v>172.4375</v>
      </c>
      <c r="I154" s="7">
        <v>27.59</v>
      </c>
    </row>
    <row r="155" spans="1:12">
      <c r="A155" t="s">
        <v>555</v>
      </c>
      <c r="B155" s="1">
        <v>42185</v>
      </c>
      <c r="C155" t="s">
        <v>3147</v>
      </c>
      <c r="D155">
        <v>1</v>
      </c>
      <c r="E155" t="s">
        <v>3651</v>
      </c>
      <c r="F155" s="25" t="s">
        <v>741</v>
      </c>
      <c r="G155" s="26" t="s">
        <v>742</v>
      </c>
      <c r="H155" s="7">
        <f t="shared" si="2"/>
        <v>350.99999999999994</v>
      </c>
      <c r="I155" s="7">
        <v>56.16</v>
      </c>
    </row>
    <row r="156" spans="1:12">
      <c r="A156" t="s">
        <v>558</v>
      </c>
      <c r="B156" s="1">
        <v>42185</v>
      </c>
      <c r="C156" t="s">
        <v>3147</v>
      </c>
      <c r="D156">
        <v>1</v>
      </c>
      <c r="E156" t="s">
        <v>3651</v>
      </c>
      <c r="F156" s="25" t="s">
        <v>743</v>
      </c>
      <c r="G156" s="26" t="s">
        <v>744</v>
      </c>
      <c r="H156" s="7">
        <f t="shared" si="2"/>
        <v>139</v>
      </c>
      <c r="I156" s="7">
        <v>22.24</v>
      </c>
    </row>
    <row r="157" spans="1:12">
      <c r="A157" t="s">
        <v>2055</v>
      </c>
      <c r="B157" s="1">
        <v>42163</v>
      </c>
      <c r="C157" t="s">
        <v>3572</v>
      </c>
      <c r="D157">
        <v>1</v>
      </c>
      <c r="E157" t="s">
        <v>1344</v>
      </c>
      <c r="F157" t="s">
        <v>808</v>
      </c>
      <c r="G157" t="s">
        <v>489</v>
      </c>
      <c r="H157" s="7">
        <f t="shared" si="2"/>
        <v>15163.5625</v>
      </c>
      <c r="I157" s="7">
        <v>2426.17</v>
      </c>
    </row>
    <row r="158" spans="1:12">
      <c r="A158" t="s">
        <v>3463</v>
      </c>
      <c r="B158" s="1">
        <v>42185</v>
      </c>
      <c r="C158" t="s">
        <v>3464</v>
      </c>
      <c r="D158">
        <v>1</v>
      </c>
      <c r="E158" t="s">
        <v>3466</v>
      </c>
      <c r="F158" t="s">
        <v>925</v>
      </c>
      <c r="G158" s="139" t="s">
        <v>7365</v>
      </c>
      <c r="H158" s="7">
        <f t="shared" si="2"/>
        <v>250</v>
      </c>
      <c r="I158" s="7">
        <v>40</v>
      </c>
    </row>
    <row r="159" spans="1:12">
      <c r="A159" t="s">
        <v>3463</v>
      </c>
      <c r="B159" s="1">
        <v>42185</v>
      </c>
      <c r="C159" t="s">
        <v>3464</v>
      </c>
      <c r="D159">
        <v>1</v>
      </c>
      <c r="E159" t="s">
        <v>3467</v>
      </c>
      <c r="F159" t="s">
        <v>3683</v>
      </c>
      <c r="G159" s="139" t="s">
        <v>7378</v>
      </c>
      <c r="H159" s="7">
        <f t="shared" si="2"/>
        <v>793.75</v>
      </c>
      <c r="I159" s="7">
        <v>127</v>
      </c>
    </row>
    <row r="160" spans="1:12">
      <c r="A160" t="s">
        <v>2018</v>
      </c>
      <c r="B160" s="1">
        <v>42185</v>
      </c>
      <c r="C160" t="s">
        <v>3506</v>
      </c>
      <c r="D160">
        <v>1</v>
      </c>
      <c r="E160" t="s">
        <v>7381</v>
      </c>
      <c r="F160" t="s">
        <v>7380</v>
      </c>
      <c r="G160" s="139" t="s">
        <v>7379</v>
      </c>
      <c r="H160" s="7">
        <f t="shared" si="2"/>
        <v>75</v>
      </c>
      <c r="I160" s="7">
        <v>12</v>
      </c>
    </row>
    <row r="161" spans="1:9">
      <c r="A161" t="s">
        <v>1921</v>
      </c>
      <c r="B161" s="1">
        <v>42185</v>
      </c>
      <c r="C161" t="s">
        <v>3390</v>
      </c>
      <c r="D161">
        <v>1</v>
      </c>
      <c r="E161" t="s">
        <v>3391</v>
      </c>
      <c r="F161" t="s">
        <v>961</v>
      </c>
      <c r="G161" s="139" t="s">
        <v>7382</v>
      </c>
      <c r="H161" s="7">
        <f t="shared" si="2"/>
        <v>125.75</v>
      </c>
      <c r="I161" s="7">
        <v>20.12</v>
      </c>
    </row>
    <row r="162" spans="1:9">
      <c r="A162" t="s">
        <v>3463</v>
      </c>
      <c r="B162" s="1">
        <v>42185</v>
      </c>
      <c r="C162" t="s">
        <v>3464</v>
      </c>
      <c r="D162">
        <v>1</v>
      </c>
      <c r="E162" t="s">
        <v>3468</v>
      </c>
      <c r="F162" t="s">
        <v>905</v>
      </c>
      <c r="G162" s="139" t="s">
        <v>906</v>
      </c>
      <c r="H162" s="7">
        <f t="shared" si="2"/>
        <v>455.31249999999994</v>
      </c>
      <c r="I162" s="7">
        <v>72.849999999999994</v>
      </c>
    </row>
    <row r="163" spans="1:9">
      <c r="A163" t="s">
        <v>2018</v>
      </c>
      <c r="B163" s="1">
        <v>42185</v>
      </c>
      <c r="C163" t="s">
        <v>3506</v>
      </c>
      <c r="D163">
        <v>1</v>
      </c>
      <c r="E163" t="s">
        <v>3507</v>
      </c>
      <c r="F163" t="s">
        <v>3684</v>
      </c>
      <c r="G163" s="139" t="s">
        <v>7383</v>
      </c>
      <c r="H163" s="7">
        <f t="shared" si="2"/>
        <v>227.625</v>
      </c>
      <c r="I163" s="7">
        <v>36.42</v>
      </c>
    </row>
    <row r="164" spans="1:9">
      <c r="A164" t="s">
        <v>486</v>
      </c>
      <c r="B164" s="1">
        <v>42171</v>
      </c>
      <c r="C164" t="s">
        <v>3598</v>
      </c>
      <c r="D164">
        <v>1</v>
      </c>
      <c r="E164" t="s">
        <v>3599</v>
      </c>
      <c r="F164" t="s">
        <v>3685</v>
      </c>
      <c r="G164" s="139" t="s">
        <v>7384</v>
      </c>
      <c r="H164" s="7">
        <f t="shared" si="2"/>
        <v>209051.75</v>
      </c>
      <c r="I164" s="7">
        <v>33448.28</v>
      </c>
    </row>
    <row r="165" spans="1:9">
      <c r="A165" t="s">
        <v>221</v>
      </c>
      <c r="B165" s="1">
        <v>42185</v>
      </c>
      <c r="C165" t="s">
        <v>3427</v>
      </c>
      <c r="D165">
        <v>1</v>
      </c>
      <c r="E165" t="s">
        <v>3428</v>
      </c>
      <c r="F165" t="s">
        <v>804</v>
      </c>
      <c r="G165" s="139" t="s">
        <v>7385</v>
      </c>
      <c r="H165" s="7">
        <f t="shared" si="2"/>
        <v>38.375</v>
      </c>
      <c r="I165" s="7">
        <v>6.14</v>
      </c>
    </row>
    <row r="166" spans="1:9">
      <c r="A166" t="s">
        <v>1932</v>
      </c>
      <c r="B166" s="1">
        <v>42185</v>
      </c>
      <c r="C166" t="s">
        <v>3414</v>
      </c>
      <c r="D166">
        <v>1</v>
      </c>
      <c r="E166" t="s">
        <v>3415</v>
      </c>
      <c r="F166" t="s">
        <v>807</v>
      </c>
      <c r="G166" s="139" t="s">
        <v>268</v>
      </c>
      <c r="H166" s="7">
        <f t="shared" si="2"/>
        <v>1350</v>
      </c>
      <c r="I166" s="7">
        <v>216</v>
      </c>
    </row>
    <row r="167" spans="1:9">
      <c r="A167" t="s">
        <v>2018</v>
      </c>
      <c r="B167" s="1">
        <v>42185</v>
      </c>
      <c r="C167" t="s">
        <v>3506</v>
      </c>
      <c r="D167">
        <v>1</v>
      </c>
      <c r="E167" t="s">
        <v>3508</v>
      </c>
      <c r="F167" t="s">
        <v>722</v>
      </c>
      <c r="G167" s="139" t="s">
        <v>722</v>
      </c>
      <c r="H167" s="7">
        <f t="shared" si="2"/>
        <v>56.0625</v>
      </c>
      <c r="I167" s="7">
        <v>8.9700000000000006</v>
      </c>
    </row>
    <row r="168" spans="1:9">
      <c r="A168" t="s">
        <v>224</v>
      </c>
      <c r="B168" s="1">
        <v>42185</v>
      </c>
      <c r="C168" t="s">
        <v>3429</v>
      </c>
      <c r="D168">
        <v>1</v>
      </c>
      <c r="E168" t="s">
        <v>3430</v>
      </c>
      <c r="F168" t="s">
        <v>821</v>
      </c>
      <c r="G168" s="139" t="s">
        <v>5707</v>
      </c>
      <c r="H168" s="7">
        <f t="shared" si="2"/>
        <v>689.625</v>
      </c>
      <c r="I168" s="7">
        <v>110.34</v>
      </c>
    </row>
    <row r="169" spans="1:9">
      <c r="A169" t="s">
        <v>3431</v>
      </c>
      <c r="B169" s="1">
        <v>42185</v>
      </c>
      <c r="C169" t="s">
        <v>3432</v>
      </c>
      <c r="D169">
        <v>1</v>
      </c>
      <c r="E169" t="s">
        <v>3430</v>
      </c>
      <c r="F169" t="s">
        <v>821</v>
      </c>
      <c r="G169" s="139" t="s">
        <v>5707</v>
      </c>
      <c r="H169" s="7">
        <f t="shared" si="2"/>
        <v>689.625</v>
      </c>
      <c r="I169" s="7">
        <v>110.34</v>
      </c>
    </row>
    <row r="170" spans="1:9">
      <c r="A170" t="s">
        <v>1943</v>
      </c>
      <c r="B170" s="1">
        <v>42185</v>
      </c>
      <c r="C170" t="s">
        <v>3435</v>
      </c>
      <c r="D170">
        <v>1</v>
      </c>
      <c r="E170" t="s">
        <v>3436</v>
      </c>
      <c r="F170" t="s">
        <v>821</v>
      </c>
      <c r="G170" s="139" t="s">
        <v>5707</v>
      </c>
      <c r="H170" s="7">
        <f t="shared" si="2"/>
        <v>344.8125</v>
      </c>
      <c r="I170" s="7">
        <v>55.17</v>
      </c>
    </row>
    <row r="171" spans="1:9">
      <c r="A171" t="s">
        <v>2058</v>
      </c>
      <c r="B171" s="1">
        <v>42163</v>
      </c>
      <c r="C171" t="s">
        <v>3573</v>
      </c>
      <c r="D171">
        <v>1</v>
      </c>
      <c r="E171" t="s">
        <v>3107</v>
      </c>
      <c r="F171" t="s">
        <v>822</v>
      </c>
      <c r="G171" t="s">
        <v>3686</v>
      </c>
      <c r="H171" s="7">
        <f t="shared" si="2"/>
        <v>509.6875</v>
      </c>
      <c r="I171" s="7">
        <v>81.55</v>
      </c>
    </row>
    <row r="172" spans="1:9">
      <c r="A172" t="s">
        <v>3489</v>
      </c>
      <c r="B172" s="1">
        <v>42185</v>
      </c>
      <c r="C172" t="s">
        <v>3490</v>
      </c>
      <c r="D172">
        <v>1</v>
      </c>
      <c r="E172" t="s">
        <v>3493</v>
      </c>
      <c r="F172" t="s">
        <v>716</v>
      </c>
      <c r="G172" s="139" t="s">
        <v>7386</v>
      </c>
      <c r="H172" s="7">
        <f t="shared" si="2"/>
        <v>2362.5</v>
      </c>
      <c r="I172" s="7">
        <v>378</v>
      </c>
    </row>
    <row r="173" spans="1:9">
      <c r="A173" t="s">
        <v>2018</v>
      </c>
      <c r="B173" s="1">
        <v>42185</v>
      </c>
      <c r="C173" t="s">
        <v>3506</v>
      </c>
      <c r="D173">
        <v>1</v>
      </c>
      <c r="E173" t="s">
        <v>3493</v>
      </c>
      <c r="F173" t="s">
        <v>716</v>
      </c>
      <c r="G173" s="139" t="s">
        <v>7386</v>
      </c>
      <c r="H173" s="7">
        <f t="shared" si="2"/>
        <v>1771.875</v>
      </c>
      <c r="I173" s="7">
        <v>283.5</v>
      </c>
    </row>
    <row r="174" spans="1:9">
      <c r="A174" t="s">
        <v>3524</v>
      </c>
      <c r="B174" s="1">
        <v>42185</v>
      </c>
      <c r="C174" t="s">
        <v>3506</v>
      </c>
      <c r="D174">
        <v>1</v>
      </c>
      <c r="E174" t="s">
        <v>3493</v>
      </c>
      <c r="F174" t="s">
        <v>716</v>
      </c>
      <c r="G174" s="139" t="s">
        <v>7386</v>
      </c>
      <c r="H174" s="7">
        <f t="shared" si="2"/>
        <v>1771.875</v>
      </c>
      <c r="I174" s="7">
        <v>283.5</v>
      </c>
    </row>
    <row r="175" spans="1:9">
      <c r="A175" t="s">
        <v>3527</v>
      </c>
      <c r="B175" s="1">
        <v>42185</v>
      </c>
      <c r="C175" t="s">
        <v>3506</v>
      </c>
      <c r="D175">
        <v>1</v>
      </c>
      <c r="E175" t="s">
        <v>3493</v>
      </c>
      <c r="F175" t="s">
        <v>716</v>
      </c>
      <c r="G175" s="139" t="s">
        <v>7386</v>
      </c>
      <c r="H175" s="7">
        <f t="shared" si="2"/>
        <v>1181.25</v>
      </c>
      <c r="I175" s="7">
        <v>189</v>
      </c>
    </row>
    <row r="176" spans="1:9">
      <c r="A176" t="s">
        <v>3518</v>
      </c>
      <c r="B176" s="1">
        <v>42185</v>
      </c>
      <c r="C176" t="s">
        <v>1315</v>
      </c>
      <c r="D176">
        <v>1</v>
      </c>
      <c r="E176" t="s">
        <v>3493</v>
      </c>
      <c r="F176" t="s">
        <v>716</v>
      </c>
      <c r="G176" s="139" t="s">
        <v>7386</v>
      </c>
      <c r="H176" s="7">
        <f t="shared" si="2"/>
        <v>2362.5</v>
      </c>
      <c r="I176" s="7">
        <v>378</v>
      </c>
    </row>
    <row r="177" spans="1:9">
      <c r="A177" t="s">
        <v>3392</v>
      </c>
      <c r="B177" s="1">
        <v>42185</v>
      </c>
      <c r="C177" t="s">
        <v>3393</v>
      </c>
      <c r="D177">
        <v>1</v>
      </c>
      <c r="E177" t="s">
        <v>3394</v>
      </c>
      <c r="F177" t="s">
        <v>828</v>
      </c>
      <c r="G177" s="139" t="s">
        <v>7387</v>
      </c>
      <c r="H177" s="7">
        <f t="shared" si="2"/>
        <v>60.75</v>
      </c>
      <c r="I177" s="7">
        <v>9.7200000000000006</v>
      </c>
    </row>
    <row r="178" spans="1:9">
      <c r="A178" t="s">
        <v>3622</v>
      </c>
      <c r="B178" s="1">
        <v>42177</v>
      </c>
      <c r="C178" t="s">
        <v>3623</v>
      </c>
      <c r="D178">
        <v>1</v>
      </c>
      <c r="E178" t="s">
        <v>3624</v>
      </c>
      <c r="F178" t="s">
        <v>829</v>
      </c>
      <c r="G178" t="s">
        <v>529</v>
      </c>
      <c r="H178" s="7">
        <f t="shared" si="2"/>
        <v>133928.5625</v>
      </c>
      <c r="I178" s="7">
        <v>21428.57</v>
      </c>
    </row>
    <row r="179" spans="1:9">
      <c r="A179" t="s">
        <v>1922</v>
      </c>
      <c r="B179" s="1">
        <v>42185</v>
      </c>
      <c r="C179" t="s">
        <v>3399</v>
      </c>
      <c r="D179">
        <v>1</v>
      </c>
      <c r="E179" t="s">
        <v>3400</v>
      </c>
      <c r="F179" t="s">
        <v>700</v>
      </c>
      <c r="G179" s="139" t="s">
        <v>301</v>
      </c>
      <c r="H179" s="7">
        <f t="shared" si="2"/>
        <v>246.74999999999997</v>
      </c>
      <c r="I179" s="7">
        <v>39.479999999999997</v>
      </c>
    </row>
    <row r="180" spans="1:9">
      <c r="A180" t="s">
        <v>3250</v>
      </c>
      <c r="B180" s="1">
        <v>42156</v>
      </c>
      <c r="C180" t="s">
        <v>3251</v>
      </c>
      <c r="D180">
        <v>1</v>
      </c>
      <c r="E180" t="s">
        <v>2774</v>
      </c>
      <c r="F180" t="s">
        <v>799</v>
      </c>
      <c r="G180" t="s">
        <v>3687</v>
      </c>
      <c r="H180" s="7">
        <f t="shared" si="2"/>
        <v>406.68749999999994</v>
      </c>
      <c r="I180" s="7">
        <v>65.069999999999993</v>
      </c>
    </row>
    <row r="181" spans="1:9">
      <c r="A181" t="s">
        <v>3252</v>
      </c>
      <c r="B181" s="1">
        <v>42156</v>
      </c>
      <c r="C181" t="s">
        <v>3253</v>
      </c>
      <c r="D181">
        <v>1</v>
      </c>
      <c r="E181" t="s">
        <v>2266</v>
      </c>
      <c r="F181" t="s">
        <v>799</v>
      </c>
      <c r="G181" t="s">
        <v>3687</v>
      </c>
      <c r="H181" s="7">
        <f t="shared" si="2"/>
        <v>1512.3125</v>
      </c>
      <c r="I181" s="7">
        <v>241.97</v>
      </c>
    </row>
    <row r="182" spans="1:9">
      <c r="A182" t="s">
        <v>3254</v>
      </c>
      <c r="B182" s="1">
        <v>42156</v>
      </c>
      <c r="C182" t="s">
        <v>3255</v>
      </c>
      <c r="D182">
        <v>1</v>
      </c>
      <c r="E182" t="s">
        <v>3256</v>
      </c>
      <c r="F182" t="s">
        <v>799</v>
      </c>
      <c r="G182" t="s">
        <v>3687</v>
      </c>
      <c r="H182" s="7">
        <f t="shared" si="2"/>
        <v>14963.9375</v>
      </c>
      <c r="I182" s="7">
        <v>2394.23</v>
      </c>
    </row>
    <row r="183" spans="1:9">
      <c r="A183" t="s">
        <v>3401</v>
      </c>
      <c r="B183" s="1">
        <v>42185</v>
      </c>
      <c r="C183" t="s">
        <v>3402</v>
      </c>
      <c r="D183">
        <v>1</v>
      </c>
      <c r="E183" t="s">
        <v>3403</v>
      </c>
      <c r="F183" t="s">
        <v>837</v>
      </c>
      <c r="G183" s="139" t="s">
        <v>261</v>
      </c>
      <c r="H183" s="7">
        <f t="shared" si="2"/>
        <v>256.875</v>
      </c>
      <c r="I183" s="7">
        <v>41.1</v>
      </c>
    </row>
    <row r="184" spans="1:9">
      <c r="A184" t="s">
        <v>3619</v>
      </c>
      <c r="B184" s="1">
        <v>42177</v>
      </c>
      <c r="C184" t="s">
        <v>3620</v>
      </c>
      <c r="D184">
        <v>1</v>
      </c>
      <c r="E184" t="s">
        <v>3621</v>
      </c>
      <c r="F184" t="s">
        <v>845</v>
      </c>
      <c r="G184" t="s">
        <v>532</v>
      </c>
      <c r="H184" s="7">
        <f t="shared" si="2"/>
        <v>133928.5625</v>
      </c>
      <c r="I184" s="7">
        <v>21428.57</v>
      </c>
    </row>
    <row r="185" spans="1:9">
      <c r="A185" t="s">
        <v>2018</v>
      </c>
      <c r="B185" s="1">
        <v>42185</v>
      </c>
      <c r="C185" t="s">
        <v>3506</v>
      </c>
      <c r="D185">
        <v>1</v>
      </c>
      <c r="E185" t="s">
        <v>3509</v>
      </c>
      <c r="F185" t="s">
        <v>3688</v>
      </c>
      <c r="G185" s="139" t="s">
        <v>7388</v>
      </c>
      <c r="H185" s="7">
        <f t="shared" si="2"/>
        <v>174.125</v>
      </c>
      <c r="I185" s="7">
        <v>27.86</v>
      </c>
    </row>
    <row r="186" spans="1:9">
      <c r="A186" t="s">
        <v>3489</v>
      </c>
      <c r="B186" s="1">
        <v>42185</v>
      </c>
      <c r="C186" t="s">
        <v>3490</v>
      </c>
      <c r="D186">
        <v>1</v>
      </c>
      <c r="E186" t="s">
        <v>3494</v>
      </c>
      <c r="F186" t="s">
        <v>3689</v>
      </c>
      <c r="G186" s="139" t="s">
        <v>7389</v>
      </c>
      <c r="H186" s="7">
        <f t="shared" si="2"/>
        <v>129.3125</v>
      </c>
      <c r="I186" s="7">
        <v>20.69</v>
      </c>
    </row>
    <row r="187" spans="1:9">
      <c r="A187" t="s">
        <v>3489</v>
      </c>
      <c r="B187" s="1">
        <v>42185</v>
      </c>
      <c r="C187" t="s">
        <v>3490</v>
      </c>
      <c r="D187">
        <v>1</v>
      </c>
      <c r="E187" t="s">
        <v>3494</v>
      </c>
      <c r="F187" t="s">
        <v>3689</v>
      </c>
      <c r="G187" s="139" t="s">
        <v>7389</v>
      </c>
      <c r="H187" s="7">
        <f t="shared" si="2"/>
        <v>137.9375</v>
      </c>
      <c r="I187" s="7">
        <v>22.07</v>
      </c>
    </row>
    <row r="188" spans="1:9">
      <c r="A188" t="s">
        <v>3463</v>
      </c>
      <c r="B188" s="1">
        <v>42185</v>
      </c>
      <c r="C188" t="s">
        <v>3464</v>
      </c>
      <c r="D188">
        <v>1</v>
      </c>
      <c r="E188" t="s">
        <v>3469</v>
      </c>
      <c r="F188" t="s">
        <v>3690</v>
      </c>
      <c r="G188" s="139" t="s">
        <v>7390</v>
      </c>
      <c r="H188" s="7">
        <f t="shared" si="2"/>
        <v>409.75</v>
      </c>
      <c r="I188" s="7">
        <v>65.56</v>
      </c>
    </row>
    <row r="189" spans="1:9">
      <c r="A189" t="s">
        <v>1934</v>
      </c>
      <c r="B189" s="1">
        <v>42185</v>
      </c>
      <c r="C189" t="s">
        <v>3417</v>
      </c>
      <c r="D189">
        <v>1</v>
      </c>
      <c r="E189" t="s">
        <v>3418</v>
      </c>
      <c r="F189" t="s">
        <v>1594</v>
      </c>
      <c r="G189" s="139" t="s">
        <v>7391</v>
      </c>
      <c r="H189" s="7">
        <f t="shared" si="2"/>
        <v>206.875</v>
      </c>
      <c r="I189" s="7">
        <v>33.1</v>
      </c>
    </row>
    <row r="190" spans="1:9">
      <c r="A190" t="s">
        <v>215</v>
      </c>
      <c r="B190" s="1">
        <v>42185</v>
      </c>
      <c r="C190" t="s">
        <v>3423</v>
      </c>
      <c r="D190">
        <v>1</v>
      </c>
      <c r="E190" t="s">
        <v>3424</v>
      </c>
      <c r="F190" t="s">
        <v>2189</v>
      </c>
      <c r="G190" s="139" t="s">
        <v>7392</v>
      </c>
      <c r="H190" s="7">
        <f t="shared" si="2"/>
        <v>617.25</v>
      </c>
      <c r="I190" s="7">
        <v>98.76</v>
      </c>
    </row>
    <row r="191" spans="1:9">
      <c r="A191" t="s">
        <v>3524</v>
      </c>
      <c r="B191" s="1">
        <v>42185</v>
      </c>
      <c r="C191" t="s">
        <v>3506</v>
      </c>
      <c r="D191">
        <v>1</v>
      </c>
      <c r="E191" t="s">
        <v>3525</v>
      </c>
      <c r="F191" t="s">
        <v>788</v>
      </c>
      <c r="G191" s="139" t="s">
        <v>3696</v>
      </c>
      <c r="H191" s="7">
        <f t="shared" si="2"/>
        <v>125</v>
      </c>
      <c r="I191" s="7">
        <v>20</v>
      </c>
    </row>
    <row r="192" spans="1:9">
      <c r="A192" t="s">
        <v>3527</v>
      </c>
      <c r="B192" s="1">
        <v>42185</v>
      </c>
      <c r="C192" t="s">
        <v>3506</v>
      </c>
      <c r="D192">
        <v>1</v>
      </c>
      <c r="E192" t="s">
        <v>3525</v>
      </c>
      <c r="F192" t="s">
        <v>788</v>
      </c>
      <c r="G192" s="139" t="s">
        <v>3696</v>
      </c>
      <c r="H192" s="7">
        <f t="shared" si="2"/>
        <v>100</v>
      </c>
      <c r="I192" s="7">
        <v>16</v>
      </c>
    </row>
    <row r="193" spans="1:12">
      <c r="A193" t="s">
        <v>3395</v>
      </c>
      <c r="B193" s="1">
        <v>42185</v>
      </c>
      <c r="C193" t="s">
        <v>3396</v>
      </c>
      <c r="D193">
        <v>1</v>
      </c>
      <c r="E193" t="s">
        <v>3397</v>
      </c>
      <c r="F193" t="s">
        <v>3691</v>
      </c>
      <c r="G193" s="139" t="s">
        <v>7393</v>
      </c>
      <c r="H193" s="7">
        <f t="shared" si="2"/>
        <v>331.875</v>
      </c>
      <c r="I193" s="7">
        <v>53.1</v>
      </c>
    </row>
    <row r="194" spans="1:12">
      <c r="A194" t="s">
        <v>2583</v>
      </c>
      <c r="B194" s="1">
        <v>42157</v>
      </c>
      <c r="C194" t="s">
        <v>3562</v>
      </c>
      <c r="D194">
        <v>1</v>
      </c>
      <c r="E194" t="s">
        <v>1461</v>
      </c>
      <c r="F194" t="s">
        <v>1648</v>
      </c>
      <c r="G194" t="s">
        <v>3692</v>
      </c>
      <c r="H194" s="7">
        <f t="shared" si="2"/>
        <v>1339.5625</v>
      </c>
      <c r="I194" s="7">
        <v>214.33</v>
      </c>
    </row>
    <row r="195" spans="1:12">
      <c r="A195" t="s">
        <v>473</v>
      </c>
      <c r="B195" s="1">
        <v>42165</v>
      </c>
      <c r="C195" t="s">
        <v>3585</v>
      </c>
      <c r="D195">
        <v>1</v>
      </c>
      <c r="E195" t="s">
        <v>1461</v>
      </c>
      <c r="F195" t="s">
        <v>1648</v>
      </c>
      <c r="G195" t="s">
        <v>3692</v>
      </c>
      <c r="H195" s="7">
        <f t="shared" si="2"/>
        <v>1005.4375</v>
      </c>
      <c r="I195" s="7">
        <v>160.87</v>
      </c>
    </row>
    <row r="196" spans="1:12">
      <c r="A196" t="s">
        <v>521</v>
      </c>
      <c r="B196" s="1">
        <v>42179</v>
      </c>
      <c r="C196" t="s">
        <v>3635</v>
      </c>
      <c r="D196">
        <v>1</v>
      </c>
      <c r="E196" t="s">
        <v>1461</v>
      </c>
      <c r="F196" t="s">
        <v>1648</v>
      </c>
      <c r="G196" t="s">
        <v>3692</v>
      </c>
      <c r="H196" s="7">
        <f t="shared" si="2"/>
        <v>1171.8125</v>
      </c>
      <c r="I196" s="7">
        <v>187.49</v>
      </c>
    </row>
    <row r="197" spans="1:12">
      <c r="A197" t="s">
        <v>2071</v>
      </c>
      <c r="B197" s="1">
        <v>42165</v>
      </c>
      <c r="C197" t="s">
        <v>3583</v>
      </c>
      <c r="D197">
        <v>1</v>
      </c>
      <c r="E197" t="s">
        <v>452</v>
      </c>
      <c r="F197" t="s">
        <v>863</v>
      </c>
      <c r="G197" t="s">
        <v>331</v>
      </c>
      <c r="H197" s="7">
        <f t="shared" si="2"/>
        <v>31870.499999999996</v>
      </c>
      <c r="I197" s="7">
        <v>5099.28</v>
      </c>
    </row>
    <row r="198" spans="1:12">
      <c r="A198" t="s">
        <v>2130</v>
      </c>
      <c r="B198" s="1">
        <v>42172</v>
      </c>
      <c r="C198" t="s">
        <v>3610</v>
      </c>
      <c r="D198">
        <v>1</v>
      </c>
      <c r="E198" t="s">
        <v>452</v>
      </c>
      <c r="F198" t="s">
        <v>863</v>
      </c>
      <c r="G198" t="s">
        <v>331</v>
      </c>
      <c r="H198" s="7">
        <f t="shared" si="2"/>
        <v>18745.75</v>
      </c>
      <c r="I198" s="7">
        <v>2999.32</v>
      </c>
    </row>
    <row r="199" spans="1:12">
      <c r="A199" t="s">
        <v>519</v>
      </c>
      <c r="B199" s="1">
        <v>42179</v>
      </c>
      <c r="C199" t="s">
        <v>3634</v>
      </c>
      <c r="D199">
        <v>1</v>
      </c>
      <c r="E199" t="s">
        <v>452</v>
      </c>
      <c r="F199" t="s">
        <v>863</v>
      </c>
      <c r="G199" t="s">
        <v>331</v>
      </c>
      <c r="H199" s="7">
        <f t="shared" si="2"/>
        <v>8135.1875000000009</v>
      </c>
      <c r="I199" s="7">
        <v>1301.6300000000001</v>
      </c>
    </row>
    <row r="200" spans="1:12">
      <c r="A200" t="s">
        <v>1939</v>
      </c>
      <c r="B200" s="1">
        <v>42185</v>
      </c>
      <c r="C200" t="s">
        <v>3421</v>
      </c>
      <c r="D200">
        <v>1</v>
      </c>
      <c r="E200" t="s">
        <v>3422</v>
      </c>
      <c r="F200" t="s">
        <v>2753</v>
      </c>
      <c r="G200" s="139" t="s">
        <v>7394</v>
      </c>
      <c r="H200" s="7">
        <f t="shared" ref="H200:H263" si="3">+I200/0.16</f>
        <v>172.4375</v>
      </c>
      <c r="I200" s="7">
        <v>27.59</v>
      </c>
    </row>
    <row r="201" spans="1:12">
      <c r="A201" t="s">
        <v>3489</v>
      </c>
      <c r="B201" s="1">
        <v>42185</v>
      </c>
      <c r="C201" t="s">
        <v>3490</v>
      </c>
      <c r="D201">
        <v>1</v>
      </c>
      <c r="E201" t="s">
        <v>3495</v>
      </c>
      <c r="F201" t="s">
        <v>2745</v>
      </c>
      <c r="G201" s="139" t="s">
        <v>2746</v>
      </c>
      <c r="H201" s="7">
        <f t="shared" si="3"/>
        <v>112.0625</v>
      </c>
      <c r="I201" s="7">
        <v>17.93</v>
      </c>
    </row>
    <row r="202" spans="1:12">
      <c r="A202" t="s">
        <v>3524</v>
      </c>
      <c r="B202" s="1">
        <v>42185</v>
      </c>
      <c r="C202" t="s">
        <v>3506</v>
      </c>
      <c r="D202">
        <v>1</v>
      </c>
      <c r="E202" t="s">
        <v>3495</v>
      </c>
      <c r="F202" t="s">
        <v>2745</v>
      </c>
      <c r="G202" s="139" t="s">
        <v>2746</v>
      </c>
      <c r="H202" s="7">
        <f t="shared" si="3"/>
        <v>89.6875</v>
      </c>
      <c r="I202" s="7">
        <v>14.35</v>
      </c>
    </row>
    <row r="203" spans="1:12">
      <c r="A203" t="s">
        <v>2018</v>
      </c>
      <c r="B203" s="1">
        <v>42185</v>
      </c>
      <c r="C203" t="s">
        <v>3506</v>
      </c>
      <c r="D203">
        <v>1</v>
      </c>
      <c r="E203" t="s">
        <v>3510</v>
      </c>
      <c r="F203" t="s">
        <v>1545</v>
      </c>
      <c r="G203" s="139" t="s">
        <v>1546</v>
      </c>
      <c r="H203" s="7">
        <f t="shared" si="3"/>
        <v>455.31249999999994</v>
      </c>
      <c r="I203" s="7">
        <v>72.849999999999994</v>
      </c>
    </row>
    <row r="204" spans="1:12">
      <c r="A204" t="s">
        <v>3527</v>
      </c>
      <c r="B204" s="1">
        <v>42185</v>
      </c>
      <c r="C204" t="s">
        <v>3506</v>
      </c>
      <c r="D204">
        <v>1</v>
      </c>
      <c r="E204" t="s">
        <v>3519</v>
      </c>
      <c r="F204" t="s">
        <v>2767</v>
      </c>
      <c r="G204" s="139" t="s">
        <v>7395</v>
      </c>
      <c r="H204" s="7">
        <f t="shared" si="3"/>
        <v>267.25</v>
      </c>
      <c r="I204" s="7">
        <v>42.76</v>
      </c>
    </row>
    <row r="205" spans="1:12">
      <c r="A205" t="s">
        <v>3518</v>
      </c>
      <c r="B205" s="1">
        <v>42185</v>
      </c>
      <c r="C205" t="s">
        <v>1315</v>
      </c>
      <c r="D205">
        <v>1</v>
      </c>
      <c r="E205" t="s">
        <v>3519</v>
      </c>
      <c r="F205" t="s">
        <v>2767</v>
      </c>
      <c r="G205" s="139" t="s">
        <v>7395</v>
      </c>
      <c r="H205" s="7">
        <f t="shared" si="3"/>
        <v>267.25</v>
      </c>
      <c r="I205" s="7">
        <v>42.76</v>
      </c>
    </row>
    <row r="206" spans="1:12">
      <c r="A206" t="s">
        <v>3301</v>
      </c>
      <c r="B206" s="1">
        <v>42171</v>
      </c>
      <c r="C206" t="s">
        <v>3302</v>
      </c>
      <c r="D206">
        <v>1</v>
      </c>
      <c r="E206" t="s">
        <v>3303</v>
      </c>
      <c r="F206" s="25" t="s">
        <v>871</v>
      </c>
      <c r="G206" s="58" t="s">
        <v>2102</v>
      </c>
      <c r="H206" s="7">
        <f t="shared" si="3"/>
        <v>178183.87499999997</v>
      </c>
      <c r="I206" s="7">
        <v>28509.42</v>
      </c>
      <c r="J206" s="60">
        <f>+H206-[1]JUN.2015!$H$331</f>
        <v>1361.9999999999709</v>
      </c>
      <c r="K206" s="60">
        <f>+I206-[1]JUN.2015!$I$331</f>
        <v>217.91999999999825</v>
      </c>
      <c r="L206" t="s">
        <v>960</v>
      </c>
    </row>
    <row r="207" spans="1:12">
      <c r="A207" t="s">
        <v>3324</v>
      </c>
      <c r="B207" s="1">
        <v>42174</v>
      </c>
      <c r="C207" t="s">
        <v>3325</v>
      </c>
      <c r="D207">
        <v>1</v>
      </c>
      <c r="E207" t="s">
        <v>3326</v>
      </c>
      <c r="F207" t="s">
        <v>1606</v>
      </c>
      <c r="G207" t="s">
        <v>3693</v>
      </c>
      <c r="H207" s="7">
        <f t="shared" si="3"/>
        <v>225941.43749999997</v>
      </c>
      <c r="I207" s="7">
        <v>36150.629999999997</v>
      </c>
      <c r="J207" s="60">
        <f>+H207-[1]JUN.2015!$H$332</f>
        <v>-593.93750000005821</v>
      </c>
      <c r="K207" s="60">
        <f>+I207-[1]JUN.2015!$I$332</f>
        <v>-95.030000000006112</v>
      </c>
      <c r="L207" t="s">
        <v>960</v>
      </c>
    </row>
    <row r="208" spans="1:12">
      <c r="A208" t="s">
        <v>3267</v>
      </c>
      <c r="B208" s="1">
        <v>42158</v>
      </c>
      <c r="C208" t="s">
        <v>3268</v>
      </c>
      <c r="D208">
        <v>1</v>
      </c>
      <c r="E208" t="s">
        <v>107</v>
      </c>
      <c r="F208" t="s">
        <v>799</v>
      </c>
      <c r="G208" t="s">
        <v>0</v>
      </c>
      <c r="H208" s="7">
        <f t="shared" si="3"/>
        <v>264822.8125</v>
      </c>
      <c r="I208" s="7">
        <v>42371.65</v>
      </c>
      <c r="J208" s="60">
        <f>+H208-[1]JUN.2015!$H$278</f>
        <v>-174.1875</v>
      </c>
      <c r="K208" s="60">
        <f>+I208-[1]JUN.2015!$I$278</f>
        <v>-27.869999999995343</v>
      </c>
      <c r="L208" t="s">
        <v>960</v>
      </c>
    </row>
    <row r="209" spans="1:12">
      <c r="A209" t="s">
        <v>2537</v>
      </c>
      <c r="B209" s="1">
        <v>42185</v>
      </c>
      <c r="C209" t="s">
        <v>3362</v>
      </c>
      <c r="D209">
        <v>1</v>
      </c>
      <c r="E209" t="s">
        <v>107</v>
      </c>
      <c r="F209" t="s">
        <v>799</v>
      </c>
      <c r="G209" t="s">
        <v>0</v>
      </c>
      <c r="H209" s="7">
        <f t="shared" si="3"/>
        <v>318662.9375</v>
      </c>
      <c r="I209" s="7">
        <v>50986.07</v>
      </c>
      <c r="J209" s="60">
        <f>+H209-[1]JUN.2015!$H$311</f>
        <v>-174.125</v>
      </c>
      <c r="K209" s="60">
        <f>+I209-[1]JUN.2015!$I$311</f>
        <v>-27.860000000000582</v>
      </c>
      <c r="L209" t="s">
        <v>960</v>
      </c>
    </row>
    <row r="210" spans="1:12">
      <c r="A210" t="s">
        <v>2917</v>
      </c>
      <c r="B210" s="1">
        <v>42185</v>
      </c>
      <c r="C210" t="s">
        <v>3381</v>
      </c>
      <c r="D210">
        <v>1</v>
      </c>
      <c r="E210" t="s">
        <v>107</v>
      </c>
      <c r="F210" t="s">
        <v>799</v>
      </c>
      <c r="G210" t="s">
        <v>0</v>
      </c>
      <c r="H210" s="7">
        <f t="shared" si="3"/>
        <v>318662.9375</v>
      </c>
      <c r="I210" s="7">
        <v>50986.07</v>
      </c>
      <c r="J210" s="60">
        <f>+H210-[1]JUN.2015!$H$317</f>
        <v>-174.125</v>
      </c>
      <c r="K210" s="60">
        <f>+I210-[1]JUN.2015!$I$317</f>
        <v>-27.860000000000582</v>
      </c>
      <c r="L210" t="s">
        <v>960</v>
      </c>
    </row>
    <row r="211" spans="1:12">
      <c r="A211" t="s">
        <v>2563</v>
      </c>
      <c r="B211" s="1">
        <v>42185</v>
      </c>
      <c r="C211" t="s">
        <v>3378</v>
      </c>
      <c r="D211">
        <v>1</v>
      </c>
      <c r="E211" t="s">
        <v>107</v>
      </c>
      <c r="F211" t="s">
        <v>799</v>
      </c>
      <c r="G211" t="s">
        <v>0</v>
      </c>
      <c r="H211" s="7">
        <f t="shared" si="3"/>
        <v>283693.75</v>
      </c>
      <c r="I211" s="7">
        <v>45391</v>
      </c>
      <c r="J211" s="60">
        <f>+H211-[1]JUN.2015!$H$315</f>
        <v>2843.9375</v>
      </c>
      <c r="K211" s="60">
        <f>+I211-[1]JUN.2015!$I$315</f>
        <v>455.02999999999884</v>
      </c>
      <c r="L211" t="s">
        <v>960</v>
      </c>
    </row>
    <row r="212" spans="1:12">
      <c r="A212" t="s">
        <v>3124</v>
      </c>
      <c r="B212" s="1">
        <v>42158</v>
      </c>
      <c r="C212" t="s">
        <v>3564</v>
      </c>
      <c r="D212">
        <v>1</v>
      </c>
      <c r="E212" t="s">
        <v>107</v>
      </c>
      <c r="F212" t="s">
        <v>799</v>
      </c>
      <c r="G212" t="s">
        <v>3687</v>
      </c>
      <c r="H212" s="7">
        <f t="shared" si="3"/>
        <v>168409.875</v>
      </c>
      <c r="I212" s="7">
        <v>26945.58</v>
      </c>
    </row>
    <row r="213" spans="1:12">
      <c r="A213" t="s">
        <v>3565</v>
      </c>
      <c r="B213" s="1">
        <v>42158</v>
      </c>
      <c r="C213" t="s">
        <v>3566</v>
      </c>
      <c r="D213">
        <v>1</v>
      </c>
      <c r="E213" t="s">
        <v>107</v>
      </c>
      <c r="F213" t="s">
        <v>799</v>
      </c>
      <c r="G213" t="s">
        <v>3687</v>
      </c>
      <c r="H213" s="7">
        <f t="shared" si="3"/>
        <v>86722.8125</v>
      </c>
      <c r="I213" s="7">
        <v>13875.65</v>
      </c>
    </row>
    <row r="214" spans="1:12">
      <c r="A214" t="s">
        <v>560</v>
      </c>
      <c r="B214" s="1">
        <v>42181</v>
      </c>
      <c r="C214" t="s">
        <v>3654</v>
      </c>
      <c r="D214">
        <v>1</v>
      </c>
      <c r="E214" t="s">
        <v>3655</v>
      </c>
      <c r="F214" s="25" t="s">
        <v>2751</v>
      </c>
      <c r="G214" t="s">
        <v>3248</v>
      </c>
      <c r="H214" s="7">
        <f t="shared" si="3"/>
        <v>410697.5625</v>
      </c>
      <c r="I214" s="7">
        <v>65711.61</v>
      </c>
    </row>
    <row r="215" spans="1:12">
      <c r="A215" t="s">
        <v>3524</v>
      </c>
      <c r="B215" s="1">
        <v>42185</v>
      </c>
      <c r="C215" t="s">
        <v>3506</v>
      </c>
      <c r="D215">
        <v>1</v>
      </c>
      <c r="E215" t="s">
        <v>3526</v>
      </c>
      <c r="F215" t="s">
        <v>3694</v>
      </c>
      <c r="G215" s="139" t="s">
        <v>7396</v>
      </c>
      <c r="H215" s="7">
        <f t="shared" si="3"/>
        <v>113.8125</v>
      </c>
      <c r="I215" s="7">
        <v>18.21</v>
      </c>
    </row>
    <row r="216" spans="1:12">
      <c r="A216" t="s">
        <v>1930</v>
      </c>
      <c r="B216" s="1">
        <v>42185</v>
      </c>
      <c r="C216" t="s">
        <v>3410</v>
      </c>
      <c r="D216">
        <v>1</v>
      </c>
      <c r="E216" t="s">
        <v>3411</v>
      </c>
      <c r="F216" t="s">
        <v>3240</v>
      </c>
      <c r="G216" s="139" t="s">
        <v>7397</v>
      </c>
      <c r="H216" s="7">
        <f t="shared" si="3"/>
        <v>600</v>
      </c>
      <c r="I216" s="7">
        <v>96</v>
      </c>
    </row>
    <row r="217" spans="1:12">
      <c r="A217" t="s">
        <v>3518</v>
      </c>
      <c r="B217" s="1">
        <v>42185</v>
      </c>
      <c r="C217" t="s">
        <v>1315</v>
      </c>
      <c r="D217">
        <v>1</v>
      </c>
      <c r="E217" t="s">
        <v>3520</v>
      </c>
      <c r="F217" t="s">
        <v>788</v>
      </c>
      <c r="G217" t="s">
        <v>3696</v>
      </c>
      <c r="H217" s="7">
        <f t="shared" si="3"/>
        <v>117.25000000000001</v>
      </c>
      <c r="I217" s="7">
        <v>18.760000000000002</v>
      </c>
    </row>
    <row r="218" spans="1:12">
      <c r="A218" t="s">
        <v>3395</v>
      </c>
      <c r="B218" s="1">
        <v>42185</v>
      </c>
      <c r="C218" t="s">
        <v>3396</v>
      </c>
      <c r="D218">
        <v>1</v>
      </c>
      <c r="E218" t="s">
        <v>3398</v>
      </c>
      <c r="F218" t="s">
        <v>3695</v>
      </c>
      <c r="G218" s="139" t="s">
        <v>7398</v>
      </c>
      <c r="H218" s="7">
        <f t="shared" si="3"/>
        <v>102.5625</v>
      </c>
      <c r="I218" s="7">
        <v>16.41</v>
      </c>
    </row>
    <row r="219" spans="1:12">
      <c r="A219" t="s">
        <v>1970</v>
      </c>
      <c r="B219" s="1">
        <v>42185</v>
      </c>
      <c r="C219" t="s">
        <v>3472</v>
      </c>
      <c r="D219">
        <v>1</v>
      </c>
      <c r="E219" t="s">
        <v>700</v>
      </c>
      <c r="F219" t="s">
        <v>700</v>
      </c>
      <c r="G219" s="139" t="s">
        <v>301</v>
      </c>
      <c r="H219" s="7">
        <f t="shared" si="3"/>
        <v>84.8125</v>
      </c>
      <c r="I219" s="7">
        <v>13.57</v>
      </c>
    </row>
    <row r="220" spans="1:12">
      <c r="A220" t="s">
        <v>3480</v>
      </c>
      <c r="B220" s="1">
        <v>42185</v>
      </c>
      <c r="C220" t="s">
        <v>3481</v>
      </c>
      <c r="D220">
        <v>1</v>
      </c>
      <c r="E220" t="s">
        <v>700</v>
      </c>
      <c r="F220" t="s">
        <v>700</v>
      </c>
      <c r="G220" s="139" t="s">
        <v>301</v>
      </c>
      <c r="H220" s="7">
        <f t="shared" si="3"/>
        <v>58.562499999999993</v>
      </c>
      <c r="I220" s="7">
        <v>9.3699999999999992</v>
      </c>
    </row>
    <row r="221" spans="1:12">
      <c r="A221" t="s">
        <v>2580</v>
      </c>
      <c r="B221" s="1">
        <v>42157</v>
      </c>
      <c r="C221" t="s">
        <v>2170</v>
      </c>
      <c r="D221">
        <v>2</v>
      </c>
      <c r="E221" t="s">
        <v>472</v>
      </c>
      <c r="F221" t="s">
        <v>836</v>
      </c>
      <c r="G221" t="s">
        <v>472</v>
      </c>
      <c r="H221" s="7">
        <f t="shared" si="3"/>
        <v>6122.2499999999991</v>
      </c>
      <c r="I221" s="7">
        <v>979.56</v>
      </c>
    </row>
    <row r="222" spans="1:12">
      <c r="A222" t="s">
        <v>510</v>
      </c>
      <c r="B222" s="1">
        <v>42179</v>
      </c>
      <c r="C222" t="s">
        <v>2598</v>
      </c>
      <c r="D222">
        <v>2</v>
      </c>
      <c r="E222" t="s">
        <v>472</v>
      </c>
      <c r="F222" t="s">
        <v>836</v>
      </c>
      <c r="G222" t="s">
        <v>3697</v>
      </c>
      <c r="H222" s="7">
        <f t="shared" si="3"/>
        <v>5144.625</v>
      </c>
      <c r="I222" s="7">
        <v>823.14</v>
      </c>
    </row>
    <row r="223" spans="1:12">
      <c r="A223" t="s">
        <v>2613</v>
      </c>
      <c r="B223" s="1">
        <v>42163</v>
      </c>
      <c r="C223" t="s">
        <v>3574</v>
      </c>
      <c r="D223">
        <v>1</v>
      </c>
      <c r="E223" t="s">
        <v>2157</v>
      </c>
      <c r="F223" t="s">
        <v>2216</v>
      </c>
      <c r="G223" t="s">
        <v>3698</v>
      </c>
      <c r="H223" s="7">
        <f t="shared" si="3"/>
        <v>7654.5</v>
      </c>
      <c r="I223" s="7">
        <v>1224.72</v>
      </c>
    </row>
    <row r="224" spans="1:12">
      <c r="A224" t="s">
        <v>3631</v>
      </c>
      <c r="B224" s="1">
        <v>42179</v>
      </c>
      <c r="C224" t="s">
        <v>3632</v>
      </c>
      <c r="D224">
        <v>1</v>
      </c>
      <c r="E224" t="s">
        <v>467</v>
      </c>
      <c r="F224" t="s">
        <v>838</v>
      </c>
      <c r="G224" t="s">
        <v>3699</v>
      </c>
      <c r="H224" s="7">
        <f t="shared" si="3"/>
        <v>3560.5625000000005</v>
      </c>
      <c r="I224" s="7">
        <v>569.69000000000005</v>
      </c>
    </row>
    <row r="225" spans="1:9">
      <c r="A225" t="s">
        <v>2142</v>
      </c>
      <c r="B225" s="1">
        <v>42177</v>
      </c>
      <c r="C225" t="s">
        <v>3625</v>
      </c>
      <c r="D225">
        <v>1</v>
      </c>
      <c r="E225" t="s">
        <v>3626</v>
      </c>
      <c r="F225" t="s">
        <v>1589</v>
      </c>
      <c r="G225" s="139" t="s">
        <v>7399</v>
      </c>
      <c r="H225" s="7">
        <f t="shared" si="3"/>
        <v>76398.25</v>
      </c>
      <c r="I225" s="7">
        <v>12223.72</v>
      </c>
    </row>
    <row r="226" spans="1:9">
      <c r="A226" t="s">
        <v>3117</v>
      </c>
      <c r="B226" s="1">
        <v>42157</v>
      </c>
      <c r="C226" t="s">
        <v>3557</v>
      </c>
      <c r="D226">
        <v>2</v>
      </c>
      <c r="E226" t="s">
        <v>3558</v>
      </c>
      <c r="F226" t="s">
        <v>3700</v>
      </c>
      <c r="G226" t="s">
        <v>3701</v>
      </c>
      <c r="H226" s="7">
        <f t="shared" si="3"/>
        <v>3360</v>
      </c>
      <c r="I226" s="7">
        <v>537.6</v>
      </c>
    </row>
    <row r="227" spans="1:9">
      <c r="A227" t="s">
        <v>3317</v>
      </c>
      <c r="B227" s="1">
        <v>42173</v>
      </c>
      <c r="C227" t="s">
        <v>3318</v>
      </c>
      <c r="D227">
        <v>1</v>
      </c>
      <c r="E227" t="s">
        <v>3319</v>
      </c>
      <c r="F227" t="s">
        <v>963</v>
      </c>
      <c r="G227" t="s">
        <v>3702</v>
      </c>
      <c r="H227" s="7">
        <f t="shared" si="3"/>
        <v>303976.8125</v>
      </c>
      <c r="I227" s="7">
        <v>48636.29</v>
      </c>
    </row>
    <row r="228" spans="1:9">
      <c r="A228" t="s">
        <v>3608</v>
      </c>
      <c r="B228" s="1">
        <v>42172</v>
      </c>
      <c r="C228" t="s">
        <v>3609</v>
      </c>
      <c r="D228">
        <v>1</v>
      </c>
      <c r="E228" t="s">
        <v>1341</v>
      </c>
      <c r="F228" t="s">
        <v>1589</v>
      </c>
      <c r="G228" t="s">
        <v>1341</v>
      </c>
      <c r="H228" s="7">
        <f t="shared" si="3"/>
        <v>860</v>
      </c>
      <c r="I228" s="7">
        <v>137.6</v>
      </c>
    </row>
    <row r="229" spans="1:9">
      <c r="A229" t="s">
        <v>1979</v>
      </c>
      <c r="B229" s="1">
        <v>42185</v>
      </c>
      <c r="C229" t="s">
        <v>3478</v>
      </c>
      <c r="D229">
        <v>1</v>
      </c>
      <c r="E229" t="s">
        <v>768</v>
      </c>
      <c r="F229" t="s">
        <v>768</v>
      </c>
      <c r="G229" s="139" t="s">
        <v>7400</v>
      </c>
      <c r="H229" s="7">
        <f t="shared" si="3"/>
        <v>87.0625</v>
      </c>
      <c r="I229" s="7">
        <v>13.93</v>
      </c>
    </row>
    <row r="230" spans="1:9">
      <c r="A230" t="s">
        <v>3549</v>
      </c>
      <c r="B230" s="1">
        <v>42185</v>
      </c>
      <c r="C230" t="s">
        <v>3550</v>
      </c>
      <c r="D230">
        <v>1</v>
      </c>
      <c r="E230" t="s">
        <v>768</v>
      </c>
      <c r="F230" t="s">
        <v>768</v>
      </c>
      <c r="G230" s="139" t="s">
        <v>7400</v>
      </c>
      <c r="H230" s="7">
        <f t="shared" si="3"/>
        <v>408.75</v>
      </c>
      <c r="I230" s="7">
        <v>65.400000000000006</v>
      </c>
    </row>
    <row r="231" spans="1:9">
      <c r="A231" t="s">
        <v>1342</v>
      </c>
      <c r="B231" s="1">
        <v>42157</v>
      </c>
      <c r="C231" t="s">
        <v>3561</v>
      </c>
      <c r="D231">
        <v>1</v>
      </c>
      <c r="E231" t="s">
        <v>470</v>
      </c>
      <c r="F231" t="s">
        <v>843</v>
      </c>
      <c r="G231" t="s">
        <v>3703</v>
      </c>
      <c r="H231" s="7">
        <f t="shared" si="3"/>
        <v>5670</v>
      </c>
      <c r="I231" s="7">
        <v>907.2</v>
      </c>
    </row>
    <row r="232" spans="1:9">
      <c r="A232" t="s">
        <v>465</v>
      </c>
      <c r="B232" s="1">
        <v>42165</v>
      </c>
      <c r="C232" t="s">
        <v>3581</v>
      </c>
      <c r="D232">
        <v>1</v>
      </c>
      <c r="E232" t="s">
        <v>470</v>
      </c>
      <c r="F232" t="s">
        <v>843</v>
      </c>
      <c r="G232" t="s">
        <v>3703</v>
      </c>
      <c r="H232" s="7">
        <f t="shared" si="3"/>
        <v>1270</v>
      </c>
      <c r="I232" s="7">
        <v>203.2</v>
      </c>
    </row>
    <row r="233" spans="1:9">
      <c r="A233" t="s">
        <v>1368</v>
      </c>
      <c r="B233" s="1">
        <v>42165</v>
      </c>
      <c r="C233" t="s">
        <v>2584</v>
      </c>
      <c r="D233">
        <v>2</v>
      </c>
      <c r="E233" t="s">
        <v>665</v>
      </c>
      <c r="F233" t="s">
        <v>844</v>
      </c>
      <c r="G233" t="s">
        <v>3704</v>
      </c>
      <c r="H233" s="7">
        <f t="shared" si="3"/>
        <v>900</v>
      </c>
      <c r="I233" s="7">
        <v>144</v>
      </c>
    </row>
    <row r="234" spans="1:9">
      <c r="A234" t="s">
        <v>497</v>
      </c>
      <c r="B234" s="1">
        <v>42172</v>
      </c>
      <c r="C234" t="s">
        <v>2593</v>
      </c>
      <c r="D234">
        <v>2</v>
      </c>
      <c r="E234" t="s">
        <v>665</v>
      </c>
      <c r="F234" t="s">
        <v>844</v>
      </c>
      <c r="G234" t="s">
        <v>3704</v>
      </c>
      <c r="H234" s="7">
        <f t="shared" si="3"/>
        <v>900</v>
      </c>
      <c r="I234" s="7">
        <v>144</v>
      </c>
    </row>
    <row r="235" spans="1:9">
      <c r="A235" t="s">
        <v>1955</v>
      </c>
      <c r="B235" s="1">
        <v>42185</v>
      </c>
      <c r="C235" t="s">
        <v>3451</v>
      </c>
      <c r="D235">
        <v>1</v>
      </c>
      <c r="E235" t="s">
        <v>3232</v>
      </c>
      <c r="F235" t="s">
        <v>3232</v>
      </c>
      <c r="G235" s="139" t="s">
        <v>7190</v>
      </c>
      <c r="H235" s="7">
        <f t="shared" si="3"/>
        <v>713.1875</v>
      </c>
      <c r="I235" s="7">
        <v>114.11</v>
      </c>
    </row>
    <row r="236" spans="1:9">
      <c r="A236" t="s">
        <v>1950</v>
      </c>
      <c r="B236" s="1">
        <v>42185</v>
      </c>
      <c r="C236" t="s">
        <v>3447</v>
      </c>
      <c r="D236">
        <v>1</v>
      </c>
      <c r="E236" t="s">
        <v>3448</v>
      </c>
      <c r="F236" t="s">
        <v>3448</v>
      </c>
      <c r="G236" s="139" t="s">
        <v>7401</v>
      </c>
      <c r="H236" s="7">
        <f t="shared" si="3"/>
        <v>351.75</v>
      </c>
      <c r="I236" s="7">
        <v>56.28</v>
      </c>
    </row>
    <row r="237" spans="1:9">
      <c r="A237" t="s">
        <v>523</v>
      </c>
      <c r="B237" s="1">
        <v>42179</v>
      </c>
      <c r="C237" t="s">
        <v>3636</v>
      </c>
      <c r="D237">
        <v>1</v>
      </c>
      <c r="E237" t="s">
        <v>3193</v>
      </c>
      <c r="F237" t="s">
        <v>3705</v>
      </c>
      <c r="G237" t="s">
        <v>3193</v>
      </c>
      <c r="H237" s="7">
        <f t="shared" si="3"/>
        <v>3300</v>
      </c>
      <c r="I237" s="7">
        <v>528</v>
      </c>
    </row>
    <row r="238" spans="1:9">
      <c r="A238" t="s">
        <v>3445</v>
      </c>
      <c r="B238" s="1">
        <v>42185</v>
      </c>
      <c r="C238" t="s">
        <v>3446</v>
      </c>
      <c r="D238">
        <v>1</v>
      </c>
      <c r="E238" t="s">
        <v>847</v>
      </c>
      <c r="F238" t="s">
        <v>847</v>
      </c>
      <c r="G238" s="139" t="s">
        <v>7402</v>
      </c>
      <c r="H238" s="7">
        <f t="shared" si="3"/>
        <v>74.125</v>
      </c>
      <c r="I238" s="7">
        <v>11.86</v>
      </c>
    </row>
    <row r="239" spans="1:9">
      <c r="A239" t="s">
        <v>3486</v>
      </c>
      <c r="B239" s="1">
        <v>42185</v>
      </c>
      <c r="C239" t="s">
        <v>3487</v>
      </c>
      <c r="D239">
        <v>1</v>
      </c>
      <c r="E239" t="s">
        <v>847</v>
      </c>
      <c r="F239" t="s">
        <v>847</v>
      </c>
      <c r="G239" s="139" t="s">
        <v>7402</v>
      </c>
      <c r="H239" s="7">
        <f t="shared" si="3"/>
        <v>97.875</v>
      </c>
      <c r="I239" s="7">
        <v>15.66</v>
      </c>
    </row>
    <row r="240" spans="1:9">
      <c r="A240" t="s">
        <v>3119</v>
      </c>
      <c r="B240" s="1">
        <v>42157</v>
      </c>
      <c r="C240" t="s">
        <v>3559</v>
      </c>
      <c r="D240">
        <v>1</v>
      </c>
      <c r="E240" t="s">
        <v>449</v>
      </c>
      <c r="F240" t="s">
        <v>848</v>
      </c>
      <c r="G240" t="s">
        <v>3706</v>
      </c>
      <c r="H240" s="7">
        <f t="shared" si="3"/>
        <v>5400</v>
      </c>
      <c r="I240" s="7">
        <v>864</v>
      </c>
    </row>
    <row r="241" spans="1:9">
      <c r="A241" t="s">
        <v>3433</v>
      </c>
      <c r="B241" s="1">
        <v>42185</v>
      </c>
      <c r="C241" t="s">
        <v>3434</v>
      </c>
      <c r="D241">
        <v>1</v>
      </c>
      <c r="E241" t="s">
        <v>769</v>
      </c>
      <c r="F241" t="s">
        <v>769</v>
      </c>
      <c r="G241" s="139" t="s">
        <v>3707</v>
      </c>
      <c r="H241" s="7">
        <f t="shared" si="3"/>
        <v>29.312500000000004</v>
      </c>
      <c r="I241" s="7">
        <v>4.6900000000000004</v>
      </c>
    </row>
    <row r="242" spans="1:9">
      <c r="A242" t="s">
        <v>2000</v>
      </c>
      <c r="B242" s="1">
        <v>42185</v>
      </c>
      <c r="C242" t="s">
        <v>3496</v>
      </c>
      <c r="D242">
        <v>1</v>
      </c>
      <c r="E242" t="s">
        <v>769</v>
      </c>
      <c r="F242" t="s">
        <v>769</v>
      </c>
      <c r="G242" s="139" t="s">
        <v>3707</v>
      </c>
      <c r="H242" s="7">
        <f t="shared" si="3"/>
        <v>59.499999999999993</v>
      </c>
      <c r="I242" s="7">
        <v>9.52</v>
      </c>
    </row>
    <row r="243" spans="1:9">
      <c r="A243" t="s">
        <v>2003</v>
      </c>
      <c r="B243" s="1">
        <v>42185</v>
      </c>
      <c r="C243" t="s">
        <v>3499</v>
      </c>
      <c r="D243">
        <v>1</v>
      </c>
      <c r="E243" t="s">
        <v>769</v>
      </c>
      <c r="F243" t="s">
        <v>769</v>
      </c>
      <c r="G243" s="139" t="s">
        <v>3707</v>
      </c>
      <c r="H243" s="7">
        <f t="shared" si="3"/>
        <v>38.8125</v>
      </c>
      <c r="I243" s="7">
        <v>6.21</v>
      </c>
    </row>
    <row r="244" spans="1:9">
      <c r="A244" t="s">
        <v>2026</v>
      </c>
      <c r="B244" s="1">
        <v>42185</v>
      </c>
      <c r="C244" t="s">
        <v>3513</v>
      </c>
      <c r="D244">
        <v>1</v>
      </c>
      <c r="E244" t="s">
        <v>769</v>
      </c>
      <c r="F244" t="s">
        <v>769</v>
      </c>
      <c r="G244" s="139" t="s">
        <v>3707</v>
      </c>
      <c r="H244" s="7">
        <f t="shared" si="3"/>
        <v>12.937499999999998</v>
      </c>
      <c r="I244" s="7">
        <v>2.0699999999999998</v>
      </c>
    </row>
    <row r="245" spans="1:9">
      <c r="A245" t="s">
        <v>477</v>
      </c>
      <c r="B245" s="1">
        <v>42165</v>
      </c>
      <c r="C245" t="s">
        <v>3588</v>
      </c>
      <c r="D245">
        <v>1</v>
      </c>
      <c r="E245" t="s">
        <v>645</v>
      </c>
      <c r="F245" t="s">
        <v>769</v>
      </c>
      <c r="G245" t="s">
        <v>3707</v>
      </c>
      <c r="H245" s="7">
        <f t="shared" si="3"/>
        <v>4968.9375</v>
      </c>
      <c r="I245" s="7">
        <v>795.03</v>
      </c>
    </row>
    <row r="246" spans="1:9">
      <c r="A246" t="s">
        <v>527</v>
      </c>
      <c r="B246" s="1">
        <v>42179</v>
      </c>
      <c r="C246" t="s">
        <v>3637</v>
      </c>
      <c r="D246">
        <v>1</v>
      </c>
      <c r="E246" t="s">
        <v>645</v>
      </c>
      <c r="F246" t="s">
        <v>769</v>
      </c>
      <c r="G246" t="s">
        <v>3707</v>
      </c>
      <c r="H246" s="7">
        <f t="shared" si="3"/>
        <v>1878.6874999999998</v>
      </c>
      <c r="I246" s="7">
        <v>300.58999999999997</v>
      </c>
    </row>
    <row r="247" spans="1:9">
      <c r="A247" t="s">
        <v>1955</v>
      </c>
      <c r="B247" s="1">
        <v>42185</v>
      </c>
      <c r="C247" t="s">
        <v>3451</v>
      </c>
      <c r="D247">
        <v>1</v>
      </c>
      <c r="E247" t="s">
        <v>915</v>
      </c>
      <c r="F247" t="s">
        <v>915</v>
      </c>
      <c r="G247" s="139" t="s">
        <v>7403</v>
      </c>
      <c r="H247" s="7">
        <f t="shared" si="3"/>
        <v>797.4375</v>
      </c>
      <c r="I247" s="7">
        <v>127.59</v>
      </c>
    </row>
    <row r="248" spans="1:9">
      <c r="A248" t="s">
        <v>3115</v>
      </c>
      <c r="B248" s="1">
        <v>42157</v>
      </c>
      <c r="C248" t="s">
        <v>2171</v>
      </c>
      <c r="D248">
        <v>2</v>
      </c>
      <c r="E248" t="s">
        <v>2105</v>
      </c>
      <c r="F248" t="s">
        <v>2222</v>
      </c>
      <c r="G248" t="s">
        <v>3708</v>
      </c>
      <c r="H248" s="7">
        <f t="shared" si="3"/>
        <v>1950</v>
      </c>
      <c r="I248" s="7">
        <v>312</v>
      </c>
    </row>
    <row r="249" spans="1:9">
      <c r="A249" t="s">
        <v>3514</v>
      </c>
      <c r="B249" s="1">
        <v>42185</v>
      </c>
      <c r="C249" t="s">
        <v>3515</v>
      </c>
      <c r="D249">
        <v>1</v>
      </c>
      <c r="E249" t="s">
        <v>857</v>
      </c>
      <c r="F249" t="s">
        <v>857</v>
      </c>
      <c r="G249" t="s">
        <v>315</v>
      </c>
      <c r="H249" s="7">
        <f t="shared" si="3"/>
        <v>87.25</v>
      </c>
      <c r="I249" s="7">
        <v>13.96</v>
      </c>
    </row>
    <row r="250" spans="1:9">
      <c r="A250" t="s">
        <v>3516</v>
      </c>
      <c r="B250" s="1">
        <v>42185</v>
      </c>
      <c r="C250" t="s">
        <v>3517</v>
      </c>
      <c r="D250">
        <v>1</v>
      </c>
      <c r="E250" t="s">
        <v>857</v>
      </c>
      <c r="F250" t="s">
        <v>857</v>
      </c>
      <c r="G250" t="s">
        <v>315</v>
      </c>
      <c r="H250" s="7">
        <f t="shared" si="3"/>
        <v>30.375</v>
      </c>
      <c r="I250" s="7">
        <v>4.8600000000000003</v>
      </c>
    </row>
    <row r="251" spans="1:9">
      <c r="A251" t="s">
        <v>2666</v>
      </c>
      <c r="B251" s="1">
        <v>42179</v>
      </c>
      <c r="C251" t="s">
        <v>3629</v>
      </c>
      <c r="D251">
        <v>1</v>
      </c>
      <c r="E251" t="s">
        <v>1472</v>
      </c>
      <c r="F251" t="s">
        <v>857</v>
      </c>
      <c r="G251" t="s">
        <v>315</v>
      </c>
      <c r="H251" s="7">
        <f t="shared" si="3"/>
        <v>4398.6875</v>
      </c>
      <c r="I251" s="7">
        <v>703.79</v>
      </c>
    </row>
    <row r="252" spans="1:9">
      <c r="A252" t="s">
        <v>3528</v>
      </c>
      <c r="B252" s="1">
        <v>42185</v>
      </c>
      <c r="C252" t="s">
        <v>3529</v>
      </c>
      <c r="D252">
        <v>1</v>
      </c>
      <c r="E252" t="s">
        <v>858</v>
      </c>
      <c r="F252" t="s">
        <v>858</v>
      </c>
      <c r="G252" t="s">
        <v>3243</v>
      </c>
      <c r="H252" s="7">
        <f t="shared" si="3"/>
        <v>1500</v>
      </c>
      <c r="I252" s="7">
        <v>240</v>
      </c>
    </row>
    <row r="253" spans="1:9">
      <c r="A253" t="s">
        <v>450</v>
      </c>
      <c r="B253" s="1">
        <v>42164</v>
      </c>
      <c r="C253" t="s">
        <v>3575</v>
      </c>
      <c r="D253">
        <v>2</v>
      </c>
      <c r="E253" t="s">
        <v>457</v>
      </c>
      <c r="F253" t="s">
        <v>858</v>
      </c>
      <c r="G253" t="s">
        <v>3243</v>
      </c>
      <c r="H253" s="7">
        <f t="shared" si="3"/>
        <v>4750</v>
      </c>
      <c r="I253" s="7">
        <v>760</v>
      </c>
    </row>
    <row r="254" spans="1:9">
      <c r="A254" t="s">
        <v>453</v>
      </c>
      <c r="B254" s="1">
        <v>42164</v>
      </c>
      <c r="C254" t="s">
        <v>3576</v>
      </c>
      <c r="D254">
        <v>1</v>
      </c>
      <c r="E254" t="s">
        <v>457</v>
      </c>
      <c r="F254" t="s">
        <v>858</v>
      </c>
      <c r="G254" t="s">
        <v>3243</v>
      </c>
      <c r="H254" s="7">
        <f t="shared" si="3"/>
        <v>2586.1875</v>
      </c>
      <c r="I254" s="7">
        <v>413.79</v>
      </c>
    </row>
    <row r="255" spans="1:9">
      <c r="A255" t="s">
        <v>525</v>
      </c>
      <c r="B255" s="1">
        <v>42179</v>
      </c>
      <c r="C255" t="s">
        <v>2621</v>
      </c>
      <c r="D255">
        <v>2</v>
      </c>
      <c r="E255" t="s">
        <v>457</v>
      </c>
      <c r="F255" t="s">
        <v>858</v>
      </c>
      <c r="G255" t="s">
        <v>3243</v>
      </c>
      <c r="H255" s="7">
        <f t="shared" si="3"/>
        <v>7500</v>
      </c>
      <c r="I255" s="7">
        <v>1200</v>
      </c>
    </row>
    <row r="256" spans="1:9">
      <c r="A256" t="s">
        <v>2044</v>
      </c>
      <c r="B256" s="1">
        <v>42157</v>
      </c>
      <c r="C256" t="s">
        <v>2168</v>
      </c>
      <c r="D256">
        <v>2</v>
      </c>
      <c r="E256" t="s">
        <v>474</v>
      </c>
      <c r="F256" t="s">
        <v>860</v>
      </c>
      <c r="G256" t="s">
        <v>474</v>
      </c>
      <c r="H256" s="7">
        <f t="shared" si="3"/>
        <v>6300</v>
      </c>
      <c r="I256" s="7">
        <v>1008</v>
      </c>
    </row>
    <row r="257" spans="1:9">
      <c r="A257" t="s">
        <v>1388</v>
      </c>
      <c r="B257" s="1">
        <v>42172</v>
      </c>
      <c r="C257" t="s">
        <v>2590</v>
      </c>
      <c r="D257">
        <v>2</v>
      </c>
      <c r="E257" t="s">
        <v>474</v>
      </c>
      <c r="F257" t="s">
        <v>860</v>
      </c>
      <c r="G257" t="s">
        <v>474</v>
      </c>
      <c r="H257" s="7">
        <f t="shared" si="3"/>
        <v>300</v>
      </c>
      <c r="I257" s="7">
        <v>48</v>
      </c>
    </row>
    <row r="258" spans="1:9">
      <c r="A258" t="s">
        <v>515</v>
      </c>
      <c r="B258" s="1">
        <v>42179</v>
      </c>
      <c r="C258" t="s">
        <v>3630</v>
      </c>
      <c r="D258">
        <v>2</v>
      </c>
      <c r="E258" t="s">
        <v>474</v>
      </c>
      <c r="F258" t="s">
        <v>860</v>
      </c>
      <c r="G258" t="s">
        <v>474</v>
      </c>
      <c r="H258" s="7">
        <f t="shared" si="3"/>
        <v>300</v>
      </c>
      <c r="I258" s="7">
        <v>48</v>
      </c>
    </row>
    <row r="259" spans="1:9">
      <c r="A259" t="s">
        <v>1960</v>
      </c>
      <c r="B259" s="1">
        <v>42185</v>
      </c>
      <c r="C259" t="s">
        <v>3453</v>
      </c>
      <c r="D259">
        <v>1</v>
      </c>
      <c r="E259" t="s">
        <v>3455</v>
      </c>
      <c r="F259" t="s">
        <v>3455</v>
      </c>
      <c r="G259" s="139" t="s">
        <v>7404</v>
      </c>
      <c r="H259" s="7">
        <f t="shared" si="3"/>
        <v>478.06249999999994</v>
      </c>
      <c r="I259" s="7">
        <v>76.489999999999995</v>
      </c>
    </row>
    <row r="260" spans="1:9">
      <c r="A260" t="s">
        <v>2024</v>
      </c>
      <c r="B260" s="1">
        <v>42185</v>
      </c>
      <c r="C260" t="s">
        <v>3511</v>
      </c>
      <c r="D260">
        <v>1</v>
      </c>
      <c r="E260" t="s">
        <v>1648</v>
      </c>
      <c r="F260" t="s">
        <v>1648</v>
      </c>
      <c r="G260" s="139" t="s">
        <v>3692</v>
      </c>
      <c r="H260" s="7">
        <f t="shared" si="3"/>
        <v>455.31249999999994</v>
      </c>
      <c r="I260" s="7">
        <v>72.849999999999994</v>
      </c>
    </row>
    <row r="261" spans="1:9">
      <c r="A261" t="s">
        <v>1988</v>
      </c>
      <c r="B261" s="1">
        <v>42185</v>
      </c>
      <c r="C261" t="s">
        <v>3482</v>
      </c>
      <c r="D261">
        <v>1</v>
      </c>
      <c r="E261" t="s">
        <v>2223</v>
      </c>
      <c r="F261" t="s">
        <v>2223</v>
      </c>
      <c r="G261" s="139" t="s">
        <v>7405</v>
      </c>
      <c r="H261" s="7">
        <f t="shared" si="3"/>
        <v>267.625</v>
      </c>
      <c r="I261" s="7">
        <v>42.82</v>
      </c>
    </row>
    <row r="262" spans="1:9">
      <c r="A262" t="s">
        <v>1969</v>
      </c>
      <c r="B262" s="1">
        <v>42185</v>
      </c>
      <c r="C262" t="s">
        <v>3471</v>
      </c>
      <c r="D262">
        <v>1</v>
      </c>
      <c r="E262" t="s">
        <v>2701</v>
      </c>
      <c r="F262" t="s">
        <v>2701</v>
      </c>
      <c r="G262" s="139" t="s">
        <v>7406</v>
      </c>
      <c r="H262" s="7">
        <f t="shared" si="3"/>
        <v>1150</v>
      </c>
      <c r="I262" s="7">
        <v>184</v>
      </c>
    </row>
    <row r="263" spans="1:9">
      <c r="A263" t="s">
        <v>1392</v>
      </c>
      <c r="B263" s="1">
        <v>42172</v>
      </c>
      <c r="C263" t="s">
        <v>3606</v>
      </c>
      <c r="D263">
        <v>1</v>
      </c>
      <c r="E263" t="s">
        <v>1649</v>
      </c>
      <c r="F263" t="s">
        <v>1648</v>
      </c>
      <c r="G263" t="s">
        <v>3692</v>
      </c>
      <c r="H263" s="7">
        <f t="shared" si="3"/>
        <v>1120.6875</v>
      </c>
      <c r="I263" s="7">
        <v>179.31</v>
      </c>
    </row>
    <row r="264" spans="1:9">
      <c r="A264" t="s">
        <v>1968</v>
      </c>
      <c r="B264" s="1">
        <v>42185</v>
      </c>
      <c r="C264" t="s">
        <v>3470</v>
      </c>
      <c r="D264">
        <v>1</v>
      </c>
      <c r="E264" t="s">
        <v>1617</v>
      </c>
      <c r="F264" t="s">
        <v>1617</v>
      </c>
      <c r="G264" s="139" t="s">
        <v>1618</v>
      </c>
      <c r="H264" s="7">
        <f t="shared" ref="H264:H325" si="4">+I264/0.16</f>
        <v>167.75</v>
      </c>
      <c r="I264" s="7">
        <v>26.84</v>
      </c>
    </row>
    <row r="265" spans="1:9">
      <c r="A265" t="s">
        <v>2012</v>
      </c>
      <c r="B265" s="1">
        <v>42185</v>
      </c>
      <c r="C265" t="s">
        <v>3501</v>
      </c>
      <c r="D265">
        <v>1</v>
      </c>
      <c r="E265" t="s">
        <v>883</v>
      </c>
      <c r="F265" t="s">
        <v>883</v>
      </c>
      <c r="G265" s="139" t="s">
        <v>884</v>
      </c>
      <c r="H265" s="7">
        <f t="shared" si="4"/>
        <v>712.93749999999989</v>
      </c>
      <c r="I265" s="7">
        <v>114.07</v>
      </c>
    </row>
    <row r="266" spans="1:9">
      <c r="A266" t="s">
        <v>2015</v>
      </c>
      <c r="B266" s="1">
        <v>42185</v>
      </c>
      <c r="C266" t="s">
        <v>3502</v>
      </c>
      <c r="D266">
        <v>1</v>
      </c>
      <c r="E266" t="s">
        <v>883</v>
      </c>
      <c r="F266" t="s">
        <v>883</v>
      </c>
      <c r="G266" s="139" t="s">
        <v>884</v>
      </c>
      <c r="H266" s="7">
        <f t="shared" si="4"/>
        <v>455.375</v>
      </c>
      <c r="I266" s="7">
        <v>72.86</v>
      </c>
    </row>
    <row r="267" spans="1:9">
      <c r="A267" t="s">
        <v>1396</v>
      </c>
      <c r="B267" s="1">
        <v>42173</v>
      </c>
      <c r="C267" t="s">
        <v>3612</v>
      </c>
      <c r="D267">
        <v>1</v>
      </c>
      <c r="E267" t="s">
        <v>3613</v>
      </c>
      <c r="F267" t="s">
        <v>3709</v>
      </c>
      <c r="G267" t="s">
        <v>3710</v>
      </c>
      <c r="H267" s="7">
        <f t="shared" si="4"/>
        <v>5985.1875</v>
      </c>
      <c r="I267" s="7">
        <v>957.63</v>
      </c>
    </row>
    <row r="268" spans="1:9">
      <c r="A268" t="s">
        <v>3611</v>
      </c>
      <c r="B268" s="1">
        <v>42172</v>
      </c>
      <c r="C268" t="s">
        <v>2596</v>
      </c>
      <c r="D268">
        <v>2</v>
      </c>
      <c r="E268" t="s">
        <v>1501</v>
      </c>
      <c r="F268" t="s">
        <v>1604</v>
      </c>
      <c r="G268" t="s">
        <v>1501</v>
      </c>
      <c r="H268" s="7">
        <f t="shared" si="4"/>
        <v>5100</v>
      </c>
      <c r="I268" s="7">
        <v>816</v>
      </c>
    </row>
    <row r="269" spans="1:9">
      <c r="A269" t="s">
        <v>530</v>
      </c>
      <c r="B269" s="1">
        <v>42179</v>
      </c>
      <c r="C269" t="s">
        <v>2622</v>
      </c>
      <c r="D269">
        <v>2</v>
      </c>
      <c r="E269" t="s">
        <v>1501</v>
      </c>
      <c r="F269" t="s">
        <v>1604</v>
      </c>
      <c r="G269" t="s">
        <v>1501</v>
      </c>
      <c r="H269" s="7">
        <f t="shared" si="4"/>
        <v>3900</v>
      </c>
      <c r="I269" s="7">
        <v>624</v>
      </c>
    </row>
    <row r="270" spans="1:9">
      <c r="A270" t="s">
        <v>1955</v>
      </c>
      <c r="B270" s="1">
        <v>42185</v>
      </c>
      <c r="C270" t="s">
        <v>3451</v>
      </c>
      <c r="D270">
        <v>1</v>
      </c>
      <c r="E270" t="s">
        <v>921</v>
      </c>
      <c r="F270" t="s">
        <v>921</v>
      </c>
      <c r="G270" s="139" t="s">
        <v>7407</v>
      </c>
      <c r="H270" s="7">
        <f t="shared" si="4"/>
        <v>251.68750000000003</v>
      </c>
      <c r="I270" s="7">
        <v>40.270000000000003</v>
      </c>
    </row>
    <row r="271" spans="1:9">
      <c r="A271" t="s">
        <v>2592</v>
      </c>
      <c r="B271" s="1">
        <v>42158</v>
      </c>
      <c r="C271" t="s">
        <v>3567</v>
      </c>
      <c r="D271">
        <v>1</v>
      </c>
      <c r="E271" t="s">
        <v>517</v>
      </c>
      <c r="F271" t="s">
        <v>867</v>
      </c>
      <c r="G271" t="s">
        <v>3711</v>
      </c>
      <c r="H271" s="7">
        <f t="shared" si="4"/>
        <v>250000</v>
      </c>
      <c r="I271" s="7">
        <v>40000</v>
      </c>
    </row>
    <row r="272" spans="1:9">
      <c r="A272" t="s">
        <v>1952</v>
      </c>
      <c r="B272" s="1">
        <v>42185</v>
      </c>
      <c r="C272" t="s">
        <v>3450</v>
      </c>
      <c r="D272">
        <v>1</v>
      </c>
      <c r="E272" t="s">
        <v>780</v>
      </c>
      <c r="F272" t="s">
        <v>780</v>
      </c>
      <c r="G272" s="139" t="s">
        <v>7408</v>
      </c>
      <c r="H272" s="7">
        <f t="shared" si="4"/>
        <v>398.375</v>
      </c>
      <c r="I272" s="7">
        <v>63.74</v>
      </c>
    </row>
    <row r="273" spans="1:10">
      <c r="A273" t="s">
        <v>1958</v>
      </c>
      <c r="B273" s="1">
        <v>42185</v>
      </c>
      <c r="C273" t="s">
        <v>3452</v>
      </c>
      <c r="D273">
        <v>1</v>
      </c>
      <c r="E273" t="s">
        <v>780</v>
      </c>
      <c r="F273" t="s">
        <v>780</v>
      </c>
      <c r="G273" s="139" t="s">
        <v>7408</v>
      </c>
      <c r="H273" s="7">
        <f t="shared" si="4"/>
        <v>339.875</v>
      </c>
      <c r="I273" s="7">
        <v>54.38</v>
      </c>
    </row>
    <row r="274" spans="1:10">
      <c r="A274" t="s">
        <v>1962</v>
      </c>
      <c r="B274" s="1">
        <v>42185</v>
      </c>
      <c r="C274" t="s">
        <v>3456</v>
      </c>
      <c r="D274">
        <v>1</v>
      </c>
      <c r="E274" t="s">
        <v>3460</v>
      </c>
      <c r="F274" t="s">
        <v>3460</v>
      </c>
      <c r="G274" s="139" t="s">
        <v>7409</v>
      </c>
      <c r="H274" s="7">
        <f t="shared" si="4"/>
        <v>103</v>
      </c>
      <c r="I274" s="7">
        <v>16.48</v>
      </c>
    </row>
    <row r="275" spans="1:10">
      <c r="A275" t="s">
        <v>2116</v>
      </c>
      <c r="B275" s="1">
        <v>42172</v>
      </c>
      <c r="C275" t="s">
        <v>3602</v>
      </c>
      <c r="D275">
        <v>1</v>
      </c>
      <c r="E275" t="s">
        <v>436</v>
      </c>
      <c r="F275" t="s">
        <v>868</v>
      </c>
      <c r="G275" t="s">
        <v>3712</v>
      </c>
      <c r="H275" s="7">
        <f t="shared" si="4"/>
        <v>6445</v>
      </c>
      <c r="I275" s="7">
        <v>1031.2</v>
      </c>
    </row>
    <row r="276" spans="1:10">
      <c r="A276" t="s">
        <v>2118</v>
      </c>
      <c r="B276" s="1">
        <v>42172</v>
      </c>
      <c r="C276" t="s">
        <v>3603</v>
      </c>
      <c r="D276">
        <v>1</v>
      </c>
      <c r="E276" t="s">
        <v>436</v>
      </c>
      <c r="F276" t="s">
        <v>868</v>
      </c>
      <c r="G276" t="s">
        <v>3712</v>
      </c>
      <c r="H276" s="7">
        <f t="shared" si="4"/>
        <v>10932.5625</v>
      </c>
      <c r="I276" s="7">
        <v>1749.21</v>
      </c>
    </row>
    <row r="277" spans="1:10">
      <c r="A277" t="s">
        <v>3275</v>
      </c>
      <c r="B277" s="1">
        <v>42163</v>
      </c>
      <c r="C277" t="s">
        <v>2822</v>
      </c>
      <c r="D277">
        <v>1</v>
      </c>
      <c r="E277" t="s">
        <v>0</v>
      </c>
      <c r="F277" t="s">
        <v>799</v>
      </c>
      <c r="G277" t="s">
        <v>0</v>
      </c>
      <c r="H277" s="7">
        <f t="shared" si="4"/>
        <v>-318082.8125</v>
      </c>
      <c r="I277" s="7">
        <v>-50893.25</v>
      </c>
      <c r="J277" s="2"/>
    </row>
    <row r="278" spans="1:10">
      <c r="A278" t="s">
        <v>3276</v>
      </c>
      <c r="B278" s="1">
        <v>42163</v>
      </c>
      <c r="C278" t="s">
        <v>2822</v>
      </c>
      <c r="D278">
        <v>1</v>
      </c>
      <c r="E278" t="s">
        <v>0</v>
      </c>
      <c r="F278" t="s">
        <v>799</v>
      </c>
      <c r="G278" t="s">
        <v>0</v>
      </c>
      <c r="H278" s="7">
        <f t="shared" si="4"/>
        <v>318282.4375</v>
      </c>
      <c r="I278" s="7">
        <v>50925.19</v>
      </c>
    </row>
    <row r="279" spans="1:10">
      <c r="A279" t="s">
        <v>3356</v>
      </c>
      <c r="B279" s="1">
        <v>42184</v>
      </c>
      <c r="C279" t="s">
        <v>2911</v>
      </c>
      <c r="D279">
        <v>1</v>
      </c>
      <c r="E279" t="s">
        <v>0</v>
      </c>
      <c r="F279" t="s">
        <v>799</v>
      </c>
      <c r="G279" t="s">
        <v>0</v>
      </c>
      <c r="H279" s="7">
        <f t="shared" si="4"/>
        <v>-332370.9375</v>
      </c>
      <c r="I279" s="7">
        <v>-53179.35</v>
      </c>
      <c r="J279" s="2"/>
    </row>
    <row r="280" spans="1:10">
      <c r="A280" t="s">
        <v>3260</v>
      </c>
      <c r="B280" s="1">
        <v>42158</v>
      </c>
      <c r="C280" t="s">
        <v>3261</v>
      </c>
      <c r="D280">
        <v>1</v>
      </c>
      <c r="E280" t="s">
        <v>0</v>
      </c>
      <c r="F280" t="s">
        <v>799</v>
      </c>
      <c r="G280" t="s">
        <v>0</v>
      </c>
      <c r="H280" s="7">
        <f t="shared" si="4"/>
        <v>275486.6875</v>
      </c>
      <c r="I280" s="7">
        <v>44077.87</v>
      </c>
    </row>
    <row r="281" spans="1:10">
      <c r="A281" t="s">
        <v>3262</v>
      </c>
      <c r="B281" s="1">
        <v>42158</v>
      </c>
      <c r="C281" t="s">
        <v>3263</v>
      </c>
      <c r="D281">
        <v>1</v>
      </c>
      <c r="E281" t="s">
        <v>0</v>
      </c>
      <c r="F281" t="s">
        <v>799</v>
      </c>
      <c r="G281" t="s">
        <v>0</v>
      </c>
      <c r="H281" s="7">
        <f t="shared" si="4"/>
        <v>405064.375</v>
      </c>
      <c r="I281" s="7">
        <v>64810.3</v>
      </c>
    </row>
    <row r="282" spans="1:10">
      <c r="A282" t="s">
        <v>3280</v>
      </c>
      <c r="B282" s="1">
        <v>42164</v>
      </c>
      <c r="C282" t="s">
        <v>3281</v>
      </c>
      <c r="D282">
        <v>1</v>
      </c>
      <c r="E282" t="s">
        <v>0</v>
      </c>
      <c r="F282" t="s">
        <v>799</v>
      </c>
      <c r="G282" t="s">
        <v>0</v>
      </c>
      <c r="H282" s="7">
        <f t="shared" si="4"/>
        <v>318280.6875</v>
      </c>
      <c r="I282" s="7">
        <v>50924.91</v>
      </c>
    </row>
    <row r="283" spans="1:10">
      <c r="A283" t="s">
        <v>3282</v>
      </c>
      <c r="B283" s="1">
        <v>42164</v>
      </c>
      <c r="C283" t="s">
        <v>3283</v>
      </c>
      <c r="D283">
        <v>1</v>
      </c>
      <c r="E283" t="s">
        <v>0</v>
      </c>
      <c r="F283" t="s">
        <v>799</v>
      </c>
      <c r="G283" t="s">
        <v>0</v>
      </c>
      <c r="H283" s="7">
        <f t="shared" si="4"/>
        <v>322663.875</v>
      </c>
      <c r="I283" s="7">
        <v>51626.22</v>
      </c>
    </row>
    <row r="284" spans="1:10">
      <c r="A284" t="s">
        <v>3290</v>
      </c>
      <c r="B284" s="1">
        <v>42166</v>
      </c>
      <c r="C284" t="s">
        <v>3291</v>
      </c>
      <c r="D284">
        <v>1</v>
      </c>
      <c r="E284" t="s">
        <v>0</v>
      </c>
      <c r="F284" t="s">
        <v>799</v>
      </c>
      <c r="G284" t="s">
        <v>0</v>
      </c>
      <c r="H284" s="7">
        <f t="shared" si="4"/>
        <v>226532.625</v>
      </c>
      <c r="I284" s="7">
        <v>36245.22</v>
      </c>
    </row>
    <row r="285" spans="1:10">
      <c r="A285" t="s">
        <v>3292</v>
      </c>
      <c r="B285" s="1">
        <v>42166</v>
      </c>
      <c r="C285" t="s">
        <v>3293</v>
      </c>
      <c r="D285">
        <v>1</v>
      </c>
      <c r="E285" t="s">
        <v>0</v>
      </c>
      <c r="F285" t="s">
        <v>799</v>
      </c>
      <c r="G285" t="s">
        <v>0</v>
      </c>
      <c r="H285" s="7">
        <f t="shared" si="4"/>
        <v>217577.25</v>
      </c>
      <c r="I285" s="7">
        <v>34812.36</v>
      </c>
    </row>
    <row r="286" spans="1:10">
      <c r="A286" t="s">
        <v>3296</v>
      </c>
      <c r="B286" s="1">
        <v>42168</v>
      </c>
      <c r="C286" t="s">
        <v>3297</v>
      </c>
      <c r="D286">
        <v>1</v>
      </c>
      <c r="E286" t="s">
        <v>0</v>
      </c>
      <c r="F286" t="s">
        <v>799</v>
      </c>
      <c r="G286" t="s">
        <v>0</v>
      </c>
      <c r="H286" s="7">
        <f t="shared" si="4"/>
        <v>176821.875</v>
      </c>
      <c r="I286" s="7">
        <v>28291.5</v>
      </c>
    </row>
    <row r="287" spans="1:10">
      <c r="A287" t="s">
        <v>3304</v>
      </c>
      <c r="B287" s="1">
        <v>42171</v>
      </c>
      <c r="C287" t="s">
        <v>3305</v>
      </c>
      <c r="D287">
        <v>1</v>
      </c>
      <c r="E287" t="s">
        <v>0</v>
      </c>
      <c r="F287" t="s">
        <v>799</v>
      </c>
      <c r="G287" t="s">
        <v>0</v>
      </c>
      <c r="H287" s="7">
        <f t="shared" si="4"/>
        <v>303976.8125</v>
      </c>
      <c r="I287" s="7">
        <v>48636.29</v>
      </c>
    </row>
    <row r="288" spans="1:10">
      <c r="A288" t="s">
        <v>3306</v>
      </c>
      <c r="B288" s="1">
        <v>42171</v>
      </c>
      <c r="C288" t="s">
        <v>3307</v>
      </c>
      <c r="D288">
        <v>1</v>
      </c>
      <c r="E288" t="s">
        <v>0</v>
      </c>
      <c r="F288" t="s">
        <v>799</v>
      </c>
      <c r="G288" t="s">
        <v>0</v>
      </c>
      <c r="H288" s="7">
        <f t="shared" si="4"/>
        <v>388207.875</v>
      </c>
      <c r="I288" s="7">
        <v>62113.26</v>
      </c>
    </row>
    <row r="289" spans="1:9">
      <c r="A289" t="s">
        <v>96</v>
      </c>
      <c r="B289" s="1">
        <v>42172</v>
      </c>
      <c r="C289" t="s">
        <v>3308</v>
      </c>
      <c r="D289">
        <v>1</v>
      </c>
      <c r="E289" t="s">
        <v>0</v>
      </c>
      <c r="F289" t="s">
        <v>799</v>
      </c>
      <c r="G289" t="s">
        <v>0</v>
      </c>
      <c r="H289" s="7">
        <f t="shared" si="4"/>
        <v>348043.5625</v>
      </c>
      <c r="I289" s="7">
        <v>55686.97</v>
      </c>
    </row>
    <row r="290" spans="1:9">
      <c r="A290" t="s">
        <v>3309</v>
      </c>
      <c r="B290" s="1">
        <v>42172</v>
      </c>
      <c r="C290" t="s">
        <v>3310</v>
      </c>
      <c r="D290">
        <v>1</v>
      </c>
      <c r="E290" t="s">
        <v>0</v>
      </c>
      <c r="F290" t="s">
        <v>799</v>
      </c>
      <c r="G290" t="s">
        <v>0</v>
      </c>
      <c r="H290" s="7">
        <f t="shared" si="4"/>
        <v>164790.0625</v>
      </c>
      <c r="I290" s="7">
        <v>26366.41</v>
      </c>
    </row>
    <row r="291" spans="1:9">
      <c r="A291" t="s">
        <v>3311</v>
      </c>
      <c r="B291" s="1">
        <v>42173</v>
      </c>
      <c r="C291" t="s">
        <v>3312</v>
      </c>
      <c r="D291">
        <v>1</v>
      </c>
      <c r="E291" t="s">
        <v>0</v>
      </c>
      <c r="F291" t="s">
        <v>799</v>
      </c>
      <c r="G291" t="s">
        <v>0</v>
      </c>
      <c r="H291" s="7">
        <f t="shared" si="4"/>
        <v>186586</v>
      </c>
      <c r="I291" s="7">
        <v>29853.759999999998</v>
      </c>
    </row>
    <row r="292" spans="1:9">
      <c r="A292" t="s">
        <v>3315</v>
      </c>
      <c r="B292" s="1">
        <v>42173</v>
      </c>
      <c r="C292" t="s">
        <v>3316</v>
      </c>
      <c r="D292">
        <v>1</v>
      </c>
      <c r="E292" t="s">
        <v>0</v>
      </c>
      <c r="F292" t="s">
        <v>799</v>
      </c>
      <c r="G292" t="s">
        <v>0</v>
      </c>
      <c r="H292" s="7">
        <f t="shared" si="4"/>
        <v>186584.25</v>
      </c>
      <c r="I292" s="7">
        <v>29853.48</v>
      </c>
    </row>
    <row r="293" spans="1:9">
      <c r="A293" t="s">
        <v>3313</v>
      </c>
      <c r="B293" s="1">
        <v>42173</v>
      </c>
      <c r="C293" t="s">
        <v>3314</v>
      </c>
      <c r="D293">
        <v>1</v>
      </c>
      <c r="E293" t="s">
        <v>0</v>
      </c>
      <c r="F293" t="s">
        <v>799</v>
      </c>
      <c r="G293" t="s">
        <v>0</v>
      </c>
      <c r="H293" s="7">
        <f t="shared" si="4"/>
        <v>318280.6875</v>
      </c>
      <c r="I293" s="7">
        <v>50924.91</v>
      </c>
    </row>
    <row r="294" spans="1:9">
      <c r="A294" t="s">
        <v>3327</v>
      </c>
      <c r="B294" s="1">
        <v>42174</v>
      </c>
      <c r="C294" t="s">
        <v>3328</v>
      </c>
      <c r="D294">
        <v>1</v>
      </c>
      <c r="E294" t="s">
        <v>0</v>
      </c>
      <c r="F294" t="s">
        <v>799</v>
      </c>
      <c r="G294" t="s">
        <v>0</v>
      </c>
      <c r="H294" s="7">
        <f t="shared" si="4"/>
        <v>303975.125</v>
      </c>
      <c r="I294" s="7">
        <v>48636.02</v>
      </c>
    </row>
    <row r="295" spans="1:9">
      <c r="A295" t="s">
        <v>3336</v>
      </c>
      <c r="B295" s="1">
        <v>42178</v>
      </c>
      <c r="C295" t="s">
        <v>3337</v>
      </c>
      <c r="D295">
        <v>1</v>
      </c>
      <c r="E295" t="s">
        <v>0</v>
      </c>
      <c r="F295" t="s">
        <v>799</v>
      </c>
      <c r="G295" t="s">
        <v>0</v>
      </c>
      <c r="H295" s="7">
        <f t="shared" si="4"/>
        <v>178132.1875</v>
      </c>
      <c r="I295" s="7">
        <v>28501.15</v>
      </c>
    </row>
    <row r="296" spans="1:9">
      <c r="A296" t="s">
        <v>3338</v>
      </c>
      <c r="B296" s="1">
        <v>42178</v>
      </c>
      <c r="C296" t="s">
        <v>3339</v>
      </c>
      <c r="D296">
        <v>1</v>
      </c>
      <c r="E296" t="s">
        <v>0</v>
      </c>
      <c r="F296" t="s">
        <v>799</v>
      </c>
      <c r="G296" t="s">
        <v>0</v>
      </c>
      <c r="H296" s="7">
        <f t="shared" si="4"/>
        <v>178132.1875</v>
      </c>
      <c r="I296" s="7">
        <v>28501.15</v>
      </c>
    </row>
    <row r="297" spans="1:9">
      <c r="A297" t="s">
        <v>3343</v>
      </c>
      <c r="B297" s="1">
        <v>42179</v>
      </c>
      <c r="C297" t="s">
        <v>3344</v>
      </c>
      <c r="D297">
        <v>1</v>
      </c>
      <c r="E297" t="s">
        <v>0</v>
      </c>
      <c r="F297" t="s">
        <v>799</v>
      </c>
      <c r="G297" t="s">
        <v>0</v>
      </c>
      <c r="H297" s="7">
        <f t="shared" si="4"/>
        <v>156874.5625</v>
      </c>
      <c r="I297" s="7">
        <v>25099.93</v>
      </c>
    </row>
    <row r="298" spans="1:9">
      <c r="A298" t="s">
        <v>3349</v>
      </c>
      <c r="B298" s="1">
        <v>42182</v>
      </c>
      <c r="C298" t="s">
        <v>3350</v>
      </c>
      <c r="D298">
        <v>1</v>
      </c>
      <c r="E298" t="s">
        <v>0</v>
      </c>
      <c r="F298" t="s">
        <v>799</v>
      </c>
      <c r="G298" t="s">
        <v>0</v>
      </c>
      <c r="H298" s="7">
        <f t="shared" si="4"/>
        <v>318282.4375</v>
      </c>
      <c r="I298" s="7">
        <v>50925.19</v>
      </c>
    </row>
    <row r="299" spans="1:9">
      <c r="A299" t="s">
        <v>3352</v>
      </c>
      <c r="B299" s="1">
        <v>42184</v>
      </c>
      <c r="C299" t="s">
        <v>3353</v>
      </c>
      <c r="D299">
        <v>1</v>
      </c>
      <c r="E299" t="s">
        <v>0</v>
      </c>
      <c r="F299" t="s">
        <v>799</v>
      </c>
      <c r="G299" t="s">
        <v>0</v>
      </c>
      <c r="H299" s="7">
        <f t="shared" si="4"/>
        <v>242048.9375</v>
      </c>
      <c r="I299" s="7">
        <v>38727.83</v>
      </c>
    </row>
    <row r="300" spans="1:9">
      <c r="A300" t="s">
        <v>3354</v>
      </c>
      <c r="B300" s="1">
        <v>42184</v>
      </c>
      <c r="C300" t="s">
        <v>3355</v>
      </c>
      <c r="D300">
        <v>1</v>
      </c>
      <c r="E300" t="s">
        <v>0</v>
      </c>
      <c r="F300" t="s">
        <v>799</v>
      </c>
      <c r="G300" t="s">
        <v>0</v>
      </c>
      <c r="H300" s="7">
        <f t="shared" si="4"/>
        <v>332370.9375</v>
      </c>
      <c r="I300" s="7">
        <v>53179.35</v>
      </c>
    </row>
    <row r="301" spans="1:9">
      <c r="A301" t="s">
        <v>1805</v>
      </c>
      <c r="B301" s="1">
        <v>42184</v>
      </c>
      <c r="C301" t="s">
        <v>3357</v>
      </c>
      <c r="D301">
        <v>1</v>
      </c>
      <c r="E301" t="s">
        <v>0</v>
      </c>
      <c r="F301" t="s">
        <v>799</v>
      </c>
      <c r="G301" t="s">
        <v>0</v>
      </c>
      <c r="H301" s="7">
        <f t="shared" si="4"/>
        <v>303975.125</v>
      </c>
      <c r="I301" s="7">
        <v>48636.02</v>
      </c>
    </row>
    <row r="302" spans="1:9">
      <c r="A302" t="s">
        <v>3358</v>
      </c>
      <c r="B302" s="1">
        <v>42184</v>
      </c>
      <c r="C302" t="s">
        <v>3359</v>
      </c>
      <c r="D302">
        <v>1</v>
      </c>
      <c r="E302" t="s">
        <v>0</v>
      </c>
      <c r="F302" t="s">
        <v>799</v>
      </c>
      <c r="G302" t="s">
        <v>0</v>
      </c>
      <c r="H302" s="7">
        <f t="shared" si="4"/>
        <v>226534.375</v>
      </c>
      <c r="I302" s="7">
        <v>36245.5</v>
      </c>
    </row>
    <row r="303" spans="1:9">
      <c r="A303" t="s">
        <v>2522</v>
      </c>
      <c r="B303" s="1">
        <v>42185</v>
      </c>
      <c r="C303" t="s">
        <v>3360</v>
      </c>
      <c r="D303">
        <v>1</v>
      </c>
      <c r="E303" t="s">
        <v>0</v>
      </c>
      <c r="F303" t="s">
        <v>799</v>
      </c>
      <c r="G303" t="s">
        <v>0</v>
      </c>
      <c r="H303" s="7">
        <f t="shared" si="4"/>
        <v>157264.1875</v>
      </c>
      <c r="I303" s="7">
        <v>25162.27</v>
      </c>
    </row>
    <row r="304" spans="1:9">
      <c r="A304" t="s">
        <v>2528</v>
      </c>
      <c r="B304" s="1">
        <v>42185</v>
      </c>
      <c r="C304" t="s">
        <v>3361</v>
      </c>
      <c r="D304">
        <v>1</v>
      </c>
      <c r="E304" t="s">
        <v>0</v>
      </c>
      <c r="F304" t="s">
        <v>799</v>
      </c>
      <c r="G304" t="s">
        <v>0</v>
      </c>
      <c r="H304" s="7">
        <f t="shared" si="4"/>
        <v>209523.37499999997</v>
      </c>
      <c r="I304" s="7">
        <v>33523.74</v>
      </c>
    </row>
    <row r="305" spans="1:9">
      <c r="A305" t="s">
        <v>3372</v>
      </c>
      <c r="B305" s="1">
        <v>42185</v>
      </c>
      <c r="C305" t="s">
        <v>3373</v>
      </c>
      <c r="D305">
        <v>1</v>
      </c>
      <c r="E305" t="s">
        <v>0</v>
      </c>
      <c r="F305" t="s">
        <v>799</v>
      </c>
      <c r="G305" t="s">
        <v>0</v>
      </c>
      <c r="H305" s="7">
        <f t="shared" si="4"/>
        <v>370012.3125</v>
      </c>
      <c r="I305" s="7">
        <v>59201.97</v>
      </c>
    </row>
    <row r="306" spans="1:9">
      <c r="A306" t="s">
        <v>3374</v>
      </c>
      <c r="B306" s="1">
        <v>42185</v>
      </c>
      <c r="C306" t="s">
        <v>3375</v>
      </c>
      <c r="D306">
        <v>1</v>
      </c>
      <c r="E306" t="s">
        <v>0</v>
      </c>
      <c r="F306" t="s">
        <v>799</v>
      </c>
      <c r="G306" t="s">
        <v>0</v>
      </c>
      <c r="H306" s="7">
        <f t="shared" si="4"/>
        <v>370012.3125</v>
      </c>
      <c r="I306" s="7">
        <v>59201.97</v>
      </c>
    </row>
    <row r="307" spans="1:9">
      <c r="A307" t="s">
        <v>2566</v>
      </c>
      <c r="B307" s="1">
        <v>42185</v>
      </c>
      <c r="C307" t="s">
        <v>3386</v>
      </c>
      <c r="D307">
        <v>1</v>
      </c>
      <c r="E307" t="s">
        <v>0</v>
      </c>
      <c r="F307" t="s">
        <v>799</v>
      </c>
      <c r="G307" t="s">
        <v>0</v>
      </c>
      <c r="H307" s="7">
        <f t="shared" si="4"/>
        <v>191434.875</v>
      </c>
      <c r="I307" s="7">
        <v>30629.58</v>
      </c>
    </row>
    <row r="308" spans="1:9">
      <c r="A308" t="s">
        <v>3387</v>
      </c>
      <c r="B308" s="1">
        <v>42185</v>
      </c>
      <c r="C308" t="s">
        <v>3388</v>
      </c>
      <c r="D308">
        <v>1</v>
      </c>
      <c r="E308" t="s">
        <v>0</v>
      </c>
      <c r="F308" t="s">
        <v>799</v>
      </c>
      <c r="G308" t="s">
        <v>0</v>
      </c>
      <c r="H308" s="7">
        <f t="shared" si="4"/>
        <v>191435.3125</v>
      </c>
      <c r="I308" s="7">
        <v>30629.65</v>
      </c>
    </row>
    <row r="309" spans="1:9">
      <c r="A309" t="s">
        <v>3384</v>
      </c>
      <c r="B309" s="1">
        <v>42185</v>
      </c>
      <c r="C309" t="s">
        <v>3385</v>
      </c>
      <c r="D309">
        <v>1</v>
      </c>
      <c r="E309" t="s">
        <v>0</v>
      </c>
      <c r="F309" t="s">
        <v>799</v>
      </c>
      <c r="G309" t="s">
        <v>0</v>
      </c>
      <c r="H309" s="7">
        <f t="shared" si="4"/>
        <v>275488.4375</v>
      </c>
      <c r="I309" s="7">
        <v>44078.15</v>
      </c>
    </row>
    <row r="310" spans="1:9">
      <c r="A310" t="s">
        <v>3376</v>
      </c>
      <c r="B310" s="1">
        <v>42185</v>
      </c>
      <c r="C310" t="s">
        <v>3377</v>
      </c>
      <c r="D310">
        <v>1</v>
      </c>
      <c r="E310" t="s">
        <v>0</v>
      </c>
      <c r="F310" t="s">
        <v>799</v>
      </c>
      <c r="G310" t="s">
        <v>0</v>
      </c>
      <c r="H310" s="7">
        <f t="shared" si="4"/>
        <v>370012.3125</v>
      </c>
      <c r="I310" s="7">
        <v>59201.97</v>
      </c>
    </row>
    <row r="311" spans="1:9">
      <c r="A311" t="s">
        <v>3379</v>
      </c>
      <c r="B311" s="1">
        <v>42185</v>
      </c>
      <c r="C311" t="s">
        <v>3380</v>
      </c>
      <c r="D311">
        <v>1</v>
      </c>
      <c r="E311" t="s">
        <v>0</v>
      </c>
      <c r="F311" t="s">
        <v>799</v>
      </c>
      <c r="G311" t="s">
        <v>0</v>
      </c>
      <c r="H311" s="7">
        <f t="shared" si="4"/>
        <v>318282.4375</v>
      </c>
      <c r="I311" s="7">
        <v>50925.19</v>
      </c>
    </row>
    <row r="312" spans="1:9">
      <c r="A312" t="s">
        <v>3383</v>
      </c>
      <c r="B312" s="1">
        <v>42185</v>
      </c>
      <c r="C312" t="s">
        <v>3382</v>
      </c>
      <c r="D312">
        <v>1</v>
      </c>
      <c r="E312" t="s">
        <v>0</v>
      </c>
      <c r="F312" t="s">
        <v>799</v>
      </c>
      <c r="G312" t="s">
        <v>0</v>
      </c>
      <c r="H312" s="7">
        <f t="shared" si="4"/>
        <v>340063.25</v>
      </c>
      <c r="I312" s="7">
        <v>54410.12</v>
      </c>
    </row>
    <row r="313" spans="1:9">
      <c r="A313" t="s">
        <v>1320</v>
      </c>
      <c r="B313" s="1">
        <v>42156</v>
      </c>
      <c r="C313" t="s">
        <v>3551</v>
      </c>
      <c r="D313">
        <v>1</v>
      </c>
      <c r="E313" t="s">
        <v>1361</v>
      </c>
      <c r="F313" t="s">
        <v>799</v>
      </c>
      <c r="G313" t="s">
        <v>3687</v>
      </c>
      <c r="H313" s="7">
        <f t="shared" si="4"/>
        <v>4321.3125</v>
      </c>
      <c r="I313" s="7">
        <v>691.41</v>
      </c>
    </row>
    <row r="314" spans="1:9">
      <c r="A314" t="s">
        <v>3552</v>
      </c>
      <c r="B314" s="1">
        <v>42156</v>
      </c>
      <c r="C314" t="s">
        <v>3553</v>
      </c>
      <c r="D314">
        <v>1</v>
      </c>
      <c r="E314" t="s">
        <v>1361</v>
      </c>
      <c r="F314" t="s">
        <v>799</v>
      </c>
      <c r="G314" t="s">
        <v>3687</v>
      </c>
      <c r="H314" s="7">
        <f t="shared" si="4"/>
        <v>6500</v>
      </c>
      <c r="I314" s="7">
        <v>1040</v>
      </c>
    </row>
    <row r="315" spans="1:9">
      <c r="A315" t="s">
        <v>2569</v>
      </c>
      <c r="B315" s="1">
        <v>42156</v>
      </c>
      <c r="C315" t="s">
        <v>3554</v>
      </c>
      <c r="D315">
        <v>1</v>
      </c>
      <c r="E315" t="s">
        <v>1361</v>
      </c>
      <c r="F315" t="s">
        <v>799</v>
      </c>
      <c r="G315" t="s">
        <v>3687</v>
      </c>
      <c r="H315" s="7">
        <f t="shared" si="4"/>
        <v>14964.125000000002</v>
      </c>
      <c r="I315" s="7">
        <v>2394.2600000000002</v>
      </c>
    </row>
    <row r="316" spans="1:9">
      <c r="A316" t="s">
        <v>1971</v>
      </c>
      <c r="B316" s="1">
        <v>42185</v>
      </c>
      <c r="C316" t="s">
        <v>3473</v>
      </c>
      <c r="D316">
        <v>1</v>
      </c>
      <c r="E316" t="s">
        <v>878</v>
      </c>
      <c r="F316" t="s">
        <v>878</v>
      </c>
      <c r="G316" s="139" t="s">
        <v>7410</v>
      </c>
      <c r="H316" s="7">
        <f t="shared" si="4"/>
        <v>380</v>
      </c>
      <c r="I316" s="7">
        <v>60.8</v>
      </c>
    </row>
    <row r="317" spans="1:9">
      <c r="A317" t="s">
        <v>3483</v>
      </c>
      <c r="B317" s="1">
        <v>42185</v>
      </c>
      <c r="C317" t="s">
        <v>3484</v>
      </c>
      <c r="D317">
        <v>1</v>
      </c>
      <c r="E317" t="s">
        <v>878</v>
      </c>
      <c r="F317" t="s">
        <v>878</v>
      </c>
      <c r="G317" s="139" t="s">
        <v>7410</v>
      </c>
      <c r="H317" s="7">
        <f t="shared" si="4"/>
        <v>380</v>
      </c>
      <c r="I317" s="7">
        <v>60.8</v>
      </c>
    </row>
    <row r="318" spans="1:9">
      <c r="A318" t="s">
        <v>1960</v>
      </c>
      <c r="B318" s="1">
        <v>42185</v>
      </c>
      <c r="C318" t="s">
        <v>3453</v>
      </c>
      <c r="D318">
        <v>1</v>
      </c>
      <c r="E318" t="s">
        <v>935</v>
      </c>
      <c r="F318" t="s">
        <v>935</v>
      </c>
      <c r="G318" s="139" t="s">
        <v>936</v>
      </c>
      <c r="H318" s="7">
        <f t="shared" si="4"/>
        <v>86.187499999999986</v>
      </c>
      <c r="I318" s="7">
        <v>13.79</v>
      </c>
    </row>
    <row r="319" spans="1:9">
      <c r="A319" t="s">
        <v>2025</v>
      </c>
      <c r="B319" s="1">
        <v>42185</v>
      </c>
      <c r="C319" t="s">
        <v>3512</v>
      </c>
      <c r="D319">
        <v>1</v>
      </c>
      <c r="E319" t="s">
        <v>3239</v>
      </c>
      <c r="F319" t="s">
        <v>3239</v>
      </c>
      <c r="G319" s="139" t="s">
        <v>7411</v>
      </c>
      <c r="H319" s="7">
        <f t="shared" si="4"/>
        <v>51.749999999999993</v>
      </c>
      <c r="I319" s="7">
        <v>8.2799999999999994</v>
      </c>
    </row>
    <row r="320" spans="1:9">
      <c r="A320" t="s">
        <v>1183</v>
      </c>
      <c r="B320" s="1">
        <v>42185</v>
      </c>
      <c r="C320" t="s">
        <v>3389</v>
      </c>
      <c r="D320">
        <v>1</v>
      </c>
      <c r="E320" t="s">
        <v>1644</v>
      </c>
      <c r="F320" t="s">
        <v>1643</v>
      </c>
      <c r="G320" t="s">
        <v>3713</v>
      </c>
      <c r="H320" s="7">
        <f t="shared" si="4"/>
        <v>209523.37499999997</v>
      </c>
      <c r="I320" s="7">
        <v>33523.74</v>
      </c>
    </row>
    <row r="321" spans="1:10">
      <c r="A321" t="s">
        <v>3277</v>
      </c>
      <c r="B321" s="1">
        <v>42163</v>
      </c>
      <c r="C321" t="s">
        <v>3278</v>
      </c>
      <c r="D321">
        <v>1</v>
      </c>
      <c r="E321" t="s">
        <v>3279</v>
      </c>
      <c r="F321" t="s">
        <v>951</v>
      </c>
      <c r="G321" t="s">
        <v>3714</v>
      </c>
      <c r="H321" s="7">
        <f t="shared" si="4"/>
        <v>444747.81249999994</v>
      </c>
      <c r="I321" s="7">
        <v>71159.649999999994</v>
      </c>
    </row>
    <row r="322" spans="1:10">
      <c r="A322" t="s">
        <v>3474</v>
      </c>
      <c r="B322" s="1">
        <v>42185</v>
      </c>
      <c r="C322" t="s">
        <v>3475</v>
      </c>
      <c r="D322">
        <v>1</v>
      </c>
      <c r="E322" t="s">
        <v>802</v>
      </c>
      <c r="F322" t="s">
        <v>802</v>
      </c>
      <c r="G322" s="139" t="s">
        <v>275</v>
      </c>
      <c r="H322" s="7">
        <f t="shared" si="4"/>
        <v>413.81249999999994</v>
      </c>
      <c r="I322" s="7">
        <v>66.209999999999994</v>
      </c>
    </row>
    <row r="323" spans="1:10">
      <c r="A323" t="s">
        <v>1994</v>
      </c>
      <c r="B323" s="1">
        <v>42185</v>
      </c>
      <c r="C323" t="s">
        <v>3488</v>
      </c>
      <c r="D323">
        <v>1</v>
      </c>
      <c r="E323" t="s">
        <v>802</v>
      </c>
      <c r="F323" t="s">
        <v>802</v>
      </c>
      <c r="G323" s="139" t="s">
        <v>275</v>
      </c>
      <c r="H323" s="7">
        <f t="shared" si="4"/>
        <v>310.375</v>
      </c>
      <c r="I323" s="7">
        <v>49.66</v>
      </c>
    </row>
    <row r="324" spans="1:10">
      <c r="A324" t="s">
        <v>3497</v>
      </c>
      <c r="B324" s="1">
        <v>42185</v>
      </c>
      <c r="C324" t="s">
        <v>3498</v>
      </c>
      <c r="D324">
        <v>1</v>
      </c>
      <c r="E324" t="s">
        <v>802</v>
      </c>
      <c r="F324" t="s">
        <v>802</v>
      </c>
      <c r="G324" s="139" t="s">
        <v>275</v>
      </c>
      <c r="H324" s="7">
        <f t="shared" si="4"/>
        <v>568.9375</v>
      </c>
      <c r="I324" s="7">
        <v>91.03</v>
      </c>
    </row>
    <row r="325" spans="1:10">
      <c r="A325" t="s">
        <v>3185</v>
      </c>
      <c r="B325" s="1">
        <v>42179</v>
      </c>
      <c r="C325" t="s">
        <v>3627</v>
      </c>
      <c r="D325">
        <v>1</v>
      </c>
      <c r="E325" t="s">
        <v>1441</v>
      </c>
      <c r="F325" t="s">
        <v>1645</v>
      </c>
      <c r="G325" t="s">
        <v>1441</v>
      </c>
      <c r="H325" s="7">
        <f t="shared" si="4"/>
        <v>1751.1875</v>
      </c>
      <c r="I325" s="7">
        <v>280.19</v>
      </c>
    </row>
    <row r="327" spans="1:10">
      <c r="H327" s="8"/>
      <c r="I327" s="8"/>
    </row>
    <row r="328" spans="1:10">
      <c r="H328" s="9">
        <f>SUM(H7:H327)</f>
        <v>19442418.25</v>
      </c>
      <c r="I328" s="9">
        <f>SUM(I7:I327)</f>
        <v>3110786.9200000013</v>
      </c>
    </row>
    <row r="329" spans="1:10">
      <c r="H329" s="10">
        <f>3492535.71-381748.79</f>
        <v>3110786.92</v>
      </c>
      <c r="I329" s="7">
        <f>+H329-I328</f>
        <v>0</v>
      </c>
    </row>
    <row r="332" spans="1:10">
      <c r="F332" s="11"/>
    </row>
    <row r="333" spans="1:10">
      <c r="F333" s="12" t="s">
        <v>696</v>
      </c>
    </row>
    <row r="334" spans="1:10">
      <c r="F334" s="13" t="s">
        <v>7290</v>
      </c>
    </row>
    <row r="335" spans="1:10">
      <c r="F335" s="11"/>
    </row>
    <row r="336" spans="1:10">
      <c r="A336" s="14"/>
      <c r="B336" s="14"/>
      <c r="C336" s="14"/>
      <c r="D336" s="14"/>
      <c r="E336" s="14"/>
      <c r="F336" s="14" t="s">
        <v>692</v>
      </c>
      <c r="G336" s="14" t="s">
        <v>693</v>
      </c>
      <c r="H336" s="15" t="s">
        <v>694</v>
      </c>
      <c r="I336" s="14" t="s">
        <v>695</v>
      </c>
      <c r="J336" s="14" t="s">
        <v>697</v>
      </c>
    </row>
    <row r="337" spans="1:9">
      <c r="A337" s="150" t="s">
        <v>7544</v>
      </c>
      <c r="B337">
        <v>85</v>
      </c>
      <c r="F337" t="s">
        <v>3659</v>
      </c>
      <c r="G337" t="s">
        <v>3660</v>
      </c>
      <c r="H337" s="7">
        <f>+I337/0.16</f>
        <v>862.0625</v>
      </c>
      <c r="I337" s="7">
        <f>+SUMIF($F$7:$F$325,F337,$I$7:$I$325)</f>
        <v>137.93</v>
      </c>
    </row>
    <row r="338" spans="1:9">
      <c r="A338" s="150" t="s">
        <v>7544</v>
      </c>
      <c r="B338">
        <v>85</v>
      </c>
      <c r="F338" t="s">
        <v>1604</v>
      </c>
      <c r="G338" t="s">
        <v>1501</v>
      </c>
      <c r="H338" s="7">
        <f t="shared" ref="H338:H401" si="5">+I338/0.16</f>
        <v>9000</v>
      </c>
      <c r="I338" s="7">
        <f t="shared" ref="I338:I401" si="6">+SUMIF($F$7:$F$325,F338,$I$7:$I$325)</f>
        <v>1440</v>
      </c>
    </row>
    <row r="339" spans="1:9">
      <c r="A339" s="150" t="s">
        <v>7544</v>
      </c>
      <c r="B339">
        <v>85</v>
      </c>
      <c r="F339" t="s">
        <v>923</v>
      </c>
      <c r="G339" s="139" t="s">
        <v>7356</v>
      </c>
      <c r="H339" s="7">
        <f t="shared" si="5"/>
        <v>1033.6875</v>
      </c>
      <c r="I339" s="7">
        <f t="shared" si="6"/>
        <v>165.39000000000001</v>
      </c>
    </row>
    <row r="340" spans="1:9">
      <c r="A340" s="150" t="s">
        <v>7544</v>
      </c>
      <c r="B340">
        <v>85</v>
      </c>
      <c r="F340" t="s">
        <v>733</v>
      </c>
      <c r="G340" t="s">
        <v>3667</v>
      </c>
      <c r="H340" s="7">
        <f t="shared" si="5"/>
        <v>634.4375</v>
      </c>
      <c r="I340" s="7">
        <f t="shared" si="6"/>
        <v>101.51</v>
      </c>
    </row>
    <row r="341" spans="1:9">
      <c r="A341" s="150" t="s">
        <v>7544</v>
      </c>
      <c r="B341">
        <v>85</v>
      </c>
      <c r="F341" t="s">
        <v>879</v>
      </c>
      <c r="G341" s="139" t="s">
        <v>7357</v>
      </c>
      <c r="H341" s="7">
        <f t="shared" si="5"/>
        <v>584.125</v>
      </c>
      <c r="I341" s="7">
        <f t="shared" si="6"/>
        <v>93.460000000000008</v>
      </c>
    </row>
    <row r="342" spans="1:9">
      <c r="A342" s="150" t="s">
        <v>7544</v>
      </c>
      <c r="B342">
        <v>85</v>
      </c>
      <c r="F342" t="s">
        <v>2241</v>
      </c>
      <c r="G342" s="139" t="s">
        <v>2710</v>
      </c>
      <c r="H342" s="7">
        <f t="shared" si="5"/>
        <v>101.75</v>
      </c>
      <c r="I342" s="7">
        <f t="shared" si="6"/>
        <v>16.28</v>
      </c>
    </row>
    <row r="343" spans="1:9">
      <c r="A343" s="150" t="s">
        <v>7544</v>
      </c>
      <c r="B343">
        <v>85</v>
      </c>
      <c r="F343" t="s">
        <v>711</v>
      </c>
      <c r="G343" s="139" t="s">
        <v>7375</v>
      </c>
      <c r="H343" s="7">
        <f t="shared" si="5"/>
        <v>465.06249999999994</v>
      </c>
      <c r="I343" s="7">
        <f t="shared" si="6"/>
        <v>74.41</v>
      </c>
    </row>
    <row r="344" spans="1:9">
      <c r="A344" s="150" t="s">
        <v>7544</v>
      </c>
      <c r="B344">
        <v>85</v>
      </c>
      <c r="F344" t="s">
        <v>745</v>
      </c>
      <c r="G344" s="139" t="s">
        <v>746</v>
      </c>
      <c r="H344" s="7">
        <f t="shared" si="5"/>
        <v>88.8125</v>
      </c>
      <c r="I344" s="7">
        <f t="shared" si="6"/>
        <v>14.21</v>
      </c>
    </row>
    <row r="345" spans="1:9">
      <c r="A345" s="150" t="s">
        <v>7544</v>
      </c>
      <c r="B345">
        <v>85</v>
      </c>
      <c r="F345" s="19" t="s">
        <v>1530</v>
      </c>
      <c r="G345" s="19" t="s">
        <v>3681</v>
      </c>
      <c r="H345" s="7">
        <f t="shared" si="5"/>
        <v>405066.125</v>
      </c>
      <c r="I345" s="7">
        <f t="shared" si="6"/>
        <v>64810.58</v>
      </c>
    </row>
    <row r="346" spans="1:9">
      <c r="A346" s="150" t="s">
        <v>7544</v>
      </c>
      <c r="B346">
        <v>85</v>
      </c>
      <c r="F346" t="s">
        <v>707</v>
      </c>
      <c r="G346" t="s">
        <v>3661</v>
      </c>
      <c r="H346" s="7">
        <f t="shared" si="5"/>
        <v>197213.1875</v>
      </c>
      <c r="I346" s="7">
        <f t="shared" si="6"/>
        <v>31554.11</v>
      </c>
    </row>
    <row r="347" spans="1:9">
      <c r="A347" s="150" t="s">
        <v>7544</v>
      </c>
      <c r="B347">
        <v>85</v>
      </c>
      <c r="F347" t="s">
        <v>714</v>
      </c>
      <c r="G347" s="139" t="s">
        <v>715</v>
      </c>
      <c r="H347" s="7">
        <f t="shared" si="5"/>
        <v>3133.75</v>
      </c>
      <c r="I347" s="7">
        <f t="shared" si="6"/>
        <v>501.4</v>
      </c>
    </row>
    <row r="348" spans="1:9">
      <c r="A348" s="150" t="s">
        <v>7544</v>
      </c>
      <c r="B348">
        <v>85</v>
      </c>
      <c r="F348" t="s">
        <v>751</v>
      </c>
      <c r="G348" s="139" t="s">
        <v>7358</v>
      </c>
      <c r="H348" s="7">
        <f t="shared" si="5"/>
        <v>1991.4999999999998</v>
      </c>
      <c r="I348" s="7">
        <f t="shared" si="6"/>
        <v>318.64</v>
      </c>
    </row>
    <row r="349" spans="1:9">
      <c r="A349" s="150" t="s">
        <v>7544</v>
      </c>
      <c r="B349">
        <v>85</v>
      </c>
      <c r="F349" t="s">
        <v>2187</v>
      </c>
      <c r="G349" t="s">
        <v>3658</v>
      </c>
      <c r="H349" s="7">
        <f t="shared" si="5"/>
        <v>533876</v>
      </c>
      <c r="I349" s="7">
        <f t="shared" si="6"/>
        <v>85420.160000000003</v>
      </c>
    </row>
    <row r="350" spans="1:9">
      <c r="A350" s="150" t="s">
        <v>7544</v>
      </c>
      <c r="B350">
        <v>85</v>
      </c>
      <c r="F350" t="s">
        <v>749</v>
      </c>
      <c r="G350" s="139" t="s">
        <v>7359</v>
      </c>
      <c r="H350" s="7">
        <f t="shared" si="5"/>
        <v>85.375</v>
      </c>
      <c r="I350" s="7">
        <f t="shared" si="6"/>
        <v>13.66</v>
      </c>
    </row>
    <row r="351" spans="1:9">
      <c r="A351" s="150" t="s">
        <v>7544</v>
      </c>
      <c r="B351">
        <v>85</v>
      </c>
      <c r="F351" t="s">
        <v>3457</v>
      </c>
      <c r="G351" s="139" t="s">
        <v>7360</v>
      </c>
      <c r="H351" s="7">
        <f t="shared" si="5"/>
        <v>922.4375</v>
      </c>
      <c r="I351" s="7">
        <f t="shared" si="6"/>
        <v>147.59</v>
      </c>
    </row>
    <row r="352" spans="1:9">
      <c r="A352" s="150" t="s">
        <v>7544</v>
      </c>
      <c r="B352">
        <v>85</v>
      </c>
      <c r="F352" t="s">
        <v>3657</v>
      </c>
      <c r="G352" t="s">
        <v>3597</v>
      </c>
      <c r="H352" s="7">
        <f t="shared" si="5"/>
        <v>27000</v>
      </c>
      <c r="I352" s="7">
        <f t="shared" si="6"/>
        <v>4320</v>
      </c>
    </row>
    <row r="353" spans="1:10">
      <c r="A353" s="150" t="s">
        <v>7544</v>
      </c>
      <c r="B353">
        <v>85</v>
      </c>
      <c r="F353" t="s">
        <v>3680</v>
      </c>
      <c r="G353" s="139" t="s">
        <v>1938</v>
      </c>
      <c r="H353" s="7">
        <f t="shared" si="5"/>
        <v>330</v>
      </c>
      <c r="I353" s="7">
        <f t="shared" si="6"/>
        <v>52.8</v>
      </c>
    </row>
    <row r="354" spans="1:10">
      <c r="A354" s="150" t="s">
        <v>7544</v>
      </c>
      <c r="B354">
        <v>85</v>
      </c>
      <c r="F354" t="s">
        <v>2192</v>
      </c>
      <c r="G354" t="s">
        <v>3662</v>
      </c>
      <c r="H354" s="7">
        <f t="shared" si="5"/>
        <v>572732.8125</v>
      </c>
      <c r="I354" s="7">
        <f t="shared" si="6"/>
        <v>91637.25</v>
      </c>
    </row>
    <row r="355" spans="1:10">
      <c r="A355" s="150" t="s">
        <v>7544</v>
      </c>
      <c r="B355">
        <v>85</v>
      </c>
      <c r="F355" t="s">
        <v>2690</v>
      </c>
      <c r="G355" t="s">
        <v>3663</v>
      </c>
      <c r="H355" s="7">
        <f t="shared" si="5"/>
        <v>149040.0625</v>
      </c>
      <c r="I355" s="7">
        <f t="shared" si="6"/>
        <v>23846.41</v>
      </c>
    </row>
    <row r="356" spans="1:10">
      <c r="A356" s="150" t="s">
        <v>7544</v>
      </c>
      <c r="B356">
        <v>85</v>
      </c>
      <c r="F356" s="25" t="s">
        <v>737</v>
      </c>
      <c r="G356" s="63" t="s">
        <v>738</v>
      </c>
      <c r="H356" s="7">
        <f t="shared" si="5"/>
        <v>13092.937499999998</v>
      </c>
      <c r="I356" s="7">
        <f t="shared" si="6"/>
        <v>2094.87</v>
      </c>
    </row>
    <row r="357" spans="1:10">
      <c r="A357" s="150" t="s">
        <v>7544</v>
      </c>
      <c r="B357">
        <v>85</v>
      </c>
      <c r="F357" s="25" t="s">
        <v>735</v>
      </c>
      <c r="G357" s="63" t="s">
        <v>736</v>
      </c>
      <c r="H357" s="7">
        <f t="shared" si="5"/>
        <v>285</v>
      </c>
      <c r="I357" s="7">
        <f t="shared" si="6"/>
        <v>45.6</v>
      </c>
    </row>
    <row r="358" spans="1:10">
      <c r="A358" s="150" t="s">
        <v>7544</v>
      </c>
      <c r="B358">
        <v>85</v>
      </c>
      <c r="F358" t="s">
        <v>2196</v>
      </c>
      <c r="G358" t="s">
        <v>2092</v>
      </c>
      <c r="H358" s="7">
        <f t="shared" si="5"/>
        <v>8000</v>
      </c>
      <c r="I358" s="7">
        <f t="shared" si="6"/>
        <v>1280</v>
      </c>
    </row>
    <row r="359" spans="1:10">
      <c r="A359" s="150" t="s">
        <v>7544</v>
      </c>
      <c r="B359">
        <v>85</v>
      </c>
      <c r="F359" t="s">
        <v>2212</v>
      </c>
      <c r="G359" t="s">
        <v>3679</v>
      </c>
      <c r="H359" s="7">
        <f t="shared" si="5"/>
        <v>3785.625</v>
      </c>
      <c r="I359" s="7">
        <f t="shared" si="6"/>
        <v>605.70000000000005</v>
      </c>
    </row>
    <row r="360" spans="1:10">
      <c r="A360" s="150" t="s">
        <v>7544</v>
      </c>
      <c r="B360">
        <v>85</v>
      </c>
      <c r="F360" s="25" t="s">
        <v>741</v>
      </c>
      <c r="G360" s="26" t="s">
        <v>742</v>
      </c>
      <c r="H360" s="7">
        <f t="shared" si="5"/>
        <v>350.99999999999994</v>
      </c>
      <c r="I360" s="7">
        <f t="shared" si="6"/>
        <v>56.16</v>
      </c>
    </row>
    <row r="361" spans="1:10">
      <c r="A361" s="150" t="s">
        <v>7544</v>
      </c>
      <c r="B361">
        <v>85</v>
      </c>
      <c r="F361" t="s">
        <v>739</v>
      </c>
      <c r="G361" t="s">
        <v>3249</v>
      </c>
      <c r="H361" s="7">
        <f t="shared" si="5"/>
        <v>10904.9375</v>
      </c>
      <c r="I361" s="7">
        <f t="shared" si="6"/>
        <v>1744.79</v>
      </c>
    </row>
    <row r="362" spans="1:10">
      <c r="A362" s="150" t="s">
        <v>7544</v>
      </c>
      <c r="B362">
        <v>85</v>
      </c>
      <c r="F362" s="25" t="s">
        <v>743</v>
      </c>
      <c r="G362" s="26" t="s">
        <v>744</v>
      </c>
      <c r="H362" s="7">
        <f t="shared" si="5"/>
        <v>139</v>
      </c>
      <c r="I362" s="7">
        <f t="shared" si="6"/>
        <v>22.24</v>
      </c>
    </row>
    <row r="363" spans="1:10">
      <c r="A363" s="150" t="s">
        <v>7544</v>
      </c>
      <c r="B363">
        <v>85</v>
      </c>
      <c r="F363" t="s">
        <v>790</v>
      </c>
      <c r="G363" t="s">
        <v>3219</v>
      </c>
      <c r="H363" s="7">
        <f t="shared" si="5"/>
        <v>1130806.2500000002</v>
      </c>
      <c r="I363" s="7">
        <f t="shared" si="6"/>
        <v>180929.00000000003</v>
      </c>
    </row>
    <row r="364" spans="1:10">
      <c r="A364" s="150" t="s">
        <v>7544</v>
      </c>
      <c r="B364" s="150" t="s">
        <v>7566</v>
      </c>
      <c r="F364" t="s">
        <v>956</v>
      </c>
      <c r="G364" t="s">
        <v>3682</v>
      </c>
      <c r="H364" s="7">
        <f t="shared" si="5"/>
        <v>36890.4375</v>
      </c>
      <c r="I364" s="7">
        <f t="shared" si="6"/>
        <v>5902.47</v>
      </c>
      <c r="J364">
        <v>3934.98</v>
      </c>
    </row>
    <row r="365" spans="1:10">
      <c r="A365" s="150" t="s">
        <v>7544</v>
      </c>
      <c r="B365">
        <v>85</v>
      </c>
      <c r="F365" t="s">
        <v>724</v>
      </c>
      <c r="G365" t="s">
        <v>3664</v>
      </c>
      <c r="H365" s="7">
        <f t="shared" si="5"/>
        <v>1168377.125</v>
      </c>
      <c r="I365" s="7">
        <f t="shared" si="6"/>
        <v>186940.34</v>
      </c>
    </row>
    <row r="366" spans="1:10">
      <c r="A366" s="150" t="s">
        <v>7544</v>
      </c>
      <c r="B366">
        <v>85</v>
      </c>
      <c r="F366" t="s">
        <v>1543</v>
      </c>
      <c r="G366" s="139" t="s">
        <v>7376</v>
      </c>
      <c r="H366" s="7">
        <f t="shared" si="5"/>
        <v>198.25</v>
      </c>
      <c r="I366" s="7">
        <f t="shared" si="6"/>
        <v>31.72</v>
      </c>
    </row>
    <row r="367" spans="1:10">
      <c r="A367" s="150" t="s">
        <v>7544</v>
      </c>
      <c r="B367">
        <v>85</v>
      </c>
      <c r="F367" t="s">
        <v>881</v>
      </c>
      <c r="G367" s="139" t="s">
        <v>7361</v>
      </c>
      <c r="H367" s="7">
        <f t="shared" si="5"/>
        <v>54.75</v>
      </c>
      <c r="I367" s="7">
        <f t="shared" si="6"/>
        <v>8.76</v>
      </c>
    </row>
    <row r="368" spans="1:10">
      <c r="A368" s="150" t="s">
        <v>7544</v>
      </c>
      <c r="B368">
        <v>85</v>
      </c>
      <c r="F368" t="s">
        <v>3523</v>
      </c>
      <c r="G368" s="139" t="s">
        <v>7362</v>
      </c>
      <c r="H368" s="7">
        <f t="shared" si="5"/>
        <v>196.5625</v>
      </c>
      <c r="I368" s="7">
        <f t="shared" si="6"/>
        <v>31.450000000000003</v>
      </c>
    </row>
    <row r="369" spans="1:9">
      <c r="A369" s="150" t="s">
        <v>7544</v>
      </c>
      <c r="B369">
        <v>85</v>
      </c>
      <c r="F369" t="s">
        <v>731</v>
      </c>
      <c r="G369" s="139" t="s">
        <v>7363</v>
      </c>
      <c r="H369" s="7">
        <f t="shared" si="5"/>
        <v>466.875</v>
      </c>
      <c r="I369" s="7">
        <f t="shared" si="6"/>
        <v>74.7</v>
      </c>
    </row>
    <row r="370" spans="1:9">
      <c r="A370" s="150" t="s">
        <v>7544</v>
      </c>
      <c r="B370">
        <v>85</v>
      </c>
      <c r="F370" t="s">
        <v>808</v>
      </c>
      <c r="G370" t="s">
        <v>489</v>
      </c>
      <c r="H370" s="7">
        <f t="shared" si="5"/>
        <v>15163.5625</v>
      </c>
      <c r="I370" s="7">
        <f t="shared" si="6"/>
        <v>2426.17</v>
      </c>
    </row>
    <row r="371" spans="1:9">
      <c r="A371" s="150" t="s">
        <v>7544</v>
      </c>
      <c r="B371">
        <v>85</v>
      </c>
      <c r="F371" t="s">
        <v>3503</v>
      </c>
      <c r="G371" s="139" t="s">
        <v>950</v>
      </c>
      <c r="H371" s="7">
        <f t="shared" si="5"/>
        <v>75</v>
      </c>
      <c r="I371" s="7">
        <f t="shared" si="6"/>
        <v>12</v>
      </c>
    </row>
    <row r="372" spans="1:9">
      <c r="A372" s="150" t="s">
        <v>7544</v>
      </c>
      <c r="B372">
        <v>85</v>
      </c>
      <c r="F372" t="s">
        <v>726</v>
      </c>
      <c r="G372" s="139" t="s">
        <v>7364</v>
      </c>
      <c r="H372" s="7">
        <f t="shared" si="5"/>
        <v>173.375</v>
      </c>
      <c r="I372" s="7">
        <f t="shared" si="6"/>
        <v>27.740000000000002</v>
      </c>
    </row>
    <row r="373" spans="1:9">
      <c r="A373" s="150" t="s">
        <v>7544</v>
      </c>
      <c r="B373">
        <v>85</v>
      </c>
      <c r="F373" t="s">
        <v>759</v>
      </c>
      <c r="G373" s="139" t="s">
        <v>3221</v>
      </c>
      <c r="H373" s="7">
        <f t="shared" si="5"/>
        <v>142.6875</v>
      </c>
      <c r="I373" s="7">
        <f t="shared" si="6"/>
        <v>22.83</v>
      </c>
    </row>
    <row r="374" spans="1:9">
      <c r="A374" s="150" t="s">
        <v>7544</v>
      </c>
      <c r="B374">
        <v>85</v>
      </c>
      <c r="F374" t="s">
        <v>755</v>
      </c>
      <c r="G374" s="139" t="s">
        <v>7377</v>
      </c>
      <c r="H374" s="7">
        <f t="shared" si="5"/>
        <v>172.4375</v>
      </c>
      <c r="I374" s="7">
        <f t="shared" si="6"/>
        <v>27.59</v>
      </c>
    </row>
    <row r="375" spans="1:9">
      <c r="A375" s="150" t="s">
        <v>7544</v>
      </c>
      <c r="B375">
        <v>85</v>
      </c>
      <c r="F375" t="s">
        <v>925</v>
      </c>
      <c r="G375" s="139" t="s">
        <v>7365</v>
      </c>
      <c r="H375" s="7">
        <f t="shared" si="5"/>
        <v>753.25</v>
      </c>
      <c r="I375" s="7">
        <f t="shared" si="6"/>
        <v>120.52</v>
      </c>
    </row>
    <row r="376" spans="1:9">
      <c r="A376" s="150" t="s">
        <v>7544</v>
      </c>
      <c r="B376">
        <v>85</v>
      </c>
      <c r="F376" t="s">
        <v>1551</v>
      </c>
      <c r="G376" t="s">
        <v>3665</v>
      </c>
      <c r="H376" s="7">
        <f t="shared" si="5"/>
        <v>3534.5</v>
      </c>
      <c r="I376" s="7">
        <f t="shared" si="6"/>
        <v>565.52</v>
      </c>
    </row>
    <row r="377" spans="1:9">
      <c r="A377" s="150" t="s">
        <v>7544</v>
      </c>
      <c r="B377">
        <v>85</v>
      </c>
      <c r="F377" t="s">
        <v>3683</v>
      </c>
      <c r="G377" s="139" t="s">
        <v>7378</v>
      </c>
      <c r="H377" s="7">
        <f t="shared" si="5"/>
        <v>793.75</v>
      </c>
      <c r="I377" s="7">
        <f t="shared" si="6"/>
        <v>127</v>
      </c>
    </row>
    <row r="378" spans="1:9">
      <c r="A378" s="150" t="s">
        <v>7544</v>
      </c>
      <c r="B378">
        <v>85</v>
      </c>
      <c r="F378" t="s">
        <v>791</v>
      </c>
      <c r="G378" t="s">
        <v>3222</v>
      </c>
      <c r="H378" s="7">
        <f t="shared" si="5"/>
        <v>302316.0625</v>
      </c>
      <c r="I378" s="7">
        <f t="shared" si="6"/>
        <v>48370.57</v>
      </c>
    </row>
    <row r="379" spans="1:9">
      <c r="A379" s="150" t="s">
        <v>7544</v>
      </c>
      <c r="B379">
        <v>85</v>
      </c>
      <c r="F379" t="s">
        <v>1554</v>
      </c>
      <c r="G379" t="s">
        <v>3668</v>
      </c>
      <c r="H379" s="7">
        <f t="shared" si="5"/>
        <v>1237244.8124999998</v>
      </c>
      <c r="I379" s="7">
        <f t="shared" si="6"/>
        <v>197959.16999999998</v>
      </c>
    </row>
    <row r="380" spans="1:9">
      <c r="A380" s="150" t="s">
        <v>7544</v>
      </c>
      <c r="B380">
        <v>85</v>
      </c>
      <c r="F380" t="s">
        <v>797</v>
      </c>
      <c r="G380" t="s">
        <v>3669</v>
      </c>
      <c r="H380" s="7">
        <f t="shared" si="5"/>
        <v>382867.25</v>
      </c>
      <c r="I380" s="7">
        <f t="shared" si="6"/>
        <v>61258.76</v>
      </c>
    </row>
    <row r="381" spans="1:9">
      <c r="A381" s="150" t="s">
        <v>7544</v>
      </c>
      <c r="B381">
        <v>85</v>
      </c>
      <c r="F381" t="s">
        <v>3477</v>
      </c>
      <c r="G381" s="139" t="s">
        <v>7366</v>
      </c>
      <c r="H381" s="7">
        <f t="shared" si="5"/>
        <v>243</v>
      </c>
      <c r="I381" s="7">
        <f t="shared" si="6"/>
        <v>38.880000000000003</v>
      </c>
    </row>
    <row r="382" spans="1:9">
      <c r="A382" s="150" t="s">
        <v>7544</v>
      </c>
      <c r="B382">
        <v>85</v>
      </c>
      <c r="F382" t="s">
        <v>795</v>
      </c>
      <c r="G382" t="s">
        <v>638</v>
      </c>
      <c r="H382" s="7">
        <f t="shared" si="5"/>
        <v>60069.000000000007</v>
      </c>
      <c r="I382" s="7">
        <f t="shared" si="6"/>
        <v>9611.0400000000009</v>
      </c>
    </row>
    <row r="383" spans="1:9">
      <c r="A383" s="150" t="s">
        <v>7544</v>
      </c>
      <c r="B383">
        <v>85</v>
      </c>
      <c r="F383" t="s">
        <v>7380</v>
      </c>
      <c r="G383" s="139" t="s">
        <v>7379</v>
      </c>
      <c r="H383" s="7">
        <f t="shared" si="5"/>
        <v>75</v>
      </c>
      <c r="I383" s="7">
        <f t="shared" si="6"/>
        <v>12</v>
      </c>
    </row>
    <row r="384" spans="1:9">
      <c r="A384" s="150" t="s">
        <v>7544</v>
      </c>
      <c r="B384">
        <v>85</v>
      </c>
      <c r="F384" t="s">
        <v>885</v>
      </c>
      <c r="G384" s="139" t="s">
        <v>7367</v>
      </c>
      <c r="H384" s="7">
        <f t="shared" si="5"/>
        <v>125.81249999999999</v>
      </c>
      <c r="I384" s="7">
        <f t="shared" si="6"/>
        <v>20.13</v>
      </c>
    </row>
    <row r="385" spans="1:10">
      <c r="A385" s="150" t="s">
        <v>7544</v>
      </c>
      <c r="B385">
        <v>85</v>
      </c>
      <c r="F385" t="s">
        <v>704</v>
      </c>
      <c r="G385" s="139" t="s">
        <v>237</v>
      </c>
      <c r="H385" s="7">
        <f t="shared" si="5"/>
        <v>1336.1874999999998</v>
      </c>
      <c r="I385" s="7">
        <f t="shared" si="6"/>
        <v>213.78999999999996</v>
      </c>
    </row>
    <row r="386" spans="1:10">
      <c r="A386" s="150" t="s">
        <v>7544</v>
      </c>
      <c r="B386">
        <v>85</v>
      </c>
      <c r="F386" t="s">
        <v>1561</v>
      </c>
      <c r="G386" s="139" t="s">
        <v>7369</v>
      </c>
      <c r="H386" s="7">
        <f t="shared" si="5"/>
        <v>64.6875</v>
      </c>
      <c r="I386" s="7">
        <f t="shared" si="6"/>
        <v>10.35</v>
      </c>
    </row>
    <row r="387" spans="1:10">
      <c r="A387" s="150" t="s">
        <v>7544</v>
      </c>
      <c r="B387">
        <v>85</v>
      </c>
      <c r="F387" t="s">
        <v>1560</v>
      </c>
      <c r="G387" s="139" t="s">
        <v>7368</v>
      </c>
      <c r="H387" s="7">
        <f t="shared" si="5"/>
        <v>141</v>
      </c>
      <c r="I387" s="7">
        <f t="shared" si="6"/>
        <v>22.56</v>
      </c>
    </row>
    <row r="388" spans="1:10">
      <c r="A388" s="150" t="s">
        <v>7544</v>
      </c>
      <c r="B388">
        <v>85</v>
      </c>
      <c r="F388" t="s">
        <v>961</v>
      </c>
      <c r="G388" s="139" t="s">
        <v>7382</v>
      </c>
      <c r="H388" s="7">
        <f t="shared" si="5"/>
        <v>125.75</v>
      </c>
      <c r="I388" s="7">
        <f t="shared" si="6"/>
        <v>20.12</v>
      </c>
    </row>
    <row r="389" spans="1:10">
      <c r="A389" s="150" t="s">
        <v>7544</v>
      </c>
      <c r="B389">
        <v>85</v>
      </c>
      <c r="F389" t="s">
        <v>905</v>
      </c>
      <c r="G389" s="139" t="s">
        <v>906</v>
      </c>
      <c r="H389" s="7">
        <f t="shared" si="5"/>
        <v>455.31249999999994</v>
      </c>
      <c r="I389" s="7">
        <f t="shared" si="6"/>
        <v>72.849999999999994</v>
      </c>
    </row>
    <row r="390" spans="1:10">
      <c r="A390" s="150" t="s">
        <v>7544</v>
      </c>
      <c r="B390">
        <v>85</v>
      </c>
      <c r="F390" t="s">
        <v>3684</v>
      </c>
      <c r="G390" s="139" t="s">
        <v>7383</v>
      </c>
      <c r="H390" s="7">
        <f t="shared" si="5"/>
        <v>227.625</v>
      </c>
      <c r="I390" s="7">
        <f t="shared" si="6"/>
        <v>36.42</v>
      </c>
    </row>
    <row r="391" spans="1:10">
      <c r="A391" s="150" t="s">
        <v>7544</v>
      </c>
      <c r="B391">
        <v>85</v>
      </c>
      <c r="F391" t="s">
        <v>3685</v>
      </c>
      <c r="G391" s="139" t="s">
        <v>7384</v>
      </c>
      <c r="H391" s="7">
        <f t="shared" si="5"/>
        <v>209051.75</v>
      </c>
      <c r="I391" s="7">
        <f t="shared" si="6"/>
        <v>33448.28</v>
      </c>
    </row>
    <row r="392" spans="1:10">
      <c r="A392" s="150" t="s">
        <v>7544</v>
      </c>
      <c r="B392">
        <v>85</v>
      </c>
      <c r="F392" t="s">
        <v>805</v>
      </c>
      <c r="G392" s="139" t="s">
        <v>2377</v>
      </c>
      <c r="H392" s="7">
        <f t="shared" si="5"/>
        <v>932.0625</v>
      </c>
      <c r="I392" s="7">
        <f t="shared" si="6"/>
        <v>149.13</v>
      </c>
      <c r="J392">
        <f>12.43*3</f>
        <v>37.29</v>
      </c>
    </row>
    <row r="393" spans="1:10">
      <c r="A393" s="150" t="s">
        <v>7544</v>
      </c>
      <c r="B393">
        <v>85</v>
      </c>
      <c r="F393" t="s">
        <v>804</v>
      </c>
      <c r="G393" s="139" t="s">
        <v>7385</v>
      </c>
      <c r="H393" s="7">
        <f t="shared" si="5"/>
        <v>38.375</v>
      </c>
      <c r="I393" s="7">
        <f t="shared" si="6"/>
        <v>6.14</v>
      </c>
    </row>
    <row r="394" spans="1:10">
      <c r="A394" s="150" t="s">
        <v>7544</v>
      </c>
      <c r="B394">
        <v>85</v>
      </c>
      <c r="F394" t="s">
        <v>807</v>
      </c>
      <c r="G394" s="139" t="s">
        <v>268</v>
      </c>
      <c r="H394" s="7">
        <f t="shared" si="5"/>
        <v>1350</v>
      </c>
      <c r="I394" s="7">
        <f t="shared" si="6"/>
        <v>216</v>
      </c>
    </row>
    <row r="395" spans="1:10">
      <c r="A395" s="150" t="s">
        <v>7544</v>
      </c>
      <c r="B395">
        <v>85</v>
      </c>
      <c r="F395" t="s">
        <v>1570</v>
      </c>
      <c r="G395" t="s">
        <v>3672</v>
      </c>
      <c r="H395" s="7">
        <f t="shared" si="5"/>
        <v>94939.1875</v>
      </c>
      <c r="I395" s="7">
        <f t="shared" si="6"/>
        <v>15190.27</v>
      </c>
    </row>
    <row r="396" spans="1:10">
      <c r="A396" s="150" t="s">
        <v>7544</v>
      </c>
      <c r="B396">
        <v>85</v>
      </c>
      <c r="F396" t="s">
        <v>3454</v>
      </c>
      <c r="G396" s="139" t="s">
        <v>7370</v>
      </c>
      <c r="H396" s="7">
        <f t="shared" si="5"/>
        <v>209.68749999999997</v>
      </c>
      <c r="I396" s="7">
        <f t="shared" si="6"/>
        <v>33.549999999999997</v>
      </c>
    </row>
    <row r="397" spans="1:10">
      <c r="A397" s="150" t="s">
        <v>7544</v>
      </c>
      <c r="B397">
        <v>85</v>
      </c>
      <c r="F397" t="s">
        <v>3676</v>
      </c>
      <c r="G397" t="s">
        <v>3615</v>
      </c>
      <c r="H397" s="7">
        <f t="shared" si="5"/>
        <v>2060.3125</v>
      </c>
      <c r="I397" s="7">
        <f t="shared" si="6"/>
        <v>329.65</v>
      </c>
    </row>
    <row r="398" spans="1:10">
      <c r="A398" s="150" t="s">
        <v>7544</v>
      </c>
      <c r="B398">
        <v>85</v>
      </c>
      <c r="F398" t="s">
        <v>815</v>
      </c>
      <c r="G398" t="s">
        <v>3674</v>
      </c>
      <c r="H398" s="7">
        <f t="shared" si="5"/>
        <v>5593.25</v>
      </c>
      <c r="I398" s="7">
        <f t="shared" si="6"/>
        <v>894.92000000000007</v>
      </c>
    </row>
    <row r="399" spans="1:10">
      <c r="A399" s="150" t="s">
        <v>7544</v>
      </c>
      <c r="B399">
        <v>85</v>
      </c>
      <c r="F399" t="s">
        <v>913</v>
      </c>
      <c r="G399" s="139" t="s">
        <v>7371</v>
      </c>
      <c r="H399" s="7">
        <f t="shared" si="5"/>
        <v>582.6875</v>
      </c>
      <c r="I399" s="7">
        <f t="shared" si="6"/>
        <v>93.23</v>
      </c>
    </row>
    <row r="400" spans="1:10">
      <c r="A400" s="150" t="s">
        <v>7544</v>
      </c>
      <c r="B400">
        <v>85</v>
      </c>
      <c r="F400" t="s">
        <v>722</v>
      </c>
      <c r="G400" t="s">
        <v>723</v>
      </c>
      <c r="H400" s="7">
        <f t="shared" si="5"/>
        <v>6828.0625000000009</v>
      </c>
      <c r="I400" s="7">
        <f t="shared" si="6"/>
        <v>1092.4900000000002</v>
      </c>
    </row>
    <row r="401" spans="1:13">
      <c r="A401" s="150" t="s">
        <v>7544</v>
      </c>
      <c r="B401">
        <v>85</v>
      </c>
      <c r="F401" t="s">
        <v>2208</v>
      </c>
      <c r="G401" t="s">
        <v>3673</v>
      </c>
      <c r="H401" s="7">
        <f t="shared" si="5"/>
        <v>19890</v>
      </c>
      <c r="I401" s="7">
        <f t="shared" si="6"/>
        <v>3182.4</v>
      </c>
    </row>
    <row r="402" spans="1:13">
      <c r="A402" s="150" t="s">
        <v>7544</v>
      </c>
      <c r="B402">
        <v>85</v>
      </c>
      <c r="F402" t="s">
        <v>813</v>
      </c>
      <c r="G402" t="s">
        <v>3675</v>
      </c>
      <c r="H402" s="7">
        <f t="shared" ref="H402:H465" si="7">+I402/0.16</f>
        <v>164047</v>
      </c>
      <c r="I402" s="7">
        <f t="shared" ref="I402:I465" si="8">+SUMIF($F$7:$F$325,F402,$I$7:$I$325)</f>
        <v>26247.52</v>
      </c>
    </row>
    <row r="403" spans="1:13">
      <c r="A403" s="150" t="s">
        <v>7544</v>
      </c>
      <c r="B403">
        <v>85</v>
      </c>
      <c r="F403" t="s">
        <v>1626</v>
      </c>
      <c r="G403" s="139" t="s">
        <v>7372</v>
      </c>
      <c r="H403" s="7">
        <f t="shared" si="7"/>
        <v>61.187499999999993</v>
      </c>
      <c r="I403" s="7">
        <f t="shared" si="8"/>
        <v>9.7899999999999991</v>
      </c>
    </row>
    <row r="404" spans="1:13">
      <c r="A404" s="150" t="s">
        <v>7544</v>
      </c>
      <c r="B404">
        <v>85</v>
      </c>
      <c r="F404" t="s">
        <v>3458</v>
      </c>
      <c r="G404" s="139" t="s">
        <v>7373</v>
      </c>
      <c r="H404" s="7">
        <f t="shared" si="7"/>
        <v>754.875</v>
      </c>
      <c r="I404" s="7">
        <f t="shared" si="8"/>
        <v>120.78</v>
      </c>
    </row>
    <row r="405" spans="1:13">
      <c r="A405" s="150" t="s">
        <v>7544</v>
      </c>
      <c r="B405">
        <v>85</v>
      </c>
      <c r="F405" t="s">
        <v>3459</v>
      </c>
      <c r="G405" s="139" t="s">
        <v>7374</v>
      </c>
      <c r="H405" s="7">
        <f t="shared" si="7"/>
        <v>159.5</v>
      </c>
      <c r="I405" s="7">
        <f t="shared" si="8"/>
        <v>25.52</v>
      </c>
    </row>
    <row r="406" spans="1:13">
      <c r="A406" s="150" t="s">
        <v>7544</v>
      </c>
      <c r="B406">
        <v>85</v>
      </c>
      <c r="F406" t="s">
        <v>823</v>
      </c>
      <c r="G406" t="s">
        <v>3678</v>
      </c>
      <c r="H406" s="7">
        <f t="shared" si="7"/>
        <v>17675.6875</v>
      </c>
      <c r="I406" s="7">
        <f t="shared" si="8"/>
        <v>2828.11</v>
      </c>
    </row>
    <row r="407" spans="1:13">
      <c r="A407" s="150" t="s">
        <v>7544</v>
      </c>
      <c r="B407">
        <v>85</v>
      </c>
      <c r="F407" t="s">
        <v>1573</v>
      </c>
      <c r="G407" t="s">
        <v>3677</v>
      </c>
      <c r="H407" s="7">
        <f t="shared" si="7"/>
        <v>20500</v>
      </c>
      <c r="I407" s="7">
        <f t="shared" si="8"/>
        <v>3280</v>
      </c>
    </row>
    <row r="408" spans="1:13">
      <c r="A408" s="150" t="s">
        <v>7544</v>
      </c>
      <c r="B408">
        <v>85</v>
      </c>
      <c r="F408" t="s">
        <v>821</v>
      </c>
      <c r="G408" s="139" t="s">
        <v>5707</v>
      </c>
      <c r="H408" s="7">
        <f t="shared" si="7"/>
        <v>2068.875</v>
      </c>
      <c r="I408" s="7">
        <f t="shared" si="8"/>
        <v>331.02000000000004</v>
      </c>
    </row>
    <row r="409" spans="1:13">
      <c r="A409" s="150" t="s">
        <v>7544</v>
      </c>
      <c r="B409">
        <v>85</v>
      </c>
      <c r="F409" t="s">
        <v>716</v>
      </c>
      <c r="G409" s="139" t="s">
        <v>7386</v>
      </c>
      <c r="H409" s="7">
        <f t="shared" si="7"/>
        <v>9450</v>
      </c>
      <c r="I409" s="7">
        <f t="shared" si="8"/>
        <v>1512</v>
      </c>
    </row>
    <row r="410" spans="1:13">
      <c r="A410" s="150" t="s">
        <v>7544</v>
      </c>
      <c r="B410">
        <v>85</v>
      </c>
      <c r="F410" t="s">
        <v>822</v>
      </c>
      <c r="G410" t="s">
        <v>3686</v>
      </c>
      <c r="H410" s="7">
        <f t="shared" si="7"/>
        <v>509.6875</v>
      </c>
      <c r="I410" s="7">
        <f t="shared" si="8"/>
        <v>81.55</v>
      </c>
      <c r="J410">
        <f>10.39+3.79</f>
        <v>14.18</v>
      </c>
      <c r="K410">
        <f>+H410*0.04</f>
        <v>20.387499999999999</v>
      </c>
      <c r="L410">
        <f>+K410-J410</f>
        <v>6.2074999999999996</v>
      </c>
      <c r="M410">
        <f>15.08-1.24-10.05</f>
        <v>3.7899999999999991</v>
      </c>
    </row>
    <row r="411" spans="1:13">
      <c r="A411" s="150" t="s">
        <v>7544</v>
      </c>
      <c r="B411">
        <v>85</v>
      </c>
      <c r="F411" t="s">
        <v>827</v>
      </c>
      <c r="G411" t="s">
        <v>650</v>
      </c>
      <c r="H411" s="7">
        <f t="shared" si="7"/>
        <v>2128</v>
      </c>
      <c r="I411" s="7">
        <f t="shared" si="8"/>
        <v>340.48</v>
      </c>
    </row>
    <row r="412" spans="1:13">
      <c r="A412" s="150" t="s">
        <v>7544</v>
      </c>
      <c r="B412">
        <v>85</v>
      </c>
      <c r="F412" t="s">
        <v>828</v>
      </c>
      <c r="G412" s="139" t="s">
        <v>7387</v>
      </c>
      <c r="H412" s="7">
        <f t="shared" si="7"/>
        <v>60.75</v>
      </c>
      <c r="I412" s="7">
        <f t="shared" si="8"/>
        <v>9.7200000000000006</v>
      </c>
    </row>
    <row r="413" spans="1:13">
      <c r="A413" s="150" t="s">
        <v>7544</v>
      </c>
      <c r="B413">
        <v>85</v>
      </c>
      <c r="F413" t="s">
        <v>836</v>
      </c>
      <c r="G413" t="s">
        <v>472</v>
      </c>
      <c r="H413" s="7">
        <f t="shared" si="7"/>
        <v>11266.874999999998</v>
      </c>
      <c r="I413" s="7">
        <f t="shared" si="8"/>
        <v>1802.6999999999998</v>
      </c>
    </row>
    <row r="414" spans="1:13">
      <c r="A414" s="150" t="s">
        <v>7544</v>
      </c>
      <c r="B414" s="150" t="s">
        <v>7566</v>
      </c>
      <c r="F414" t="s">
        <v>829</v>
      </c>
      <c r="G414" t="s">
        <v>529</v>
      </c>
      <c r="H414" s="7">
        <f t="shared" si="7"/>
        <v>133928.5625</v>
      </c>
      <c r="I414" s="7">
        <f t="shared" si="8"/>
        <v>21428.57</v>
      </c>
      <c r="J414">
        <v>14285.71</v>
      </c>
    </row>
    <row r="415" spans="1:13">
      <c r="A415" s="150" t="s">
        <v>7544</v>
      </c>
      <c r="B415">
        <v>85</v>
      </c>
      <c r="F415" t="s">
        <v>700</v>
      </c>
      <c r="G415" s="139" t="s">
        <v>301</v>
      </c>
      <c r="H415" s="7">
        <f t="shared" si="7"/>
        <v>390.12499999999994</v>
      </c>
      <c r="I415" s="7">
        <f t="shared" si="8"/>
        <v>62.419999999999995</v>
      </c>
    </row>
    <row r="416" spans="1:13">
      <c r="A416" s="150" t="s">
        <v>7544</v>
      </c>
      <c r="B416">
        <v>85</v>
      </c>
      <c r="F416" t="s">
        <v>1589</v>
      </c>
      <c r="G416" t="s">
        <v>1341</v>
      </c>
      <c r="H416" s="7">
        <f t="shared" si="7"/>
        <v>77258.25</v>
      </c>
      <c r="I416" s="7">
        <f t="shared" si="8"/>
        <v>12361.32</v>
      </c>
    </row>
    <row r="417" spans="1:10">
      <c r="A417" s="150" t="s">
        <v>7544</v>
      </c>
      <c r="B417">
        <v>85</v>
      </c>
      <c r="F417" t="s">
        <v>838</v>
      </c>
      <c r="G417" t="s">
        <v>3699</v>
      </c>
      <c r="H417" s="7">
        <f t="shared" si="7"/>
        <v>3560.5625000000005</v>
      </c>
      <c r="I417" s="7">
        <f t="shared" si="8"/>
        <v>569.69000000000005</v>
      </c>
    </row>
    <row r="418" spans="1:10">
      <c r="A418" s="150" t="s">
        <v>7544</v>
      </c>
      <c r="B418">
        <v>85</v>
      </c>
      <c r="F418" t="s">
        <v>3700</v>
      </c>
      <c r="G418" t="s">
        <v>3701</v>
      </c>
      <c r="H418" s="7">
        <f t="shared" si="7"/>
        <v>3360</v>
      </c>
      <c r="I418" s="7">
        <f t="shared" si="8"/>
        <v>537.6</v>
      </c>
    </row>
    <row r="419" spans="1:10">
      <c r="A419" s="150" t="s">
        <v>7544</v>
      </c>
      <c r="B419">
        <v>85</v>
      </c>
      <c r="F419" t="s">
        <v>837</v>
      </c>
      <c r="G419" s="139" t="s">
        <v>261</v>
      </c>
      <c r="H419" s="7">
        <f t="shared" si="7"/>
        <v>256.875</v>
      </c>
      <c r="I419" s="7">
        <f t="shared" si="8"/>
        <v>41.1</v>
      </c>
    </row>
    <row r="420" spans="1:10">
      <c r="A420" s="150" t="s">
        <v>7544</v>
      </c>
      <c r="B420">
        <v>85</v>
      </c>
      <c r="F420" t="s">
        <v>768</v>
      </c>
      <c r="G420" s="139" t="s">
        <v>7400</v>
      </c>
      <c r="H420" s="7">
        <f t="shared" si="7"/>
        <v>495.81250000000006</v>
      </c>
      <c r="I420" s="7">
        <f t="shared" si="8"/>
        <v>79.330000000000013</v>
      </c>
    </row>
    <row r="421" spans="1:10">
      <c r="A421" s="150" t="s">
        <v>7544</v>
      </c>
      <c r="B421">
        <v>85</v>
      </c>
      <c r="F421" t="s">
        <v>963</v>
      </c>
      <c r="G421" t="s">
        <v>3702</v>
      </c>
      <c r="H421" s="7">
        <f t="shared" si="7"/>
        <v>303976.8125</v>
      </c>
      <c r="I421" s="7">
        <f t="shared" si="8"/>
        <v>48636.29</v>
      </c>
    </row>
    <row r="422" spans="1:10">
      <c r="A422" s="150" t="s">
        <v>7544</v>
      </c>
      <c r="B422">
        <v>85</v>
      </c>
      <c r="F422" t="s">
        <v>1528</v>
      </c>
      <c r="G422" t="s">
        <v>3656</v>
      </c>
      <c r="H422" s="7">
        <f t="shared" si="7"/>
        <v>21350</v>
      </c>
      <c r="I422" s="7">
        <f t="shared" si="8"/>
        <v>3416</v>
      </c>
    </row>
    <row r="423" spans="1:10">
      <c r="A423" s="150" t="s">
        <v>7544</v>
      </c>
      <c r="B423">
        <v>85</v>
      </c>
      <c r="F423" t="s">
        <v>843</v>
      </c>
      <c r="G423" t="s">
        <v>3703</v>
      </c>
      <c r="H423" s="7">
        <f t="shared" si="7"/>
        <v>6940</v>
      </c>
      <c r="I423" s="7">
        <f t="shared" si="8"/>
        <v>1110.4000000000001</v>
      </c>
    </row>
    <row r="424" spans="1:10">
      <c r="A424" s="150" t="s">
        <v>7544</v>
      </c>
      <c r="B424">
        <v>85</v>
      </c>
      <c r="F424" t="s">
        <v>844</v>
      </c>
      <c r="G424" t="s">
        <v>3704</v>
      </c>
      <c r="H424" s="7">
        <f t="shared" si="7"/>
        <v>1800</v>
      </c>
      <c r="I424" s="7">
        <f t="shared" si="8"/>
        <v>288</v>
      </c>
    </row>
    <row r="425" spans="1:10">
      <c r="A425" s="150" t="s">
        <v>7544</v>
      </c>
      <c r="B425">
        <v>85</v>
      </c>
      <c r="F425" t="s">
        <v>3232</v>
      </c>
      <c r="G425" s="139" t="s">
        <v>7190</v>
      </c>
      <c r="H425" s="7">
        <f t="shared" si="7"/>
        <v>713.1875</v>
      </c>
      <c r="I425" s="7">
        <f t="shared" si="8"/>
        <v>114.11</v>
      </c>
    </row>
    <row r="426" spans="1:10">
      <c r="A426" s="150" t="s">
        <v>7544</v>
      </c>
      <c r="B426">
        <v>85</v>
      </c>
      <c r="F426" t="s">
        <v>2216</v>
      </c>
      <c r="G426" t="s">
        <v>3698</v>
      </c>
      <c r="H426" s="7">
        <f t="shared" si="7"/>
        <v>7654.5</v>
      </c>
      <c r="I426" s="7">
        <f t="shared" si="8"/>
        <v>1224.72</v>
      </c>
    </row>
    <row r="427" spans="1:10">
      <c r="A427" s="150" t="s">
        <v>7544</v>
      </c>
      <c r="B427" s="150" t="s">
        <v>7566</v>
      </c>
      <c r="F427" t="s">
        <v>845</v>
      </c>
      <c r="G427" t="s">
        <v>532</v>
      </c>
      <c r="H427" s="7">
        <f t="shared" si="7"/>
        <v>133928.5625</v>
      </c>
      <c r="I427" s="7">
        <f t="shared" si="8"/>
        <v>21428.57</v>
      </c>
      <c r="J427">
        <v>14285.71</v>
      </c>
    </row>
    <row r="428" spans="1:10">
      <c r="A428" s="150" t="s">
        <v>7544</v>
      </c>
      <c r="B428">
        <v>85</v>
      </c>
      <c r="F428" t="s">
        <v>3688</v>
      </c>
      <c r="G428" s="139" t="s">
        <v>7388</v>
      </c>
      <c r="H428" s="7">
        <f t="shared" si="7"/>
        <v>174.125</v>
      </c>
      <c r="I428" s="7">
        <f t="shared" si="8"/>
        <v>27.86</v>
      </c>
    </row>
    <row r="429" spans="1:10">
      <c r="A429" s="150" t="s">
        <v>7544</v>
      </c>
      <c r="B429">
        <v>85</v>
      </c>
      <c r="F429" t="s">
        <v>3448</v>
      </c>
      <c r="G429" s="139" t="s">
        <v>7401</v>
      </c>
      <c r="H429" s="7">
        <f t="shared" si="7"/>
        <v>351.75</v>
      </c>
      <c r="I429" s="7">
        <f t="shared" si="8"/>
        <v>56.28</v>
      </c>
    </row>
    <row r="430" spans="1:10">
      <c r="A430" s="150" t="s">
        <v>7544</v>
      </c>
      <c r="B430">
        <v>85</v>
      </c>
      <c r="F430" t="s">
        <v>3705</v>
      </c>
      <c r="G430" t="s">
        <v>3193</v>
      </c>
      <c r="H430" s="7">
        <f t="shared" si="7"/>
        <v>3300</v>
      </c>
      <c r="I430" s="7">
        <f t="shared" si="8"/>
        <v>528</v>
      </c>
    </row>
    <row r="431" spans="1:10">
      <c r="A431" s="150" t="s">
        <v>7544</v>
      </c>
      <c r="B431">
        <v>85</v>
      </c>
      <c r="F431" t="s">
        <v>847</v>
      </c>
      <c r="G431" s="139" t="s">
        <v>7402</v>
      </c>
      <c r="H431" s="7">
        <f t="shared" si="7"/>
        <v>172</v>
      </c>
      <c r="I431" s="7">
        <f t="shared" si="8"/>
        <v>27.52</v>
      </c>
    </row>
    <row r="432" spans="1:10">
      <c r="A432" s="150" t="s">
        <v>7544</v>
      </c>
      <c r="B432">
        <v>85</v>
      </c>
      <c r="F432" t="s">
        <v>3689</v>
      </c>
      <c r="G432" s="139" t="s">
        <v>7389</v>
      </c>
      <c r="H432" s="7">
        <f t="shared" si="7"/>
        <v>267.25</v>
      </c>
      <c r="I432" s="7">
        <f t="shared" si="8"/>
        <v>42.760000000000005</v>
      </c>
    </row>
    <row r="433" spans="1:9">
      <c r="A433" s="150" t="s">
        <v>7544</v>
      </c>
      <c r="B433">
        <v>85</v>
      </c>
      <c r="F433" t="s">
        <v>769</v>
      </c>
      <c r="G433" s="139" t="s">
        <v>3707</v>
      </c>
      <c r="H433" s="7">
        <f t="shared" si="7"/>
        <v>6988.1874999999991</v>
      </c>
      <c r="I433" s="7">
        <f t="shared" si="8"/>
        <v>1118.1099999999999</v>
      </c>
    </row>
    <row r="434" spans="1:9">
      <c r="A434" s="150" t="s">
        <v>7544</v>
      </c>
      <c r="B434">
        <v>85</v>
      </c>
      <c r="F434" t="s">
        <v>3690</v>
      </c>
      <c r="G434" s="139" t="s">
        <v>7390</v>
      </c>
      <c r="H434" s="7">
        <f t="shared" si="7"/>
        <v>409.75</v>
      </c>
      <c r="I434" s="7">
        <f t="shared" si="8"/>
        <v>65.56</v>
      </c>
    </row>
    <row r="435" spans="1:9">
      <c r="A435" s="150" t="s">
        <v>7544</v>
      </c>
      <c r="B435">
        <v>85</v>
      </c>
      <c r="F435" t="s">
        <v>915</v>
      </c>
      <c r="G435" s="139" t="s">
        <v>7403</v>
      </c>
      <c r="H435" s="7">
        <f t="shared" si="7"/>
        <v>797.4375</v>
      </c>
      <c r="I435" s="7">
        <f t="shared" si="8"/>
        <v>127.59</v>
      </c>
    </row>
    <row r="436" spans="1:9">
      <c r="A436" s="150" t="s">
        <v>7544</v>
      </c>
      <c r="B436">
        <v>85</v>
      </c>
      <c r="F436" t="s">
        <v>848</v>
      </c>
      <c r="G436" t="s">
        <v>3706</v>
      </c>
      <c r="H436" s="7">
        <f t="shared" si="7"/>
        <v>5400</v>
      </c>
      <c r="I436" s="7">
        <f t="shared" si="8"/>
        <v>864</v>
      </c>
    </row>
    <row r="437" spans="1:9">
      <c r="A437" s="150" t="s">
        <v>7544</v>
      </c>
      <c r="B437">
        <v>85</v>
      </c>
      <c r="F437" t="s">
        <v>3670</v>
      </c>
      <c r="G437" t="s">
        <v>3671</v>
      </c>
      <c r="H437" s="7">
        <f t="shared" si="7"/>
        <v>2639.6875</v>
      </c>
      <c r="I437" s="7">
        <f t="shared" si="8"/>
        <v>422.35</v>
      </c>
    </row>
    <row r="438" spans="1:9">
      <c r="A438" s="150" t="s">
        <v>7544</v>
      </c>
      <c r="B438">
        <v>85</v>
      </c>
      <c r="F438" t="s">
        <v>1594</v>
      </c>
      <c r="G438" s="139" t="s">
        <v>7391</v>
      </c>
      <c r="H438" s="7">
        <f t="shared" si="7"/>
        <v>206.875</v>
      </c>
      <c r="I438" s="7">
        <f t="shared" si="8"/>
        <v>33.1</v>
      </c>
    </row>
    <row r="439" spans="1:9">
      <c r="A439" s="150" t="s">
        <v>7544</v>
      </c>
      <c r="B439">
        <v>85</v>
      </c>
      <c r="F439" t="s">
        <v>860</v>
      </c>
      <c r="G439" t="s">
        <v>474</v>
      </c>
      <c r="H439" s="7">
        <f t="shared" si="7"/>
        <v>6900</v>
      </c>
      <c r="I439" s="7">
        <f t="shared" si="8"/>
        <v>1104</v>
      </c>
    </row>
    <row r="440" spans="1:9">
      <c r="A440" s="150" t="s">
        <v>7544</v>
      </c>
      <c r="B440">
        <v>85</v>
      </c>
      <c r="F440" t="s">
        <v>857</v>
      </c>
      <c r="G440" t="s">
        <v>315</v>
      </c>
      <c r="H440" s="7">
        <f t="shared" si="7"/>
        <v>4516.3125</v>
      </c>
      <c r="I440" s="7">
        <f t="shared" si="8"/>
        <v>722.61</v>
      </c>
    </row>
    <row r="441" spans="1:9">
      <c r="A441" s="150" t="s">
        <v>7544</v>
      </c>
      <c r="B441">
        <v>85</v>
      </c>
      <c r="F441" t="s">
        <v>858</v>
      </c>
      <c r="G441" t="s">
        <v>3243</v>
      </c>
      <c r="H441" s="7">
        <f t="shared" si="7"/>
        <v>16336.1875</v>
      </c>
      <c r="I441" s="7">
        <f t="shared" si="8"/>
        <v>2613.79</v>
      </c>
    </row>
    <row r="442" spans="1:9">
      <c r="A442" s="150" t="s">
        <v>7544</v>
      </c>
      <c r="B442">
        <v>85</v>
      </c>
      <c r="F442" s="17" t="s">
        <v>706</v>
      </c>
      <c r="G442" s="139" t="s">
        <v>299</v>
      </c>
      <c r="H442" s="7">
        <f t="shared" si="7"/>
        <v>69.375</v>
      </c>
      <c r="I442" s="7">
        <f t="shared" si="8"/>
        <v>11.1</v>
      </c>
    </row>
    <row r="443" spans="1:9">
      <c r="A443" s="150" t="s">
        <v>7544</v>
      </c>
      <c r="B443">
        <v>85</v>
      </c>
      <c r="F443" t="s">
        <v>2189</v>
      </c>
      <c r="G443" s="139" t="s">
        <v>7392</v>
      </c>
      <c r="H443" s="7">
        <f t="shared" si="7"/>
        <v>617.25</v>
      </c>
      <c r="I443" s="7">
        <f t="shared" si="8"/>
        <v>98.76</v>
      </c>
    </row>
    <row r="444" spans="1:9">
      <c r="A444" s="150" t="s">
        <v>7544</v>
      </c>
      <c r="B444">
        <v>85</v>
      </c>
      <c r="F444" t="s">
        <v>788</v>
      </c>
      <c r="G444" t="s">
        <v>3696</v>
      </c>
      <c r="H444" s="7">
        <f t="shared" si="7"/>
        <v>342.25</v>
      </c>
      <c r="I444" s="7">
        <f t="shared" si="8"/>
        <v>54.760000000000005</v>
      </c>
    </row>
    <row r="445" spans="1:9">
      <c r="A445" s="150" t="s">
        <v>7544</v>
      </c>
      <c r="B445">
        <v>85</v>
      </c>
      <c r="F445" t="s">
        <v>3691</v>
      </c>
      <c r="G445" s="139" t="s">
        <v>7393</v>
      </c>
      <c r="H445" s="7">
        <f t="shared" si="7"/>
        <v>331.875</v>
      </c>
      <c r="I445" s="7">
        <f t="shared" si="8"/>
        <v>53.1</v>
      </c>
    </row>
    <row r="446" spans="1:9">
      <c r="A446" s="150" t="s">
        <v>7544</v>
      </c>
      <c r="B446">
        <v>85</v>
      </c>
      <c r="F446" t="s">
        <v>2222</v>
      </c>
      <c r="G446" t="s">
        <v>3708</v>
      </c>
      <c r="H446" s="7">
        <f t="shared" si="7"/>
        <v>1950</v>
      </c>
      <c r="I446" s="7">
        <f t="shared" si="8"/>
        <v>312</v>
      </c>
    </row>
    <row r="447" spans="1:9">
      <c r="A447" s="150" t="s">
        <v>7544</v>
      </c>
      <c r="B447">
        <v>85</v>
      </c>
      <c r="F447" t="s">
        <v>3455</v>
      </c>
      <c r="G447" s="139" t="s">
        <v>7404</v>
      </c>
      <c r="H447" s="7">
        <f t="shared" si="7"/>
        <v>478.06249999999994</v>
      </c>
      <c r="I447" s="7">
        <f t="shared" si="8"/>
        <v>76.489999999999995</v>
      </c>
    </row>
    <row r="448" spans="1:9">
      <c r="A448" s="150" t="s">
        <v>7544</v>
      </c>
      <c r="B448">
        <v>85</v>
      </c>
      <c r="F448" t="s">
        <v>1648</v>
      </c>
      <c r="G448" t="s">
        <v>3692</v>
      </c>
      <c r="H448" s="7">
        <f t="shared" si="7"/>
        <v>5092.8125000000009</v>
      </c>
      <c r="I448" s="7">
        <f t="shared" si="8"/>
        <v>814.85000000000014</v>
      </c>
    </row>
    <row r="449" spans="1:9">
      <c r="A449" s="150" t="s">
        <v>7544</v>
      </c>
      <c r="B449">
        <v>85</v>
      </c>
      <c r="F449" t="s">
        <v>2223</v>
      </c>
      <c r="G449" s="139" t="s">
        <v>7405</v>
      </c>
      <c r="H449" s="7">
        <f t="shared" si="7"/>
        <v>267.625</v>
      </c>
      <c r="I449" s="7">
        <f t="shared" si="8"/>
        <v>42.82</v>
      </c>
    </row>
    <row r="450" spans="1:9">
      <c r="A450" s="150" t="s">
        <v>7544</v>
      </c>
      <c r="B450">
        <v>85</v>
      </c>
      <c r="F450" t="s">
        <v>867</v>
      </c>
      <c r="G450" t="s">
        <v>3711</v>
      </c>
      <c r="H450" s="7">
        <f t="shared" si="7"/>
        <v>250000</v>
      </c>
      <c r="I450" s="7">
        <f t="shared" si="8"/>
        <v>40000</v>
      </c>
    </row>
    <row r="451" spans="1:9">
      <c r="A451" s="150" t="s">
        <v>7544</v>
      </c>
      <c r="B451">
        <v>85</v>
      </c>
      <c r="F451" t="s">
        <v>2701</v>
      </c>
      <c r="G451" s="139" t="s">
        <v>7406</v>
      </c>
      <c r="H451" s="7">
        <f t="shared" si="7"/>
        <v>1150</v>
      </c>
      <c r="I451" s="7">
        <f t="shared" si="8"/>
        <v>184</v>
      </c>
    </row>
    <row r="452" spans="1:9">
      <c r="A452" s="150" t="s">
        <v>7544</v>
      </c>
      <c r="B452">
        <v>85</v>
      </c>
      <c r="F452" t="s">
        <v>863</v>
      </c>
      <c r="G452" t="s">
        <v>331</v>
      </c>
      <c r="H452" s="7">
        <f t="shared" si="7"/>
        <v>58751.437499999993</v>
      </c>
      <c r="I452" s="7">
        <f t="shared" si="8"/>
        <v>9400.23</v>
      </c>
    </row>
    <row r="453" spans="1:9">
      <c r="A453" s="150" t="s">
        <v>7544</v>
      </c>
      <c r="B453">
        <v>85</v>
      </c>
      <c r="F453" t="s">
        <v>1617</v>
      </c>
      <c r="G453" s="139" t="s">
        <v>1618</v>
      </c>
      <c r="H453" s="7">
        <f t="shared" si="7"/>
        <v>167.75</v>
      </c>
      <c r="I453" s="7">
        <f t="shared" si="8"/>
        <v>26.84</v>
      </c>
    </row>
    <row r="454" spans="1:9">
      <c r="A454" s="150" t="s">
        <v>7544</v>
      </c>
      <c r="B454">
        <v>85</v>
      </c>
      <c r="F454" t="s">
        <v>1552</v>
      </c>
      <c r="G454" t="s">
        <v>3666</v>
      </c>
      <c r="H454" s="7">
        <f t="shared" si="7"/>
        <v>95</v>
      </c>
      <c r="I454" s="7">
        <f t="shared" si="8"/>
        <v>15.2</v>
      </c>
    </row>
    <row r="455" spans="1:9">
      <c r="A455" s="150" t="s">
        <v>7544</v>
      </c>
      <c r="B455">
        <v>85</v>
      </c>
      <c r="F455" t="s">
        <v>883</v>
      </c>
      <c r="G455" s="139" t="s">
        <v>884</v>
      </c>
      <c r="H455" s="7">
        <f t="shared" si="7"/>
        <v>1168.3125</v>
      </c>
      <c r="I455" s="7">
        <f t="shared" si="8"/>
        <v>186.93</v>
      </c>
    </row>
    <row r="456" spans="1:9">
      <c r="A456" s="150" t="s">
        <v>7544</v>
      </c>
      <c r="B456">
        <v>85</v>
      </c>
      <c r="F456" t="s">
        <v>3709</v>
      </c>
      <c r="G456" t="s">
        <v>3710</v>
      </c>
      <c r="H456" s="7">
        <f t="shared" si="7"/>
        <v>5985.1875</v>
      </c>
      <c r="I456" s="7">
        <f t="shared" si="8"/>
        <v>957.63</v>
      </c>
    </row>
    <row r="457" spans="1:9">
      <c r="A457" s="150" t="s">
        <v>7544</v>
      </c>
      <c r="B457">
        <v>85</v>
      </c>
      <c r="F457" t="s">
        <v>2753</v>
      </c>
      <c r="G457" s="139" t="s">
        <v>7394</v>
      </c>
      <c r="H457" s="7">
        <f t="shared" si="7"/>
        <v>172.4375</v>
      </c>
      <c r="I457" s="7">
        <f t="shared" si="8"/>
        <v>27.59</v>
      </c>
    </row>
    <row r="458" spans="1:9">
      <c r="A458" s="150" t="s">
        <v>7544</v>
      </c>
      <c r="B458">
        <v>85</v>
      </c>
      <c r="F458" t="s">
        <v>2745</v>
      </c>
      <c r="G458" s="139" t="s">
        <v>2746</v>
      </c>
      <c r="H458" s="7">
        <f t="shared" si="7"/>
        <v>201.75</v>
      </c>
      <c r="I458" s="7">
        <f t="shared" si="8"/>
        <v>32.28</v>
      </c>
    </row>
    <row r="459" spans="1:9">
      <c r="A459" s="150" t="s">
        <v>7544</v>
      </c>
      <c r="B459">
        <v>85</v>
      </c>
      <c r="F459" t="s">
        <v>1545</v>
      </c>
      <c r="G459" s="139" t="s">
        <v>1546</v>
      </c>
      <c r="H459" s="7">
        <f t="shared" si="7"/>
        <v>455.31249999999994</v>
      </c>
      <c r="I459" s="7">
        <f t="shared" si="8"/>
        <v>72.849999999999994</v>
      </c>
    </row>
    <row r="460" spans="1:9">
      <c r="A460" s="150" t="s">
        <v>7544</v>
      </c>
      <c r="B460">
        <v>85</v>
      </c>
      <c r="F460" t="s">
        <v>921</v>
      </c>
      <c r="G460" s="139" t="s">
        <v>7407</v>
      </c>
      <c r="H460" s="7">
        <f t="shared" si="7"/>
        <v>251.68750000000003</v>
      </c>
      <c r="I460" s="7">
        <f t="shared" si="8"/>
        <v>40.270000000000003</v>
      </c>
    </row>
    <row r="461" spans="1:9">
      <c r="A461" s="150" t="s">
        <v>7544</v>
      </c>
      <c r="B461">
        <v>85</v>
      </c>
      <c r="F461" t="s">
        <v>780</v>
      </c>
      <c r="G461" s="139" t="s">
        <v>7408</v>
      </c>
      <c r="H461" s="7">
        <f t="shared" si="7"/>
        <v>738.25</v>
      </c>
      <c r="I461" s="7">
        <f t="shared" si="8"/>
        <v>118.12</v>
      </c>
    </row>
    <row r="462" spans="1:9">
      <c r="A462" s="150" t="s">
        <v>7544</v>
      </c>
      <c r="B462">
        <v>85</v>
      </c>
      <c r="F462" t="s">
        <v>3460</v>
      </c>
      <c r="G462" s="139" t="s">
        <v>7409</v>
      </c>
      <c r="H462" s="7">
        <f t="shared" si="7"/>
        <v>103</v>
      </c>
      <c r="I462" s="7">
        <f t="shared" si="8"/>
        <v>16.48</v>
      </c>
    </row>
    <row r="463" spans="1:9">
      <c r="A463" s="150" t="s">
        <v>7544</v>
      </c>
      <c r="B463">
        <v>85</v>
      </c>
      <c r="F463" t="s">
        <v>799</v>
      </c>
      <c r="G463" t="s">
        <v>3687</v>
      </c>
      <c r="H463" s="7">
        <f t="shared" si="7"/>
        <v>10024223.499999998</v>
      </c>
      <c r="I463" s="7">
        <f t="shared" si="8"/>
        <v>1603875.7599999998</v>
      </c>
    </row>
    <row r="464" spans="1:9">
      <c r="A464" s="150" t="s">
        <v>7544</v>
      </c>
      <c r="B464">
        <v>85</v>
      </c>
      <c r="F464" t="s">
        <v>2767</v>
      </c>
      <c r="G464" s="139" t="s">
        <v>7395</v>
      </c>
      <c r="H464" s="7">
        <f t="shared" si="7"/>
        <v>534.5</v>
      </c>
      <c r="I464" s="7">
        <f t="shared" si="8"/>
        <v>85.52</v>
      </c>
    </row>
    <row r="465" spans="1:10">
      <c r="A465" s="150" t="s">
        <v>7544</v>
      </c>
      <c r="B465">
        <v>85</v>
      </c>
      <c r="F465" t="s">
        <v>868</v>
      </c>
      <c r="G465" t="s">
        <v>3712</v>
      </c>
      <c r="H465" s="7">
        <f t="shared" si="7"/>
        <v>17377.5625</v>
      </c>
      <c r="I465" s="7">
        <f t="shared" si="8"/>
        <v>2780.41</v>
      </c>
    </row>
    <row r="466" spans="1:10">
      <c r="A466" s="150" t="s">
        <v>7544</v>
      </c>
      <c r="B466">
        <v>85</v>
      </c>
      <c r="F466" s="25" t="s">
        <v>2751</v>
      </c>
      <c r="G466" t="s">
        <v>3248</v>
      </c>
      <c r="H466" s="7">
        <f t="shared" ref="H466:H478" si="9">+I466/0.16</f>
        <v>410697.5625</v>
      </c>
      <c r="I466" s="7">
        <f t="shared" ref="I466:I478" si="10">+SUMIF($F$7:$F$325,F466,$I$7:$I$325)</f>
        <v>65711.61</v>
      </c>
    </row>
    <row r="467" spans="1:10">
      <c r="A467" s="150" t="s">
        <v>7544</v>
      </c>
      <c r="B467">
        <v>85</v>
      </c>
      <c r="F467" s="25" t="s">
        <v>871</v>
      </c>
      <c r="G467" s="58" t="s">
        <v>2102</v>
      </c>
      <c r="H467" s="7">
        <f t="shared" si="9"/>
        <v>178183.87499999997</v>
      </c>
      <c r="I467" s="7">
        <f t="shared" si="10"/>
        <v>28509.42</v>
      </c>
    </row>
    <row r="468" spans="1:10">
      <c r="A468" s="150" t="s">
        <v>7544</v>
      </c>
      <c r="B468">
        <v>85</v>
      </c>
      <c r="F468" t="s">
        <v>1606</v>
      </c>
      <c r="G468" t="s">
        <v>3693</v>
      </c>
      <c r="H468" s="7">
        <f t="shared" si="9"/>
        <v>225941.43749999997</v>
      </c>
      <c r="I468" s="7">
        <f t="shared" si="10"/>
        <v>36150.629999999997</v>
      </c>
    </row>
    <row r="469" spans="1:10">
      <c r="A469" s="150" t="s">
        <v>7544</v>
      </c>
      <c r="B469">
        <v>85</v>
      </c>
      <c r="F469" t="s">
        <v>878</v>
      </c>
      <c r="G469" s="139" t="s">
        <v>7410</v>
      </c>
      <c r="H469" s="7">
        <f t="shared" si="9"/>
        <v>760</v>
      </c>
      <c r="I469" s="7">
        <f t="shared" si="10"/>
        <v>121.6</v>
      </c>
    </row>
    <row r="470" spans="1:10">
      <c r="A470" s="150" t="s">
        <v>7544</v>
      </c>
      <c r="B470">
        <v>85</v>
      </c>
      <c r="F470" t="s">
        <v>935</v>
      </c>
      <c r="G470" s="139" t="s">
        <v>936</v>
      </c>
      <c r="H470" s="7">
        <f t="shared" si="9"/>
        <v>86.187499999999986</v>
      </c>
      <c r="I470" s="7">
        <f t="shared" si="10"/>
        <v>13.79</v>
      </c>
    </row>
    <row r="471" spans="1:10">
      <c r="A471" s="150" t="s">
        <v>7544</v>
      </c>
      <c r="B471">
        <v>85</v>
      </c>
      <c r="F471" t="s">
        <v>1643</v>
      </c>
      <c r="G471" t="s">
        <v>3713</v>
      </c>
      <c r="H471" s="7">
        <f t="shared" si="9"/>
        <v>209523.37499999997</v>
      </c>
      <c r="I471" s="7">
        <f t="shared" si="10"/>
        <v>33523.74</v>
      </c>
    </row>
    <row r="472" spans="1:10">
      <c r="A472" s="150" t="s">
        <v>7544</v>
      </c>
      <c r="B472">
        <v>85</v>
      </c>
      <c r="F472" t="s">
        <v>3239</v>
      </c>
      <c r="G472" s="139" t="s">
        <v>7411</v>
      </c>
      <c r="H472" s="7">
        <f t="shared" si="9"/>
        <v>51.749999999999993</v>
      </c>
      <c r="I472" s="7">
        <f t="shared" si="10"/>
        <v>8.2799999999999994</v>
      </c>
    </row>
    <row r="473" spans="1:10">
      <c r="A473" s="150" t="s">
        <v>7544</v>
      </c>
      <c r="B473">
        <v>85</v>
      </c>
      <c r="F473" t="s">
        <v>3694</v>
      </c>
      <c r="G473" s="139" t="s">
        <v>7396</v>
      </c>
      <c r="H473" s="7">
        <f t="shared" si="9"/>
        <v>113.8125</v>
      </c>
      <c r="I473" s="7">
        <f t="shared" si="10"/>
        <v>18.21</v>
      </c>
    </row>
    <row r="474" spans="1:10">
      <c r="A474" s="150" t="s">
        <v>7544</v>
      </c>
      <c r="B474">
        <v>85</v>
      </c>
      <c r="F474" t="s">
        <v>3240</v>
      </c>
      <c r="G474" s="139" t="s">
        <v>7397</v>
      </c>
      <c r="H474" s="7">
        <f t="shared" si="9"/>
        <v>600</v>
      </c>
      <c r="I474" s="7">
        <f t="shared" si="10"/>
        <v>96</v>
      </c>
    </row>
    <row r="475" spans="1:10">
      <c r="A475" s="150" t="s">
        <v>7544</v>
      </c>
      <c r="B475">
        <v>85</v>
      </c>
      <c r="F475" t="s">
        <v>802</v>
      </c>
      <c r="G475" s="139" t="s">
        <v>275</v>
      </c>
      <c r="H475" s="7">
        <f t="shared" si="9"/>
        <v>1293.1249999999998</v>
      </c>
      <c r="I475" s="7">
        <f t="shared" si="10"/>
        <v>206.89999999999998</v>
      </c>
    </row>
    <row r="476" spans="1:10">
      <c r="A476" s="150" t="s">
        <v>7544</v>
      </c>
      <c r="B476">
        <v>85</v>
      </c>
      <c r="F476" t="s">
        <v>951</v>
      </c>
      <c r="G476" t="s">
        <v>3714</v>
      </c>
      <c r="H476" s="7">
        <f t="shared" si="9"/>
        <v>444747.81249999994</v>
      </c>
      <c r="I476" s="7">
        <f t="shared" si="10"/>
        <v>71159.649999999994</v>
      </c>
    </row>
    <row r="477" spans="1:10">
      <c r="A477" s="150" t="s">
        <v>7544</v>
      </c>
      <c r="B477">
        <v>85</v>
      </c>
      <c r="F477" t="s">
        <v>3695</v>
      </c>
      <c r="G477" s="139" t="s">
        <v>7398</v>
      </c>
      <c r="H477" s="7">
        <f t="shared" si="9"/>
        <v>102.5625</v>
      </c>
      <c r="I477" s="7">
        <f t="shared" si="10"/>
        <v>16.41</v>
      </c>
    </row>
    <row r="478" spans="1:10">
      <c r="A478" s="150" t="s">
        <v>7544</v>
      </c>
      <c r="B478">
        <v>85</v>
      </c>
      <c r="F478" t="s">
        <v>1645</v>
      </c>
      <c r="G478" t="s">
        <v>1441</v>
      </c>
      <c r="H478" s="7">
        <f t="shared" si="9"/>
        <v>1751.1875</v>
      </c>
      <c r="I478" s="7">
        <f t="shared" si="10"/>
        <v>280.19</v>
      </c>
    </row>
    <row r="479" spans="1:10">
      <c r="H479" s="8"/>
      <c r="I479" s="8"/>
    </row>
    <row r="480" spans="1:10">
      <c r="H480" s="9">
        <f>SUM(H337:H479)</f>
        <v>19442418.25</v>
      </c>
      <c r="I480" s="9">
        <f>SUM(I337:I479)</f>
        <v>3110786.9200000013</v>
      </c>
      <c r="J480">
        <f>SUM(J337:J478)</f>
        <v>32557.87</v>
      </c>
    </row>
    <row r="481" spans="8:9">
      <c r="H481" s="151">
        <f>+H328</f>
        <v>19442418.25</v>
      </c>
      <c r="I481" s="151">
        <f>+I328</f>
        <v>3110786.9200000013</v>
      </c>
    </row>
    <row r="482" spans="8:9">
      <c r="H482" s="149">
        <f>+H481-H480</f>
        <v>0</v>
      </c>
      <c r="I482" s="149">
        <f>+I481-I480</f>
        <v>0</v>
      </c>
    </row>
  </sheetData>
  <sortState ref="A1:K431">
    <sortCondition ref="E1:E431"/>
  </sortState>
  <conditionalFormatting sqref="F337:G478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scale="29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45"/>
  <sheetViews>
    <sheetView topLeftCell="A525" workbookViewId="0">
      <selection activeCell="A389" sqref="A389:L546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3.140625" bestFit="1" customWidth="1"/>
    <col min="4" max="4" width="2" bestFit="1" customWidth="1"/>
    <col min="5" max="5" width="39.7109375" bestFit="1" customWidth="1"/>
    <col min="6" max="6" width="22.42578125" customWidth="1"/>
    <col min="7" max="7" width="14.7109375" customWidth="1"/>
    <col min="8" max="8" width="14.140625" style="7" bestFit="1" customWidth="1"/>
    <col min="9" max="9" width="13.140625" style="7" bestFit="1" customWidth="1"/>
    <col min="10" max="10" width="18.5703125" style="7" bestFit="1" customWidth="1"/>
    <col min="11" max="11" width="10.7109375" style="7" customWidth="1"/>
  </cols>
  <sheetData>
    <row r="1" spans="1:9">
      <c r="A1" t="s">
        <v>684</v>
      </c>
    </row>
    <row r="2" spans="1:9">
      <c r="A2" t="s">
        <v>4582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1354</v>
      </c>
      <c r="B7" s="1">
        <v>42193</v>
      </c>
      <c r="C7" t="s">
        <v>4124</v>
      </c>
      <c r="D7">
        <v>1</v>
      </c>
      <c r="E7" t="s">
        <v>1514</v>
      </c>
      <c r="F7" t="s">
        <v>1528</v>
      </c>
      <c r="G7" t="s">
        <v>3656</v>
      </c>
      <c r="H7" s="7">
        <f t="shared" ref="H7:H70" si="0">+I7/0.16</f>
        <v>7350</v>
      </c>
      <c r="I7" s="7">
        <v>1176</v>
      </c>
    </row>
    <row r="8" spans="1:9">
      <c r="A8" t="s">
        <v>3931</v>
      </c>
      <c r="B8" s="1">
        <v>42216</v>
      </c>
      <c r="C8" t="s">
        <v>3932</v>
      </c>
      <c r="D8">
        <v>1</v>
      </c>
      <c r="E8" t="s">
        <v>7284</v>
      </c>
      <c r="F8" t="s">
        <v>1561</v>
      </c>
      <c r="G8" t="s">
        <v>7284</v>
      </c>
      <c r="H8" s="7">
        <f t="shared" si="0"/>
        <v>57.75</v>
      </c>
      <c r="I8" s="7">
        <v>9.24</v>
      </c>
    </row>
    <row r="9" spans="1:9">
      <c r="A9" t="s">
        <v>3943</v>
      </c>
      <c r="B9" s="1">
        <v>42216</v>
      </c>
      <c r="C9" t="s">
        <v>3944</v>
      </c>
      <c r="D9">
        <v>1</v>
      </c>
      <c r="E9" t="s">
        <v>940</v>
      </c>
      <c r="F9" t="s">
        <v>939</v>
      </c>
      <c r="G9" t="s">
        <v>940</v>
      </c>
      <c r="H9" s="7">
        <f t="shared" si="0"/>
        <v>86.187499999999986</v>
      </c>
      <c r="I9" s="7">
        <v>13.79</v>
      </c>
    </row>
    <row r="10" spans="1:9">
      <c r="A10" t="s">
        <v>3946</v>
      </c>
      <c r="B10" s="1">
        <v>42216</v>
      </c>
      <c r="C10" t="s">
        <v>3947</v>
      </c>
      <c r="D10">
        <v>1</v>
      </c>
      <c r="E10" t="s">
        <v>924</v>
      </c>
      <c r="F10" t="s">
        <v>923</v>
      </c>
      <c r="G10" t="s">
        <v>924</v>
      </c>
      <c r="H10" s="7">
        <f t="shared" si="0"/>
        <v>196.5625</v>
      </c>
      <c r="I10" s="7">
        <v>31.45</v>
      </c>
    </row>
    <row r="11" spans="1:9">
      <c r="A11" t="s">
        <v>3949</v>
      </c>
      <c r="B11" s="1">
        <v>42216</v>
      </c>
      <c r="C11" t="s">
        <v>3950</v>
      </c>
      <c r="D11">
        <v>1</v>
      </c>
      <c r="E11" t="s">
        <v>275</v>
      </c>
      <c r="F11" t="s">
        <v>802</v>
      </c>
      <c r="G11" t="s">
        <v>275</v>
      </c>
      <c r="H11" s="7">
        <f t="shared" si="0"/>
        <v>568.9375</v>
      </c>
      <c r="I11" s="7">
        <v>91.03</v>
      </c>
    </row>
    <row r="12" spans="1:9">
      <c r="A12" t="s">
        <v>3953</v>
      </c>
      <c r="B12" s="1">
        <v>42216</v>
      </c>
      <c r="C12" t="s">
        <v>3954</v>
      </c>
      <c r="D12">
        <v>1</v>
      </c>
      <c r="E12" t="s">
        <v>270</v>
      </c>
      <c r="F12" t="s">
        <v>759</v>
      </c>
      <c r="G12" t="s">
        <v>270</v>
      </c>
      <c r="H12" s="7">
        <f t="shared" si="0"/>
        <v>119.875</v>
      </c>
      <c r="I12" s="7">
        <v>19.18</v>
      </c>
    </row>
    <row r="13" spans="1:9">
      <c r="A13" t="s">
        <v>4001</v>
      </c>
      <c r="B13" s="1">
        <v>42216</v>
      </c>
      <c r="C13" t="s">
        <v>4002</v>
      </c>
      <c r="D13">
        <v>1</v>
      </c>
      <c r="E13" t="s">
        <v>1148</v>
      </c>
      <c r="F13" t="s">
        <v>805</v>
      </c>
      <c r="G13" t="s">
        <v>1148</v>
      </c>
      <c r="H13" s="7">
        <f t="shared" si="0"/>
        <v>1242.875</v>
      </c>
      <c r="I13" s="7">
        <v>198.86</v>
      </c>
    </row>
    <row r="14" spans="1:9">
      <c r="A14" t="s">
        <v>3896</v>
      </c>
      <c r="B14" s="1">
        <v>42216</v>
      </c>
      <c r="C14" t="s">
        <v>3897</v>
      </c>
      <c r="D14">
        <v>1</v>
      </c>
      <c r="E14" t="s">
        <v>879</v>
      </c>
      <c r="F14" t="s">
        <v>879</v>
      </c>
      <c r="G14" s="58" t="s">
        <v>880</v>
      </c>
      <c r="H14" s="7">
        <f t="shared" si="0"/>
        <v>293.5625</v>
      </c>
      <c r="I14" s="7">
        <v>46.97</v>
      </c>
    </row>
    <row r="15" spans="1:9">
      <c r="A15" t="s">
        <v>3899</v>
      </c>
      <c r="B15" s="1">
        <v>42216</v>
      </c>
      <c r="C15" t="s">
        <v>3900</v>
      </c>
      <c r="D15">
        <v>1</v>
      </c>
      <c r="E15" t="s">
        <v>879</v>
      </c>
      <c r="F15" t="s">
        <v>879</v>
      </c>
      <c r="G15" s="58" t="s">
        <v>880</v>
      </c>
      <c r="H15" s="7">
        <f t="shared" si="0"/>
        <v>293.5625</v>
      </c>
      <c r="I15" s="7">
        <v>46.97</v>
      </c>
    </row>
    <row r="16" spans="1:9">
      <c r="A16" t="s">
        <v>3909</v>
      </c>
      <c r="B16" s="1">
        <v>42216</v>
      </c>
      <c r="C16" t="s">
        <v>3910</v>
      </c>
      <c r="D16">
        <v>1</v>
      </c>
      <c r="E16" t="s">
        <v>879</v>
      </c>
      <c r="F16" t="s">
        <v>879</v>
      </c>
      <c r="G16" s="58" t="s">
        <v>880</v>
      </c>
      <c r="H16" s="7">
        <f t="shared" si="0"/>
        <v>503.24999999999994</v>
      </c>
      <c r="I16" s="7">
        <v>80.52</v>
      </c>
    </row>
    <row r="17" spans="1:9">
      <c r="A17" t="s">
        <v>3946</v>
      </c>
      <c r="B17" s="1">
        <v>42216</v>
      </c>
      <c r="C17" t="s">
        <v>3947</v>
      </c>
      <c r="D17">
        <v>1</v>
      </c>
      <c r="E17" t="s">
        <v>879</v>
      </c>
      <c r="F17" t="s">
        <v>879</v>
      </c>
      <c r="G17" s="58" t="s">
        <v>880</v>
      </c>
      <c r="H17" s="7">
        <f t="shared" si="0"/>
        <v>293.5625</v>
      </c>
      <c r="I17" s="7">
        <v>46.97</v>
      </c>
    </row>
    <row r="18" spans="1:9">
      <c r="A18" t="s">
        <v>3101</v>
      </c>
      <c r="B18" s="1">
        <v>42186</v>
      </c>
      <c r="C18" t="s">
        <v>4099</v>
      </c>
      <c r="D18">
        <v>1</v>
      </c>
      <c r="E18" t="s">
        <v>3597</v>
      </c>
      <c r="F18" t="s">
        <v>3657</v>
      </c>
      <c r="G18" t="s">
        <v>3597</v>
      </c>
      <c r="H18" s="7">
        <f t="shared" si="0"/>
        <v>26000</v>
      </c>
      <c r="I18" s="7">
        <v>4160</v>
      </c>
    </row>
    <row r="19" spans="1:9">
      <c r="A19" t="s">
        <v>3964</v>
      </c>
      <c r="B19" s="1">
        <v>42216</v>
      </c>
      <c r="C19" t="s">
        <v>3965</v>
      </c>
      <c r="D19">
        <v>1</v>
      </c>
      <c r="E19" t="s">
        <v>826</v>
      </c>
      <c r="F19" t="s">
        <v>826</v>
      </c>
      <c r="G19" s="17" t="s">
        <v>291</v>
      </c>
      <c r="H19" s="7">
        <f t="shared" si="0"/>
        <v>293.9375</v>
      </c>
      <c r="I19" s="7">
        <v>47.03</v>
      </c>
    </row>
    <row r="20" spans="1:9">
      <c r="A20" t="s">
        <v>240</v>
      </c>
      <c r="B20" s="1">
        <v>42216</v>
      </c>
      <c r="C20" t="s">
        <v>4074</v>
      </c>
      <c r="D20">
        <v>1</v>
      </c>
      <c r="E20" t="s">
        <v>826</v>
      </c>
      <c r="F20" t="s">
        <v>826</v>
      </c>
      <c r="G20" s="17" t="s">
        <v>291</v>
      </c>
      <c r="H20" s="7">
        <f t="shared" si="0"/>
        <v>293.9375</v>
      </c>
      <c r="I20" s="7">
        <v>47.03</v>
      </c>
    </row>
    <row r="21" spans="1:9">
      <c r="A21" t="s">
        <v>2453</v>
      </c>
      <c r="B21" s="1">
        <v>42212</v>
      </c>
      <c r="C21" t="s">
        <v>3809</v>
      </c>
      <c r="D21">
        <v>1</v>
      </c>
      <c r="E21" t="s">
        <v>3810</v>
      </c>
      <c r="F21" t="s">
        <v>2187</v>
      </c>
      <c r="G21" t="s">
        <v>3741</v>
      </c>
      <c r="H21" s="7">
        <f t="shared" si="0"/>
        <v>149091.8125</v>
      </c>
      <c r="I21" s="7">
        <v>23854.69</v>
      </c>
    </row>
    <row r="22" spans="1:9">
      <c r="A22" t="s">
        <v>2804</v>
      </c>
      <c r="B22" s="1">
        <v>42194</v>
      </c>
      <c r="C22" t="s">
        <v>3740</v>
      </c>
      <c r="D22">
        <v>1</v>
      </c>
      <c r="E22" t="s">
        <v>3741</v>
      </c>
      <c r="F22" t="s">
        <v>2187</v>
      </c>
      <c r="G22" t="s">
        <v>3741</v>
      </c>
      <c r="H22" s="7">
        <f t="shared" si="0"/>
        <v>388207.875</v>
      </c>
      <c r="I22" s="7">
        <v>62113.26</v>
      </c>
    </row>
    <row r="23" spans="1:9">
      <c r="A23" t="s">
        <v>3749</v>
      </c>
      <c r="B23" s="1">
        <v>42199</v>
      </c>
      <c r="C23" t="s">
        <v>3750</v>
      </c>
      <c r="D23">
        <v>1</v>
      </c>
      <c r="E23" t="s">
        <v>3751</v>
      </c>
      <c r="F23" t="s">
        <v>2187</v>
      </c>
      <c r="G23" t="s">
        <v>3741</v>
      </c>
      <c r="H23" s="7">
        <f t="shared" si="0"/>
        <v>156876.3125</v>
      </c>
      <c r="I23" s="7">
        <v>25100.21</v>
      </c>
    </row>
    <row r="24" spans="1:9">
      <c r="A24" t="s">
        <v>3842</v>
      </c>
      <c r="B24" s="1">
        <v>42215</v>
      </c>
      <c r="C24" t="s">
        <v>3843</v>
      </c>
      <c r="D24">
        <v>1</v>
      </c>
      <c r="E24" t="s">
        <v>3844</v>
      </c>
      <c r="F24" t="s">
        <v>3217</v>
      </c>
      <c r="G24" t="s">
        <v>4210</v>
      </c>
      <c r="H24" s="7">
        <f t="shared" si="0"/>
        <v>318282.4375</v>
      </c>
      <c r="I24" s="7">
        <v>50925.19</v>
      </c>
    </row>
    <row r="25" spans="1:9">
      <c r="A25" t="s">
        <v>4019</v>
      </c>
      <c r="B25" s="1">
        <v>42216</v>
      </c>
      <c r="C25" t="s">
        <v>4020</v>
      </c>
      <c r="D25">
        <v>1</v>
      </c>
      <c r="E25" t="s">
        <v>4021</v>
      </c>
      <c r="F25" t="s">
        <v>749</v>
      </c>
      <c r="G25" t="s">
        <v>4021</v>
      </c>
      <c r="H25" s="7">
        <f t="shared" si="0"/>
        <v>89.625</v>
      </c>
      <c r="I25" s="7">
        <v>14.34</v>
      </c>
    </row>
    <row r="26" spans="1:9">
      <c r="A26" t="s">
        <v>3955</v>
      </c>
      <c r="B26" s="1">
        <v>42216</v>
      </c>
      <c r="C26" t="s">
        <v>3956</v>
      </c>
      <c r="D26">
        <v>1</v>
      </c>
      <c r="E26" t="s">
        <v>2191</v>
      </c>
      <c r="F26" t="s">
        <v>2191</v>
      </c>
      <c r="G26" t="s">
        <v>1938</v>
      </c>
      <c r="H26" s="7">
        <f t="shared" si="0"/>
        <v>385</v>
      </c>
      <c r="I26" s="7">
        <v>61.6</v>
      </c>
    </row>
    <row r="27" spans="1:9">
      <c r="A27" t="s">
        <v>3921</v>
      </c>
      <c r="B27" s="1">
        <v>42216</v>
      </c>
      <c r="C27" t="s">
        <v>3922</v>
      </c>
      <c r="D27">
        <v>1</v>
      </c>
      <c r="E27" t="s">
        <v>711</v>
      </c>
      <c r="F27" t="s">
        <v>711</v>
      </c>
      <c r="G27" t="s">
        <v>4211</v>
      </c>
      <c r="H27" s="7">
        <f t="shared" si="0"/>
        <v>64.625</v>
      </c>
      <c r="I27" s="7">
        <v>10.34</v>
      </c>
    </row>
    <row r="28" spans="1:9">
      <c r="A28" t="s">
        <v>3981</v>
      </c>
      <c r="B28" s="1">
        <v>42216</v>
      </c>
      <c r="C28" t="s">
        <v>3982</v>
      </c>
      <c r="D28">
        <v>1</v>
      </c>
      <c r="E28" t="s">
        <v>711</v>
      </c>
      <c r="F28" t="s">
        <v>711</v>
      </c>
      <c r="G28" t="s">
        <v>4211</v>
      </c>
      <c r="H28" s="7">
        <f t="shared" si="0"/>
        <v>56.000000000000007</v>
      </c>
      <c r="I28" s="7">
        <v>8.9600000000000009</v>
      </c>
    </row>
    <row r="29" spans="1:9">
      <c r="A29" t="s">
        <v>4015</v>
      </c>
      <c r="B29" s="1">
        <v>42216</v>
      </c>
      <c r="C29" t="s">
        <v>4016</v>
      </c>
      <c r="D29">
        <v>1</v>
      </c>
      <c r="E29" t="s">
        <v>711</v>
      </c>
      <c r="F29" t="s">
        <v>711</v>
      </c>
      <c r="G29" t="s">
        <v>4211</v>
      </c>
      <c r="H29" s="7">
        <f t="shared" si="0"/>
        <v>34.4375</v>
      </c>
      <c r="I29" s="7">
        <v>5.51</v>
      </c>
    </row>
    <row r="30" spans="1:9">
      <c r="A30" t="s">
        <v>4029</v>
      </c>
      <c r="B30" s="1">
        <v>42216</v>
      </c>
      <c r="C30" t="s">
        <v>4030</v>
      </c>
      <c r="D30">
        <v>1</v>
      </c>
      <c r="E30" t="s">
        <v>745</v>
      </c>
      <c r="F30" t="s">
        <v>745</v>
      </c>
      <c r="G30" s="65" t="s">
        <v>746</v>
      </c>
      <c r="H30" s="7">
        <f t="shared" si="0"/>
        <v>94.8125</v>
      </c>
      <c r="I30" s="7">
        <v>15.17</v>
      </c>
    </row>
    <row r="31" spans="1:9">
      <c r="A31" t="s">
        <v>4050</v>
      </c>
      <c r="B31" s="1">
        <v>42216</v>
      </c>
      <c r="C31" t="s">
        <v>4051</v>
      </c>
      <c r="D31">
        <v>1</v>
      </c>
      <c r="E31" t="s">
        <v>745</v>
      </c>
      <c r="F31" t="s">
        <v>745</v>
      </c>
      <c r="G31" s="65" t="s">
        <v>746</v>
      </c>
      <c r="H31" s="7">
        <f t="shared" si="0"/>
        <v>94.8125</v>
      </c>
      <c r="I31" s="7">
        <v>15.17</v>
      </c>
    </row>
    <row r="32" spans="1:9">
      <c r="A32" t="s">
        <v>1399</v>
      </c>
      <c r="B32" s="1">
        <v>42207</v>
      </c>
      <c r="C32" t="s">
        <v>4166</v>
      </c>
      <c r="D32">
        <v>1</v>
      </c>
      <c r="E32" t="s">
        <v>462</v>
      </c>
      <c r="F32" t="s">
        <v>701</v>
      </c>
      <c r="G32" t="s">
        <v>462</v>
      </c>
      <c r="H32" s="7">
        <f t="shared" si="0"/>
        <v>3103.4375</v>
      </c>
      <c r="I32" s="7">
        <v>496.55</v>
      </c>
    </row>
    <row r="33" spans="1:9">
      <c r="A33" t="s">
        <v>3896</v>
      </c>
      <c r="B33" s="1">
        <v>42216</v>
      </c>
      <c r="C33" t="s">
        <v>3897</v>
      </c>
      <c r="D33">
        <v>1</v>
      </c>
      <c r="E33" t="s">
        <v>714</v>
      </c>
      <c r="F33" t="s">
        <v>714</v>
      </c>
      <c r="G33" t="s">
        <v>715</v>
      </c>
      <c r="H33" s="7">
        <f t="shared" si="0"/>
        <v>805.18750000000011</v>
      </c>
      <c r="I33" s="7">
        <v>128.83000000000001</v>
      </c>
    </row>
    <row r="34" spans="1:9">
      <c r="A34" t="s">
        <v>3899</v>
      </c>
      <c r="B34" s="1">
        <v>42216</v>
      </c>
      <c r="C34" t="s">
        <v>3900</v>
      </c>
      <c r="D34">
        <v>1</v>
      </c>
      <c r="E34" t="s">
        <v>714</v>
      </c>
      <c r="F34" t="s">
        <v>714</v>
      </c>
      <c r="G34" t="s">
        <v>715</v>
      </c>
      <c r="H34" s="7">
        <f t="shared" si="0"/>
        <v>805.18750000000011</v>
      </c>
      <c r="I34" s="7">
        <v>128.83000000000001</v>
      </c>
    </row>
    <row r="35" spans="1:9">
      <c r="A35" t="s">
        <v>3901</v>
      </c>
      <c r="B35" s="1">
        <v>42216</v>
      </c>
      <c r="C35" t="s">
        <v>3902</v>
      </c>
      <c r="D35">
        <v>1</v>
      </c>
      <c r="E35" t="s">
        <v>714</v>
      </c>
      <c r="F35" t="s">
        <v>714</v>
      </c>
      <c r="G35" t="s">
        <v>715</v>
      </c>
      <c r="H35" s="7">
        <f t="shared" si="0"/>
        <v>300.875</v>
      </c>
      <c r="I35" s="7">
        <v>48.14</v>
      </c>
    </row>
    <row r="36" spans="1:9">
      <c r="A36" t="s">
        <v>3906</v>
      </c>
      <c r="B36" s="1">
        <v>42216</v>
      </c>
      <c r="C36" t="s">
        <v>3907</v>
      </c>
      <c r="D36">
        <v>1</v>
      </c>
      <c r="E36" t="s">
        <v>714</v>
      </c>
      <c r="F36" t="s">
        <v>714</v>
      </c>
      <c r="G36" t="s">
        <v>715</v>
      </c>
      <c r="H36" s="7">
        <f t="shared" si="0"/>
        <v>300.875</v>
      </c>
      <c r="I36" s="7">
        <v>48.14</v>
      </c>
    </row>
    <row r="37" spans="1:9">
      <c r="A37" t="s">
        <v>3909</v>
      </c>
      <c r="B37" s="1">
        <v>42216</v>
      </c>
      <c r="C37" t="s">
        <v>3910</v>
      </c>
      <c r="D37">
        <v>1</v>
      </c>
      <c r="E37" t="s">
        <v>714</v>
      </c>
      <c r="F37" t="s">
        <v>714</v>
      </c>
      <c r="G37" t="s">
        <v>715</v>
      </c>
      <c r="H37" s="7">
        <f t="shared" si="0"/>
        <v>377.56249999999994</v>
      </c>
      <c r="I37" s="7">
        <v>60.41</v>
      </c>
    </row>
    <row r="38" spans="1:9">
      <c r="A38" t="s">
        <v>3946</v>
      </c>
      <c r="B38" s="1">
        <v>42216</v>
      </c>
      <c r="C38" t="s">
        <v>3947</v>
      </c>
      <c r="D38">
        <v>1</v>
      </c>
      <c r="E38" t="s">
        <v>714</v>
      </c>
      <c r="F38" t="s">
        <v>714</v>
      </c>
      <c r="G38" t="s">
        <v>715</v>
      </c>
      <c r="H38" s="7">
        <f t="shared" si="0"/>
        <v>805.18750000000011</v>
      </c>
      <c r="I38" s="7">
        <v>128.83000000000001</v>
      </c>
    </row>
    <row r="39" spans="1:9">
      <c r="A39" t="s">
        <v>4031</v>
      </c>
      <c r="B39" s="1">
        <v>42216</v>
      </c>
      <c r="C39" t="s">
        <v>4032</v>
      </c>
      <c r="D39">
        <v>1</v>
      </c>
      <c r="E39" t="s">
        <v>714</v>
      </c>
      <c r="F39" t="s">
        <v>714</v>
      </c>
      <c r="G39" t="s">
        <v>715</v>
      </c>
      <c r="H39" s="7">
        <f t="shared" si="0"/>
        <v>305.1875</v>
      </c>
      <c r="I39" s="7">
        <v>48.83</v>
      </c>
    </row>
    <row r="40" spans="1:9">
      <c r="A40" t="s">
        <v>4050</v>
      </c>
      <c r="B40" s="1">
        <v>42216</v>
      </c>
      <c r="C40" t="s">
        <v>4051</v>
      </c>
      <c r="D40">
        <v>1</v>
      </c>
      <c r="E40" t="s">
        <v>714</v>
      </c>
      <c r="F40" t="s">
        <v>714</v>
      </c>
      <c r="G40" t="s">
        <v>715</v>
      </c>
      <c r="H40" s="7">
        <f t="shared" si="0"/>
        <v>312.9375</v>
      </c>
      <c r="I40" s="7">
        <v>50.07</v>
      </c>
    </row>
    <row r="41" spans="1:9">
      <c r="A41" t="s">
        <v>4090</v>
      </c>
      <c r="B41" s="1">
        <v>42216</v>
      </c>
      <c r="C41" t="s">
        <v>4091</v>
      </c>
      <c r="D41">
        <v>1</v>
      </c>
      <c r="E41" t="s">
        <v>714</v>
      </c>
      <c r="F41" t="s">
        <v>714</v>
      </c>
      <c r="G41" t="s">
        <v>715</v>
      </c>
      <c r="H41" s="7">
        <f t="shared" si="0"/>
        <v>46.5625</v>
      </c>
      <c r="I41" s="7">
        <v>7.45</v>
      </c>
    </row>
    <row r="42" spans="1:9">
      <c r="A42" t="s">
        <v>4003</v>
      </c>
      <c r="B42" s="1">
        <v>42216</v>
      </c>
      <c r="C42" t="s">
        <v>1315</v>
      </c>
      <c r="D42">
        <v>1</v>
      </c>
      <c r="E42" t="s">
        <v>714</v>
      </c>
      <c r="F42" t="s">
        <v>714</v>
      </c>
      <c r="G42" t="s">
        <v>715</v>
      </c>
      <c r="H42" s="7">
        <f t="shared" si="0"/>
        <v>601.75</v>
      </c>
      <c r="I42" s="7">
        <v>96.28</v>
      </c>
    </row>
    <row r="43" spans="1:9">
      <c r="A43" t="s">
        <v>3901</v>
      </c>
      <c r="B43" s="1">
        <v>42216</v>
      </c>
      <c r="C43" t="s">
        <v>3902</v>
      </c>
      <c r="D43">
        <v>1</v>
      </c>
      <c r="E43" t="s">
        <v>3903</v>
      </c>
      <c r="F43" t="s">
        <v>3903</v>
      </c>
      <c r="G43" s="139" t="s">
        <v>7441</v>
      </c>
      <c r="H43" s="7">
        <f t="shared" si="0"/>
        <v>96.5625</v>
      </c>
      <c r="I43" s="7">
        <v>15.45</v>
      </c>
    </row>
    <row r="44" spans="1:9">
      <c r="A44" t="s">
        <v>4043</v>
      </c>
      <c r="B44" s="1">
        <v>42216</v>
      </c>
      <c r="C44" t="s">
        <v>4044</v>
      </c>
      <c r="D44">
        <v>1</v>
      </c>
      <c r="E44" t="s">
        <v>3903</v>
      </c>
      <c r="F44" t="s">
        <v>3903</v>
      </c>
      <c r="G44" s="139" t="s">
        <v>7441</v>
      </c>
      <c r="H44" s="7">
        <f t="shared" si="0"/>
        <v>90.5</v>
      </c>
      <c r="I44" s="7">
        <v>14.48</v>
      </c>
    </row>
    <row r="45" spans="1:9">
      <c r="A45" t="s">
        <v>515</v>
      </c>
      <c r="B45" s="1">
        <v>42209</v>
      </c>
      <c r="C45" t="s">
        <v>4174</v>
      </c>
      <c r="D45">
        <v>1</v>
      </c>
      <c r="E45" t="s">
        <v>541</v>
      </c>
      <c r="F45" s="17" t="s">
        <v>705</v>
      </c>
      <c r="G45" t="s">
        <v>541</v>
      </c>
      <c r="H45" s="7">
        <f t="shared" si="0"/>
        <v>80000</v>
      </c>
      <c r="I45" s="7">
        <v>12800</v>
      </c>
    </row>
    <row r="46" spans="1:9">
      <c r="A46" t="s">
        <v>4034</v>
      </c>
      <c r="B46" s="1">
        <v>42216</v>
      </c>
      <c r="C46" t="s">
        <v>4035</v>
      </c>
      <c r="D46">
        <v>1</v>
      </c>
      <c r="E46" t="s">
        <v>4036</v>
      </c>
      <c r="F46" t="s">
        <v>714</v>
      </c>
      <c r="G46" t="s">
        <v>4036</v>
      </c>
      <c r="H46" s="7">
        <f t="shared" si="0"/>
        <v>305.1875</v>
      </c>
      <c r="I46" s="7">
        <v>48.83</v>
      </c>
    </row>
    <row r="47" spans="1:9">
      <c r="A47" t="s">
        <v>3379</v>
      </c>
      <c r="B47" s="1">
        <v>42213</v>
      </c>
      <c r="C47" t="s">
        <v>3811</v>
      </c>
      <c r="D47">
        <v>1</v>
      </c>
      <c r="E47" t="s">
        <v>3259</v>
      </c>
      <c r="F47" t="s">
        <v>707</v>
      </c>
      <c r="G47" t="s">
        <v>3259</v>
      </c>
      <c r="H47" s="7">
        <f t="shared" si="0"/>
        <v>149117.6875</v>
      </c>
      <c r="I47" s="7">
        <v>23858.83</v>
      </c>
    </row>
    <row r="48" spans="1:9">
      <c r="A48" t="s">
        <v>3730</v>
      </c>
      <c r="B48" s="1">
        <v>42192</v>
      </c>
      <c r="C48" t="s">
        <v>3731</v>
      </c>
      <c r="D48">
        <v>1</v>
      </c>
      <c r="E48" t="s">
        <v>3732</v>
      </c>
      <c r="F48" t="s">
        <v>2690</v>
      </c>
      <c r="G48" t="s">
        <v>3732</v>
      </c>
      <c r="H48" s="7">
        <f t="shared" si="0"/>
        <v>226534.375</v>
      </c>
      <c r="I48" s="7">
        <v>36245.5</v>
      </c>
    </row>
    <row r="49" spans="1:9">
      <c r="A49" t="s">
        <v>3124</v>
      </c>
      <c r="B49" s="1">
        <v>42189</v>
      </c>
      <c r="C49" t="s">
        <v>2609</v>
      </c>
      <c r="D49">
        <v>1</v>
      </c>
      <c r="E49" t="s">
        <v>4114</v>
      </c>
      <c r="F49" t="s">
        <v>799</v>
      </c>
      <c r="G49" t="s">
        <v>7412</v>
      </c>
      <c r="H49" s="7">
        <f t="shared" si="0"/>
        <v>-280736.3125</v>
      </c>
      <c r="I49" s="7">
        <v>-44917.81</v>
      </c>
    </row>
    <row r="50" spans="1:9">
      <c r="A50" t="s">
        <v>4027</v>
      </c>
      <c r="B50" s="1">
        <v>42216</v>
      </c>
      <c r="C50" t="s">
        <v>4028</v>
      </c>
      <c r="D50">
        <v>1</v>
      </c>
      <c r="E50" t="s">
        <v>2195</v>
      </c>
      <c r="F50" t="s">
        <v>2195</v>
      </c>
      <c r="G50" t="s">
        <v>7442</v>
      </c>
      <c r="H50" s="7">
        <f t="shared" si="0"/>
        <v>284.3125</v>
      </c>
      <c r="I50" s="7">
        <v>45.49</v>
      </c>
    </row>
    <row r="51" spans="1:9">
      <c r="A51" t="s">
        <v>3906</v>
      </c>
      <c r="B51" s="1">
        <v>42216</v>
      </c>
      <c r="C51" t="s">
        <v>3907</v>
      </c>
      <c r="D51">
        <v>1</v>
      </c>
      <c r="E51" t="s">
        <v>3908</v>
      </c>
      <c r="F51" t="s">
        <v>3908</v>
      </c>
      <c r="G51" s="139" t="s">
        <v>7440</v>
      </c>
      <c r="H51" s="7">
        <f t="shared" si="0"/>
        <v>85</v>
      </c>
      <c r="I51" s="7">
        <v>13.6</v>
      </c>
    </row>
    <row r="52" spans="1:9">
      <c r="A52" t="s">
        <v>480</v>
      </c>
      <c r="B52" s="1">
        <v>42200</v>
      </c>
      <c r="C52" t="s">
        <v>4135</v>
      </c>
      <c r="D52">
        <v>1</v>
      </c>
      <c r="E52" t="s">
        <v>4136</v>
      </c>
      <c r="F52" t="s">
        <v>4212</v>
      </c>
      <c r="G52" t="s">
        <v>4136</v>
      </c>
      <c r="H52" s="7">
        <f t="shared" si="0"/>
        <v>2512</v>
      </c>
      <c r="I52" s="7">
        <v>401.92</v>
      </c>
    </row>
    <row r="53" spans="1:9">
      <c r="A53" t="s">
        <v>3966</v>
      </c>
      <c r="B53" s="1">
        <v>42216</v>
      </c>
      <c r="C53" t="s">
        <v>3967</v>
      </c>
      <c r="D53">
        <v>1</v>
      </c>
      <c r="E53" t="s">
        <v>3968</v>
      </c>
      <c r="F53" t="s">
        <v>3968</v>
      </c>
      <c r="G53" s="139" t="s">
        <v>7439</v>
      </c>
      <c r="H53" s="7">
        <f t="shared" si="0"/>
        <v>162.9375</v>
      </c>
      <c r="I53" s="7">
        <v>26.07</v>
      </c>
    </row>
    <row r="54" spans="1:9">
      <c r="A54" t="s">
        <v>3737</v>
      </c>
      <c r="B54" s="1">
        <v>42194</v>
      </c>
      <c r="C54" t="s">
        <v>3738</v>
      </c>
      <c r="D54">
        <v>1</v>
      </c>
      <c r="E54" t="s">
        <v>3739</v>
      </c>
      <c r="F54" t="s">
        <v>724</v>
      </c>
      <c r="G54" t="s">
        <v>3739</v>
      </c>
      <c r="H54" s="7">
        <f t="shared" si="0"/>
        <v>164788.375</v>
      </c>
      <c r="I54" s="7">
        <v>26366.14</v>
      </c>
    </row>
    <row r="55" spans="1:9">
      <c r="A55" t="s">
        <v>3943</v>
      </c>
      <c r="B55" s="1">
        <v>42216</v>
      </c>
      <c r="C55" t="s">
        <v>3944</v>
      </c>
      <c r="D55">
        <v>1</v>
      </c>
      <c r="E55" t="s">
        <v>3945</v>
      </c>
      <c r="F55" t="s">
        <v>3945</v>
      </c>
      <c r="G55" s="139" t="s">
        <v>7438</v>
      </c>
      <c r="H55" s="7">
        <f t="shared" si="0"/>
        <v>419.37499999999994</v>
      </c>
      <c r="I55" s="7">
        <v>67.099999999999994</v>
      </c>
    </row>
    <row r="56" spans="1:9">
      <c r="A56" t="s">
        <v>2125</v>
      </c>
      <c r="B56" s="1">
        <v>42207</v>
      </c>
      <c r="C56" t="s">
        <v>4156</v>
      </c>
      <c r="D56">
        <v>1</v>
      </c>
      <c r="E56" t="s">
        <v>1436</v>
      </c>
      <c r="F56" t="s">
        <v>1551</v>
      </c>
      <c r="G56" t="s">
        <v>1436</v>
      </c>
      <c r="H56" s="7">
        <f t="shared" si="0"/>
        <v>2326.5</v>
      </c>
      <c r="I56" s="7">
        <v>372.24</v>
      </c>
    </row>
    <row r="57" spans="1:9">
      <c r="A57" t="s">
        <v>3923</v>
      </c>
      <c r="B57" s="1">
        <v>42216</v>
      </c>
      <c r="C57" t="s">
        <v>3924</v>
      </c>
      <c r="D57">
        <v>1</v>
      </c>
      <c r="E57" t="s">
        <v>726</v>
      </c>
      <c r="F57" t="s">
        <v>726</v>
      </c>
      <c r="G57" s="139" t="s">
        <v>7364</v>
      </c>
      <c r="H57" s="7">
        <f t="shared" si="0"/>
        <v>265.5625</v>
      </c>
      <c r="I57" s="7">
        <v>42.49</v>
      </c>
    </row>
    <row r="58" spans="1:9">
      <c r="A58" t="s">
        <v>3962</v>
      </c>
      <c r="B58" s="1">
        <v>42216</v>
      </c>
      <c r="C58" t="s">
        <v>3963</v>
      </c>
      <c r="D58">
        <v>1</v>
      </c>
      <c r="E58" t="s">
        <v>726</v>
      </c>
      <c r="F58" t="s">
        <v>726</v>
      </c>
      <c r="G58" s="139" t="s">
        <v>7364</v>
      </c>
      <c r="H58" s="7">
        <f t="shared" si="0"/>
        <v>82.75</v>
      </c>
      <c r="I58" s="7">
        <v>13.24</v>
      </c>
    </row>
    <row r="59" spans="1:9">
      <c r="A59" t="s">
        <v>3938</v>
      </c>
      <c r="B59" s="1">
        <v>42216</v>
      </c>
      <c r="C59" t="s">
        <v>3939</v>
      </c>
      <c r="D59">
        <v>1</v>
      </c>
      <c r="E59" t="s">
        <v>759</v>
      </c>
      <c r="F59" t="s">
        <v>759</v>
      </c>
      <c r="G59" s="139" t="s">
        <v>3221</v>
      </c>
      <c r="H59" s="7">
        <f t="shared" si="0"/>
        <v>155.0625</v>
      </c>
      <c r="I59" s="7">
        <v>24.81</v>
      </c>
    </row>
    <row r="60" spans="1:9">
      <c r="A60" t="s">
        <v>3975</v>
      </c>
      <c r="B60" s="1">
        <v>42216</v>
      </c>
      <c r="C60" t="s">
        <v>3976</v>
      </c>
      <c r="D60">
        <v>1</v>
      </c>
      <c r="E60" t="s">
        <v>759</v>
      </c>
      <c r="F60" t="s">
        <v>759</v>
      </c>
      <c r="G60" s="139" t="s">
        <v>3221</v>
      </c>
      <c r="H60" s="7">
        <f t="shared" si="0"/>
        <v>144</v>
      </c>
      <c r="I60" s="7">
        <v>23.04</v>
      </c>
    </row>
    <row r="61" spans="1:9">
      <c r="A61" t="s">
        <v>3977</v>
      </c>
      <c r="B61" s="1">
        <v>42216</v>
      </c>
      <c r="C61" t="s">
        <v>3978</v>
      </c>
      <c r="D61">
        <v>1</v>
      </c>
      <c r="E61" t="s">
        <v>759</v>
      </c>
      <c r="F61" t="s">
        <v>759</v>
      </c>
      <c r="G61" s="139" t="s">
        <v>3221</v>
      </c>
      <c r="H61" s="7">
        <f t="shared" si="0"/>
        <v>21.5625</v>
      </c>
      <c r="I61" s="7">
        <v>3.45</v>
      </c>
    </row>
    <row r="62" spans="1:9">
      <c r="A62" t="s">
        <v>4063</v>
      </c>
      <c r="B62" s="1">
        <v>42216</v>
      </c>
      <c r="C62" t="s">
        <v>4064</v>
      </c>
      <c r="D62">
        <v>1</v>
      </c>
      <c r="E62" t="s">
        <v>759</v>
      </c>
      <c r="F62" t="s">
        <v>759</v>
      </c>
      <c r="G62" s="139" t="s">
        <v>3221</v>
      </c>
      <c r="H62" s="7">
        <f t="shared" si="0"/>
        <v>2292.0625</v>
      </c>
      <c r="I62" s="7">
        <v>366.73</v>
      </c>
    </row>
    <row r="63" spans="1:9">
      <c r="A63" t="s">
        <v>2055</v>
      </c>
      <c r="B63" s="1">
        <v>42193</v>
      </c>
      <c r="C63" t="s">
        <v>2643</v>
      </c>
      <c r="D63">
        <v>2</v>
      </c>
      <c r="E63" t="s">
        <v>476</v>
      </c>
      <c r="F63" t="s">
        <v>730</v>
      </c>
      <c r="G63" t="s">
        <v>476</v>
      </c>
      <c r="H63" s="7">
        <f t="shared" si="0"/>
        <v>5905.1875</v>
      </c>
      <c r="I63" s="7">
        <v>944.83</v>
      </c>
    </row>
    <row r="64" spans="1:9">
      <c r="A64" t="s">
        <v>494</v>
      </c>
      <c r="B64" s="1">
        <v>42207</v>
      </c>
      <c r="C64" t="s">
        <v>4157</v>
      </c>
      <c r="D64">
        <v>2</v>
      </c>
      <c r="E64" t="s">
        <v>476</v>
      </c>
      <c r="F64" t="s">
        <v>730</v>
      </c>
      <c r="G64" t="s">
        <v>476</v>
      </c>
      <c r="H64" s="7">
        <f t="shared" si="0"/>
        <v>1543.125</v>
      </c>
      <c r="I64" s="7">
        <v>246.9</v>
      </c>
    </row>
    <row r="65" spans="1:9">
      <c r="A65" t="s">
        <v>568</v>
      </c>
      <c r="B65" s="1">
        <v>42216</v>
      </c>
      <c r="C65" t="s">
        <v>4208</v>
      </c>
      <c r="D65">
        <v>1</v>
      </c>
      <c r="E65" t="s">
        <v>4209</v>
      </c>
      <c r="F65" s="17" t="s">
        <v>733</v>
      </c>
      <c r="G65" t="s">
        <v>4209</v>
      </c>
      <c r="H65" s="7">
        <f t="shared" si="0"/>
        <v>1203.6875</v>
      </c>
      <c r="I65" s="7">
        <v>192.59</v>
      </c>
    </row>
    <row r="66" spans="1:9">
      <c r="A66" t="s">
        <v>1496</v>
      </c>
      <c r="B66" s="1">
        <v>42216</v>
      </c>
      <c r="C66" t="s">
        <v>4202</v>
      </c>
      <c r="D66">
        <v>1</v>
      </c>
      <c r="E66" t="s">
        <v>4203</v>
      </c>
      <c r="F66" s="25" t="s">
        <v>735</v>
      </c>
      <c r="G66" t="s">
        <v>4203</v>
      </c>
      <c r="H66" s="7">
        <f t="shared" si="0"/>
        <v>200</v>
      </c>
      <c r="I66" s="7">
        <v>32</v>
      </c>
    </row>
    <row r="67" spans="1:9">
      <c r="A67" t="s">
        <v>1500</v>
      </c>
      <c r="B67" s="1">
        <v>42216</v>
      </c>
      <c r="C67" t="s">
        <v>4206</v>
      </c>
      <c r="D67">
        <v>1</v>
      </c>
      <c r="E67" t="s">
        <v>4207</v>
      </c>
      <c r="F67" s="17" t="s">
        <v>1552</v>
      </c>
      <c r="G67" t="s">
        <v>4207</v>
      </c>
      <c r="H67" s="7">
        <f t="shared" si="0"/>
        <v>95</v>
      </c>
      <c r="I67" s="7">
        <v>15.2</v>
      </c>
    </row>
    <row r="68" spans="1:9">
      <c r="A68" t="s">
        <v>1495</v>
      </c>
      <c r="B68" s="1">
        <v>42216</v>
      </c>
      <c r="C68" t="s">
        <v>4200</v>
      </c>
      <c r="D68">
        <v>1</v>
      </c>
      <c r="E68" t="s">
        <v>4201</v>
      </c>
      <c r="F68" s="25" t="s">
        <v>741</v>
      </c>
      <c r="G68" t="s">
        <v>4201</v>
      </c>
      <c r="H68" s="7">
        <f t="shared" si="0"/>
        <v>159</v>
      </c>
      <c r="I68" s="7">
        <v>25.44</v>
      </c>
    </row>
    <row r="69" spans="1:9">
      <c r="A69" t="s">
        <v>1498</v>
      </c>
      <c r="B69" s="1">
        <v>42216</v>
      </c>
      <c r="C69" t="s">
        <v>4204</v>
      </c>
      <c r="D69">
        <v>1</v>
      </c>
      <c r="E69" t="s">
        <v>4205</v>
      </c>
      <c r="F69" s="25" t="s">
        <v>743</v>
      </c>
      <c r="G69" t="s">
        <v>4205</v>
      </c>
      <c r="H69" s="7">
        <f t="shared" si="0"/>
        <v>152</v>
      </c>
      <c r="I69" s="7">
        <v>24.32</v>
      </c>
    </row>
    <row r="70" spans="1:9">
      <c r="A70" t="s">
        <v>1481</v>
      </c>
      <c r="B70" s="1">
        <v>42216</v>
      </c>
      <c r="C70" t="s">
        <v>546</v>
      </c>
      <c r="D70">
        <v>1</v>
      </c>
      <c r="E70" t="s">
        <v>4194</v>
      </c>
      <c r="F70" s="25" t="s">
        <v>737</v>
      </c>
      <c r="G70" t="s">
        <v>4194</v>
      </c>
      <c r="H70" s="7">
        <f t="shared" si="0"/>
        <v>12663.875</v>
      </c>
      <c r="I70" s="7">
        <v>2026.22</v>
      </c>
    </row>
    <row r="71" spans="1:9">
      <c r="A71" t="s">
        <v>2585</v>
      </c>
      <c r="B71" s="1">
        <v>42188</v>
      </c>
      <c r="C71" t="s">
        <v>4112</v>
      </c>
      <c r="D71">
        <v>1</v>
      </c>
      <c r="E71" t="s">
        <v>428</v>
      </c>
      <c r="F71" t="s">
        <v>790</v>
      </c>
      <c r="G71" t="s">
        <v>428</v>
      </c>
      <c r="H71" s="7">
        <f t="shared" ref="H71:H133" si="1">+I71/0.16</f>
        <v>157878.375</v>
      </c>
      <c r="I71" s="7">
        <v>25260.54</v>
      </c>
    </row>
    <row r="72" spans="1:9">
      <c r="A72" t="s">
        <v>2048</v>
      </c>
      <c r="B72" s="1">
        <v>42191</v>
      </c>
      <c r="C72" t="s">
        <v>4118</v>
      </c>
      <c r="D72">
        <v>1</v>
      </c>
      <c r="E72" t="s">
        <v>428</v>
      </c>
      <c r="F72" t="s">
        <v>790</v>
      </c>
      <c r="G72" t="s">
        <v>428</v>
      </c>
      <c r="H72" s="7">
        <f t="shared" si="1"/>
        <v>188298.25</v>
      </c>
      <c r="I72" s="7">
        <v>30127.72</v>
      </c>
    </row>
    <row r="73" spans="1:9">
      <c r="A73" t="s">
        <v>2586</v>
      </c>
      <c r="B73" s="1">
        <v>42188</v>
      </c>
      <c r="C73" t="s">
        <v>4113</v>
      </c>
      <c r="D73">
        <v>1</v>
      </c>
      <c r="E73" t="s">
        <v>428</v>
      </c>
      <c r="F73" t="s">
        <v>790</v>
      </c>
      <c r="G73" t="s">
        <v>428</v>
      </c>
      <c r="H73" s="7">
        <f t="shared" si="1"/>
        <v>57487.4375</v>
      </c>
      <c r="I73" s="7">
        <v>9197.99</v>
      </c>
    </row>
    <row r="74" spans="1:9">
      <c r="A74" t="s">
        <v>2620</v>
      </c>
      <c r="B74" s="1">
        <v>42195</v>
      </c>
      <c r="C74" t="s">
        <v>4129</v>
      </c>
      <c r="D74">
        <v>1</v>
      </c>
      <c r="E74" t="s">
        <v>428</v>
      </c>
      <c r="F74" t="s">
        <v>790</v>
      </c>
      <c r="G74" t="s">
        <v>428</v>
      </c>
      <c r="H74" s="7">
        <f t="shared" si="1"/>
        <v>75031.6875</v>
      </c>
      <c r="I74" s="7">
        <v>12005.07</v>
      </c>
    </row>
    <row r="75" spans="1:9">
      <c r="A75" t="s">
        <v>1368</v>
      </c>
      <c r="B75" s="1">
        <v>42199</v>
      </c>
      <c r="C75" t="s">
        <v>4130</v>
      </c>
      <c r="D75">
        <v>1</v>
      </c>
      <c r="E75" t="s">
        <v>428</v>
      </c>
      <c r="F75" t="s">
        <v>790</v>
      </c>
      <c r="G75" t="s">
        <v>428</v>
      </c>
      <c r="H75" s="7">
        <f t="shared" si="1"/>
        <v>2585</v>
      </c>
      <c r="I75" s="7">
        <v>413.6</v>
      </c>
    </row>
    <row r="76" spans="1:9">
      <c r="A76" t="s">
        <v>1370</v>
      </c>
      <c r="B76" s="1">
        <v>42199</v>
      </c>
      <c r="C76" t="s">
        <v>4131</v>
      </c>
      <c r="D76">
        <v>1</v>
      </c>
      <c r="E76" t="s">
        <v>428</v>
      </c>
      <c r="F76" t="s">
        <v>790</v>
      </c>
      <c r="G76" t="s">
        <v>428</v>
      </c>
      <c r="H76" s="7">
        <f t="shared" si="1"/>
        <v>412005.12500000006</v>
      </c>
      <c r="I76" s="7">
        <v>65920.820000000007</v>
      </c>
    </row>
    <row r="77" spans="1:9">
      <c r="A77" t="s">
        <v>1372</v>
      </c>
      <c r="B77" s="1">
        <v>42199</v>
      </c>
      <c r="C77" t="s">
        <v>4132</v>
      </c>
      <c r="D77">
        <v>1</v>
      </c>
      <c r="E77" t="s">
        <v>428</v>
      </c>
      <c r="F77" t="s">
        <v>790</v>
      </c>
      <c r="G77" t="s">
        <v>428</v>
      </c>
      <c r="H77" s="7">
        <f t="shared" si="1"/>
        <v>10818.3125</v>
      </c>
      <c r="I77" s="7">
        <v>1730.93</v>
      </c>
    </row>
    <row r="78" spans="1:9">
      <c r="A78" t="s">
        <v>2103</v>
      </c>
      <c r="B78" s="1">
        <v>42202</v>
      </c>
      <c r="C78" t="s">
        <v>4146</v>
      </c>
      <c r="D78">
        <v>1</v>
      </c>
      <c r="E78" t="s">
        <v>428</v>
      </c>
      <c r="F78" t="s">
        <v>790</v>
      </c>
      <c r="G78" t="s">
        <v>428</v>
      </c>
      <c r="H78" s="7">
        <f t="shared" si="1"/>
        <v>49610.0625</v>
      </c>
      <c r="I78" s="7">
        <v>7937.61</v>
      </c>
    </row>
    <row r="79" spans="1:9">
      <c r="A79" t="s">
        <v>2108</v>
      </c>
      <c r="B79" s="1">
        <v>42205</v>
      </c>
      <c r="C79" t="s">
        <v>4147</v>
      </c>
      <c r="D79">
        <v>1</v>
      </c>
      <c r="E79" t="s">
        <v>428</v>
      </c>
      <c r="F79" t="s">
        <v>790</v>
      </c>
      <c r="G79" t="s">
        <v>428</v>
      </c>
      <c r="H79" s="7">
        <f t="shared" si="1"/>
        <v>33531.25</v>
      </c>
      <c r="I79" s="7">
        <v>5365</v>
      </c>
    </row>
    <row r="80" spans="1:9">
      <c r="A80" t="s">
        <v>2110</v>
      </c>
      <c r="B80" s="1">
        <v>42205</v>
      </c>
      <c r="C80" t="s">
        <v>4148</v>
      </c>
      <c r="D80">
        <v>1</v>
      </c>
      <c r="E80" t="s">
        <v>428</v>
      </c>
      <c r="F80" t="s">
        <v>790</v>
      </c>
      <c r="G80" t="s">
        <v>428</v>
      </c>
      <c r="H80" s="7">
        <f t="shared" si="1"/>
        <v>36088.625</v>
      </c>
      <c r="I80" s="7">
        <v>5774.18</v>
      </c>
    </row>
    <row r="81" spans="1:9">
      <c r="A81" t="s">
        <v>2112</v>
      </c>
      <c r="B81" s="1">
        <v>42205</v>
      </c>
      <c r="C81" t="s">
        <v>4149</v>
      </c>
      <c r="D81">
        <v>1</v>
      </c>
      <c r="E81" t="s">
        <v>428</v>
      </c>
      <c r="F81" t="s">
        <v>790</v>
      </c>
      <c r="G81" t="s">
        <v>428</v>
      </c>
      <c r="H81" s="7">
        <f t="shared" si="1"/>
        <v>40836.1875</v>
      </c>
      <c r="I81" s="7">
        <v>6533.79</v>
      </c>
    </row>
    <row r="82" spans="1:9">
      <c r="A82" t="s">
        <v>3631</v>
      </c>
      <c r="B82" s="1">
        <v>42209</v>
      </c>
      <c r="C82" t="s">
        <v>4175</v>
      </c>
      <c r="D82">
        <v>1</v>
      </c>
      <c r="E82" t="s">
        <v>428</v>
      </c>
      <c r="F82" t="s">
        <v>790</v>
      </c>
      <c r="G82" t="s">
        <v>428</v>
      </c>
      <c r="H82" s="7">
        <f t="shared" si="1"/>
        <v>106500</v>
      </c>
      <c r="I82" s="7">
        <v>17040</v>
      </c>
    </row>
    <row r="83" spans="1:9">
      <c r="A83" t="s">
        <v>542</v>
      </c>
      <c r="B83" s="1">
        <v>42214</v>
      </c>
      <c r="C83" t="s">
        <v>4179</v>
      </c>
      <c r="D83">
        <v>1</v>
      </c>
      <c r="E83" t="s">
        <v>428</v>
      </c>
      <c r="F83" t="s">
        <v>790</v>
      </c>
      <c r="G83" t="s">
        <v>428</v>
      </c>
      <c r="H83" s="7">
        <f t="shared" si="1"/>
        <v>14707.749999999998</v>
      </c>
      <c r="I83" s="7">
        <v>2353.2399999999998</v>
      </c>
    </row>
    <row r="84" spans="1:9">
      <c r="A84" t="s">
        <v>1453</v>
      </c>
      <c r="B84" s="1">
        <v>42215</v>
      </c>
      <c r="C84" t="s">
        <v>4180</v>
      </c>
      <c r="D84">
        <v>1</v>
      </c>
      <c r="E84" t="s">
        <v>428</v>
      </c>
      <c r="F84" t="s">
        <v>790</v>
      </c>
      <c r="G84" t="s">
        <v>428</v>
      </c>
      <c r="H84" s="7">
        <f t="shared" si="1"/>
        <v>2200</v>
      </c>
      <c r="I84" s="7">
        <v>352</v>
      </c>
    </row>
    <row r="85" spans="1:9">
      <c r="A85" t="s">
        <v>548</v>
      </c>
      <c r="B85" s="1">
        <v>42215</v>
      </c>
      <c r="C85" t="s">
        <v>4182</v>
      </c>
      <c r="D85">
        <v>1</v>
      </c>
      <c r="E85" t="s">
        <v>428</v>
      </c>
      <c r="F85" t="s">
        <v>790</v>
      </c>
      <c r="G85" t="s">
        <v>428</v>
      </c>
      <c r="H85" s="7">
        <f t="shared" si="1"/>
        <v>189378.75</v>
      </c>
      <c r="I85" s="7">
        <v>30300.6</v>
      </c>
    </row>
    <row r="86" spans="1:9">
      <c r="A86" t="s">
        <v>1462</v>
      </c>
      <c r="B86" s="1">
        <v>42215</v>
      </c>
      <c r="C86" t="s">
        <v>4183</v>
      </c>
      <c r="D86">
        <v>1</v>
      </c>
      <c r="E86" t="s">
        <v>428</v>
      </c>
      <c r="F86" t="s">
        <v>790</v>
      </c>
      <c r="G86" t="s">
        <v>428</v>
      </c>
      <c r="H86" s="7">
        <f t="shared" si="1"/>
        <v>324.3125</v>
      </c>
      <c r="I86" s="7">
        <v>51.89</v>
      </c>
    </row>
    <row r="87" spans="1:9">
      <c r="A87" t="s">
        <v>555</v>
      </c>
      <c r="B87" s="1">
        <v>42215</v>
      </c>
      <c r="C87" t="s">
        <v>4184</v>
      </c>
      <c r="D87">
        <v>1</v>
      </c>
      <c r="E87" t="s">
        <v>428</v>
      </c>
      <c r="F87" t="s">
        <v>790</v>
      </c>
      <c r="G87" t="s">
        <v>428</v>
      </c>
      <c r="H87" s="7">
        <f t="shared" si="1"/>
        <v>1815.3125</v>
      </c>
      <c r="I87" s="7">
        <v>290.45</v>
      </c>
    </row>
    <row r="88" spans="1:9">
      <c r="A88" t="s">
        <v>558</v>
      </c>
      <c r="B88" s="1">
        <v>42215</v>
      </c>
      <c r="C88" t="s">
        <v>4185</v>
      </c>
      <c r="D88">
        <v>1</v>
      </c>
      <c r="E88" t="s">
        <v>428</v>
      </c>
      <c r="F88" t="s">
        <v>790</v>
      </c>
      <c r="G88" t="s">
        <v>428</v>
      </c>
      <c r="H88" s="7">
        <f t="shared" si="1"/>
        <v>3722.4375</v>
      </c>
      <c r="I88" s="7">
        <v>595.59</v>
      </c>
    </row>
    <row r="89" spans="1:9">
      <c r="A89" t="s">
        <v>1485</v>
      </c>
      <c r="B89" s="1">
        <v>42216</v>
      </c>
      <c r="C89" t="s">
        <v>4195</v>
      </c>
      <c r="D89">
        <v>1</v>
      </c>
      <c r="E89" t="s">
        <v>428</v>
      </c>
      <c r="F89" t="s">
        <v>790</v>
      </c>
      <c r="G89" t="s">
        <v>428</v>
      </c>
      <c r="H89" s="7">
        <f t="shared" si="1"/>
        <v>120003.375</v>
      </c>
      <c r="I89" s="7">
        <v>19200.54</v>
      </c>
    </row>
    <row r="90" spans="1:9">
      <c r="A90" t="s">
        <v>2058</v>
      </c>
      <c r="B90" s="1">
        <v>42193</v>
      </c>
      <c r="C90" t="s">
        <v>4125</v>
      </c>
      <c r="D90">
        <v>1</v>
      </c>
      <c r="E90" t="s">
        <v>428</v>
      </c>
      <c r="F90" t="s">
        <v>790</v>
      </c>
      <c r="G90" t="s">
        <v>428</v>
      </c>
      <c r="H90" s="7">
        <f t="shared" si="1"/>
        <v>5714.25</v>
      </c>
      <c r="I90" s="7">
        <v>914.28</v>
      </c>
    </row>
    <row r="91" spans="1:9">
      <c r="A91" t="s">
        <v>1474</v>
      </c>
      <c r="B91" s="1">
        <v>42214</v>
      </c>
      <c r="C91" t="s">
        <v>4192</v>
      </c>
      <c r="D91">
        <v>1</v>
      </c>
      <c r="E91" t="s">
        <v>4193</v>
      </c>
      <c r="F91" t="s">
        <v>4213</v>
      </c>
      <c r="G91" t="s">
        <v>4193</v>
      </c>
      <c r="H91" s="7">
        <f t="shared" si="1"/>
        <v>3935</v>
      </c>
      <c r="I91" s="7">
        <v>629.6</v>
      </c>
    </row>
    <row r="92" spans="1:9">
      <c r="A92" t="s">
        <v>3789</v>
      </c>
      <c r="B92" s="1">
        <v>42207</v>
      </c>
      <c r="C92" t="s">
        <v>3790</v>
      </c>
      <c r="D92">
        <v>1</v>
      </c>
      <c r="E92" t="s">
        <v>3791</v>
      </c>
      <c r="F92" t="s">
        <v>1554</v>
      </c>
      <c r="G92" t="s">
        <v>3791</v>
      </c>
      <c r="H92" s="7">
        <f t="shared" si="1"/>
        <v>185793.6875</v>
      </c>
      <c r="I92" s="7">
        <v>29726.99</v>
      </c>
    </row>
    <row r="93" spans="1:9">
      <c r="A93" t="s">
        <v>3801</v>
      </c>
      <c r="B93" s="1">
        <v>42208</v>
      </c>
      <c r="C93" t="s">
        <v>3802</v>
      </c>
      <c r="D93">
        <v>1</v>
      </c>
      <c r="E93" t="s">
        <v>3803</v>
      </c>
      <c r="F93" t="s">
        <v>1554</v>
      </c>
      <c r="G93" t="s">
        <v>3803</v>
      </c>
      <c r="H93" s="7">
        <f t="shared" si="1"/>
        <v>185791.9375</v>
      </c>
      <c r="I93" s="7">
        <v>29726.71</v>
      </c>
    </row>
    <row r="94" spans="1:9">
      <c r="A94" t="s">
        <v>3786</v>
      </c>
      <c r="B94" s="1">
        <v>42207</v>
      </c>
      <c r="C94" t="s">
        <v>3348</v>
      </c>
      <c r="D94">
        <v>1</v>
      </c>
      <c r="E94" t="s">
        <v>1115</v>
      </c>
      <c r="F94" t="s">
        <v>1554</v>
      </c>
      <c r="G94" t="s">
        <v>1115</v>
      </c>
      <c r="H94" s="7">
        <f t="shared" si="1"/>
        <v>-149040.0625</v>
      </c>
      <c r="I94">
        <v>-23846.41</v>
      </c>
    </row>
    <row r="95" spans="1:9">
      <c r="A95" t="s">
        <v>3787</v>
      </c>
      <c r="B95" s="1">
        <v>42207</v>
      </c>
      <c r="C95" t="s">
        <v>3348</v>
      </c>
      <c r="D95">
        <v>1</v>
      </c>
      <c r="E95" t="s">
        <v>3788</v>
      </c>
      <c r="F95" t="s">
        <v>1554</v>
      </c>
      <c r="G95" t="s">
        <v>3788</v>
      </c>
      <c r="H95" s="7">
        <f t="shared" si="1"/>
        <v>149038.375</v>
      </c>
      <c r="I95" s="2">
        <v>23846.14</v>
      </c>
    </row>
    <row r="96" spans="1:9">
      <c r="A96" t="s">
        <v>3782</v>
      </c>
      <c r="B96" s="1">
        <v>42206</v>
      </c>
      <c r="C96" t="s">
        <v>3332</v>
      </c>
      <c r="D96">
        <v>1</v>
      </c>
      <c r="E96" t="s">
        <v>3333</v>
      </c>
      <c r="F96" t="s">
        <v>1554</v>
      </c>
      <c r="G96" t="s">
        <v>3333</v>
      </c>
      <c r="H96" s="7">
        <f t="shared" si="1"/>
        <v>-238390.8125</v>
      </c>
      <c r="I96" s="7">
        <v>-38142.53</v>
      </c>
    </row>
    <row r="97" spans="1:9">
      <c r="A97" t="s">
        <v>3780</v>
      </c>
      <c r="B97" s="1">
        <v>42206</v>
      </c>
      <c r="C97" t="s">
        <v>3781</v>
      </c>
      <c r="D97">
        <v>1</v>
      </c>
      <c r="E97" t="s">
        <v>3668</v>
      </c>
      <c r="F97" t="s">
        <v>1554</v>
      </c>
      <c r="G97" t="s">
        <v>3668</v>
      </c>
      <c r="H97" s="7">
        <f t="shared" si="1"/>
        <v>238984.875</v>
      </c>
      <c r="I97" s="7">
        <v>38237.58</v>
      </c>
    </row>
    <row r="98" spans="1:9">
      <c r="A98" t="s">
        <v>3951</v>
      </c>
      <c r="B98" s="1">
        <v>42216</v>
      </c>
      <c r="C98" t="s">
        <v>3952</v>
      </c>
      <c r="D98">
        <v>1</v>
      </c>
      <c r="E98" t="s">
        <v>3477</v>
      </c>
      <c r="F98" t="s">
        <v>3477</v>
      </c>
      <c r="G98" s="139" t="s">
        <v>7366</v>
      </c>
      <c r="H98" s="7">
        <f t="shared" si="1"/>
        <v>202.99999999999997</v>
      </c>
      <c r="I98" s="7">
        <v>32.479999999999997</v>
      </c>
    </row>
    <row r="99" spans="1:9">
      <c r="A99" t="s">
        <v>3132</v>
      </c>
      <c r="B99" s="1">
        <v>42193</v>
      </c>
      <c r="C99" t="s">
        <v>4122</v>
      </c>
      <c r="D99">
        <v>1</v>
      </c>
      <c r="E99" t="s">
        <v>638</v>
      </c>
      <c r="F99" t="s">
        <v>795</v>
      </c>
      <c r="G99" t="s">
        <v>638</v>
      </c>
      <c r="H99" s="7">
        <f t="shared" si="1"/>
        <v>84069</v>
      </c>
      <c r="I99" s="7">
        <v>13451.04</v>
      </c>
    </row>
    <row r="100" spans="1:9">
      <c r="A100" t="s">
        <v>4086</v>
      </c>
      <c r="B100" s="1">
        <v>42216</v>
      </c>
      <c r="C100" t="s">
        <v>4087</v>
      </c>
      <c r="D100">
        <v>1</v>
      </c>
      <c r="E100" t="s">
        <v>796</v>
      </c>
      <c r="F100" t="s">
        <v>796</v>
      </c>
      <c r="G100" s="139" t="s">
        <v>7437</v>
      </c>
      <c r="H100" s="7">
        <f t="shared" si="1"/>
        <v>202.56249999999997</v>
      </c>
      <c r="I100" s="7">
        <v>32.409999999999997</v>
      </c>
    </row>
    <row r="101" spans="1:9">
      <c r="A101" t="s">
        <v>4055</v>
      </c>
      <c r="B101" s="1">
        <v>42216</v>
      </c>
      <c r="C101" t="s">
        <v>4056</v>
      </c>
      <c r="D101">
        <v>1</v>
      </c>
      <c r="E101" t="s">
        <v>796</v>
      </c>
      <c r="F101" t="s">
        <v>796</v>
      </c>
      <c r="G101" s="139" t="s">
        <v>7437</v>
      </c>
      <c r="H101" s="7">
        <f t="shared" si="1"/>
        <v>284.5</v>
      </c>
      <c r="I101" s="7">
        <v>45.52</v>
      </c>
    </row>
    <row r="102" spans="1:9">
      <c r="A102" t="s">
        <v>4059</v>
      </c>
      <c r="B102" s="1">
        <v>42216</v>
      </c>
      <c r="C102" t="s">
        <v>4060</v>
      </c>
      <c r="D102">
        <v>1</v>
      </c>
      <c r="E102" t="s">
        <v>704</v>
      </c>
      <c r="F102" t="s">
        <v>704</v>
      </c>
      <c r="G102" s="139" t="s">
        <v>237</v>
      </c>
      <c r="H102" s="7">
        <f t="shared" si="1"/>
        <v>215.49999999999997</v>
      </c>
      <c r="I102" s="7">
        <v>34.479999999999997</v>
      </c>
    </row>
    <row r="103" spans="1:9">
      <c r="A103" t="s">
        <v>4057</v>
      </c>
      <c r="B103" s="1">
        <v>42216</v>
      </c>
      <c r="C103" t="s">
        <v>4058</v>
      </c>
      <c r="D103">
        <v>1</v>
      </c>
      <c r="E103" t="s">
        <v>704</v>
      </c>
      <c r="F103" t="s">
        <v>704</v>
      </c>
      <c r="G103" s="139" t="s">
        <v>237</v>
      </c>
      <c r="H103" s="7">
        <f t="shared" si="1"/>
        <v>215.49999999999997</v>
      </c>
      <c r="I103" s="7">
        <v>34.479999999999997</v>
      </c>
    </row>
    <row r="104" spans="1:9">
      <c r="A104" t="s">
        <v>3929</v>
      </c>
      <c r="B104" s="1">
        <v>42216</v>
      </c>
      <c r="C104" t="s">
        <v>3930</v>
      </c>
      <c r="D104">
        <v>1</v>
      </c>
      <c r="E104" t="s">
        <v>1561</v>
      </c>
      <c r="F104" t="s">
        <v>1561</v>
      </c>
      <c r="G104" s="139" t="s">
        <v>7369</v>
      </c>
      <c r="H104" s="7">
        <f t="shared" si="1"/>
        <v>81</v>
      </c>
      <c r="I104" s="7">
        <v>12.96</v>
      </c>
    </row>
    <row r="105" spans="1:9">
      <c r="A105" t="s">
        <v>3504</v>
      </c>
      <c r="B105" s="1">
        <v>42216</v>
      </c>
      <c r="C105" t="s">
        <v>3545</v>
      </c>
      <c r="D105">
        <v>1</v>
      </c>
      <c r="E105" t="s">
        <v>3889</v>
      </c>
      <c r="F105" s="17" t="s">
        <v>799</v>
      </c>
      <c r="G105" t="s">
        <v>7412</v>
      </c>
      <c r="H105" s="7">
        <f t="shared" si="1"/>
        <v>1103.6875</v>
      </c>
      <c r="I105" s="7">
        <v>176.59</v>
      </c>
    </row>
    <row r="106" spans="1:9">
      <c r="A106" t="s">
        <v>4041</v>
      </c>
      <c r="B106" s="1">
        <v>42216</v>
      </c>
      <c r="C106" t="s">
        <v>4042</v>
      </c>
      <c r="D106">
        <v>1</v>
      </c>
      <c r="E106" t="s">
        <v>961</v>
      </c>
      <c r="F106" t="s">
        <v>961</v>
      </c>
      <c r="G106" s="139" t="s">
        <v>7382</v>
      </c>
      <c r="H106" s="7">
        <f t="shared" si="1"/>
        <v>121.625</v>
      </c>
      <c r="I106" s="7">
        <v>19.46</v>
      </c>
    </row>
    <row r="107" spans="1:9">
      <c r="A107" t="s">
        <v>4090</v>
      </c>
      <c r="B107" s="1">
        <v>42216</v>
      </c>
      <c r="C107" t="s">
        <v>4091</v>
      </c>
      <c r="D107">
        <v>1</v>
      </c>
      <c r="E107" t="s">
        <v>961</v>
      </c>
      <c r="F107" t="s">
        <v>961</v>
      </c>
      <c r="G107" s="139" t="s">
        <v>7382</v>
      </c>
      <c r="H107" s="7">
        <f t="shared" si="1"/>
        <v>100.625</v>
      </c>
      <c r="I107" s="7">
        <v>16.100000000000001</v>
      </c>
    </row>
    <row r="108" spans="1:9">
      <c r="A108" t="s">
        <v>4031</v>
      </c>
      <c r="B108" s="1">
        <v>42216</v>
      </c>
      <c r="C108" t="s">
        <v>4032</v>
      </c>
      <c r="D108">
        <v>1</v>
      </c>
      <c r="E108" t="s">
        <v>4033</v>
      </c>
      <c r="F108" t="s">
        <v>4033</v>
      </c>
      <c r="G108" s="139" t="s">
        <v>7436</v>
      </c>
      <c r="H108" s="7">
        <f t="shared" si="1"/>
        <v>341.4375</v>
      </c>
      <c r="I108" s="7">
        <v>54.63</v>
      </c>
    </row>
    <row r="109" spans="1:9">
      <c r="A109" t="s">
        <v>4034</v>
      </c>
      <c r="B109" s="1">
        <v>42216</v>
      </c>
      <c r="C109" t="s">
        <v>4035</v>
      </c>
      <c r="D109">
        <v>1</v>
      </c>
      <c r="E109" t="s">
        <v>4037</v>
      </c>
      <c r="F109" t="s">
        <v>4033</v>
      </c>
      <c r="G109" s="139" t="s">
        <v>7436</v>
      </c>
      <c r="H109" s="7">
        <f t="shared" si="1"/>
        <v>377.4375</v>
      </c>
      <c r="I109" s="7">
        <v>60.39</v>
      </c>
    </row>
    <row r="110" spans="1:9">
      <c r="A110" t="s">
        <v>3960</v>
      </c>
      <c r="B110" s="1">
        <v>42216</v>
      </c>
      <c r="C110" t="s">
        <v>3961</v>
      </c>
      <c r="D110">
        <v>1</v>
      </c>
      <c r="E110" t="s">
        <v>2204</v>
      </c>
      <c r="F110" t="s">
        <v>2204</v>
      </c>
      <c r="G110" s="139" t="s">
        <v>1885</v>
      </c>
      <c r="H110" s="7">
        <f t="shared" si="1"/>
        <v>132.875</v>
      </c>
      <c r="I110" s="7">
        <v>21.26</v>
      </c>
    </row>
    <row r="111" spans="1:9">
      <c r="A111" t="s">
        <v>4084</v>
      </c>
      <c r="B111" s="1">
        <v>42216</v>
      </c>
      <c r="C111" t="s">
        <v>4085</v>
      </c>
      <c r="D111">
        <v>1</v>
      </c>
      <c r="E111" t="s">
        <v>804</v>
      </c>
      <c r="F111" t="s">
        <v>804</v>
      </c>
      <c r="G111" s="139" t="s">
        <v>7385</v>
      </c>
      <c r="H111" s="7">
        <f t="shared" si="1"/>
        <v>21.4375</v>
      </c>
      <c r="I111" s="7">
        <v>3.43</v>
      </c>
    </row>
    <row r="112" spans="1:9">
      <c r="A112" t="s">
        <v>251</v>
      </c>
      <c r="B112" s="1">
        <v>42216</v>
      </c>
      <c r="C112" t="s">
        <v>4077</v>
      </c>
      <c r="D112">
        <v>1</v>
      </c>
      <c r="E112" t="s">
        <v>804</v>
      </c>
      <c r="F112" t="s">
        <v>804</v>
      </c>
      <c r="G112" s="139" t="s">
        <v>7385</v>
      </c>
      <c r="H112" s="7">
        <f t="shared" si="1"/>
        <v>327.5625</v>
      </c>
      <c r="I112" s="7">
        <v>52.41</v>
      </c>
    </row>
    <row r="113" spans="1:9">
      <c r="A113" t="s">
        <v>3992</v>
      </c>
      <c r="B113" s="1">
        <v>42216</v>
      </c>
      <c r="C113" t="s">
        <v>3993</v>
      </c>
      <c r="D113">
        <v>1</v>
      </c>
      <c r="E113" t="s">
        <v>3994</v>
      </c>
      <c r="F113" t="s">
        <v>3994</v>
      </c>
      <c r="G113" s="139" t="s">
        <v>7435</v>
      </c>
      <c r="H113" s="7">
        <f t="shared" si="1"/>
        <v>115.5</v>
      </c>
      <c r="I113" s="7">
        <v>18.48</v>
      </c>
    </row>
    <row r="114" spans="1:9">
      <c r="A114" t="s">
        <v>3946</v>
      </c>
      <c r="B114" s="1">
        <v>42216</v>
      </c>
      <c r="C114" t="s">
        <v>3947</v>
      </c>
      <c r="D114">
        <v>1</v>
      </c>
      <c r="E114" t="s">
        <v>3948</v>
      </c>
      <c r="F114" t="s">
        <v>3948</v>
      </c>
      <c r="G114" s="139" t="s">
        <v>7434</v>
      </c>
      <c r="H114" s="7">
        <f t="shared" si="1"/>
        <v>463.375</v>
      </c>
      <c r="I114" s="7">
        <v>74.14</v>
      </c>
    </row>
    <row r="115" spans="1:9">
      <c r="A115" t="s">
        <v>3904</v>
      </c>
      <c r="B115" s="1">
        <v>42216</v>
      </c>
      <c r="C115" t="s">
        <v>3905</v>
      </c>
      <c r="D115">
        <v>1</v>
      </c>
      <c r="E115" t="s">
        <v>2235</v>
      </c>
      <c r="F115" t="s">
        <v>2235</v>
      </c>
      <c r="G115" s="139" t="s">
        <v>7433</v>
      </c>
      <c r="H115" s="7">
        <f t="shared" si="1"/>
        <v>557.75</v>
      </c>
      <c r="I115" s="7">
        <v>89.24</v>
      </c>
    </row>
    <row r="116" spans="1:9">
      <c r="A116" t="s">
        <v>3896</v>
      </c>
      <c r="B116" s="1">
        <v>42216</v>
      </c>
      <c r="C116" t="s">
        <v>3897</v>
      </c>
      <c r="D116">
        <v>1</v>
      </c>
      <c r="E116" t="s">
        <v>3898</v>
      </c>
      <c r="F116" t="s">
        <v>3898</v>
      </c>
      <c r="G116" s="139" t="s">
        <v>7432</v>
      </c>
      <c r="H116" s="7">
        <f t="shared" si="1"/>
        <v>86.187499999999986</v>
      </c>
      <c r="I116" s="7">
        <v>13.79</v>
      </c>
    </row>
    <row r="117" spans="1:9">
      <c r="A117" t="s">
        <v>3946</v>
      </c>
      <c r="B117" s="1">
        <v>42216</v>
      </c>
      <c r="C117" t="s">
        <v>3947</v>
      </c>
      <c r="D117">
        <v>1</v>
      </c>
      <c r="E117" t="s">
        <v>3898</v>
      </c>
      <c r="F117" t="s">
        <v>3898</v>
      </c>
      <c r="G117" s="139" t="s">
        <v>7432</v>
      </c>
      <c r="H117" s="7">
        <f t="shared" si="1"/>
        <v>76.75</v>
      </c>
      <c r="I117" s="7">
        <v>12.28</v>
      </c>
    </row>
    <row r="118" spans="1:9">
      <c r="A118" t="s">
        <v>3896</v>
      </c>
      <c r="B118" s="1">
        <v>42216</v>
      </c>
      <c r="C118" t="s">
        <v>3897</v>
      </c>
      <c r="D118">
        <v>1</v>
      </c>
      <c r="E118" t="s">
        <v>722</v>
      </c>
      <c r="F118" t="s">
        <v>722</v>
      </c>
      <c r="G118" t="s">
        <v>722</v>
      </c>
      <c r="H118" s="7">
        <f t="shared" si="1"/>
        <v>747.6875</v>
      </c>
      <c r="I118" s="7">
        <v>119.63</v>
      </c>
    </row>
    <row r="119" spans="1:9">
      <c r="A119" t="s">
        <v>3899</v>
      </c>
      <c r="B119" s="1">
        <v>42216</v>
      </c>
      <c r="C119" t="s">
        <v>3900</v>
      </c>
      <c r="D119">
        <v>1</v>
      </c>
      <c r="E119" t="s">
        <v>722</v>
      </c>
      <c r="F119" t="s">
        <v>722</v>
      </c>
      <c r="G119" t="s">
        <v>722</v>
      </c>
      <c r="H119" s="7">
        <f t="shared" si="1"/>
        <v>732.8125</v>
      </c>
      <c r="I119" s="7">
        <v>117.25</v>
      </c>
    </row>
    <row r="120" spans="1:9">
      <c r="A120" t="s">
        <v>3904</v>
      </c>
      <c r="B120" s="1">
        <v>42216</v>
      </c>
      <c r="C120" t="s">
        <v>3905</v>
      </c>
      <c r="D120">
        <v>1</v>
      </c>
      <c r="E120" t="s">
        <v>722</v>
      </c>
      <c r="F120" t="s">
        <v>722</v>
      </c>
      <c r="G120" t="s">
        <v>722</v>
      </c>
      <c r="H120" s="7">
        <f t="shared" si="1"/>
        <v>382.8125</v>
      </c>
      <c r="I120" s="7">
        <v>61.25</v>
      </c>
    </row>
    <row r="121" spans="1:9">
      <c r="A121" t="s">
        <v>3909</v>
      </c>
      <c r="B121" s="1">
        <v>42216</v>
      </c>
      <c r="C121" t="s">
        <v>3910</v>
      </c>
      <c r="D121">
        <v>1</v>
      </c>
      <c r="E121" t="s">
        <v>722</v>
      </c>
      <c r="F121" t="s">
        <v>722</v>
      </c>
      <c r="G121" t="s">
        <v>722</v>
      </c>
      <c r="H121" s="7">
        <f t="shared" si="1"/>
        <v>445.6875</v>
      </c>
      <c r="I121" s="7">
        <v>71.31</v>
      </c>
    </row>
    <row r="122" spans="1:9">
      <c r="A122" t="s">
        <v>3943</v>
      </c>
      <c r="B122" s="1">
        <v>42216</v>
      </c>
      <c r="C122" t="s">
        <v>3944</v>
      </c>
      <c r="D122">
        <v>1</v>
      </c>
      <c r="E122" t="s">
        <v>722</v>
      </c>
      <c r="F122" t="s">
        <v>722</v>
      </c>
      <c r="G122" t="s">
        <v>722</v>
      </c>
      <c r="H122" s="7">
        <f t="shared" si="1"/>
        <v>176.8125</v>
      </c>
      <c r="I122" s="7">
        <v>28.29</v>
      </c>
    </row>
    <row r="123" spans="1:9">
      <c r="A123" t="s">
        <v>3946</v>
      </c>
      <c r="B123" s="1">
        <v>42216</v>
      </c>
      <c r="C123" t="s">
        <v>3947</v>
      </c>
      <c r="D123">
        <v>1</v>
      </c>
      <c r="E123" t="s">
        <v>722</v>
      </c>
      <c r="F123" t="s">
        <v>722</v>
      </c>
      <c r="G123" t="s">
        <v>722</v>
      </c>
      <c r="H123" s="7">
        <f t="shared" si="1"/>
        <v>758.625</v>
      </c>
      <c r="I123" s="7">
        <v>121.38</v>
      </c>
    </row>
    <row r="124" spans="1:9">
      <c r="A124" t="s">
        <v>4019</v>
      </c>
      <c r="B124" s="1">
        <v>42216</v>
      </c>
      <c r="C124" t="s">
        <v>4020</v>
      </c>
      <c r="D124">
        <v>1</v>
      </c>
      <c r="E124" t="s">
        <v>722</v>
      </c>
      <c r="F124" t="s">
        <v>722</v>
      </c>
      <c r="G124" t="s">
        <v>722</v>
      </c>
      <c r="H124" s="7">
        <f t="shared" si="1"/>
        <v>1076.75</v>
      </c>
      <c r="I124" s="7">
        <v>172.28</v>
      </c>
    </row>
    <row r="125" spans="1:9">
      <c r="A125" t="s">
        <v>4029</v>
      </c>
      <c r="B125" s="1">
        <v>42216</v>
      </c>
      <c r="C125" t="s">
        <v>4030</v>
      </c>
      <c r="D125">
        <v>1</v>
      </c>
      <c r="E125" t="s">
        <v>722</v>
      </c>
      <c r="F125" t="s">
        <v>722</v>
      </c>
      <c r="G125" t="s">
        <v>722</v>
      </c>
      <c r="H125" s="7">
        <f t="shared" si="1"/>
        <v>489.75</v>
      </c>
      <c r="I125" s="7">
        <v>78.36</v>
      </c>
    </row>
    <row r="126" spans="1:9">
      <c r="A126" t="s">
        <v>4031</v>
      </c>
      <c r="B126" s="1">
        <v>42216</v>
      </c>
      <c r="C126" t="s">
        <v>4032</v>
      </c>
      <c r="D126">
        <v>1</v>
      </c>
      <c r="E126" t="s">
        <v>722</v>
      </c>
      <c r="F126" t="s">
        <v>722</v>
      </c>
      <c r="G126" t="s">
        <v>722</v>
      </c>
      <c r="H126" s="7">
        <f t="shared" si="1"/>
        <v>274.1875</v>
      </c>
      <c r="I126" s="7">
        <v>43.87</v>
      </c>
    </row>
    <row r="127" spans="1:9">
      <c r="A127" t="s">
        <v>4034</v>
      </c>
      <c r="B127" s="1">
        <v>42216</v>
      </c>
      <c r="C127" t="s">
        <v>4035</v>
      </c>
      <c r="D127">
        <v>1</v>
      </c>
      <c r="E127" t="s">
        <v>722</v>
      </c>
      <c r="F127" t="s">
        <v>722</v>
      </c>
      <c r="G127" t="s">
        <v>722</v>
      </c>
      <c r="H127" s="7">
        <f t="shared" si="1"/>
        <v>218.125</v>
      </c>
      <c r="I127" s="7">
        <v>34.9</v>
      </c>
    </row>
    <row r="128" spans="1:9">
      <c r="A128" t="s">
        <v>4039</v>
      </c>
      <c r="B128" s="1">
        <v>42216</v>
      </c>
      <c r="C128" t="s">
        <v>4040</v>
      </c>
      <c r="D128">
        <v>1</v>
      </c>
      <c r="E128" t="s">
        <v>722</v>
      </c>
      <c r="F128" t="s">
        <v>722</v>
      </c>
      <c r="G128" t="s">
        <v>722</v>
      </c>
      <c r="H128" s="7">
        <f t="shared" si="1"/>
        <v>56.0625</v>
      </c>
      <c r="I128" s="7">
        <v>8.9700000000000006</v>
      </c>
    </row>
    <row r="129" spans="1:9">
      <c r="A129" t="s">
        <v>4041</v>
      </c>
      <c r="B129" s="1">
        <v>42216</v>
      </c>
      <c r="C129" t="s">
        <v>4042</v>
      </c>
      <c r="D129">
        <v>1</v>
      </c>
      <c r="E129" t="s">
        <v>722</v>
      </c>
      <c r="F129" t="s">
        <v>722</v>
      </c>
      <c r="G129" t="s">
        <v>722</v>
      </c>
      <c r="H129" s="7">
        <f t="shared" si="1"/>
        <v>56.0625</v>
      </c>
      <c r="I129" s="7">
        <v>8.9700000000000006</v>
      </c>
    </row>
    <row r="130" spans="1:9">
      <c r="A130" t="s">
        <v>4043</v>
      </c>
      <c r="B130" s="1">
        <v>42216</v>
      </c>
      <c r="C130" t="s">
        <v>4044</v>
      </c>
      <c r="D130">
        <v>1</v>
      </c>
      <c r="E130" t="s">
        <v>722</v>
      </c>
      <c r="F130" t="s">
        <v>722</v>
      </c>
      <c r="G130" t="s">
        <v>722</v>
      </c>
      <c r="H130" s="7">
        <f t="shared" si="1"/>
        <v>313.8125</v>
      </c>
      <c r="I130" s="7">
        <v>50.21</v>
      </c>
    </row>
    <row r="131" spans="1:9">
      <c r="A131" t="s">
        <v>4050</v>
      </c>
      <c r="B131" s="1">
        <v>42216</v>
      </c>
      <c r="C131" t="s">
        <v>4051</v>
      </c>
      <c r="D131">
        <v>1</v>
      </c>
      <c r="E131" t="s">
        <v>722</v>
      </c>
      <c r="F131" t="s">
        <v>722</v>
      </c>
      <c r="G131" t="s">
        <v>722</v>
      </c>
      <c r="H131" s="7">
        <f t="shared" si="1"/>
        <v>176.8125</v>
      </c>
      <c r="I131" s="7">
        <v>28.29</v>
      </c>
    </row>
    <row r="132" spans="1:9">
      <c r="A132" t="s">
        <v>4090</v>
      </c>
      <c r="B132" s="1">
        <v>42216</v>
      </c>
      <c r="C132" t="s">
        <v>4091</v>
      </c>
      <c r="D132">
        <v>1</v>
      </c>
      <c r="E132" t="s">
        <v>722</v>
      </c>
      <c r="F132" t="s">
        <v>722</v>
      </c>
      <c r="G132" t="s">
        <v>722</v>
      </c>
      <c r="H132" s="7">
        <f t="shared" si="1"/>
        <v>56.0625</v>
      </c>
      <c r="I132" s="7">
        <v>8.9700000000000006</v>
      </c>
    </row>
    <row r="133" spans="1:9">
      <c r="A133" t="s">
        <v>238</v>
      </c>
      <c r="B133" s="1">
        <v>42216</v>
      </c>
      <c r="C133" t="s">
        <v>4073</v>
      </c>
      <c r="D133">
        <v>1</v>
      </c>
      <c r="E133" t="s">
        <v>722</v>
      </c>
      <c r="F133" t="s">
        <v>722</v>
      </c>
      <c r="G133" t="s">
        <v>722</v>
      </c>
      <c r="H133" s="7">
        <f t="shared" si="1"/>
        <v>280.3125</v>
      </c>
      <c r="I133" s="7">
        <v>44.85</v>
      </c>
    </row>
    <row r="134" spans="1:9">
      <c r="A134" t="s">
        <v>4043</v>
      </c>
      <c r="B134" s="1">
        <v>42216</v>
      </c>
      <c r="C134" t="s">
        <v>4044</v>
      </c>
      <c r="D134">
        <v>1</v>
      </c>
      <c r="E134" t="s">
        <v>1638</v>
      </c>
      <c r="F134" t="s">
        <v>1638</v>
      </c>
      <c r="G134" s="139" t="s">
        <v>1639</v>
      </c>
      <c r="H134" s="7">
        <f t="shared" ref="H134:H197" si="2">+I134/0.16</f>
        <v>910.5625</v>
      </c>
      <c r="I134" s="7">
        <v>145.69</v>
      </c>
    </row>
    <row r="135" spans="1:9">
      <c r="A135" t="s">
        <v>1335</v>
      </c>
      <c r="B135" s="1">
        <v>42186</v>
      </c>
      <c r="C135" t="s">
        <v>4108</v>
      </c>
      <c r="D135">
        <v>1</v>
      </c>
      <c r="E135" t="s">
        <v>1476</v>
      </c>
      <c r="F135" t="s">
        <v>1570</v>
      </c>
      <c r="G135" t="s">
        <v>1476</v>
      </c>
      <c r="H135" s="7">
        <f t="shared" si="2"/>
        <v>4201.5</v>
      </c>
      <c r="I135" s="7">
        <v>672.24</v>
      </c>
    </row>
    <row r="136" spans="1:9">
      <c r="A136" t="s">
        <v>1470</v>
      </c>
      <c r="B136" s="1">
        <v>42214</v>
      </c>
      <c r="C136" t="s">
        <v>4189</v>
      </c>
      <c r="D136">
        <v>1</v>
      </c>
      <c r="E136" t="s">
        <v>1476</v>
      </c>
      <c r="F136" t="s">
        <v>1570</v>
      </c>
      <c r="G136" t="s">
        <v>1476</v>
      </c>
      <c r="H136" s="7">
        <f t="shared" si="2"/>
        <v>3911.5</v>
      </c>
      <c r="I136" s="7">
        <v>625.84</v>
      </c>
    </row>
    <row r="137" spans="1:9">
      <c r="A137" t="s">
        <v>3113</v>
      </c>
      <c r="B137" s="1">
        <v>42186</v>
      </c>
      <c r="C137" t="s">
        <v>2630</v>
      </c>
      <c r="D137">
        <v>2</v>
      </c>
      <c r="E137" t="s">
        <v>2122</v>
      </c>
      <c r="F137" t="s">
        <v>2208</v>
      </c>
      <c r="G137" t="s">
        <v>2122</v>
      </c>
      <c r="H137" s="7">
        <f t="shared" si="2"/>
        <v>10995</v>
      </c>
      <c r="I137" s="7">
        <v>1759.2</v>
      </c>
    </row>
    <row r="138" spans="1:9">
      <c r="A138" t="s">
        <v>1356</v>
      </c>
      <c r="B138" s="1">
        <v>42193</v>
      </c>
      <c r="C138" t="s">
        <v>2641</v>
      </c>
      <c r="D138">
        <v>2</v>
      </c>
      <c r="E138" t="s">
        <v>2122</v>
      </c>
      <c r="F138" t="s">
        <v>2208</v>
      </c>
      <c r="G138" t="s">
        <v>2122</v>
      </c>
      <c r="H138" s="7">
        <f t="shared" si="2"/>
        <v>10995</v>
      </c>
      <c r="I138" s="7">
        <v>1759.2</v>
      </c>
    </row>
    <row r="139" spans="1:9">
      <c r="A139" t="s">
        <v>2580</v>
      </c>
      <c r="B139" s="1">
        <v>42186</v>
      </c>
      <c r="C139" t="s">
        <v>4109</v>
      </c>
      <c r="D139">
        <v>1</v>
      </c>
      <c r="E139" t="s">
        <v>446</v>
      </c>
      <c r="F139" t="s">
        <v>815</v>
      </c>
      <c r="G139" t="s">
        <v>446</v>
      </c>
      <c r="H139" s="7">
        <f t="shared" si="2"/>
        <v>379.3125</v>
      </c>
      <c r="I139" s="7">
        <v>60.69</v>
      </c>
    </row>
    <row r="140" spans="1:9">
      <c r="A140" t="s">
        <v>2079</v>
      </c>
      <c r="B140" s="1">
        <v>42200</v>
      </c>
      <c r="C140" t="s">
        <v>4138</v>
      </c>
      <c r="D140">
        <v>1</v>
      </c>
      <c r="E140" t="s">
        <v>446</v>
      </c>
      <c r="F140" t="s">
        <v>815</v>
      </c>
      <c r="G140" t="s">
        <v>446</v>
      </c>
      <c r="H140" s="7">
        <f t="shared" si="2"/>
        <v>568.8125</v>
      </c>
      <c r="I140" s="7">
        <v>91.01</v>
      </c>
    </row>
    <row r="141" spans="1:9">
      <c r="A141" t="s">
        <v>2651</v>
      </c>
      <c r="B141" s="1">
        <v>42207</v>
      </c>
      <c r="C141" t="s">
        <v>4162</v>
      </c>
      <c r="D141">
        <v>1</v>
      </c>
      <c r="E141" t="s">
        <v>446</v>
      </c>
      <c r="F141" t="s">
        <v>815</v>
      </c>
      <c r="G141" t="s">
        <v>446</v>
      </c>
      <c r="H141" s="7">
        <f t="shared" si="2"/>
        <v>3642.0625</v>
      </c>
      <c r="I141" s="7">
        <v>582.73</v>
      </c>
    </row>
    <row r="142" spans="1:9">
      <c r="A142" t="s">
        <v>3973</v>
      </c>
      <c r="B142" s="1">
        <v>42216</v>
      </c>
      <c r="C142" t="s">
        <v>3974</v>
      </c>
      <c r="D142">
        <v>1</v>
      </c>
      <c r="E142" t="s">
        <v>820</v>
      </c>
      <c r="F142" t="s">
        <v>820</v>
      </c>
      <c r="G142" s="139" t="s">
        <v>7431</v>
      </c>
      <c r="H142" s="7">
        <f t="shared" si="2"/>
        <v>75.875</v>
      </c>
      <c r="I142" s="7">
        <v>12.14</v>
      </c>
    </row>
    <row r="143" spans="1:9">
      <c r="A143" t="s">
        <v>3915</v>
      </c>
      <c r="B143" s="1">
        <v>42216</v>
      </c>
      <c r="C143" t="s">
        <v>3916</v>
      </c>
      <c r="D143">
        <v>1</v>
      </c>
      <c r="E143" t="s">
        <v>840</v>
      </c>
      <c r="F143" t="s">
        <v>840</v>
      </c>
      <c r="G143" t="s">
        <v>409</v>
      </c>
      <c r="H143" s="7">
        <f t="shared" si="2"/>
        <v>236.68749999999997</v>
      </c>
      <c r="I143" s="7">
        <v>37.869999999999997</v>
      </c>
    </row>
    <row r="144" spans="1:9">
      <c r="A144" t="s">
        <v>3919</v>
      </c>
      <c r="B144" s="1">
        <v>42216</v>
      </c>
      <c r="C144" t="s">
        <v>3920</v>
      </c>
      <c r="D144">
        <v>1</v>
      </c>
      <c r="E144" t="s">
        <v>821</v>
      </c>
      <c r="F144" t="s">
        <v>821</v>
      </c>
      <c r="G144" s="139" t="s">
        <v>5707</v>
      </c>
      <c r="H144" s="7">
        <f t="shared" si="2"/>
        <v>344.8125</v>
      </c>
      <c r="I144" s="7">
        <v>55.17</v>
      </c>
    </row>
    <row r="145" spans="1:9">
      <c r="A145" t="s">
        <v>3990</v>
      </c>
      <c r="B145" s="1">
        <v>42216</v>
      </c>
      <c r="C145" t="s">
        <v>3991</v>
      </c>
      <c r="D145">
        <v>1</v>
      </c>
      <c r="E145" t="s">
        <v>821</v>
      </c>
      <c r="F145" t="s">
        <v>821</v>
      </c>
      <c r="G145" s="139" t="s">
        <v>5707</v>
      </c>
      <c r="H145" s="7">
        <f t="shared" si="2"/>
        <v>344.8125</v>
      </c>
      <c r="I145" s="7">
        <v>55.17</v>
      </c>
    </row>
    <row r="146" spans="1:9">
      <c r="A146" t="s">
        <v>3999</v>
      </c>
      <c r="B146" s="1">
        <v>42216</v>
      </c>
      <c r="C146" t="s">
        <v>4000</v>
      </c>
      <c r="D146">
        <v>1</v>
      </c>
      <c r="E146" t="s">
        <v>821</v>
      </c>
      <c r="F146" t="s">
        <v>821</v>
      </c>
      <c r="G146" s="139" t="s">
        <v>5707</v>
      </c>
      <c r="H146" s="7">
        <f t="shared" si="2"/>
        <v>689.625</v>
      </c>
      <c r="I146" s="7">
        <v>110.34</v>
      </c>
    </row>
    <row r="147" spans="1:9">
      <c r="A147" t="s">
        <v>242</v>
      </c>
      <c r="B147" s="1">
        <v>42216</v>
      </c>
      <c r="C147" t="s">
        <v>4075</v>
      </c>
      <c r="D147">
        <v>1</v>
      </c>
      <c r="E147" t="s">
        <v>821</v>
      </c>
      <c r="F147" t="s">
        <v>821</v>
      </c>
      <c r="G147" s="139" t="s">
        <v>5707</v>
      </c>
      <c r="H147" s="7">
        <f t="shared" si="2"/>
        <v>344.8125</v>
      </c>
      <c r="I147" s="7">
        <v>55.17</v>
      </c>
    </row>
    <row r="148" spans="1:9">
      <c r="A148" t="s">
        <v>2081</v>
      </c>
      <c r="B148" s="1">
        <v>42200</v>
      </c>
      <c r="C148" t="s">
        <v>4140</v>
      </c>
      <c r="D148">
        <v>1</v>
      </c>
      <c r="E148" t="s">
        <v>1455</v>
      </c>
      <c r="F148" t="s">
        <v>1573</v>
      </c>
      <c r="G148" t="s">
        <v>1455</v>
      </c>
      <c r="H148" s="7">
        <f t="shared" si="2"/>
        <v>4650</v>
      </c>
      <c r="I148" s="7">
        <v>744</v>
      </c>
    </row>
    <row r="149" spans="1:9">
      <c r="A149" t="s">
        <v>2044</v>
      </c>
      <c r="B149" s="1">
        <v>42186</v>
      </c>
      <c r="C149" t="s">
        <v>2628</v>
      </c>
      <c r="D149">
        <v>2</v>
      </c>
      <c r="E149" t="s">
        <v>455</v>
      </c>
      <c r="F149" t="s">
        <v>823</v>
      </c>
      <c r="G149" t="s">
        <v>455</v>
      </c>
      <c r="H149" s="7">
        <f t="shared" si="2"/>
        <v>22940.625</v>
      </c>
      <c r="I149" s="7">
        <v>3670.5</v>
      </c>
    </row>
    <row r="150" spans="1:9">
      <c r="A150" t="s">
        <v>4121</v>
      </c>
      <c r="B150" s="1">
        <v>42193</v>
      </c>
      <c r="C150" t="s">
        <v>2639</v>
      </c>
      <c r="D150">
        <v>2</v>
      </c>
      <c r="E150" t="s">
        <v>455</v>
      </c>
      <c r="F150" t="s">
        <v>823</v>
      </c>
      <c r="G150" t="s">
        <v>455</v>
      </c>
      <c r="H150" s="7">
        <f t="shared" si="2"/>
        <v>15241.374999999998</v>
      </c>
      <c r="I150" s="7">
        <v>2438.62</v>
      </c>
    </row>
    <row r="151" spans="1:9">
      <c r="A151" t="s">
        <v>2086</v>
      </c>
      <c r="B151" s="1">
        <v>42200</v>
      </c>
      <c r="C151" t="s">
        <v>2647</v>
      </c>
      <c r="D151">
        <v>2</v>
      </c>
      <c r="E151" t="s">
        <v>455</v>
      </c>
      <c r="F151" t="s">
        <v>823</v>
      </c>
      <c r="G151" t="s">
        <v>455</v>
      </c>
      <c r="H151" s="7">
        <f t="shared" si="2"/>
        <v>6667.9374999999991</v>
      </c>
      <c r="I151" s="7">
        <v>1066.8699999999999</v>
      </c>
    </row>
    <row r="152" spans="1:9">
      <c r="A152" t="s">
        <v>4165</v>
      </c>
      <c r="B152" s="1">
        <v>42207</v>
      </c>
      <c r="C152" t="s">
        <v>3118</v>
      </c>
      <c r="D152">
        <v>2</v>
      </c>
      <c r="E152" t="s">
        <v>455</v>
      </c>
      <c r="F152" t="s">
        <v>823</v>
      </c>
      <c r="G152" t="s">
        <v>455</v>
      </c>
      <c r="H152" s="7">
        <f t="shared" si="2"/>
        <v>2638.625</v>
      </c>
      <c r="I152" s="7">
        <v>422.18</v>
      </c>
    </row>
    <row r="153" spans="1:9">
      <c r="A153" t="s">
        <v>1477</v>
      </c>
      <c r="B153" s="1">
        <v>42214</v>
      </c>
      <c r="C153" t="s">
        <v>3139</v>
      </c>
      <c r="D153">
        <v>2</v>
      </c>
      <c r="E153" t="s">
        <v>455</v>
      </c>
      <c r="F153" t="s">
        <v>823</v>
      </c>
      <c r="G153" t="s">
        <v>455</v>
      </c>
      <c r="H153" s="7">
        <f t="shared" si="2"/>
        <v>3330.6874999999995</v>
      </c>
      <c r="I153" s="7">
        <v>532.91</v>
      </c>
    </row>
    <row r="154" spans="1:9">
      <c r="A154" t="s">
        <v>4003</v>
      </c>
      <c r="B154" s="1">
        <v>42216</v>
      </c>
      <c r="C154" t="s">
        <v>1315</v>
      </c>
      <c r="D154">
        <v>1</v>
      </c>
      <c r="E154" t="s">
        <v>4004</v>
      </c>
      <c r="F154" t="s">
        <v>716</v>
      </c>
      <c r="G154" s="139" t="s">
        <v>7386</v>
      </c>
      <c r="H154" s="7">
        <f t="shared" si="2"/>
        <v>1771.875</v>
      </c>
      <c r="I154" s="7">
        <v>283.5</v>
      </c>
    </row>
    <row r="155" spans="1:9">
      <c r="A155" t="s">
        <v>1328</v>
      </c>
      <c r="B155" s="1">
        <v>42186</v>
      </c>
      <c r="C155" t="s">
        <v>4100</v>
      </c>
      <c r="D155">
        <v>1</v>
      </c>
      <c r="E155" t="s">
        <v>2097</v>
      </c>
      <c r="F155" t="s">
        <v>2212</v>
      </c>
      <c r="G155" t="s">
        <v>2097</v>
      </c>
      <c r="H155" s="7">
        <f t="shared" si="2"/>
        <v>3785.625</v>
      </c>
      <c r="I155" s="7">
        <v>605.70000000000005</v>
      </c>
    </row>
    <row r="156" spans="1:9">
      <c r="A156" t="s">
        <v>434</v>
      </c>
      <c r="B156" s="1">
        <v>42186</v>
      </c>
      <c r="C156" t="s">
        <v>2626</v>
      </c>
      <c r="D156">
        <v>2</v>
      </c>
      <c r="E156" t="s">
        <v>650</v>
      </c>
      <c r="F156" s="17" t="s">
        <v>827</v>
      </c>
      <c r="G156" t="s">
        <v>650</v>
      </c>
      <c r="H156" s="7">
        <f t="shared" si="2"/>
        <v>1046.5</v>
      </c>
      <c r="I156" s="7">
        <v>167.44</v>
      </c>
    </row>
    <row r="157" spans="1:9">
      <c r="A157" t="s">
        <v>2610</v>
      </c>
      <c r="B157" s="1">
        <v>42193</v>
      </c>
      <c r="C157" t="s">
        <v>2645</v>
      </c>
      <c r="D157">
        <v>2</v>
      </c>
      <c r="E157" t="s">
        <v>650</v>
      </c>
      <c r="F157" t="s">
        <v>827</v>
      </c>
      <c r="G157" t="s">
        <v>650</v>
      </c>
      <c r="H157" s="7">
        <f t="shared" si="2"/>
        <v>1309</v>
      </c>
      <c r="I157" s="7">
        <v>209.44</v>
      </c>
    </row>
    <row r="158" spans="1:9">
      <c r="A158" t="s">
        <v>1467</v>
      </c>
      <c r="B158" s="1">
        <v>42214</v>
      </c>
      <c r="C158" t="s">
        <v>3136</v>
      </c>
      <c r="D158">
        <v>2</v>
      </c>
      <c r="E158" t="s">
        <v>650</v>
      </c>
      <c r="F158" t="s">
        <v>827</v>
      </c>
      <c r="G158" t="s">
        <v>650</v>
      </c>
      <c r="H158" s="7">
        <f t="shared" si="2"/>
        <v>1046.5</v>
      </c>
      <c r="I158" s="7">
        <v>167.44</v>
      </c>
    </row>
    <row r="159" spans="1:9">
      <c r="A159" t="s">
        <v>3940</v>
      </c>
      <c r="B159" s="1">
        <v>42216</v>
      </c>
      <c r="C159" t="s">
        <v>3941</v>
      </c>
      <c r="D159">
        <v>1</v>
      </c>
      <c r="E159" t="s">
        <v>3942</v>
      </c>
      <c r="F159" s="139" t="s">
        <v>828</v>
      </c>
      <c r="G159" s="139" t="s">
        <v>7387</v>
      </c>
      <c r="H159" s="7">
        <f t="shared" si="2"/>
        <v>58.25</v>
      </c>
      <c r="I159" s="7">
        <v>9.32</v>
      </c>
    </row>
    <row r="160" spans="1:9">
      <c r="A160" t="s">
        <v>479</v>
      </c>
      <c r="B160" s="1">
        <v>42200</v>
      </c>
      <c r="C160" t="s">
        <v>4133</v>
      </c>
      <c r="D160">
        <v>1</v>
      </c>
      <c r="E160" t="s">
        <v>4134</v>
      </c>
      <c r="F160" t="s">
        <v>4215</v>
      </c>
      <c r="G160" t="s">
        <v>4134</v>
      </c>
      <c r="H160" s="7">
        <f t="shared" si="2"/>
        <v>1515.5</v>
      </c>
      <c r="I160" s="7">
        <v>242.48</v>
      </c>
    </row>
    <row r="161" spans="1:11">
      <c r="A161" t="s">
        <v>3752</v>
      </c>
      <c r="B161" s="1">
        <v>42200</v>
      </c>
      <c r="C161" t="s">
        <v>3753</v>
      </c>
      <c r="D161">
        <v>1</v>
      </c>
      <c r="E161" t="s">
        <v>3754</v>
      </c>
      <c r="F161" t="s">
        <v>2187</v>
      </c>
      <c r="G161" t="s">
        <v>3741</v>
      </c>
      <c r="H161" s="7">
        <f t="shared" si="2"/>
        <v>264875.5</v>
      </c>
      <c r="I161" s="7">
        <v>42380.08</v>
      </c>
      <c r="J161" s="7">
        <f>+H161-[1]JUL.2015!$H$43</f>
        <v>-121.625</v>
      </c>
      <c r="K161" s="7">
        <f>+I161-[1]JUL.2015!$I$43</f>
        <v>-19.459999999999127</v>
      </c>
    </row>
    <row r="162" spans="1:11">
      <c r="A162" t="s">
        <v>3823</v>
      </c>
      <c r="B162" s="1">
        <v>42214</v>
      </c>
      <c r="C162" t="s">
        <v>3506</v>
      </c>
      <c r="D162">
        <v>1</v>
      </c>
      <c r="E162" t="s">
        <v>3491</v>
      </c>
      <c r="F162" t="s">
        <v>714</v>
      </c>
      <c r="G162" t="s">
        <v>715</v>
      </c>
      <c r="H162" s="7">
        <f t="shared" si="2"/>
        <v>300.875</v>
      </c>
      <c r="I162" s="7">
        <v>48.14</v>
      </c>
    </row>
    <row r="163" spans="1:11">
      <c r="A163" t="s">
        <v>4080</v>
      </c>
      <c r="B163" s="1">
        <v>42216</v>
      </c>
      <c r="C163" t="s">
        <v>1315</v>
      </c>
      <c r="D163">
        <v>1</v>
      </c>
      <c r="E163" t="s">
        <v>3491</v>
      </c>
      <c r="F163" t="s">
        <v>714</v>
      </c>
      <c r="G163" t="s">
        <v>715</v>
      </c>
      <c r="H163" s="7">
        <f t="shared" si="2"/>
        <v>571.5625</v>
      </c>
      <c r="I163" s="7">
        <v>91.45</v>
      </c>
    </row>
    <row r="164" spans="1:11">
      <c r="A164" t="s">
        <v>2135</v>
      </c>
      <c r="B164" s="1">
        <v>42207</v>
      </c>
      <c r="C164" t="s">
        <v>4168</v>
      </c>
      <c r="D164">
        <v>1</v>
      </c>
      <c r="E164" t="s">
        <v>557</v>
      </c>
      <c r="F164" t="s">
        <v>956</v>
      </c>
      <c r="G164" t="s">
        <v>957</v>
      </c>
      <c r="H164" s="7">
        <f t="shared" si="2"/>
        <v>36890.4375</v>
      </c>
      <c r="I164" s="7">
        <v>5902.47</v>
      </c>
    </row>
    <row r="165" spans="1:11">
      <c r="A165" t="s">
        <v>4080</v>
      </c>
      <c r="B165" s="1">
        <v>42216</v>
      </c>
      <c r="C165" t="s">
        <v>1315</v>
      </c>
      <c r="D165">
        <v>1</v>
      </c>
      <c r="E165" t="s">
        <v>3492</v>
      </c>
      <c r="F165" t="s">
        <v>1543</v>
      </c>
      <c r="G165" s="139" t="s">
        <v>7376</v>
      </c>
      <c r="H165" s="7">
        <f t="shared" si="2"/>
        <v>51.749999999999993</v>
      </c>
      <c r="I165" s="7">
        <v>8.2799999999999994</v>
      </c>
    </row>
    <row r="166" spans="1:11">
      <c r="A166" t="s">
        <v>1493</v>
      </c>
      <c r="B166" s="1">
        <v>42216</v>
      </c>
      <c r="C166" t="s">
        <v>4198</v>
      </c>
      <c r="D166">
        <v>1</v>
      </c>
      <c r="E166" t="s">
        <v>4199</v>
      </c>
      <c r="F166" t="s">
        <v>739</v>
      </c>
      <c r="G166" t="s">
        <v>7430</v>
      </c>
      <c r="H166" s="7">
        <f t="shared" si="2"/>
        <v>8406.5</v>
      </c>
      <c r="I166" s="7">
        <v>1345.04</v>
      </c>
    </row>
    <row r="167" spans="1:11">
      <c r="A167" t="s">
        <v>2061</v>
      </c>
      <c r="B167" s="1">
        <v>42194</v>
      </c>
      <c r="C167" t="s">
        <v>4127</v>
      </c>
      <c r="D167">
        <v>1</v>
      </c>
      <c r="E167" t="s">
        <v>1344</v>
      </c>
      <c r="F167" t="s">
        <v>808</v>
      </c>
      <c r="G167" t="s">
        <v>5717</v>
      </c>
      <c r="H167" s="7">
        <f t="shared" si="2"/>
        <v>15665.625</v>
      </c>
      <c r="I167" s="7">
        <v>2506.5</v>
      </c>
    </row>
    <row r="168" spans="1:11">
      <c r="A168" t="s">
        <v>4092</v>
      </c>
      <c r="B168" s="1">
        <v>42216</v>
      </c>
      <c r="C168" t="s">
        <v>4093</v>
      </c>
      <c r="D168">
        <v>1</v>
      </c>
      <c r="E168" t="s">
        <v>4094</v>
      </c>
      <c r="F168" s="17" t="s">
        <v>722</v>
      </c>
      <c r="G168" s="66" t="s">
        <v>722</v>
      </c>
      <c r="H168" s="7">
        <f t="shared" si="2"/>
        <v>2146.75</v>
      </c>
      <c r="I168" s="67">
        <v>343.48</v>
      </c>
    </row>
    <row r="169" spans="1:11">
      <c r="A169" t="s">
        <v>4092</v>
      </c>
      <c r="B169" s="1">
        <v>42216</v>
      </c>
      <c r="C169" t="s">
        <v>4093</v>
      </c>
      <c r="D169">
        <v>1</v>
      </c>
      <c r="E169" t="s">
        <v>4094</v>
      </c>
      <c r="F169" t="s">
        <v>955</v>
      </c>
      <c r="G169" s="139" t="s">
        <v>7429</v>
      </c>
      <c r="H169" s="7">
        <f t="shared" si="2"/>
        <v>4677.5</v>
      </c>
      <c r="I169" s="67">
        <v>748.4</v>
      </c>
    </row>
    <row r="170" spans="1:11">
      <c r="A170" t="s">
        <v>4092</v>
      </c>
      <c r="B170" s="1">
        <v>42216</v>
      </c>
      <c r="C170" t="s">
        <v>4093</v>
      </c>
      <c r="D170">
        <v>1</v>
      </c>
      <c r="E170" t="s">
        <v>4094</v>
      </c>
      <c r="F170" t="s">
        <v>4216</v>
      </c>
      <c r="G170" s="139" t="s">
        <v>5639</v>
      </c>
      <c r="H170" s="7">
        <f t="shared" si="2"/>
        <v>536.875</v>
      </c>
      <c r="I170" s="67">
        <v>85.9</v>
      </c>
    </row>
    <row r="171" spans="1:11">
      <c r="A171" t="s">
        <v>4092</v>
      </c>
      <c r="B171" s="1">
        <v>42216</v>
      </c>
      <c r="C171" t="s">
        <v>4093</v>
      </c>
      <c r="D171">
        <v>1</v>
      </c>
      <c r="E171" t="s">
        <v>4094</v>
      </c>
      <c r="F171" t="s">
        <v>972</v>
      </c>
      <c r="G171" s="139" t="s">
        <v>5640</v>
      </c>
      <c r="H171" s="7">
        <f t="shared" si="2"/>
        <v>1593.9375</v>
      </c>
      <c r="I171" s="67">
        <v>255.03</v>
      </c>
      <c r="J171" s="7">
        <f>8955.06-H168-H169-H170-H171</f>
        <v>-2.500000000509317E-3</v>
      </c>
      <c r="K171" s="7">
        <f>1432.81-I168-I169-I170-I171</f>
        <v>0</v>
      </c>
    </row>
    <row r="172" spans="1:11">
      <c r="A172" t="s">
        <v>4052</v>
      </c>
      <c r="B172" s="1">
        <v>42216</v>
      </c>
      <c r="C172" t="s">
        <v>4053</v>
      </c>
      <c r="D172">
        <v>1</v>
      </c>
      <c r="E172" t="s">
        <v>4054</v>
      </c>
      <c r="F172" t="s">
        <v>704</v>
      </c>
      <c r="G172" s="139" t="s">
        <v>237</v>
      </c>
      <c r="H172" s="7">
        <f t="shared" si="2"/>
        <v>215.49999999999997</v>
      </c>
      <c r="I172" s="7">
        <v>34.479999999999997</v>
      </c>
    </row>
    <row r="173" spans="1:11">
      <c r="A173" t="s">
        <v>4067</v>
      </c>
      <c r="B173" s="1">
        <v>42216</v>
      </c>
      <c r="C173" t="s">
        <v>4068</v>
      </c>
      <c r="D173">
        <v>1</v>
      </c>
      <c r="E173" t="s">
        <v>4054</v>
      </c>
      <c r="F173" t="s">
        <v>704</v>
      </c>
      <c r="G173" s="139" t="s">
        <v>237</v>
      </c>
      <c r="H173" s="7">
        <f t="shared" si="2"/>
        <v>215.49999999999997</v>
      </c>
      <c r="I173" s="7">
        <v>34.479999999999997</v>
      </c>
    </row>
    <row r="174" spans="1:11">
      <c r="A174" t="s">
        <v>4069</v>
      </c>
      <c r="B174" s="1">
        <v>42216</v>
      </c>
      <c r="C174" t="s">
        <v>4070</v>
      </c>
      <c r="D174">
        <v>1</v>
      </c>
      <c r="E174" t="s">
        <v>4054</v>
      </c>
      <c r="F174" t="s">
        <v>704</v>
      </c>
      <c r="G174" s="139" t="s">
        <v>237</v>
      </c>
      <c r="H174" s="7">
        <f t="shared" si="2"/>
        <v>431.0625</v>
      </c>
      <c r="I174" s="7">
        <v>68.97</v>
      </c>
    </row>
    <row r="175" spans="1:11">
      <c r="A175" t="s">
        <v>4065</v>
      </c>
      <c r="B175" s="1">
        <v>42216</v>
      </c>
      <c r="C175" t="s">
        <v>4066</v>
      </c>
      <c r="D175">
        <v>1</v>
      </c>
      <c r="E175" t="s">
        <v>4054</v>
      </c>
      <c r="F175" t="s">
        <v>704</v>
      </c>
      <c r="G175" s="139" t="s">
        <v>237</v>
      </c>
      <c r="H175" s="7">
        <f t="shared" si="2"/>
        <v>215.49999999999997</v>
      </c>
      <c r="I175" s="7">
        <v>34.479999999999997</v>
      </c>
    </row>
    <row r="176" spans="1:11">
      <c r="A176" t="s">
        <v>1347</v>
      </c>
      <c r="B176" s="1">
        <v>42193</v>
      </c>
      <c r="C176" t="s">
        <v>4119</v>
      </c>
      <c r="D176">
        <v>1</v>
      </c>
      <c r="E176" t="s">
        <v>4120</v>
      </c>
      <c r="F176" t="s">
        <v>4217</v>
      </c>
      <c r="G176" t="s">
        <v>7413</v>
      </c>
      <c r="H176" s="7">
        <f t="shared" si="2"/>
        <v>163793.125</v>
      </c>
      <c r="I176" s="7">
        <v>26206.9</v>
      </c>
    </row>
    <row r="177" spans="1:12">
      <c r="A177" t="s">
        <v>4080</v>
      </c>
      <c r="B177" s="1">
        <v>42216</v>
      </c>
      <c r="C177" t="s">
        <v>1315</v>
      </c>
      <c r="D177">
        <v>1</v>
      </c>
      <c r="E177" t="s">
        <v>3493</v>
      </c>
      <c r="F177" t="s">
        <v>716</v>
      </c>
      <c r="G177" s="139" t="s">
        <v>7386</v>
      </c>
      <c r="H177" s="7">
        <f t="shared" si="2"/>
        <v>2953.125</v>
      </c>
      <c r="I177" s="7">
        <v>472.5</v>
      </c>
    </row>
    <row r="178" spans="1:12">
      <c r="A178" t="s">
        <v>2116</v>
      </c>
      <c r="B178" s="1">
        <v>42206</v>
      </c>
      <c r="C178" t="s">
        <v>4152</v>
      </c>
      <c r="D178">
        <v>1</v>
      </c>
      <c r="E178" t="s">
        <v>3624</v>
      </c>
      <c r="F178" t="s">
        <v>829</v>
      </c>
      <c r="G178" t="s">
        <v>529</v>
      </c>
      <c r="H178" s="7">
        <f t="shared" si="2"/>
        <v>133928.625</v>
      </c>
      <c r="I178" s="7">
        <v>21428.58</v>
      </c>
    </row>
    <row r="179" spans="1:12">
      <c r="A179" t="s">
        <v>431</v>
      </c>
      <c r="B179" s="1">
        <v>42186</v>
      </c>
      <c r="C179" t="s">
        <v>2625</v>
      </c>
      <c r="D179">
        <v>2</v>
      </c>
      <c r="E179" t="s">
        <v>4101</v>
      </c>
      <c r="F179" t="s">
        <v>836</v>
      </c>
      <c r="G179" t="s">
        <v>7428</v>
      </c>
      <c r="H179" s="7">
        <f t="shared" si="2"/>
        <v>6430</v>
      </c>
      <c r="I179" s="7">
        <v>1028.8</v>
      </c>
    </row>
    <row r="180" spans="1:12">
      <c r="A180" t="s">
        <v>3715</v>
      </c>
      <c r="B180" s="1">
        <v>42186</v>
      </c>
      <c r="C180" t="s">
        <v>3716</v>
      </c>
      <c r="D180">
        <v>1</v>
      </c>
      <c r="E180" t="s">
        <v>3717</v>
      </c>
      <c r="F180" t="s">
        <v>799</v>
      </c>
      <c r="G180" t="s">
        <v>3888</v>
      </c>
      <c r="H180" s="7">
        <f t="shared" si="2"/>
        <v>341.625</v>
      </c>
      <c r="I180" s="7">
        <v>54.66</v>
      </c>
    </row>
    <row r="181" spans="1:12">
      <c r="A181" t="s">
        <v>1878</v>
      </c>
      <c r="B181" s="1">
        <v>42216</v>
      </c>
      <c r="C181" t="s">
        <v>3873</v>
      </c>
      <c r="D181">
        <v>1</v>
      </c>
      <c r="E181" t="s">
        <v>3717</v>
      </c>
      <c r="F181" t="s">
        <v>799</v>
      </c>
      <c r="G181" t="s">
        <v>3888</v>
      </c>
      <c r="H181" s="7">
        <f t="shared" si="2"/>
        <v>275.5</v>
      </c>
      <c r="I181" s="7">
        <v>44.08</v>
      </c>
    </row>
    <row r="182" spans="1:12">
      <c r="A182" t="s">
        <v>3718</v>
      </c>
      <c r="B182" s="1">
        <v>42186</v>
      </c>
      <c r="C182" t="s">
        <v>3719</v>
      </c>
      <c r="D182">
        <v>1</v>
      </c>
      <c r="E182" t="s">
        <v>3720</v>
      </c>
      <c r="F182" t="s">
        <v>799</v>
      </c>
      <c r="G182" t="s">
        <v>3888</v>
      </c>
      <c r="H182" s="7">
        <f t="shared" si="2"/>
        <v>1449.125</v>
      </c>
      <c r="I182" s="7">
        <v>231.86</v>
      </c>
    </row>
    <row r="183" spans="1:12">
      <c r="A183" t="s">
        <v>1883</v>
      </c>
      <c r="B183" s="1">
        <v>42216</v>
      </c>
      <c r="C183" t="s">
        <v>3874</v>
      </c>
      <c r="D183">
        <v>1</v>
      </c>
      <c r="E183" t="s">
        <v>3720</v>
      </c>
      <c r="F183" t="s">
        <v>799</v>
      </c>
      <c r="G183" t="s">
        <v>3888</v>
      </c>
      <c r="H183" s="7">
        <f t="shared" si="2"/>
        <v>1384.9375</v>
      </c>
      <c r="I183" s="7">
        <v>221.59</v>
      </c>
    </row>
    <row r="184" spans="1:12">
      <c r="A184" t="s">
        <v>3814</v>
      </c>
      <c r="B184" s="1">
        <v>42213</v>
      </c>
      <c r="C184" t="s">
        <v>3815</v>
      </c>
      <c r="D184">
        <v>1</v>
      </c>
      <c r="E184" t="s">
        <v>3816</v>
      </c>
      <c r="F184" t="s">
        <v>799</v>
      </c>
      <c r="G184" t="s">
        <v>3888</v>
      </c>
      <c r="H184" s="7">
        <f t="shared" si="2"/>
        <v>13037.25</v>
      </c>
      <c r="I184" s="7">
        <v>2085.96</v>
      </c>
    </row>
    <row r="185" spans="1:12">
      <c r="A185" t="s">
        <v>3721</v>
      </c>
      <c r="B185" s="1">
        <v>42186</v>
      </c>
      <c r="C185" t="s">
        <v>3722</v>
      </c>
      <c r="D185">
        <v>1</v>
      </c>
      <c r="E185" t="s">
        <v>3723</v>
      </c>
      <c r="F185" t="s">
        <v>799</v>
      </c>
      <c r="G185" t="s">
        <v>3888</v>
      </c>
      <c r="H185" s="7">
        <f t="shared" si="2"/>
        <v>14963.9375</v>
      </c>
      <c r="I185" s="7">
        <v>2394.23</v>
      </c>
    </row>
    <row r="186" spans="1:12">
      <c r="A186" t="s">
        <v>2118</v>
      </c>
      <c r="B186" s="1">
        <v>42206</v>
      </c>
      <c r="C186" t="s">
        <v>4153</v>
      </c>
      <c r="D186">
        <v>1</v>
      </c>
      <c r="E186" t="s">
        <v>3621</v>
      </c>
      <c r="F186" t="s">
        <v>845</v>
      </c>
      <c r="G186" t="s">
        <v>532</v>
      </c>
      <c r="H186" s="7">
        <f t="shared" si="2"/>
        <v>133928.625</v>
      </c>
      <c r="I186" s="7">
        <v>21428.58</v>
      </c>
    </row>
    <row r="187" spans="1:12">
      <c r="A187" t="s">
        <v>4080</v>
      </c>
      <c r="B187" s="1">
        <v>42216</v>
      </c>
      <c r="C187" t="s">
        <v>1315</v>
      </c>
      <c r="D187">
        <v>1</v>
      </c>
      <c r="E187" t="s">
        <v>4081</v>
      </c>
      <c r="F187" t="s">
        <v>1534</v>
      </c>
      <c r="G187" s="139" t="s">
        <v>1535</v>
      </c>
      <c r="H187" s="7">
        <f t="shared" si="2"/>
        <v>190.5</v>
      </c>
      <c r="I187" s="7">
        <v>30.48</v>
      </c>
    </row>
    <row r="188" spans="1:12">
      <c r="A188" t="s">
        <v>3821</v>
      </c>
      <c r="B188" s="1">
        <v>42213</v>
      </c>
      <c r="C188" t="s">
        <v>1315</v>
      </c>
      <c r="D188">
        <v>1</v>
      </c>
      <c r="E188" t="s">
        <v>3822</v>
      </c>
      <c r="F188" t="s">
        <v>2743</v>
      </c>
      <c r="G188" s="139" t="s">
        <v>7426</v>
      </c>
      <c r="H188" s="7">
        <f t="shared" si="2"/>
        <v>201.68750000000003</v>
      </c>
      <c r="I188" s="7">
        <v>32.270000000000003</v>
      </c>
    </row>
    <row r="189" spans="1:12">
      <c r="A189" t="s">
        <v>4080</v>
      </c>
      <c r="B189" s="1">
        <v>42216</v>
      </c>
      <c r="C189" t="s">
        <v>1315</v>
      </c>
      <c r="D189">
        <v>1</v>
      </c>
      <c r="E189" t="s">
        <v>4082</v>
      </c>
      <c r="F189" t="s">
        <v>2758</v>
      </c>
      <c r="G189" s="139" t="s">
        <v>2759</v>
      </c>
      <c r="H189" s="7">
        <f t="shared" si="2"/>
        <v>118.99999999999999</v>
      </c>
      <c r="I189" s="7">
        <v>19.04</v>
      </c>
    </row>
    <row r="190" spans="1:12">
      <c r="A190" t="s">
        <v>4080</v>
      </c>
      <c r="B190" s="1">
        <v>42216</v>
      </c>
      <c r="C190" t="s">
        <v>1315</v>
      </c>
      <c r="D190">
        <v>1</v>
      </c>
      <c r="E190" t="s">
        <v>4083</v>
      </c>
      <c r="F190" t="s">
        <v>2738</v>
      </c>
      <c r="G190" s="139" t="s">
        <v>7427</v>
      </c>
      <c r="H190" s="7">
        <f t="shared" si="2"/>
        <v>68.125</v>
      </c>
      <c r="I190" s="7">
        <v>10.9</v>
      </c>
    </row>
    <row r="191" spans="1:12">
      <c r="A191" t="s">
        <v>2162</v>
      </c>
      <c r="B191" s="1">
        <v>42214</v>
      </c>
      <c r="C191" t="s">
        <v>4186</v>
      </c>
      <c r="D191">
        <v>1</v>
      </c>
      <c r="E191" t="s">
        <v>2149</v>
      </c>
      <c r="F191" t="s">
        <v>2252</v>
      </c>
      <c r="G191" t="s">
        <v>7425</v>
      </c>
      <c r="H191" s="7">
        <f t="shared" si="2"/>
        <v>2618.4375</v>
      </c>
      <c r="I191" s="7">
        <v>418.95</v>
      </c>
    </row>
    <row r="192" spans="1:12">
      <c r="A192" t="s">
        <v>1256</v>
      </c>
      <c r="B192" s="1">
        <v>42215</v>
      </c>
      <c r="C192" t="s">
        <v>3826</v>
      </c>
      <c r="D192">
        <v>1</v>
      </c>
      <c r="E192" t="s">
        <v>3827</v>
      </c>
      <c r="F192" t="s">
        <v>965</v>
      </c>
      <c r="G192" t="s">
        <v>7424</v>
      </c>
      <c r="H192" s="7">
        <f t="shared" si="2"/>
        <v>168979.625</v>
      </c>
      <c r="I192" s="7">
        <v>27036.74</v>
      </c>
      <c r="J192" s="7">
        <f>+H192-[1]JUL.2015!$H$204</f>
        <v>1312.9375</v>
      </c>
      <c r="K192" s="7">
        <f>+I192-[1]JUL.2015!$I$204</f>
        <v>210.07000000000335</v>
      </c>
      <c r="L192" t="s">
        <v>960</v>
      </c>
    </row>
    <row r="193" spans="1:9">
      <c r="A193" t="s">
        <v>3893</v>
      </c>
      <c r="B193" s="1">
        <v>42216</v>
      </c>
      <c r="C193" t="s">
        <v>3894</v>
      </c>
      <c r="D193">
        <v>1</v>
      </c>
      <c r="E193" t="s">
        <v>3895</v>
      </c>
      <c r="F193" t="s">
        <v>832</v>
      </c>
      <c r="G193" t="s">
        <v>1585</v>
      </c>
      <c r="H193" s="7">
        <f t="shared" si="2"/>
        <v>963.18750000000011</v>
      </c>
      <c r="I193" s="7">
        <v>154.11000000000001</v>
      </c>
    </row>
    <row r="194" spans="1:9">
      <c r="A194" t="s">
        <v>3890</v>
      </c>
      <c r="B194" s="1">
        <v>42214</v>
      </c>
      <c r="C194" t="s">
        <v>3891</v>
      </c>
      <c r="D194">
        <v>1</v>
      </c>
      <c r="E194" t="s">
        <v>3892</v>
      </c>
      <c r="F194" t="s">
        <v>799</v>
      </c>
      <c r="G194" t="s">
        <v>3888</v>
      </c>
      <c r="H194" s="7">
        <f t="shared" si="2"/>
        <v>617376.375</v>
      </c>
      <c r="I194" s="7">
        <v>98780.22</v>
      </c>
    </row>
    <row r="195" spans="1:9">
      <c r="A195" t="s">
        <v>2040</v>
      </c>
      <c r="B195" s="1">
        <v>42186</v>
      </c>
      <c r="C195" t="s">
        <v>2624</v>
      </c>
      <c r="D195">
        <v>2</v>
      </c>
      <c r="E195" t="s">
        <v>1237</v>
      </c>
      <c r="F195" t="s">
        <v>832</v>
      </c>
      <c r="G195" t="s">
        <v>1585</v>
      </c>
      <c r="H195" s="7">
        <f t="shared" si="2"/>
        <v>1042.3125</v>
      </c>
      <c r="I195" s="7">
        <v>166.77</v>
      </c>
    </row>
    <row r="196" spans="1:9">
      <c r="A196" t="s">
        <v>3117</v>
      </c>
      <c r="B196" s="1">
        <v>42186</v>
      </c>
      <c r="C196" t="s">
        <v>4111</v>
      </c>
      <c r="D196">
        <v>1</v>
      </c>
      <c r="E196" t="s">
        <v>1461</v>
      </c>
      <c r="F196" t="s">
        <v>1648</v>
      </c>
      <c r="G196" t="s">
        <v>5725</v>
      </c>
      <c r="H196" s="7">
        <f t="shared" si="2"/>
        <v>584.6875</v>
      </c>
      <c r="I196" s="7">
        <v>93.55</v>
      </c>
    </row>
    <row r="197" spans="1:9">
      <c r="A197" t="s">
        <v>1352</v>
      </c>
      <c r="B197" s="1">
        <v>42193</v>
      </c>
      <c r="C197" t="s">
        <v>4123</v>
      </c>
      <c r="D197">
        <v>1</v>
      </c>
      <c r="E197" t="s">
        <v>1461</v>
      </c>
      <c r="F197" t="s">
        <v>1648</v>
      </c>
      <c r="G197" t="s">
        <v>5725</v>
      </c>
      <c r="H197" s="7">
        <f t="shared" si="2"/>
        <v>1419.9375</v>
      </c>
      <c r="I197" s="7">
        <v>227.19</v>
      </c>
    </row>
    <row r="198" spans="1:9">
      <c r="A198" t="s">
        <v>2084</v>
      </c>
      <c r="B198" s="1">
        <v>42200</v>
      </c>
      <c r="C198" t="s">
        <v>4142</v>
      </c>
      <c r="D198">
        <v>1</v>
      </c>
      <c r="E198" t="s">
        <v>1461</v>
      </c>
      <c r="F198" t="s">
        <v>1648</v>
      </c>
      <c r="G198" t="s">
        <v>5725</v>
      </c>
      <c r="H198" s="7">
        <f t="shared" ref="H198:H261" si="3">+I198/0.16</f>
        <v>335.5</v>
      </c>
      <c r="I198" s="7">
        <v>53.68</v>
      </c>
    </row>
    <row r="199" spans="1:9">
      <c r="A199" t="s">
        <v>2169</v>
      </c>
      <c r="B199" s="1">
        <v>42214</v>
      </c>
      <c r="C199" t="s">
        <v>4191</v>
      </c>
      <c r="D199">
        <v>1</v>
      </c>
      <c r="E199" t="s">
        <v>1461</v>
      </c>
      <c r="F199" t="s">
        <v>1648</v>
      </c>
      <c r="G199" t="s">
        <v>5725</v>
      </c>
      <c r="H199" s="7">
        <f t="shared" si="3"/>
        <v>751.75</v>
      </c>
      <c r="I199" s="7">
        <v>120.28</v>
      </c>
    </row>
    <row r="200" spans="1:9">
      <c r="A200" t="s">
        <v>3115</v>
      </c>
      <c r="B200" s="1">
        <v>42186</v>
      </c>
      <c r="C200" t="s">
        <v>4110</v>
      </c>
      <c r="D200">
        <v>1</v>
      </c>
      <c r="E200" t="s">
        <v>452</v>
      </c>
      <c r="F200" t="s">
        <v>863</v>
      </c>
      <c r="G200" t="s">
        <v>967</v>
      </c>
      <c r="H200" s="7">
        <f t="shared" si="3"/>
        <v>9887.125</v>
      </c>
      <c r="I200" s="7">
        <v>1581.94</v>
      </c>
    </row>
    <row r="201" spans="1:9">
      <c r="A201" t="s">
        <v>2130</v>
      </c>
      <c r="B201" s="1">
        <v>42207</v>
      </c>
      <c r="C201" t="s">
        <v>4163</v>
      </c>
      <c r="D201">
        <v>1</v>
      </c>
      <c r="E201" t="s">
        <v>452</v>
      </c>
      <c r="F201" t="s">
        <v>863</v>
      </c>
      <c r="G201" t="s">
        <v>967</v>
      </c>
      <c r="H201" s="7">
        <f t="shared" si="3"/>
        <v>22718.5625</v>
      </c>
      <c r="I201" s="7">
        <v>3634.97</v>
      </c>
    </row>
    <row r="202" spans="1:9">
      <c r="A202" t="s">
        <v>560</v>
      </c>
      <c r="B202" s="1">
        <v>42214</v>
      </c>
      <c r="C202" t="s">
        <v>4190</v>
      </c>
      <c r="D202">
        <v>1</v>
      </c>
      <c r="E202" t="s">
        <v>452</v>
      </c>
      <c r="F202" t="s">
        <v>863</v>
      </c>
      <c r="G202" t="s">
        <v>967</v>
      </c>
      <c r="H202" s="7">
        <f t="shared" si="3"/>
        <v>13639.375</v>
      </c>
      <c r="I202" s="7">
        <v>2182.3000000000002</v>
      </c>
    </row>
    <row r="203" spans="1:9">
      <c r="A203" t="s">
        <v>3821</v>
      </c>
      <c r="B203" s="1">
        <v>42213</v>
      </c>
      <c r="C203" t="s">
        <v>1315</v>
      </c>
      <c r="D203">
        <v>1</v>
      </c>
      <c r="E203" t="s">
        <v>3495</v>
      </c>
      <c r="F203" t="s">
        <v>2745</v>
      </c>
      <c r="G203" s="139" t="s">
        <v>2746</v>
      </c>
      <c r="H203" s="7">
        <f t="shared" si="3"/>
        <v>90.5</v>
      </c>
      <c r="I203" s="7">
        <v>14.48</v>
      </c>
    </row>
    <row r="204" spans="1:9">
      <c r="A204" t="s">
        <v>3727</v>
      </c>
      <c r="B204" s="1">
        <v>42188</v>
      </c>
      <c r="C204" t="s">
        <v>3728</v>
      </c>
      <c r="D204">
        <v>1</v>
      </c>
      <c r="E204" t="s">
        <v>3729</v>
      </c>
      <c r="F204" t="s">
        <v>7314</v>
      </c>
      <c r="G204" t="s">
        <v>7315</v>
      </c>
      <c r="H204" s="7">
        <f t="shared" si="3"/>
        <v>132884.5</v>
      </c>
      <c r="I204" s="7">
        <v>21261.52</v>
      </c>
    </row>
    <row r="205" spans="1:9">
      <c r="A205" t="s">
        <v>3757</v>
      </c>
      <c r="B205" s="1">
        <v>42201</v>
      </c>
      <c r="C205" t="s">
        <v>3305</v>
      </c>
      <c r="D205">
        <v>1</v>
      </c>
      <c r="E205" t="s">
        <v>107</v>
      </c>
      <c r="F205" t="s">
        <v>799</v>
      </c>
      <c r="G205" t="s">
        <v>3888</v>
      </c>
      <c r="H205" s="7">
        <f t="shared" si="3"/>
        <v>-303976.8125</v>
      </c>
      <c r="I205" s="7">
        <v>-48636.29</v>
      </c>
    </row>
    <row r="206" spans="1:9">
      <c r="A206" t="s">
        <v>1053</v>
      </c>
      <c r="B206" s="1">
        <v>42203</v>
      </c>
      <c r="C206" t="s">
        <v>3770</v>
      </c>
      <c r="D206">
        <v>1</v>
      </c>
      <c r="E206" t="s">
        <v>107</v>
      </c>
      <c r="F206" t="s">
        <v>799</v>
      </c>
      <c r="G206" t="s">
        <v>3888</v>
      </c>
      <c r="H206" s="7">
        <f t="shared" si="3"/>
        <v>178132.1875</v>
      </c>
      <c r="I206" s="7">
        <v>28501.15</v>
      </c>
    </row>
    <row r="207" spans="1:9">
      <c r="A207" t="s">
        <v>1772</v>
      </c>
      <c r="B207" s="1">
        <v>42209</v>
      </c>
      <c r="C207" t="s">
        <v>3807</v>
      </c>
      <c r="D207">
        <v>1</v>
      </c>
      <c r="E207" t="s">
        <v>107</v>
      </c>
      <c r="F207" t="s">
        <v>799</v>
      </c>
      <c r="G207" t="s">
        <v>3888</v>
      </c>
      <c r="H207" s="7">
        <f t="shared" si="3"/>
        <v>178132.1875</v>
      </c>
      <c r="I207" s="7">
        <v>28501.15</v>
      </c>
    </row>
    <row r="208" spans="1:9">
      <c r="A208" t="s">
        <v>1257</v>
      </c>
      <c r="B208" s="1">
        <v>42215</v>
      </c>
      <c r="C208" t="s">
        <v>3828</v>
      </c>
      <c r="D208">
        <v>1</v>
      </c>
      <c r="E208" t="s">
        <v>107</v>
      </c>
      <c r="F208" t="s">
        <v>799</v>
      </c>
      <c r="G208" t="s">
        <v>3888</v>
      </c>
      <c r="H208" s="7">
        <f t="shared" si="3"/>
        <v>165048.6875</v>
      </c>
      <c r="I208" s="7">
        <v>26407.79</v>
      </c>
    </row>
    <row r="209" spans="1:12">
      <c r="A209" t="s">
        <v>1874</v>
      </c>
      <c r="B209" s="1">
        <v>42216</v>
      </c>
      <c r="C209" t="s">
        <v>3872</v>
      </c>
      <c r="D209">
        <v>1</v>
      </c>
      <c r="E209" t="s">
        <v>107</v>
      </c>
      <c r="F209" t="s">
        <v>799</v>
      </c>
      <c r="G209" t="s">
        <v>3888</v>
      </c>
      <c r="H209" s="7">
        <f t="shared" si="3"/>
        <v>318280.6875</v>
      </c>
      <c r="I209" s="7">
        <v>50924.91</v>
      </c>
    </row>
    <row r="210" spans="1:12">
      <c r="A210" t="s">
        <v>1320</v>
      </c>
      <c r="B210" s="1">
        <v>42186</v>
      </c>
      <c r="C210" t="s">
        <v>4095</v>
      </c>
      <c r="D210">
        <v>1</v>
      </c>
      <c r="E210" t="s">
        <v>107</v>
      </c>
      <c r="F210" t="s">
        <v>799</v>
      </c>
      <c r="G210" t="s">
        <v>3888</v>
      </c>
      <c r="H210" s="7">
        <f t="shared" si="3"/>
        <v>341.625</v>
      </c>
      <c r="I210" s="7">
        <v>54.66</v>
      </c>
    </row>
    <row r="211" spans="1:12">
      <c r="A211" t="s">
        <v>3552</v>
      </c>
      <c r="B211" s="1">
        <v>42186</v>
      </c>
      <c r="C211" t="s">
        <v>4096</v>
      </c>
      <c r="D211">
        <v>1</v>
      </c>
      <c r="E211" t="s">
        <v>107</v>
      </c>
      <c r="F211" t="s">
        <v>799</v>
      </c>
      <c r="G211" t="s">
        <v>3888</v>
      </c>
      <c r="H211" s="7">
        <f t="shared" si="3"/>
        <v>1449.125</v>
      </c>
      <c r="I211" s="7">
        <v>231.86</v>
      </c>
    </row>
    <row r="212" spans="1:12">
      <c r="A212" t="s">
        <v>4115</v>
      </c>
      <c r="B212" s="1">
        <v>42191</v>
      </c>
      <c r="C212" t="s">
        <v>4116</v>
      </c>
      <c r="D212">
        <v>1</v>
      </c>
      <c r="E212" t="s">
        <v>107</v>
      </c>
      <c r="F212" t="s">
        <v>799</v>
      </c>
      <c r="G212" t="s">
        <v>3888</v>
      </c>
      <c r="H212" s="7">
        <f t="shared" si="3"/>
        <v>81773.375</v>
      </c>
      <c r="I212" s="7">
        <v>13083.74</v>
      </c>
    </row>
    <row r="213" spans="1:12">
      <c r="A213" t="s">
        <v>2587</v>
      </c>
      <c r="B213" s="1">
        <v>42191</v>
      </c>
      <c r="C213" t="s">
        <v>4117</v>
      </c>
      <c r="D213">
        <v>1</v>
      </c>
      <c r="E213" t="s">
        <v>107</v>
      </c>
      <c r="F213" t="s">
        <v>799</v>
      </c>
      <c r="G213" t="s">
        <v>3888</v>
      </c>
      <c r="H213" s="7">
        <f t="shared" si="3"/>
        <v>156117.625</v>
      </c>
      <c r="I213" s="7">
        <v>24978.82</v>
      </c>
    </row>
    <row r="214" spans="1:12">
      <c r="A214" t="s">
        <v>3995</v>
      </c>
      <c r="B214" s="1">
        <v>42216</v>
      </c>
      <c r="C214" t="s">
        <v>3996</v>
      </c>
      <c r="D214">
        <v>1</v>
      </c>
      <c r="E214" t="s">
        <v>1587</v>
      </c>
      <c r="F214" t="s">
        <v>1587</v>
      </c>
      <c r="G214" s="139" t="s">
        <v>1267</v>
      </c>
      <c r="H214" s="7">
        <f t="shared" si="3"/>
        <v>770</v>
      </c>
      <c r="I214" s="7">
        <v>123.2</v>
      </c>
    </row>
    <row r="215" spans="1:12">
      <c r="A215" t="s">
        <v>3997</v>
      </c>
      <c r="B215" s="1">
        <v>42216</v>
      </c>
      <c r="C215" t="s">
        <v>3998</v>
      </c>
      <c r="D215">
        <v>1</v>
      </c>
      <c r="E215" t="s">
        <v>1587</v>
      </c>
      <c r="F215" t="s">
        <v>1587</v>
      </c>
      <c r="G215" s="139" t="s">
        <v>1267</v>
      </c>
      <c r="H215" s="7">
        <f t="shared" si="3"/>
        <v>330</v>
      </c>
      <c r="I215" s="7">
        <v>52.8</v>
      </c>
    </row>
    <row r="216" spans="1:12">
      <c r="A216" t="s">
        <v>4011</v>
      </c>
      <c r="B216" s="1">
        <v>42216</v>
      </c>
      <c r="C216" t="s">
        <v>4012</v>
      </c>
      <c r="D216">
        <v>1</v>
      </c>
      <c r="E216" t="s">
        <v>700</v>
      </c>
      <c r="F216" t="s">
        <v>700</v>
      </c>
      <c r="G216" s="139" t="s">
        <v>301</v>
      </c>
      <c r="H216" s="7">
        <f t="shared" si="3"/>
        <v>327</v>
      </c>
      <c r="I216" s="7">
        <v>52.32</v>
      </c>
    </row>
    <row r="217" spans="1:12">
      <c r="A217" t="s">
        <v>1375</v>
      </c>
      <c r="B217" s="1">
        <v>42201</v>
      </c>
      <c r="C217" t="s">
        <v>4144</v>
      </c>
      <c r="D217">
        <v>1</v>
      </c>
      <c r="E217" t="s">
        <v>520</v>
      </c>
      <c r="F217" t="s">
        <v>834</v>
      </c>
      <c r="G217" t="s">
        <v>520</v>
      </c>
      <c r="H217" s="7">
        <f t="shared" si="3"/>
        <v>12931</v>
      </c>
      <c r="I217" s="7">
        <v>2068.96</v>
      </c>
    </row>
    <row r="218" spans="1:12">
      <c r="A218" t="s">
        <v>2100</v>
      </c>
      <c r="B218" s="1">
        <v>42202</v>
      </c>
      <c r="C218" t="s">
        <v>4145</v>
      </c>
      <c r="D218">
        <v>1</v>
      </c>
      <c r="E218" t="s">
        <v>520</v>
      </c>
      <c r="F218" t="s">
        <v>834</v>
      </c>
      <c r="G218" t="s">
        <v>520</v>
      </c>
      <c r="H218" s="7">
        <f t="shared" si="3"/>
        <v>4500</v>
      </c>
      <c r="I218" s="7">
        <v>720</v>
      </c>
    </row>
    <row r="219" spans="1:12">
      <c r="A219" t="s">
        <v>3622</v>
      </c>
      <c r="B219" s="1">
        <v>42208</v>
      </c>
      <c r="C219" t="s">
        <v>4172</v>
      </c>
      <c r="D219">
        <v>1</v>
      </c>
      <c r="E219" t="s">
        <v>520</v>
      </c>
      <c r="F219" t="s">
        <v>834</v>
      </c>
      <c r="G219" t="s">
        <v>520</v>
      </c>
      <c r="H219" s="7">
        <f t="shared" si="3"/>
        <v>84488.0625</v>
      </c>
      <c r="I219" s="7">
        <v>13518.09</v>
      </c>
    </row>
    <row r="220" spans="1:12">
      <c r="A220" t="s">
        <v>1385</v>
      </c>
      <c r="B220" s="1">
        <v>42207</v>
      </c>
      <c r="C220" t="s">
        <v>4158</v>
      </c>
      <c r="D220">
        <v>2</v>
      </c>
      <c r="E220" t="s">
        <v>472</v>
      </c>
      <c r="F220" t="s">
        <v>836</v>
      </c>
      <c r="G220" t="s">
        <v>472</v>
      </c>
      <c r="H220" s="7">
        <f t="shared" si="3"/>
        <v>6430.8125</v>
      </c>
      <c r="I220" s="7">
        <v>1028.93</v>
      </c>
    </row>
    <row r="221" spans="1:12">
      <c r="A221" t="s">
        <v>4034</v>
      </c>
      <c r="B221" s="1">
        <v>42216</v>
      </c>
      <c r="C221" t="s">
        <v>4035</v>
      </c>
      <c r="D221">
        <v>1</v>
      </c>
      <c r="E221" t="s">
        <v>4038</v>
      </c>
      <c r="F221" t="s">
        <v>929</v>
      </c>
      <c r="G221" t="s">
        <v>4038</v>
      </c>
      <c r="H221" s="7">
        <f t="shared" si="3"/>
        <v>69</v>
      </c>
      <c r="I221" s="7">
        <v>11.04</v>
      </c>
    </row>
    <row r="222" spans="1:12">
      <c r="A222" t="s">
        <v>450</v>
      </c>
      <c r="B222" s="1">
        <v>42195</v>
      </c>
      <c r="C222" t="s">
        <v>4128</v>
      </c>
      <c r="D222">
        <v>1</v>
      </c>
      <c r="E222" t="s">
        <v>2157</v>
      </c>
      <c r="F222" t="s">
        <v>2216</v>
      </c>
      <c r="G222" t="s">
        <v>2157</v>
      </c>
      <c r="H222" s="7">
        <f t="shared" si="3"/>
        <v>245.43750000000003</v>
      </c>
      <c r="I222" s="7">
        <v>39.270000000000003</v>
      </c>
      <c r="J222" s="7">
        <f>+H222-[1]JUL.2015!$H$196</f>
        <v>51.687500000000028</v>
      </c>
      <c r="K222" s="7">
        <f>+I222-[1]JUL.2015!$I$196</f>
        <v>8.2700000000000031</v>
      </c>
      <c r="L222" t="s">
        <v>960</v>
      </c>
    </row>
    <row r="223" spans="1:12">
      <c r="A223" t="s">
        <v>1404</v>
      </c>
      <c r="B223" s="1">
        <v>42207</v>
      </c>
      <c r="C223" t="s">
        <v>4167</v>
      </c>
      <c r="D223">
        <v>1</v>
      </c>
      <c r="E223" t="s">
        <v>467</v>
      </c>
      <c r="F223" t="s">
        <v>838</v>
      </c>
      <c r="G223" t="s">
        <v>467</v>
      </c>
      <c r="H223" s="7">
        <f t="shared" si="3"/>
        <v>3530.5</v>
      </c>
      <c r="I223" s="7">
        <v>564.88</v>
      </c>
    </row>
    <row r="224" spans="1:12">
      <c r="A224" t="s">
        <v>1323</v>
      </c>
      <c r="B224" s="1">
        <v>42187</v>
      </c>
      <c r="C224" t="s">
        <v>4098</v>
      </c>
      <c r="D224">
        <v>1</v>
      </c>
      <c r="E224" t="s">
        <v>2043</v>
      </c>
      <c r="F224" t="s">
        <v>961</v>
      </c>
      <c r="G224" t="s">
        <v>2043</v>
      </c>
      <c r="H224" s="7">
        <f t="shared" si="3"/>
        <v>129.3125</v>
      </c>
      <c r="I224" s="7">
        <v>20.69</v>
      </c>
    </row>
    <row r="225" spans="1:11">
      <c r="A225" t="s">
        <v>3917</v>
      </c>
      <c r="B225" s="1">
        <v>42216</v>
      </c>
      <c r="C225" t="s">
        <v>3918</v>
      </c>
      <c r="D225">
        <v>1</v>
      </c>
      <c r="E225" t="s">
        <v>837</v>
      </c>
      <c r="F225" t="s">
        <v>837</v>
      </c>
      <c r="G225" s="139" t="s">
        <v>261</v>
      </c>
      <c r="H225" s="7">
        <f t="shared" si="3"/>
        <v>276.3125</v>
      </c>
      <c r="I225" s="7">
        <v>44.21</v>
      </c>
    </row>
    <row r="226" spans="1:11">
      <c r="A226" t="s">
        <v>4017</v>
      </c>
      <c r="B226" s="1">
        <v>42216</v>
      </c>
      <c r="C226" t="s">
        <v>4018</v>
      </c>
      <c r="D226">
        <v>1</v>
      </c>
      <c r="E226" t="s">
        <v>837</v>
      </c>
      <c r="F226" t="s">
        <v>837</v>
      </c>
      <c r="G226" s="139" t="s">
        <v>261</v>
      </c>
      <c r="H226" s="7">
        <f t="shared" si="3"/>
        <v>276.3125</v>
      </c>
      <c r="I226" s="7">
        <v>44.21</v>
      </c>
    </row>
    <row r="227" spans="1:11">
      <c r="A227" t="s">
        <v>1397</v>
      </c>
      <c r="B227" s="1">
        <v>42207</v>
      </c>
      <c r="C227" t="s">
        <v>3121</v>
      </c>
      <c r="D227">
        <v>2</v>
      </c>
      <c r="E227" t="s">
        <v>1349</v>
      </c>
      <c r="F227" t="s">
        <v>1588</v>
      </c>
      <c r="G227" t="s">
        <v>1349</v>
      </c>
      <c r="H227" s="7">
        <f t="shared" si="3"/>
        <v>9500</v>
      </c>
      <c r="I227" s="7">
        <v>1520</v>
      </c>
    </row>
    <row r="228" spans="1:11">
      <c r="A228" t="s">
        <v>3608</v>
      </c>
      <c r="B228" s="1">
        <v>42207</v>
      </c>
      <c r="C228" t="s">
        <v>4161</v>
      </c>
      <c r="D228">
        <v>1</v>
      </c>
      <c r="E228" t="s">
        <v>1341</v>
      </c>
      <c r="F228" t="s">
        <v>1589</v>
      </c>
      <c r="G228" t="s">
        <v>1341</v>
      </c>
      <c r="H228" s="7">
        <f t="shared" si="3"/>
        <v>1720</v>
      </c>
      <c r="I228" s="7">
        <v>275.2</v>
      </c>
    </row>
    <row r="229" spans="1:11" ht="16.5" customHeight="1">
      <c r="A229" t="s">
        <v>2137</v>
      </c>
      <c r="B229" s="1">
        <v>42207</v>
      </c>
      <c r="C229" t="s">
        <v>4169</v>
      </c>
      <c r="D229">
        <v>1</v>
      </c>
      <c r="E229" t="s">
        <v>1341</v>
      </c>
      <c r="F229" t="s">
        <v>1589</v>
      </c>
      <c r="G229" t="s">
        <v>1341</v>
      </c>
      <c r="H229" s="7">
        <f t="shared" si="3"/>
        <v>10905.875</v>
      </c>
      <c r="I229" s="7">
        <v>1744.94</v>
      </c>
    </row>
    <row r="230" spans="1:11" s="140" customFormat="1">
      <c r="A230" s="140" t="s">
        <v>4003</v>
      </c>
      <c r="B230" s="141">
        <v>42216</v>
      </c>
      <c r="C230" s="140" t="s">
        <v>1315</v>
      </c>
      <c r="D230" s="140">
        <v>1</v>
      </c>
      <c r="E230" s="140" t="s">
        <v>4005</v>
      </c>
      <c r="F230" s="140" t="s">
        <v>4005</v>
      </c>
      <c r="G230" s="140" t="s">
        <v>4005</v>
      </c>
      <c r="H230" s="7">
        <f t="shared" si="3"/>
        <v>258.625</v>
      </c>
      <c r="I230" s="142">
        <v>41.38</v>
      </c>
      <c r="J230" s="142" t="s">
        <v>7443</v>
      </c>
      <c r="K230" s="142"/>
    </row>
    <row r="231" spans="1:11">
      <c r="A231" t="s">
        <v>3936</v>
      </c>
      <c r="B231" s="1">
        <v>42216</v>
      </c>
      <c r="C231" t="s">
        <v>3937</v>
      </c>
      <c r="D231">
        <v>1</v>
      </c>
      <c r="E231" t="s">
        <v>768</v>
      </c>
      <c r="F231" t="s">
        <v>768</v>
      </c>
      <c r="G231" s="139" t="s">
        <v>7400</v>
      </c>
      <c r="H231" s="7">
        <f t="shared" si="3"/>
        <v>498.125</v>
      </c>
      <c r="I231" s="7">
        <v>79.7</v>
      </c>
    </row>
    <row r="232" spans="1:11">
      <c r="A232" t="s">
        <v>4013</v>
      </c>
      <c r="B232" s="1">
        <v>42216</v>
      </c>
      <c r="C232" t="s">
        <v>4014</v>
      </c>
      <c r="D232">
        <v>1</v>
      </c>
      <c r="E232" t="s">
        <v>768</v>
      </c>
      <c r="F232" t="s">
        <v>768</v>
      </c>
      <c r="G232" s="139" t="s">
        <v>7400</v>
      </c>
      <c r="H232" s="7">
        <f t="shared" si="3"/>
        <v>291.1875</v>
      </c>
      <c r="I232" s="7">
        <v>46.59</v>
      </c>
    </row>
    <row r="233" spans="1:11">
      <c r="A233" t="s">
        <v>2083</v>
      </c>
      <c r="B233" s="1">
        <v>42200</v>
      </c>
      <c r="C233" t="s">
        <v>4141</v>
      </c>
      <c r="D233">
        <v>1</v>
      </c>
      <c r="E233" t="s">
        <v>470</v>
      </c>
      <c r="F233" t="s">
        <v>843</v>
      </c>
      <c r="G233" t="s">
        <v>470</v>
      </c>
      <c r="H233" s="7">
        <f t="shared" si="3"/>
        <v>1653</v>
      </c>
      <c r="I233" s="7">
        <v>264.48</v>
      </c>
    </row>
    <row r="234" spans="1:11">
      <c r="A234" t="s">
        <v>2578</v>
      </c>
      <c r="B234" s="1">
        <v>42186</v>
      </c>
      <c r="C234" t="s">
        <v>2629</v>
      </c>
      <c r="D234">
        <v>2</v>
      </c>
      <c r="E234" t="s">
        <v>665</v>
      </c>
      <c r="F234" t="s">
        <v>844</v>
      </c>
      <c r="G234" t="s">
        <v>665</v>
      </c>
      <c r="H234" s="7">
        <f t="shared" si="3"/>
        <v>800</v>
      </c>
      <c r="I234" s="7">
        <v>128</v>
      </c>
    </row>
    <row r="235" spans="1:11">
      <c r="A235" t="s">
        <v>2053</v>
      </c>
      <c r="B235" s="1">
        <v>42193</v>
      </c>
      <c r="C235" t="s">
        <v>2642</v>
      </c>
      <c r="D235">
        <v>2</v>
      </c>
      <c r="E235" t="s">
        <v>665</v>
      </c>
      <c r="F235" t="s">
        <v>844</v>
      </c>
      <c r="G235" t="s">
        <v>665</v>
      </c>
      <c r="H235" s="7">
        <f t="shared" si="3"/>
        <v>950</v>
      </c>
      <c r="I235" s="7">
        <v>152</v>
      </c>
    </row>
    <row r="236" spans="1:11">
      <c r="A236" t="s">
        <v>1401</v>
      </c>
      <c r="B236" s="1">
        <v>42207</v>
      </c>
      <c r="C236" t="s">
        <v>3133</v>
      </c>
      <c r="D236">
        <v>2</v>
      </c>
      <c r="E236" t="s">
        <v>665</v>
      </c>
      <c r="F236" t="s">
        <v>844</v>
      </c>
      <c r="G236" t="s">
        <v>665</v>
      </c>
      <c r="H236" s="7">
        <f t="shared" si="3"/>
        <v>250</v>
      </c>
      <c r="I236" s="7">
        <v>40</v>
      </c>
    </row>
    <row r="237" spans="1:11">
      <c r="A237" t="s">
        <v>3933</v>
      </c>
      <c r="B237" s="1">
        <v>42216</v>
      </c>
      <c r="C237" t="s">
        <v>3934</v>
      </c>
      <c r="D237">
        <v>1</v>
      </c>
      <c r="E237" t="s">
        <v>3935</v>
      </c>
      <c r="F237" s="139" t="s">
        <v>3448</v>
      </c>
      <c r="G237" s="139" t="s">
        <v>7401</v>
      </c>
      <c r="H237" s="7">
        <f t="shared" si="3"/>
        <v>468.9375</v>
      </c>
      <c r="I237" s="7">
        <v>75.03</v>
      </c>
    </row>
    <row r="238" spans="1:11">
      <c r="A238" t="s">
        <v>3979</v>
      </c>
      <c r="B238" s="1">
        <v>42216</v>
      </c>
      <c r="C238" t="s">
        <v>3980</v>
      </c>
      <c r="D238">
        <v>1</v>
      </c>
      <c r="E238" t="s">
        <v>847</v>
      </c>
      <c r="F238" t="s">
        <v>847</v>
      </c>
      <c r="G238" s="139" t="s">
        <v>7402</v>
      </c>
      <c r="H238" s="7">
        <f t="shared" si="3"/>
        <v>120.75</v>
      </c>
      <c r="I238" s="7">
        <v>19.32</v>
      </c>
    </row>
    <row r="239" spans="1:11">
      <c r="A239" t="s">
        <v>4007</v>
      </c>
      <c r="B239" s="1">
        <v>42216</v>
      </c>
      <c r="C239" t="s">
        <v>4008</v>
      </c>
      <c r="D239">
        <v>1</v>
      </c>
      <c r="E239" t="s">
        <v>847</v>
      </c>
      <c r="F239" t="s">
        <v>847</v>
      </c>
      <c r="G239" s="139" t="s">
        <v>7402</v>
      </c>
      <c r="H239" s="7">
        <f t="shared" si="3"/>
        <v>540.125</v>
      </c>
      <c r="I239" s="7">
        <v>86.42</v>
      </c>
    </row>
    <row r="240" spans="1:11">
      <c r="A240" t="s">
        <v>4003</v>
      </c>
      <c r="B240" s="1">
        <v>42216</v>
      </c>
      <c r="C240" t="s">
        <v>1315</v>
      </c>
      <c r="D240">
        <v>1</v>
      </c>
      <c r="E240" t="s">
        <v>3689</v>
      </c>
      <c r="F240" t="s">
        <v>3689</v>
      </c>
      <c r="G240" s="139" t="s">
        <v>7389</v>
      </c>
      <c r="H240" s="7">
        <f t="shared" si="3"/>
        <v>125</v>
      </c>
      <c r="I240" s="7">
        <v>20</v>
      </c>
    </row>
    <row r="241" spans="1:9">
      <c r="A241" t="s">
        <v>497</v>
      </c>
      <c r="B241" s="1">
        <v>42207</v>
      </c>
      <c r="C241" t="s">
        <v>3114</v>
      </c>
      <c r="D241">
        <v>2</v>
      </c>
      <c r="E241" t="s">
        <v>449</v>
      </c>
      <c r="F241" t="s">
        <v>848</v>
      </c>
      <c r="G241" t="s">
        <v>449</v>
      </c>
      <c r="H241" s="7">
        <f t="shared" si="3"/>
        <v>3000</v>
      </c>
      <c r="I241" s="7">
        <v>480</v>
      </c>
    </row>
    <row r="242" spans="1:9">
      <c r="A242" t="s">
        <v>4106</v>
      </c>
      <c r="B242" s="1">
        <v>42186</v>
      </c>
      <c r="C242" t="s">
        <v>4107</v>
      </c>
      <c r="D242">
        <v>1</v>
      </c>
      <c r="E242" t="s">
        <v>449</v>
      </c>
      <c r="F242" t="s">
        <v>848</v>
      </c>
      <c r="G242" t="s">
        <v>449</v>
      </c>
      <c r="H242" s="7">
        <f t="shared" si="3"/>
        <v>3800</v>
      </c>
      <c r="I242" s="7">
        <v>608</v>
      </c>
    </row>
    <row r="243" spans="1:9">
      <c r="A243" t="s">
        <v>1392</v>
      </c>
      <c r="B243" s="1">
        <v>42207</v>
      </c>
      <c r="C243" t="s">
        <v>4159</v>
      </c>
      <c r="D243">
        <v>1</v>
      </c>
      <c r="E243" t="s">
        <v>449</v>
      </c>
      <c r="F243" t="s">
        <v>848</v>
      </c>
      <c r="G243" s="139" t="s">
        <v>3706</v>
      </c>
      <c r="H243" s="7">
        <f t="shared" si="3"/>
        <v>1900</v>
      </c>
      <c r="I243" s="7">
        <v>304</v>
      </c>
    </row>
    <row r="244" spans="1:9">
      <c r="A244" t="s">
        <v>1469</v>
      </c>
      <c r="B244" s="1">
        <v>42214</v>
      </c>
      <c r="C244" t="s">
        <v>4187</v>
      </c>
      <c r="D244">
        <v>1</v>
      </c>
      <c r="E244" t="s">
        <v>449</v>
      </c>
      <c r="F244" t="s">
        <v>848</v>
      </c>
      <c r="G244" s="139" t="s">
        <v>3706</v>
      </c>
      <c r="H244" s="7">
        <f t="shared" si="3"/>
        <v>9200</v>
      </c>
      <c r="I244" s="7">
        <v>1472</v>
      </c>
    </row>
    <row r="245" spans="1:9">
      <c r="A245" t="s">
        <v>4088</v>
      </c>
      <c r="B245" s="1">
        <v>42216</v>
      </c>
      <c r="C245" t="s">
        <v>4089</v>
      </c>
      <c r="D245">
        <v>1</v>
      </c>
      <c r="E245" t="s">
        <v>769</v>
      </c>
      <c r="F245" t="s">
        <v>769</v>
      </c>
      <c r="G245" t="s">
        <v>645</v>
      </c>
      <c r="H245" s="7">
        <f t="shared" si="3"/>
        <v>123.93749999999999</v>
      </c>
      <c r="I245" s="7">
        <v>19.829999999999998</v>
      </c>
    </row>
    <row r="246" spans="1:9">
      <c r="A246" t="s">
        <v>256</v>
      </c>
      <c r="B246" s="1">
        <v>42216</v>
      </c>
      <c r="C246" t="s">
        <v>4079</v>
      </c>
      <c r="D246">
        <v>1</v>
      </c>
      <c r="E246" t="s">
        <v>769</v>
      </c>
      <c r="F246" t="s">
        <v>769</v>
      </c>
      <c r="G246" t="s">
        <v>645</v>
      </c>
      <c r="H246" s="7">
        <f t="shared" si="3"/>
        <v>387.0625</v>
      </c>
      <c r="I246" s="7">
        <v>61.93</v>
      </c>
    </row>
    <row r="247" spans="1:9">
      <c r="A247" t="s">
        <v>3899</v>
      </c>
      <c r="B247" s="1">
        <v>42216</v>
      </c>
      <c r="C247" t="s">
        <v>3900</v>
      </c>
      <c r="D247">
        <v>1</v>
      </c>
      <c r="E247" t="s">
        <v>2705</v>
      </c>
      <c r="F247" t="s">
        <v>2705</v>
      </c>
      <c r="G247" t="s">
        <v>2706</v>
      </c>
      <c r="H247" s="7">
        <f t="shared" si="3"/>
        <v>105</v>
      </c>
      <c r="I247" s="7">
        <v>16.8</v>
      </c>
    </row>
    <row r="248" spans="1:9">
      <c r="A248" t="s">
        <v>3154</v>
      </c>
      <c r="B248" s="1">
        <v>42201</v>
      </c>
      <c r="C248" t="s">
        <v>4143</v>
      </c>
      <c r="D248">
        <v>1</v>
      </c>
      <c r="E248" t="s">
        <v>645</v>
      </c>
      <c r="F248" t="s">
        <v>769</v>
      </c>
      <c r="G248" t="s">
        <v>645</v>
      </c>
      <c r="H248" s="7">
        <f t="shared" si="3"/>
        <v>2216.5</v>
      </c>
      <c r="I248" s="7">
        <v>354.64</v>
      </c>
    </row>
    <row r="249" spans="1:9">
      <c r="A249" t="s">
        <v>4104</v>
      </c>
      <c r="B249" s="1">
        <v>42186</v>
      </c>
      <c r="C249" t="s">
        <v>4105</v>
      </c>
      <c r="D249">
        <v>1</v>
      </c>
      <c r="E249" t="s">
        <v>645</v>
      </c>
      <c r="F249" t="s">
        <v>769</v>
      </c>
      <c r="G249" t="s">
        <v>645</v>
      </c>
      <c r="H249" s="7">
        <f t="shared" si="3"/>
        <v>775.43749999999989</v>
      </c>
      <c r="I249" s="7">
        <v>124.07</v>
      </c>
    </row>
    <row r="250" spans="1:9">
      <c r="A250" t="s">
        <v>3611</v>
      </c>
      <c r="B250" s="1">
        <v>42207</v>
      </c>
      <c r="C250" t="s">
        <v>4164</v>
      </c>
      <c r="D250">
        <v>1</v>
      </c>
      <c r="E250" t="s">
        <v>645</v>
      </c>
      <c r="F250" t="s">
        <v>769</v>
      </c>
      <c r="G250" t="s">
        <v>645</v>
      </c>
      <c r="H250" s="7">
        <f t="shared" si="3"/>
        <v>3448.8124999999995</v>
      </c>
      <c r="I250" s="7">
        <v>551.80999999999995</v>
      </c>
    </row>
    <row r="251" spans="1:9">
      <c r="A251" t="s">
        <v>2163</v>
      </c>
      <c r="B251" s="1">
        <v>42214</v>
      </c>
      <c r="C251" t="s">
        <v>4188</v>
      </c>
      <c r="D251">
        <v>1</v>
      </c>
      <c r="E251" t="s">
        <v>645</v>
      </c>
      <c r="F251" t="s">
        <v>769</v>
      </c>
      <c r="G251" t="s">
        <v>645</v>
      </c>
      <c r="H251" s="7">
        <f t="shared" si="3"/>
        <v>1545.6875</v>
      </c>
      <c r="I251" s="7">
        <v>247.31</v>
      </c>
    </row>
    <row r="252" spans="1:9">
      <c r="A252" t="s">
        <v>3904</v>
      </c>
      <c r="B252" s="1">
        <v>42216</v>
      </c>
      <c r="C252" t="s">
        <v>3905</v>
      </c>
      <c r="D252">
        <v>1</v>
      </c>
      <c r="E252" t="s">
        <v>915</v>
      </c>
      <c r="F252" t="s">
        <v>915</v>
      </c>
      <c r="G252" s="139" t="s">
        <v>7403</v>
      </c>
      <c r="H252" s="7">
        <f t="shared" si="3"/>
        <v>693.9375</v>
      </c>
      <c r="I252" s="7">
        <v>111.03</v>
      </c>
    </row>
    <row r="253" spans="1:9">
      <c r="A253" t="s">
        <v>4043</v>
      </c>
      <c r="B253" s="1">
        <v>42216</v>
      </c>
      <c r="C253" t="s">
        <v>4044</v>
      </c>
      <c r="D253">
        <v>1</v>
      </c>
      <c r="E253" t="s">
        <v>915</v>
      </c>
      <c r="F253" t="s">
        <v>915</v>
      </c>
      <c r="G253" s="139" t="s">
        <v>7403</v>
      </c>
      <c r="H253" s="7">
        <f t="shared" si="3"/>
        <v>745.6875</v>
      </c>
      <c r="I253" s="7">
        <v>119.31</v>
      </c>
    </row>
    <row r="254" spans="1:9">
      <c r="A254" t="s">
        <v>3724</v>
      </c>
      <c r="B254" s="1">
        <v>42188</v>
      </c>
      <c r="C254" t="s">
        <v>3725</v>
      </c>
      <c r="D254">
        <v>1</v>
      </c>
      <c r="E254" t="s">
        <v>3726</v>
      </c>
      <c r="F254" t="s">
        <v>849</v>
      </c>
      <c r="G254" t="s">
        <v>3726</v>
      </c>
      <c r="H254" s="7">
        <f t="shared" si="3"/>
        <v>572101.5</v>
      </c>
      <c r="I254" s="7">
        <v>91536.24</v>
      </c>
    </row>
    <row r="255" spans="1:9">
      <c r="A255" t="s">
        <v>232</v>
      </c>
      <c r="B255" s="1">
        <v>42216</v>
      </c>
      <c r="C255" t="s">
        <v>4071</v>
      </c>
      <c r="D255">
        <v>1</v>
      </c>
      <c r="E255" t="s">
        <v>4072</v>
      </c>
      <c r="F255" t="s">
        <v>4072</v>
      </c>
      <c r="G255" s="139" t="s">
        <v>7423</v>
      </c>
      <c r="H255" s="7">
        <f t="shared" si="3"/>
        <v>150</v>
      </c>
      <c r="I255" s="7">
        <v>24</v>
      </c>
    </row>
    <row r="256" spans="1:9">
      <c r="A256" t="s">
        <v>247</v>
      </c>
      <c r="B256" s="1">
        <v>42216</v>
      </c>
      <c r="C256" t="s">
        <v>4076</v>
      </c>
      <c r="D256">
        <v>1</v>
      </c>
      <c r="E256" t="s">
        <v>1595</v>
      </c>
      <c r="F256" t="s">
        <v>1595</v>
      </c>
      <c r="G256" s="139" t="s">
        <v>7422</v>
      </c>
      <c r="H256" s="7">
        <f t="shared" si="3"/>
        <v>24.5</v>
      </c>
      <c r="I256" s="7">
        <v>3.92</v>
      </c>
    </row>
    <row r="257" spans="1:9">
      <c r="A257" t="s">
        <v>2658</v>
      </c>
      <c r="B257" s="1">
        <v>42208</v>
      </c>
      <c r="C257" t="s">
        <v>4173</v>
      </c>
      <c r="D257">
        <v>1</v>
      </c>
      <c r="E257" t="s">
        <v>1403</v>
      </c>
      <c r="F257" t="s">
        <v>1596</v>
      </c>
      <c r="G257" t="s">
        <v>1403</v>
      </c>
      <c r="H257" s="7">
        <f t="shared" si="3"/>
        <v>12274.0625</v>
      </c>
      <c r="I257" s="7">
        <v>1963.85</v>
      </c>
    </row>
    <row r="258" spans="1:9">
      <c r="A258" t="s">
        <v>3985</v>
      </c>
      <c r="B258" s="1">
        <v>42216</v>
      </c>
      <c r="C258" t="s">
        <v>3986</v>
      </c>
      <c r="D258">
        <v>1</v>
      </c>
      <c r="E258" t="s">
        <v>3987</v>
      </c>
      <c r="F258" t="s">
        <v>3987</v>
      </c>
      <c r="G258" s="139" t="s">
        <v>7421</v>
      </c>
      <c r="H258" s="7">
        <f t="shared" si="3"/>
        <v>1482.5625</v>
      </c>
      <c r="I258" s="7">
        <v>237.21</v>
      </c>
    </row>
    <row r="259" spans="1:9">
      <c r="A259" t="s">
        <v>3988</v>
      </c>
      <c r="B259" s="1">
        <v>42216</v>
      </c>
      <c r="C259" t="s">
        <v>3989</v>
      </c>
      <c r="D259">
        <v>1</v>
      </c>
      <c r="E259" t="s">
        <v>3987</v>
      </c>
      <c r="F259" t="s">
        <v>3987</v>
      </c>
      <c r="G259" s="139" t="s">
        <v>7421</v>
      </c>
      <c r="H259" s="7">
        <f t="shared" si="3"/>
        <v>1359.3125</v>
      </c>
      <c r="I259" s="7">
        <v>217.49</v>
      </c>
    </row>
    <row r="260" spans="1:9">
      <c r="A260" t="s">
        <v>2655</v>
      </c>
      <c r="B260" s="1">
        <v>42207</v>
      </c>
      <c r="C260" t="s">
        <v>3135</v>
      </c>
      <c r="D260">
        <v>2</v>
      </c>
      <c r="E260" t="s">
        <v>4170</v>
      </c>
      <c r="F260" t="s">
        <v>4218</v>
      </c>
      <c r="G260" t="s">
        <v>4170</v>
      </c>
      <c r="H260" s="7">
        <f t="shared" si="3"/>
        <v>10995</v>
      </c>
      <c r="I260" s="7">
        <v>1759.2</v>
      </c>
    </row>
    <row r="261" spans="1:9">
      <c r="A261" t="s">
        <v>1473</v>
      </c>
      <c r="B261" s="1">
        <v>42214</v>
      </c>
      <c r="C261" t="s">
        <v>3138</v>
      </c>
      <c r="D261">
        <v>2</v>
      </c>
      <c r="E261" t="s">
        <v>4170</v>
      </c>
      <c r="F261" t="s">
        <v>4218</v>
      </c>
      <c r="G261" t="s">
        <v>4170</v>
      </c>
      <c r="H261" s="7">
        <f t="shared" si="3"/>
        <v>539</v>
      </c>
      <c r="I261" s="7">
        <v>86.24</v>
      </c>
    </row>
    <row r="262" spans="1:9">
      <c r="A262" t="s">
        <v>4048</v>
      </c>
      <c r="B262" s="1">
        <v>42216</v>
      </c>
      <c r="C262" t="s">
        <v>4049</v>
      </c>
      <c r="D262">
        <v>1</v>
      </c>
      <c r="E262" t="s">
        <v>2700</v>
      </c>
      <c r="F262" t="s">
        <v>2700</v>
      </c>
      <c r="G262" s="139" t="s">
        <v>7420</v>
      </c>
      <c r="H262" s="7">
        <f t="shared" ref="H262:H325" si="4">+I262/0.16</f>
        <v>494.00000000000006</v>
      </c>
      <c r="I262" s="7">
        <v>79.040000000000006</v>
      </c>
    </row>
    <row r="263" spans="1:9">
      <c r="A263" t="s">
        <v>1388</v>
      </c>
      <c r="B263" s="1">
        <v>42207</v>
      </c>
      <c r="C263" t="s">
        <v>3111</v>
      </c>
      <c r="D263">
        <v>2</v>
      </c>
      <c r="E263" t="s">
        <v>2105</v>
      </c>
      <c r="F263" t="s">
        <v>2222</v>
      </c>
      <c r="G263" s="139" t="s">
        <v>3708</v>
      </c>
      <c r="H263" s="7">
        <f t="shared" si="4"/>
        <v>4020</v>
      </c>
      <c r="I263" s="7">
        <v>643.20000000000005</v>
      </c>
    </row>
    <row r="264" spans="1:9">
      <c r="A264" t="s">
        <v>3969</v>
      </c>
      <c r="B264" s="1">
        <v>42216</v>
      </c>
      <c r="C264" t="s">
        <v>3970</v>
      </c>
      <c r="D264">
        <v>1</v>
      </c>
      <c r="E264" t="s">
        <v>857</v>
      </c>
      <c r="F264" t="s">
        <v>857</v>
      </c>
      <c r="G264" s="139" t="s">
        <v>315</v>
      </c>
      <c r="H264" s="7">
        <f t="shared" si="4"/>
        <v>117.625</v>
      </c>
      <c r="I264" s="7">
        <v>18.82</v>
      </c>
    </row>
    <row r="265" spans="1:9">
      <c r="A265" t="s">
        <v>3971</v>
      </c>
      <c r="B265" s="1">
        <v>42216</v>
      </c>
      <c r="C265" t="s">
        <v>3972</v>
      </c>
      <c r="D265">
        <v>1</v>
      </c>
      <c r="E265" t="s">
        <v>857</v>
      </c>
      <c r="F265" t="s">
        <v>857</v>
      </c>
      <c r="G265" s="139" t="s">
        <v>315</v>
      </c>
      <c r="H265" s="7">
        <f t="shared" si="4"/>
        <v>30.375</v>
      </c>
      <c r="I265" s="7">
        <v>4.8600000000000003</v>
      </c>
    </row>
    <row r="266" spans="1:9">
      <c r="A266" t="s">
        <v>1333</v>
      </c>
      <c r="B266" s="1">
        <v>42186</v>
      </c>
      <c r="C266" t="s">
        <v>2627</v>
      </c>
      <c r="D266">
        <v>2</v>
      </c>
      <c r="E266" t="s">
        <v>457</v>
      </c>
      <c r="F266" t="s">
        <v>858</v>
      </c>
      <c r="G266" t="s">
        <v>457</v>
      </c>
      <c r="H266" s="7">
        <f t="shared" si="4"/>
        <v>12800</v>
      </c>
      <c r="I266" s="7">
        <v>2048</v>
      </c>
    </row>
    <row r="267" spans="1:9">
      <c r="A267" t="s">
        <v>1350</v>
      </c>
      <c r="B267" s="1">
        <v>42193</v>
      </c>
      <c r="C267" t="s">
        <v>2640</v>
      </c>
      <c r="D267">
        <v>2</v>
      </c>
      <c r="E267" t="s">
        <v>457</v>
      </c>
      <c r="F267" t="s">
        <v>858</v>
      </c>
      <c r="G267" t="s">
        <v>457</v>
      </c>
      <c r="H267" s="7">
        <f t="shared" si="4"/>
        <v>23000</v>
      </c>
      <c r="I267" s="7">
        <v>3680</v>
      </c>
    </row>
    <row r="268" spans="1:9">
      <c r="A268" t="s">
        <v>1396</v>
      </c>
      <c r="B268" s="1">
        <v>42207</v>
      </c>
      <c r="C268" t="s">
        <v>3120</v>
      </c>
      <c r="D268">
        <v>2</v>
      </c>
      <c r="E268" t="s">
        <v>457</v>
      </c>
      <c r="F268" t="s">
        <v>858</v>
      </c>
      <c r="G268" t="s">
        <v>457</v>
      </c>
      <c r="H268" s="7">
        <f t="shared" si="4"/>
        <v>6400</v>
      </c>
      <c r="I268" s="7">
        <v>1024</v>
      </c>
    </row>
    <row r="269" spans="1:9">
      <c r="A269" t="s">
        <v>2165</v>
      </c>
      <c r="B269" s="1">
        <v>42214</v>
      </c>
      <c r="C269" t="s">
        <v>3137</v>
      </c>
      <c r="D269">
        <v>2</v>
      </c>
      <c r="E269" t="s">
        <v>457</v>
      </c>
      <c r="F269" t="s">
        <v>858</v>
      </c>
      <c r="G269" t="s">
        <v>457</v>
      </c>
      <c r="H269" s="7">
        <f t="shared" si="4"/>
        <v>9500</v>
      </c>
      <c r="I269" s="7">
        <v>1520</v>
      </c>
    </row>
    <row r="270" spans="1:9">
      <c r="A270" t="s">
        <v>437</v>
      </c>
      <c r="B270" s="1">
        <v>42186</v>
      </c>
      <c r="C270" t="s">
        <v>4102</v>
      </c>
      <c r="D270">
        <v>1</v>
      </c>
      <c r="E270" t="s">
        <v>457</v>
      </c>
      <c r="F270" t="s">
        <v>858</v>
      </c>
      <c r="G270" t="s">
        <v>457</v>
      </c>
      <c r="H270" s="7">
        <f t="shared" si="4"/>
        <v>1171.625</v>
      </c>
      <c r="I270" s="7">
        <v>187.46</v>
      </c>
    </row>
    <row r="271" spans="1:9">
      <c r="A271" t="s">
        <v>4009</v>
      </c>
      <c r="B271" s="1">
        <v>42216</v>
      </c>
      <c r="C271" t="s">
        <v>4010</v>
      </c>
      <c r="D271">
        <v>1</v>
      </c>
      <c r="E271" t="s">
        <v>706</v>
      </c>
      <c r="F271" t="s">
        <v>706</v>
      </c>
      <c r="G271" s="139" t="s">
        <v>299</v>
      </c>
      <c r="H271" s="7">
        <f t="shared" si="4"/>
        <v>104.75000000000001</v>
      </c>
      <c r="I271" s="7">
        <v>16.760000000000002</v>
      </c>
    </row>
    <row r="272" spans="1:9">
      <c r="A272" t="s">
        <v>3904</v>
      </c>
      <c r="B272" s="1">
        <v>42216</v>
      </c>
      <c r="C272" t="s">
        <v>3905</v>
      </c>
      <c r="D272">
        <v>1</v>
      </c>
      <c r="E272" t="s">
        <v>929</v>
      </c>
      <c r="F272" t="s">
        <v>929</v>
      </c>
      <c r="G272" s="139" t="s">
        <v>4038</v>
      </c>
      <c r="H272" s="7">
        <f t="shared" si="4"/>
        <v>69</v>
      </c>
      <c r="I272" s="7">
        <v>11.04</v>
      </c>
    </row>
    <row r="273" spans="1:9">
      <c r="A273" t="s">
        <v>3909</v>
      </c>
      <c r="B273" s="1">
        <v>42216</v>
      </c>
      <c r="C273" t="s">
        <v>3910</v>
      </c>
      <c r="D273">
        <v>1</v>
      </c>
      <c r="E273" t="s">
        <v>929</v>
      </c>
      <c r="F273" t="s">
        <v>929</v>
      </c>
      <c r="G273" s="139" t="s">
        <v>4038</v>
      </c>
      <c r="H273" s="7">
        <f t="shared" si="4"/>
        <v>69</v>
      </c>
      <c r="I273" s="7">
        <v>11.04</v>
      </c>
    </row>
    <row r="274" spans="1:9">
      <c r="A274" t="s">
        <v>4031</v>
      </c>
      <c r="B274" s="1">
        <v>42216</v>
      </c>
      <c r="C274" t="s">
        <v>4032</v>
      </c>
      <c r="D274">
        <v>1</v>
      </c>
      <c r="E274" t="s">
        <v>929</v>
      </c>
      <c r="F274" t="s">
        <v>929</v>
      </c>
      <c r="G274" s="139" t="s">
        <v>4038</v>
      </c>
      <c r="H274" s="7">
        <f t="shared" si="4"/>
        <v>69</v>
      </c>
      <c r="I274" s="7">
        <v>11.04</v>
      </c>
    </row>
    <row r="275" spans="1:9">
      <c r="A275" t="s">
        <v>1326</v>
      </c>
      <c r="B275" s="1">
        <v>42186</v>
      </c>
      <c r="C275" t="s">
        <v>2623</v>
      </c>
      <c r="D275">
        <v>2</v>
      </c>
      <c r="E275" t="s">
        <v>474</v>
      </c>
      <c r="F275" t="s">
        <v>860</v>
      </c>
      <c r="G275" t="s">
        <v>474</v>
      </c>
      <c r="H275" s="7">
        <f t="shared" si="4"/>
        <v>400</v>
      </c>
      <c r="I275" s="7">
        <v>64</v>
      </c>
    </row>
    <row r="276" spans="1:9">
      <c r="A276" t="s">
        <v>1383</v>
      </c>
      <c r="B276" s="1">
        <v>42207</v>
      </c>
      <c r="C276" t="s">
        <v>2650</v>
      </c>
      <c r="D276">
        <v>2</v>
      </c>
      <c r="E276" t="s">
        <v>474</v>
      </c>
      <c r="F276" t="s">
        <v>860</v>
      </c>
      <c r="G276" t="s">
        <v>474</v>
      </c>
      <c r="H276" s="7">
        <f t="shared" si="4"/>
        <v>3300</v>
      </c>
      <c r="I276" s="7">
        <v>528</v>
      </c>
    </row>
    <row r="277" spans="1:9">
      <c r="A277" t="s">
        <v>1456</v>
      </c>
      <c r="B277" s="1">
        <v>42214</v>
      </c>
      <c r="C277" t="s">
        <v>4181</v>
      </c>
      <c r="D277">
        <v>2</v>
      </c>
      <c r="E277" t="s">
        <v>474</v>
      </c>
      <c r="F277" t="s">
        <v>860</v>
      </c>
      <c r="G277" t="s">
        <v>474</v>
      </c>
      <c r="H277" s="7">
        <f t="shared" si="4"/>
        <v>600</v>
      </c>
      <c r="I277" s="7">
        <v>96</v>
      </c>
    </row>
    <row r="278" spans="1:9">
      <c r="A278" t="s">
        <v>1359</v>
      </c>
      <c r="B278" s="1">
        <v>42193</v>
      </c>
      <c r="C278" t="s">
        <v>4126</v>
      </c>
      <c r="D278">
        <v>2</v>
      </c>
      <c r="E278" t="s">
        <v>474</v>
      </c>
      <c r="F278" t="s">
        <v>860</v>
      </c>
      <c r="G278" t="s">
        <v>474</v>
      </c>
      <c r="H278" s="7">
        <f t="shared" si="4"/>
        <v>3000</v>
      </c>
      <c r="I278" s="7">
        <v>480</v>
      </c>
    </row>
    <row r="279" spans="1:9">
      <c r="A279" t="s">
        <v>4061</v>
      </c>
      <c r="B279" s="1">
        <v>42216</v>
      </c>
      <c r="C279" t="s">
        <v>4062</v>
      </c>
      <c r="D279">
        <v>1</v>
      </c>
      <c r="E279" t="s">
        <v>2222</v>
      </c>
      <c r="F279" t="s">
        <v>2222</v>
      </c>
      <c r="G279" s="139" t="s">
        <v>3708</v>
      </c>
      <c r="H279" s="7">
        <f t="shared" si="4"/>
        <v>150</v>
      </c>
      <c r="I279" s="7">
        <v>24</v>
      </c>
    </row>
    <row r="280" spans="1:9">
      <c r="A280" t="s">
        <v>3109</v>
      </c>
      <c r="B280" s="1">
        <v>42186</v>
      </c>
      <c r="C280" t="s">
        <v>4103</v>
      </c>
      <c r="D280">
        <v>1</v>
      </c>
      <c r="E280" t="s">
        <v>2660</v>
      </c>
      <c r="F280" t="s">
        <v>2701</v>
      </c>
      <c r="G280" t="s">
        <v>2660</v>
      </c>
      <c r="H280" s="7">
        <f t="shared" si="4"/>
        <v>2179.5</v>
      </c>
      <c r="I280" s="7">
        <v>348.72</v>
      </c>
    </row>
    <row r="281" spans="1:9">
      <c r="A281" t="s">
        <v>4043</v>
      </c>
      <c r="B281" s="1">
        <v>42216</v>
      </c>
      <c r="C281" t="s">
        <v>4044</v>
      </c>
      <c r="D281">
        <v>1</v>
      </c>
      <c r="E281" t="s">
        <v>4045</v>
      </c>
      <c r="F281" t="s">
        <v>4045</v>
      </c>
      <c r="G281" t="s">
        <v>7419</v>
      </c>
      <c r="H281" s="7">
        <f t="shared" si="4"/>
        <v>335.5</v>
      </c>
      <c r="I281" s="7">
        <v>53.68</v>
      </c>
    </row>
    <row r="282" spans="1:9">
      <c r="A282" t="s">
        <v>3170</v>
      </c>
      <c r="B282" s="1">
        <v>42207</v>
      </c>
      <c r="C282" t="s">
        <v>4160</v>
      </c>
      <c r="D282">
        <v>1</v>
      </c>
      <c r="E282" t="s">
        <v>1649</v>
      </c>
      <c r="F282" t="s">
        <v>1648</v>
      </c>
      <c r="G282" t="s">
        <v>1649</v>
      </c>
      <c r="H282" s="7">
        <f t="shared" si="4"/>
        <v>419.9375</v>
      </c>
      <c r="I282" s="7">
        <v>67.19</v>
      </c>
    </row>
    <row r="283" spans="1:9">
      <c r="A283" t="s">
        <v>4019</v>
      </c>
      <c r="B283" s="1">
        <v>42216</v>
      </c>
      <c r="C283" t="s">
        <v>4020</v>
      </c>
      <c r="D283">
        <v>1</v>
      </c>
      <c r="E283" t="s">
        <v>4022</v>
      </c>
      <c r="F283" t="s">
        <v>945</v>
      </c>
      <c r="G283" t="s">
        <v>4022</v>
      </c>
      <c r="H283" s="7">
        <f t="shared" si="4"/>
        <v>546.5625</v>
      </c>
      <c r="I283" s="7">
        <v>87.45</v>
      </c>
    </row>
    <row r="284" spans="1:9">
      <c r="A284" t="s">
        <v>2632</v>
      </c>
      <c r="B284" s="1">
        <v>42200</v>
      </c>
      <c r="C284" t="s">
        <v>4139</v>
      </c>
      <c r="D284">
        <v>1</v>
      </c>
      <c r="E284" t="s">
        <v>967</v>
      </c>
      <c r="F284" t="s">
        <v>863</v>
      </c>
      <c r="G284" s="139" t="s">
        <v>331</v>
      </c>
      <c r="H284" s="7">
        <f t="shared" si="4"/>
        <v>13610.749999999998</v>
      </c>
      <c r="I284" s="7">
        <v>2177.7199999999998</v>
      </c>
    </row>
    <row r="285" spans="1:9">
      <c r="A285" t="s">
        <v>3896</v>
      </c>
      <c r="B285" s="1">
        <v>42216</v>
      </c>
      <c r="C285" t="s">
        <v>3897</v>
      </c>
      <c r="D285">
        <v>1</v>
      </c>
      <c r="E285" t="s">
        <v>883</v>
      </c>
      <c r="F285" t="s">
        <v>883</v>
      </c>
      <c r="G285" s="139" t="s">
        <v>884</v>
      </c>
      <c r="H285" s="7">
        <f t="shared" si="4"/>
        <v>703.9375</v>
      </c>
      <c r="I285" s="7">
        <v>112.63</v>
      </c>
    </row>
    <row r="286" spans="1:9">
      <c r="A286" t="s">
        <v>3899</v>
      </c>
      <c r="B286" s="1">
        <v>42216</v>
      </c>
      <c r="C286" t="s">
        <v>3900</v>
      </c>
      <c r="D286">
        <v>1</v>
      </c>
      <c r="E286" t="s">
        <v>883</v>
      </c>
      <c r="F286" t="s">
        <v>883</v>
      </c>
      <c r="G286" s="139" t="s">
        <v>884</v>
      </c>
      <c r="H286" s="7">
        <f t="shared" si="4"/>
        <v>682.9375</v>
      </c>
      <c r="I286" s="7">
        <v>109.27</v>
      </c>
    </row>
    <row r="287" spans="1:9">
      <c r="A287" t="s">
        <v>3983</v>
      </c>
      <c r="B287" s="1">
        <v>42216</v>
      </c>
      <c r="C287" t="s">
        <v>3984</v>
      </c>
      <c r="D287">
        <v>1</v>
      </c>
      <c r="E287" t="s">
        <v>853</v>
      </c>
      <c r="F287" t="s">
        <v>853</v>
      </c>
      <c r="G287" s="139" t="s">
        <v>297</v>
      </c>
      <c r="H287" s="7">
        <f t="shared" si="4"/>
        <v>409.99999999999994</v>
      </c>
      <c r="I287" s="7">
        <v>65.599999999999994</v>
      </c>
    </row>
    <row r="288" spans="1:9">
      <c r="A288" t="s">
        <v>3927</v>
      </c>
      <c r="B288" s="1">
        <v>42216</v>
      </c>
      <c r="C288" t="s">
        <v>3928</v>
      </c>
      <c r="D288">
        <v>1</v>
      </c>
      <c r="E288" t="s">
        <v>1603</v>
      </c>
      <c r="F288" t="s">
        <v>1603</v>
      </c>
      <c r="G288" s="139" t="s">
        <v>7417</v>
      </c>
      <c r="H288" s="7">
        <f t="shared" si="4"/>
        <v>29.499999999999996</v>
      </c>
      <c r="I288" s="7">
        <v>4.72</v>
      </c>
    </row>
    <row r="289" spans="1:9">
      <c r="A289" t="s">
        <v>3119</v>
      </c>
      <c r="B289" s="1">
        <v>42186</v>
      </c>
      <c r="C289" t="s">
        <v>2631</v>
      </c>
      <c r="D289">
        <v>2</v>
      </c>
      <c r="E289" t="s">
        <v>1501</v>
      </c>
      <c r="F289" t="s">
        <v>1604</v>
      </c>
      <c r="G289" t="s">
        <v>1501</v>
      </c>
      <c r="H289" s="7">
        <f t="shared" si="4"/>
        <v>2000</v>
      </c>
      <c r="I289" s="7">
        <v>320</v>
      </c>
    </row>
    <row r="290" spans="1:9">
      <c r="A290" t="s">
        <v>1394</v>
      </c>
      <c r="B290" s="1">
        <v>42207</v>
      </c>
      <c r="C290" t="s">
        <v>3116</v>
      </c>
      <c r="D290">
        <v>2</v>
      </c>
      <c r="E290" t="s">
        <v>1501</v>
      </c>
      <c r="F290" t="s">
        <v>1604</v>
      </c>
      <c r="G290" t="s">
        <v>1501</v>
      </c>
      <c r="H290" s="7">
        <f t="shared" si="4"/>
        <v>5100</v>
      </c>
      <c r="I290" s="7">
        <v>816</v>
      </c>
    </row>
    <row r="291" spans="1:9">
      <c r="A291" t="s">
        <v>3957</v>
      </c>
      <c r="B291" s="1">
        <v>42216</v>
      </c>
      <c r="C291" t="s">
        <v>3958</v>
      </c>
      <c r="D291">
        <v>1</v>
      </c>
      <c r="E291" t="s">
        <v>3959</v>
      </c>
      <c r="F291" t="s">
        <v>3959</v>
      </c>
      <c r="G291" t="s">
        <v>7418</v>
      </c>
      <c r="H291" s="7">
        <f t="shared" si="4"/>
        <v>419.37499999999994</v>
      </c>
      <c r="I291" s="7">
        <v>67.099999999999994</v>
      </c>
    </row>
    <row r="292" spans="1:9">
      <c r="A292" t="s">
        <v>3619</v>
      </c>
      <c r="B292" s="1">
        <v>42208</v>
      </c>
      <c r="C292" t="s">
        <v>4171</v>
      </c>
      <c r="D292">
        <v>1</v>
      </c>
      <c r="E292" t="s">
        <v>517</v>
      </c>
      <c r="F292" t="s">
        <v>867</v>
      </c>
      <c r="G292" t="s">
        <v>517</v>
      </c>
      <c r="H292" s="7">
        <f t="shared" si="4"/>
        <v>306187</v>
      </c>
      <c r="I292" s="7">
        <v>48989.919999999998</v>
      </c>
    </row>
    <row r="293" spans="1:9">
      <c r="A293" t="s">
        <v>4029</v>
      </c>
      <c r="B293" s="1">
        <v>42216</v>
      </c>
      <c r="C293" t="s">
        <v>4030</v>
      </c>
      <c r="D293">
        <v>1</v>
      </c>
      <c r="E293" t="s">
        <v>780</v>
      </c>
      <c r="F293" t="s">
        <v>780</v>
      </c>
      <c r="G293" s="139" t="s">
        <v>7408</v>
      </c>
      <c r="H293" s="7">
        <f t="shared" si="4"/>
        <v>353.4375</v>
      </c>
      <c r="I293" s="7">
        <v>56.55</v>
      </c>
    </row>
    <row r="294" spans="1:9">
      <c r="A294" t="s">
        <v>4050</v>
      </c>
      <c r="B294" s="1">
        <v>42216</v>
      </c>
      <c r="C294" t="s">
        <v>4051</v>
      </c>
      <c r="D294">
        <v>1</v>
      </c>
      <c r="E294" t="s">
        <v>780</v>
      </c>
      <c r="F294" t="s">
        <v>780</v>
      </c>
      <c r="G294" s="139" t="s">
        <v>7408</v>
      </c>
      <c r="H294" s="7">
        <f t="shared" si="4"/>
        <v>335.5625</v>
      </c>
      <c r="I294" s="7">
        <v>53.69</v>
      </c>
    </row>
    <row r="295" spans="1:9">
      <c r="A295" t="s">
        <v>2120</v>
      </c>
      <c r="B295" s="1">
        <v>42206</v>
      </c>
      <c r="C295" t="s">
        <v>4154</v>
      </c>
      <c r="D295">
        <v>1</v>
      </c>
      <c r="E295" t="s">
        <v>436</v>
      </c>
      <c r="F295" t="s">
        <v>868</v>
      </c>
      <c r="G295" t="s">
        <v>436</v>
      </c>
      <c r="H295" s="7">
        <f t="shared" si="4"/>
        <v>10876.3125</v>
      </c>
      <c r="I295" s="7">
        <v>1740.21</v>
      </c>
    </row>
    <row r="296" spans="1:9">
      <c r="A296" t="s">
        <v>2123</v>
      </c>
      <c r="B296" s="1">
        <v>42206</v>
      </c>
      <c r="C296" t="s">
        <v>4155</v>
      </c>
      <c r="D296">
        <v>1</v>
      </c>
      <c r="E296" t="s">
        <v>436</v>
      </c>
      <c r="F296" t="s">
        <v>868</v>
      </c>
      <c r="G296" t="s">
        <v>436</v>
      </c>
      <c r="H296" s="7">
        <f t="shared" si="4"/>
        <v>6445</v>
      </c>
      <c r="I296" s="7">
        <v>1031.2</v>
      </c>
    </row>
    <row r="297" spans="1:9">
      <c r="A297" t="s">
        <v>3904</v>
      </c>
      <c r="B297" s="1">
        <v>42216</v>
      </c>
      <c r="C297" t="s">
        <v>3905</v>
      </c>
      <c r="D297">
        <v>1</v>
      </c>
      <c r="E297" t="s">
        <v>947</v>
      </c>
      <c r="F297" t="s">
        <v>947</v>
      </c>
      <c r="G297" s="139" t="s">
        <v>948</v>
      </c>
      <c r="H297" s="7">
        <f t="shared" si="4"/>
        <v>419.37499999999994</v>
      </c>
      <c r="I297" s="7">
        <v>67.099999999999994</v>
      </c>
    </row>
    <row r="298" spans="1:9">
      <c r="A298" t="s">
        <v>3943</v>
      </c>
      <c r="B298" s="1">
        <v>42216</v>
      </c>
      <c r="C298" t="s">
        <v>3944</v>
      </c>
      <c r="D298">
        <v>1</v>
      </c>
      <c r="E298" t="s">
        <v>2767</v>
      </c>
      <c r="F298" t="s">
        <v>2767</v>
      </c>
      <c r="G298" s="139" t="s">
        <v>7395</v>
      </c>
      <c r="H298" s="7">
        <f t="shared" si="4"/>
        <v>387.9375</v>
      </c>
      <c r="I298" s="7">
        <v>62.07</v>
      </c>
    </row>
    <row r="299" spans="1:9">
      <c r="A299" t="s">
        <v>4019</v>
      </c>
      <c r="B299" s="1">
        <v>42216</v>
      </c>
      <c r="C299" t="s">
        <v>4020</v>
      </c>
      <c r="D299">
        <v>1</v>
      </c>
      <c r="E299" t="s">
        <v>4023</v>
      </c>
      <c r="F299" t="s">
        <v>947</v>
      </c>
      <c r="G299" t="s">
        <v>4023</v>
      </c>
      <c r="H299" s="7">
        <f t="shared" si="4"/>
        <v>335.5625</v>
      </c>
      <c r="I299" s="7">
        <v>53.69</v>
      </c>
    </row>
    <row r="300" spans="1:9">
      <c r="A300" t="s">
        <v>3768</v>
      </c>
      <c r="B300" s="1">
        <v>42203</v>
      </c>
      <c r="C300" t="s">
        <v>3769</v>
      </c>
      <c r="D300">
        <v>1</v>
      </c>
      <c r="E300" t="s">
        <v>1015</v>
      </c>
      <c r="F300" t="s">
        <v>3237</v>
      </c>
      <c r="G300" t="s">
        <v>1015</v>
      </c>
      <c r="H300" s="7">
        <f t="shared" si="4"/>
        <v>275488.4375</v>
      </c>
      <c r="I300" s="7">
        <v>44078.15</v>
      </c>
    </row>
    <row r="301" spans="1:9">
      <c r="A301" t="s">
        <v>3795</v>
      </c>
      <c r="B301" s="1">
        <v>42207</v>
      </c>
      <c r="C301" t="s">
        <v>3796</v>
      </c>
      <c r="D301">
        <v>1</v>
      </c>
      <c r="E301" t="s">
        <v>1015</v>
      </c>
      <c r="F301" t="s">
        <v>3237</v>
      </c>
      <c r="G301" t="s">
        <v>1015</v>
      </c>
      <c r="H301" s="7">
        <f t="shared" si="4"/>
        <v>275488.4375</v>
      </c>
      <c r="I301" s="7">
        <v>44078.15</v>
      </c>
    </row>
    <row r="302" spans="1:9">
      <c r="A302" t="s">
        <v>2015</v>
      </c>
      <c r="B302" s="1">
        <v>42207</v>
      </c>
      <c r="C302" t="s">
        <v>3545</v>
      </c>
      <c r="D302">
        <v>1</v>
      </c>
      <c r="E302" t="s">
        <v>3888</v>
      </c>
      <c r="F302" t="s">
        <v>799</v>
      </c>
      <c r="G302" t="s">
        <v>3888</v>
      </c>
      <c r="H302" s="7">
        <f t="shared" si="4"/>
        <v>402.56249999999994</v>
      </c>
      <c r="I302" s="7">
        <v>64.41</v>
      </c>
    </row>
    <row r="303" spans="1:9">
      <c r="A303" t="s">
        <v>3804</v>
      </c>
      <c r="B303" s="1">
        <v>42209</v>
      </c>
      <c r="C303" t="s">
        <v>2338</v>
      </c>
      <c r="D303">
        <v>1</v>
      </c>
      <c r="E303" t="s">
        <v>0</v>
      </c>
      <c r="F303" t="s">
        <v>799</v>
      </c>
      <c r="G303" t="s">
        <v>0</v>
      </c>
      <c r="H303" s="7">
        <f t="shared" si="4"/>
        <v>-402861.5625</v>
      </c>
      <c r="I303" s="7">
        <v>-64457.85</v>
      </c>
    </row>
    <row r="304" spans="1:9">
      <c r="A304" t="s">
        <v>3733</v>
      </c>
      <c r="B304" s="1">
        <v>42192</v>
      </c>
      <c r="C304" t="s">
        <v>3734</v>
      </c>
      <c r="D304">
        <v>1</v>
      </c>
      <c r="E304" t="s">
        <v>0</v>
      </c>
      <c r="F304" t="s">
        <v>799</v>
      </c>
      <c r="G304" t="s">
        <v>0</v>
      </c>
      <c r="H304" s="7">
        <f t="shared" si="4"/>
        <v>149115.9375</v>
      </c>
      <c r="I304" s="7">
        <v>23858.55</v>
      </c>
    </row>
    <row r="305" spans="1:9">
      <c r="A305" t="s">
        <v>3742</v>
      </c>
      <c r="B305" s="1">
        <v>42194</v>
      </c>
      <c r="C305" t="s">
        <v>3743</v>
      </c>
      <c r="D305">
        <v>1</v>
      </c>
      <c r="E305" t="s">
        <v>0</v>
      </c>
      <c r="F305" t="s">
        <v>799</v>
      </c>
      <c r="G305" t="s">
        <v>0</v>
      </c>
      <c r="H305" s="7">
        <f t="shared" si="4"/>
        <v>302316.0625</v>
      </c>
      <c r="I305" s="7">
        <v>48370.57</v>
      </c>
    </row>
    <row r="306" spans="1:9">
      <c r="A306" t="s">
        <v>108</v>
      </c>
      <c r="B306" s="1">
        <v>42203</v>
      </c>
      <c r="C306" t="s">
        <v>3744</v>
      </c>
      <c r="D306">
        <v>1</v>
      </c>
      <c r="E306" t="s">
        <v>0</v>
      </c>
      <c r="F306" t="s">
        <v>799</v>
      </c>
      <c r="G306" t="s">
        <v>0</v>
      </c>
      <c r="H306" s="7">
        <f t="shared" si="4"/>
        <v>209523.37499999997</v>
      </c>
      <c r="I306" s="7">
        <v>33523.74</v>
      </c>
    </row>
    <row r="307" spans="1:9">
      <c r="A307" t="s">
        <v>3745</v>
      </c>
      <c r="B307" s="1">
        <v>42196</v>
      </c>
      <c r="C307" t="s">
        <v>3746</v>
      </c>
      <c r="D307">
        <v>1</v>
      </c>
      <c r="E307" t="s">
        <v>0</v>
      </c>
      <c r="F307" t="s">
        <v>799</v>
      </c>
      <c r="G307" t="s">
        <v>0</v>
      </c>
      <c r="H307" s="7">
        <f t="shared" si="4"/>
        <v>226534.375</v>
      </c>
      <c r="I307" s="7">
        <v>36245.5</v>
      </c>
    </row>
    <row r="308" spans="1:9">
      <c r="A308" t="s">
        <v>3747</v>
      </c>
      <c r="B308" s="1">
        <v>42196</v>
      </c>
      <c r="C308" t="s">
        <v>3748</v>
      </c>
      <c r="D308">
        <v>1</v>
      </c>
      <c r="E308" t="s">
        <v>0</v>
      </c>
      <c r="F308" t="s">
        <v>799</v>
      </c>
      <c r="G308" t="s">
        <v>0</v>
      </c>
      <c r="H308" s="7">
        <f t="shared" si="4"/>
        <v>191435.0625</v>
      </c>
      <c r="I308" s="7">
        <v>30629.61</v>
      </c>
    </row>
    <row r="309" spans="1:9">
      <c r="A309" t="s">
        <v>3755</v>
      </c>
      <c r="B309" s="1">
        <v>42200</v>
      </c>
      <c r="C309" t="s">
        <v>3756</v>
      </c>
      <c r="D309">
        <v>1</v>
      </c>
      <c r="E309" t="s">
        <v>0</v>
      </c>
      <c r="F309" t="s">
        <v>799</v>
      </c>
      <c r="G309" t="s">
        <v>0</v>
      </c>
      <c r="H309" s="7">
        <f t="shared" si="4"/>
        <v>482093.5625</v>
      </c>
      <c r="I309" s="7">
        <v>77134.97</v>
      </c>
    </row>
    <row r="310" spans="1:9">
      <c r="A310" t="s">
        <v>3758</v>
      </c>
      <c r="B310" s="1">
        <v>42201</v>
      </c>
      <c r="C310" t="s">
        <v>3759</v>
      </c>
      <c r="D310">
        <v>1</v>
      </c>
      <c r="E310" t="s">
        <v>0</v>
      </c>
      <c r="F310" t="s">
        <v>799</v>
      </c>
      <c r="G310" t="s">
        <v>0</v>
      </c>
      <c r="H310" s="7">
        <f t="shared" si="4"/>
        <v>149115.9375</v>
      </c>
      <c r="I310" s="7">
        <v>23858.55</v>
      </c>
    </row>
    <row r="311" spans="1:9">
      <c r="A311" t="s">
        <v>3764</v>
      </c>
      <c r="B311" s="1">
        <v>42201</v>
      </c>
      <c r="C311" t="s">
        <v>3765</v>
      </c>
      <c r="D311">
        <v>1</v>
      </c>
      <c r="E311" t="s">
        <v>0</v>
      </c>
      <c r="F311" t="s">
        <v>799</v>
      </c>
      <c r="G311" t="s">
        <v>0</v>
      </c>
      <c r="H311" s="7">
        <f t="shared" si="4"/>
        <v>156876.1875</v>
      </c>
      <c r="I311" s="7">
        <v>25100.19</v>
      </c>
    </row>
    <row r="312" spans="1:9">
      <c r="A312" t="s">
        <v>3762</v>
      </c>
      <c r="B312" s="1">
        <v>42201</v>
      </c>
      <c r="C312" t="s">
        <v>3763</v>
      </c>
      <c r="D312">
        <v>1</v>
      </c>
      <c r="E312" t="s">
        <v>0</v>
      </c>
      <c r="F312" t="s">
        <v>799</v>
      </c>
      <c r="G312" t="s">
        <v>0</v>
      </c>
      <c r="H312" s="7">
        <f t="shared" si="4"/>
        <v>156876.1875</v>
      </c>
      <c r="I312" s="7">
        <v>25100.19</v>
      </c>
    </row>
    <row r="313" spans="1:9">
      <c r="A313" t="s">
        <v>3760</v>
      </c>
      <c r="B313" s="1">
        <v>42201</v>
      </c>
      <c r="C313" t="s">
        <v>3761</v>
      </c>
      <c r="D313">
        <v>1</v>
      </c>
      <c r="E313" t="s">
        <v>0</v>
      </c>
      <c r="F313" t="s">
        <v>799</v>
      </c>
      <c r="G313" t="s">
        <v>0</v>
      </c>
      <c r="H313" s="7">
        <f t="shared" si="4"/>
        <v>156876.1875</v>
      </c>
      <c r="I313" s="7">
        <v>25100.19</v>
      </c>
    </row>
    <row r="314" spans="1:9">
      <c r="A314" t="s">
        <v>3766</v>
      </c>
      <c r="B314" s="1">
        <v>42202</v>
      </c>
      <c r="C314" t="s">
        <v>3767</v>
      </c>
      <c r="D314">
        <v>1</v>
      </c>
      <c r="E314" t="s">
        <v>0</v>
      </c>
      <c r="F314" t="s">
        <v>799</v>
      </c>
      <c r="G314" t="s">
        <v>0</v>
      </c>
      <c r="H314" s="7">
        <f t="shared" si="4"/>
        <v>209523.37499999997</v>
      </c>
      <c r="I314" s="7">
        <v>33523.74</v>
      </c>
    </row>
    <row r="315" spans="1:9">
      <c r="A315" t="s">
        <v>3771</v>
      </c>
      <c r="B315" s="1">
        <v>42205</v>
      </c>
      <c r="C315" t="s">
        <v>3772</v>
      </c>
      <c r="D315">
        <v>1</v>
      </c>
      <c r="E315" t="s">
        <v>0</v>
      </c>
      <c r="F315" t="s">
        <v>799</v>
      </c>
      <c r="G315" t="s">
        <v>0</v>
      </c>
      <c r="H315" s="7">
        <f t="shared" si="4"/>
        <v>209521.625</v>
      </c>
      <c r="I315" s="7">
        <v>33523.46</v>
      </c>
    </row>
    <row r="316" spans="1:9">
      <c r="A316" t="s">
        <v>3773</v>
      </c>
      <c r="B316" s="1">
        <v>42205</v>
      </c>
      <c r="C316" t="s">
        <v>3774</v>
      </c>
      <c r="D316">
        <v>1</v>
      </c>
      <c r="E316" t="s">
        <v>0</v>
      </c>
      <c r="F316" t="s">
        <v>799</v>
      </c>
      <c r="G316" t="s">
        <v>0</v>
      </c>
      <c r="H316" s="7">
        <f t="shared" si="4"/>
        <v>264980</v>
      </c>
      <c r="I316" s="7">
        <v>42396.800000000003</v>
      </c>
    </row>
    <row r="317" spans="1:9">
      <c r="A317" t="s">
        <v>3775</v>
      </c>
      <c r="B317" s="1">
        <v>42206</v>
      </c>
      <c r="C317" t="s">
        <v>3776</v>
      </c>
      <c r="D317">
        <v>1</v>
      </c>
      <c r="E317" t="s">
        <v>0</v>
      </c>
      <c r="F317" t="s">
        <v>799</v>
      </c>
      <c r="G317" t="s">
        <v>0</v>
      </c>
      <c r="H317" s="7">
        <f t="shared" si="4"/>
        <v>303975.125</v>
      </c>
      <c r="I317" s="7">
        <v>48636.02</v>
      </c>
    </row>
    <row r="318" spans="1:9">
      <c r="A318" t="s">
        <v>1064</v>
      </c>
      <c r="B318" s="1">
        <v>42206</v>
      </c>
      <c r="C318" t="s">
        <v>3783</v>
      </c>
      <c r="D318">
        <v>1</v>
      </c>
      <c r="E318" t="s">
        <v>0</v>
      </c>
      <c r="F318" t="s">
        <v>799</v>
      </c>
      <c r="G318" t="s">
        <v>0</v>
      </c>
      <c r="H318" s="7">
        <f t="shared" si="4"/>
        <v>149115.9375</v>
      </c>
      <c r="I318" s="7">
        <v>23858.55</v>
      </c>
    </row>
    <row r="319" spans="1:9">
      <c r="A319" t="s">
        <v>3784</v>
      </c>
      <c r="B319" s="1">
        <v>42207</v>
      </c>
      <c r="C319" t="s">
        <v>3785</v>
      </c>
      <c r="D319">
        <v>1</v>
      </c>
      <c r="E319" t="s">
        <v>0</v>
      </c>
      <c r="F319" t="s">
        <v>799</v>
      </c>
      <c r="G319" t="s">
        <v>0</v>
      </c>
      <c r="H319" s="7">
        <f t="shared" si="4"/>
        <v>303976.8125</v>
      </c>
      <c r="I319" s="7">
        <v>48636.29</v>
      </c>
    </row>
    <row r="320" spans="1:9">
      <c r="A320" t="s">
        <v>3797</v>
      </c>
      <c r="B320" s="1">
        <v>42207</v>
      </c>
      <c r="C320" t="s">
        <v>3798</v>
      </c>
      <c r="D320">
        <v>1</v>
      </c>
      <c r="E320" t="s">
        <v>0</v>
      </c>
      <c r="F320" t="s">
        <v>799</v>
      </c>
      <c r="G320" t="s">
        <v>0</v>
      </c>
      <c r="H320" s="7">
        <f t="shared" si="4"/>
        <v>242048.9375</v>
      </c>
      <c r="I320" s="7">
        <v>38727.83</v>
      </c>
    </row>
    <row r="321" spans="1:9">
      <c r="A321" t="s">
        <v>3799</v>
      </c>
      <c r="B321" s="1">
        <v>42208</v>
      </c>
      <c r="C321" t="s">
        <v>3800</v>
      </c>
      <c r="D321">
        <v>1</v>
      </c>
      <c r="E321" t="s">
        <v>0</v>
      </c>
      <c r="F321" t="s">
        <v>799</v>
      </c>
      <c r="G321" t="s">
        <v>0</v>
      </c>
      <c r="H321" s="7">
        <f t="shared" si="4"/>
        <v>156876.3125</v>
      </c>
      <c r="I321" s="7">
        <v>25100.21</v>
      </c>
    </row>
    <row r="322" spans="1:9">
      <c r="A322" t="s">
        <v>3805</v>
      </c>
      <c r="B322" s="1">
        <v>42209</v>
      </c>
      <c r="C322" t="s">
        <v>3806</v>
      </c>
      <c r="D322">
        <v>1</v>
      </c>
      <c r="E322" t="s">
        <v>0</v>
      </c>
      <c r="F322" t="s">
        <v>799</v>
      </c>
      <c r="G322" t="s">
        <v>0</v>
      </c>
      <c r="H322" s="7">
        <f t="shared" si="4"/>
        <v>264980</v>
      </c>
      <c r="I322" s="7">
        <v>42396.800000000003</v>
      </c>
    </row>
    <row r="323" spans="1:9">
      <c r="A323" t="s">
        <v>2448</v>
      </c>
      <c r="B323" s="1">
        <v>42212</v>
      </c>
      <c r="C323" t="s">
        <v>3808</v>
      </c>
      <c r="D323">
        <v>1</v>
      </c>
      <c r="E323" t="s">
        <v>0</v>
      </c>
      <c r="F323" t="s">
        <v>799</v>
      </c>
      <c r="G323" t="s">
        <v>0</v>
      </c>
      <c r="H323" s="7">
        <f t="shared" si="4"/>
        <v>157264.1875</v>
      </c>
      <c r="I323" s="7">
        <v>25162.27</v>
      </c>
    </row>
    <row r="324" spans="1:9">
      <c r="A324" t="s">
        <v>3812</v>
      </c>
      <c r="B324" s="1">
        <v>42213</v>
      </c>
      <c r="C324" t="s">
        <v>3813</v>
      </c>
      <c r="D324">
        <v>1</v>
      </c>
      <c r="E324" t="s">
        <v>0</v>
      </c>
      <c r="F324" t="s">
        <v>799</v>
      </c>
      <c r="G324" t="s">
        <v>0</v>
      </c>
      <c r="H324" s="7">
        <f t="shared" si="4"/>
        <v>156876.3125</v>
      </c>
      <c r="I324" s="7">
        <v>25100.21</v>
      </c>
    </row>
    <row r="325" spans="1:9">
      <c r="A325" t="s">
        <v>3817</v>
      </c>
      <c r="B325" s="1">
        <v>42213</v>
      </c>
      <c r="C325" t="s">
        <v>3818</v>
      </c>
      <c r="D325">
        <v>1</v>
      </c>
      <c r="E325" t="s">
        <v>0</v>
      </c>
      <c r="F325" t="s">
        <v>799</v>
      </c>
      <c r="G325" t="s">
        <v>0</v>
      </c>
      <c r="H325" s="7">
        <f t="shared" si="4"/>
        <v>275486.6875</v>
      </c>
      <c r="I325" s="7">
        <v>44077.87</v>
      </c>
    </row>
    <row r="326" spans="1:9">
      <c r="A326" t="s">
        <v>3819</v>
      </c>
      <c r="B326" s="1">
        <v>42213</v>
      </c>
      <c r="C326" t="s">
        <v>3820</v>
      </c>
      <c r="D326">
        <v>1</v>
      </c>
      <c r="E326" t="s">
        <v>0</v>
      </c>
      <c r="F326" t="s">
        <v>799</v>
      </c>
      <c r="G326" t="s">
        <v>0</v>
      </c>
      <c r="H326" s="7">
        <f t="shared" ref="H326:H382" si="5">+I326/0.16</f>
        <v>149115.9375</v>
      </c>
      <c r="I326" s="7">
        <v>23858.55</v>
      </c>
    </row>
    <row r="327" spans="1:9">
      <c r="A327" t="s">
        <v>1258</v>
      </c>
      <c r="B327" s="1">
        <v>42215</v>
      </c>
      <c r="C327" t="s">
        <v>3829</v>
      </c>
      <c r="D327">
        <v>1</v>
      </c>
      <c r="E327" t="s">
        <v>0</v>
      </c>
      <c r="F327" t="s">
        <v>799</v>
      </c>
      <c r="G327" t="s">
        <v>0</v>
      </c>
      <c r="H327" s="7">
        <f t="shared" si="5"/>
        <v>209521.625</v>
      </c>
      <c r="I327" s="7">
        <v>33523.46</v>
      </c>
    </row>
    <row r="328" spans="1:9">
      <c r="A328" t="s">
        <v>1260</v>
      </c>
      <c r="B328" s="1">
        <v>42215</v>
      </c>
      <c r="C328" t="s">
        <v>3830</v>
      </c>
      <c r="D328">
        <v>1</v>
      </c>
      <c r="E328" t="s">
        <v>0</v>
      </c>
      <c r="F328" t="s">
        <v>799</v>
      </c>
      <c r="G328" t="s">
        <v>0</v>
      </c>
      <c r="H328" s="7">
        <f t="shared" si="5"/>
        <v>209521.625</v>
      </c>
      <c r="I328" s="7">
        <v>33523.46</v>
      </c>
    </row>
    <row r="329" spans="1:9">
      <c r="A329" t="s">
        <v>3069</v>
      </c>
      <c r="B329" s="1">
        <v>42215</v>
      </c>
      <c r="C329" t="s">
        <v>3831</v>
      </c>
      <c r="D329">
        <v>1</v>
      </c>
      <c r="E329" t="s">
        <v>0</v>
      </c>
      <c r="F329" t="s">
        <v>799</v>
      </c>
      <c r="G329" t="s">
        <v>0</v>
      </c>
      <c r="H329" s="7">
        <f t="shared" si="5"/>
        <v>209521.625</v>
      </c>
      <c r="I329" s="7">
        <v>33523.46</v>
      </c>
    </row>
    <row r="330" spans="1:9">
      <c r="A330" t="s">
        <v>1262</v>
      </c>
      <c r="B330" s="1">
        <v>42215</v>
      </c>
      <c r="C330" t="s">
        <v>3832</v>
      </c>
      <c r="D330">
        <v>1</v>
      </c>
      <c r="E330" t="s">
        <v>0</v>
      </c>
      <c r="F330" t="s">
        <v>799</v>
      </c>
      <c r="G330" t="s">
        <v>0</v>
      </c>
      <c r="H330" s="7">
        <f t="shared" si="5"/>
        <v>275486.6875</v>
      </c>
      <c r="I330" s="7">
        <v>44077.87</v>
      </c>
    </row>
    <row r="331" spans="1:9">
      <c r="A331" t="s">
        <v>198</v>
      </c>
      <c r="B331" s="1">
        <v>42215</v>
      </c>
      <c r="C331" t="s">
        <v>3833</v>
      </c>
      <c r="D331">
        <v>1</v>
      </c>
      <c r="E331" t="s">
        <v>0</v>
      </c>
      <c r="F331" t="s">
        <v>799</v>
      </c>
      <c r="G331" t="s">
        <v>0</v>
      </c>
      <c r="H331" s="7">
        <f t="shared" si="5"/>
        <v>157262.5</v>
      </c>
      <c r="I331" s="7">
        <v>25162</v>
      </c>
    </row>
    <row r="332" spans="1:9">
      <c r="A332" t="s">
        <v>3076</v>
      </c>
      <c r="B332" s="1">
        <v>42215</v>
      </c>
      <c r="C332" t="s">
        <v>3834</v>
      </c>
      <c r="D332">
        <v>1</v>
      </c>
      <c r="E332" t="s">
        <v>0</v>
      </c>
      <c r="F332" t="s">
        <v>799</v>
      </c>
      <c r="G332" t="s">
        <v>0</v>
      </c>
      <c r="H332" s="7">
        <f t="shared" si="5"/>
        <v>164788.375</v>
      </c>
      <c r="I332" s="7">
        <v>26366.14</v>
      </c>
    </row>
    <row r="333" spans="1:9">
      <c r="A333" t="s">
        <v>1263</v>
      </c>
      <c r="B333" s="1">
        <v>42215</v>
      </c>
      <c r="C333" t="s">
        <v>3835</v>
      </c>
      <c r="D333">
        <v>1</v>
      </c>
      <c r="E333" t="s">
        <v>0</v>
      </c>
      <c r="F333" t="s">
        <v>799</v>
      </c>
      <c r="G333" t="s">
        <v>0</v>
      </c>
      <c r="H333" s="7">
        <f t="shared" si="5"/>
        <v>164788.375</v>
      </c>
      <c r="I333" s="7">
        <v>26366.14</v>
      </c>
    </row>
    <row r="334" spans="1:9">
      <c r="A334" t="s">
        <v>1264</v>
      </c>
      <c r="B334" s="1">
        <v>42215</v>
      </c>
      <c r="C334" t="s">
        <v>3836</v>
      </c>
      <c r="D334">
        <v>1</v>
      </c>
      <c r="E334" t="s">
        <v>0</v>
      </c>
      <c r="F334" t="s">
        <v>799</v>
      </c>
      <c r="G334" t="s">
        <v>0</v>
      </c>
      <c r="H334" s="7">
        <f t="shared" si="5"/>
        <v>164788.375</v>
      </c>
      <c r="I334" s="7">
        <v>26366.14</v>
      </c>
    </row>
    <row r="335" spans="1:9">
      <c r="A335" t="s">
        <v>3082</v>
      </c>
      <c r="B335" s="1">
        <v>42215</v>
      </c>
      <c r="C335" t="s">
        <v>3837</v>
      </c>
      <c r="D335">
        <v>1</v>
      </c>
      <c r="E335" t="s">
        <v>0</v>
      </c>
      <c r="F335" t="s">
        <v>799</v>
      </c>
      <c r="G335" t="s">
        <v>0</v>
      </c>
      <c r="H335" s="7">
        <f t="shared" si="5"/>
        <v>157262.5</v>
      </c>
      <c r="I335" s="7">
        <v>25162</v>
      </c>
    </row>
    <row r="336" spans="1:9">
      <c r="A336" t="s">
        <v>1266</v>
      </c>
      <c r="B336" s="1">
        <v>42215</v>
      </c>
      <c r="C336" t="s">
        <v>3838</v>
      </c>
      <c r="D336">
        <v>1</v>
      </c>
      <c r="E336" t="s">
        <v>0</v>
      </c>
      <c r="F336" t="s">
        <v>799</v>
      </c>
      <c r="G336" t="s">
        <v>0</v>
      </c>
      <c r="H336" s="7">
        <f t="shared" si="5"/>
        <v>164788.375</v>
      </c>
      <c r="I336" s="7">
        <v>26366.14</v>
      </c>
    </row>
    <row r="337" spans="1:9">
      <c r="A337" t="s">
        <v>1274</v>
      </c>
      <c r="B337" s="1">
        <v>42215</v>
      </c>
      <c r="C337" t="s">
        <v>3839</v>
      </c>
      <c r="D337">
        <v>1</v>
      </c>
      <c r="E337" t="s">
        <v>0</v>
      </c>
      <c r="F337" t="s">
        <v>799</v>
      </c>
      <c r="G337" t="s">
        <v>0</v>
      </c>
      <c r="H337" s="7">
        <f t="shared" si="5"/>
        <v>209521.625</v>
      </c>
      <c r="I337" s="7">
        <v>33523.46</v>
      </c>
    </row>
    <row r="338" spans="1:9">
      <c r="A338" t="s">
        <v>3840</v>
      </c>
      <c r="B338" s="1">
        <v>42215</v>
      </c>
      <c r="C338" t="s">
        <v>3841</v>
      </c>
      <c r="D338">
        <v>1</v>
      </c>
      <c r="E338" t="s">
        <v>0</v>
      </c>
      <c r="F338" t="s">
        <v>799</v>
      </c>
      <c r="G338" t="s">
        <v>0</v>
      </c>
      <c r="H338" s="7">
        <f t="shared" si="5"/>
        <v>209521.625</v>
      </c>
      <c r="I338" s="7">
        <v>33523.46</v>
      </c>
    </row>
    <row r="339" spans="1:9">
      <c r="A339" t="s">
        <v>3097</v>
      </c>
      <c r="B339" s="1">
        <v>42215</v>
      </c>
      <c r="C339" t="s">
        <v>3845</v>
      </c>
      <c r="D339">
        <v>1</v>
      </c>
      <c r="E339" t="s">
        <v>0</v>
      </c>
      <c r="F339" t="s">
        <v>799</v>
      </c>
      <c r="G339" t="s">
        <v>0</v>
      </c>
      <c r="H339" s="7">
        <f t="shared" si="5"/>
        <v>191433</v>
      </c>
      <c r="I339" s="7">
        <v>30629.279999999999</v>
      </c>
    </row>
    <row r="340" spans="1:9">
      <c r="A340" t="s">
        <v>3846</v>
      </c>
      <c r="B340" s="1">
        <v>42215</v>
      </c>
      <c r="C340" t="s">
        <v>3847</v>
      </c>
      <c r="D340">
        <v>1</v>
      </c>
      <c r="E340" t="s">
        <v>0</v>
      </c>
      <c r="F340" t="s">
        <v>799</v>
      </c>
      <c r="G340" t="s">
        <v>0</v>
      </c>
      <c r="H340" s="7">
        <f t="shared" si="5"/>
        <v>323305.9375</v>
      </c>
      <c r="I340" s="7">
        <v>51728.95</v>
      </c>
    </row>
    <row r="341" spans="1:9">
      <c r="A341" t="s">
        <v>3395</v>
      </c>
      <c r="B341" s="1">
        <v>42216</v>
      </c>
      <c r="C341" t="s">
        <v>3848</v>
      </c>
      <c r="D341">
        <v>1</v>
      </c>
      <c r="E341" t="s">
        <v>0</v>
      </c>
      <c r="F341" t="s">
        <v>799</v>
      </c>
      <c r="G341" t="s">
        <v>0</v>
      </c>
      <c r="H341" s="7">
        <f t="shared" si="5"/>
        <v>340061.5625</v>
      </c>
      <c r="I341" s="7">
        <v>54409.85</v>
      </c>
    </row>
    <row r="342" spans="1:9">
      <c r="A342" t="s">
        <v>3849</v>
      </c>
      <c r="B342" s="1">
        <v>42215</v>
      </c>
      <c r="C342" t="s">
        <v>3850</v>
      </c>
      <c r="D342">
        <v>1</v>
      </c>
      <c r="E342" t="s">
        <v>0</v>
      </c>
      <c r="F342" t="s">
        <v>799</v>
      </c>
      <c r="G342" t="s">
        <v>0</v>
      </c>
      <c r="H342" s="7">
        <f t="shared" si="5"/>
        <v>405064.375</v>
      </c>
      <c r="I342" s="7">
        <v>64810.3</v>
      </c>
    </row>
    <row r="343" spans="1:9">
      <c r="A343" t="s">
        <v>2952</v>
      </c>
      <c r="B343" s="1">
        <v>42214</v>
      </c>
      <c r="C343" t="s">
        <v>3824</v>
      </c>
      <c r="D343">
        <v>1</v>
      </c>
      <c r="E343" t="s">
        <v>0</v>
      </c>
      <c r="F343" t="s">
        <v>799</v>
      </c>
      <c r="G343" t="s">
        <v>0</v>
      </c>
      <c r="H343" s="7">
        <f t="shared" si="5"/>
        <v>388207.875</v>
      </c>
      <c r="I343" s="7">
        <v>62113.26</v>
      </c>
    </row>
    <row r="344" spans="1:9">
      <c r="A344" t="s">
        <v>1193</v>
      </c>
      <c r="B344" s="1">
        <v>42214</v>
      </c>
      <c r="C344" t="s">
        <v>3825</v>
      </c>
      <c r="D344">
        <v>1</v>
      </c>
      <c r="E344" t="s">
        <v>0</v>
      </c>
      <c r="F344" t="s">
        <v>799</v>
      </c>
      <c r="G344" t="s">
        <v>0</v>
      </c>
      <c r="H344" s="7">
        <f t="shared" si="5"/>
        <v>302316.0625</v>
      </c>
      <c r="I344" s="7">
        <v>48370.57</v>
      </c>
    </row>
    <row r="345" spans="1:9">
      <c r="A345" t="s">
        <v>3858</v>
      </c>
      <c r="B345" s="1">
        <v>42216</v>
      </c>
      <c r="C345" t="s">
        <v>3859</v>
      </c>
      <c r="D345">
        <v>1</v>
      </c>
      <c r="E345" t="s">
        <v>0</v>
      </c>
      <c r="F345" t="s">
        <v>799</v>
      </c>
      <c r="G345" t="s">
        <v>0</v>
      </c>
      <c r="H345" s="7">
        <f t="shared" si="5"/>
        <v>283693.75</v>
      </c>
      <c r="I345" s="7">
        <v>45391</v>
      </c>
    </row>
    <row r="346" spans="1:9">
      <c r="A346" t="s">
        <v>3860</v>
      </c>
      <c r="B346" s="1">
        <v>42216</v>
      </c>
      <c r="C346" t="s">
        <v>3861</v>
      </c>
      <c r="D346">
        <v>1</v>
      </c>
      <c r="E346" t="s">
        <v>0</v>
      </c>
      <c r="F346" t="s">
        <v>799</v>
      </c>
      <c r="G346" t="s">
        <v>0</v>
      </c>
      <c r="H346" s="7">
        <f t="shared" si="5"/>
        <v>318280.6875</v>
      </c>
      <c r="I346" s="7">
        <v>50924.91</v>
      </c>
    </row>
    <row r="347" spans="1:9">
      <c r="A347" t="s">
        <v>3862</v>
      </c>
      <c r="B347" s="1">
        <v>42216</v>
      </c>
      <c r="C347" t="s">
        <v>3863</v>
      </c>
      <c r="D347">
        <v>1</v>
      </c>
      <c r="E347" t="s">
        <v>0</v>
      </c>
      <c r="F347" t="s">
        <v>799</v>
      </c>
      <c r="G347" t="s">
        <v>0</v>
      </c>
      <c r="H347" s="7">
        <f t="shared" si="5"/>
        <v>264822.8125</v>
      </c>
      <c r="I347" s="7">
        <v>42371.65</v>
      </c>
    </row>
    <row r="348" spans="1:9">
      <c r="A348" t="s">
        <v>3864</v>
      </c>
      <c r="B348" s="1">
        <v>42216</v>
      </c>
      <c r="C348" t="s">
        <v>3865</v>
      </c>
      <c r="D348">
        <v>1</v>
      </c>
      <c r="E348" t="s">
        <v>0</v>
      </c>
      <c r="F348" t="s">
        <v>799</v>
      </c>
      <c r="G348" t="s">
        <v>0</v>
      </c>
      <c r="H348" s="7">
        <f t="shared" si="5"/>
        <v>156874.5625</v>
      </c>
      <c r="I348" s="7">
        <v>25099.93</v>
      </c>
    </row>
    <row r="349" spans="1:9">
      <c r="A349" t="s">
        <v>3866</v>
      </c>
      <c r="B349" s="1">
        <v>42216</v>
      </c>
      <c r="C349" t="s">
        <v>3867</v>
      </c>
      <c r="D349">
        <v>1</v>
      </c>
      <c r="E349" t="s">
        <v>0</v>
      </c>
      <c r="F349" t="s">
        <v>799</v>
      </c>
      <c r="G349" t="s">
        <v>0</v>
      </c>
      <c r="H349" s="7">
        <f t="shared" si="5"/>
        <v>264822.8125</v>
      </c>
      <c r="I349" s="7">
        <v>42371.65</v>
      </c>
    </row>
    <row r="350" spans="1:9">
      <c r="A350" t="s">
        <v>3868</v>
      </c>
      <c r="B350" s="1">
        <v>42216</v>
      </c>
      <c r="C350" t="s">
        <v>3869</v>
      </c>
      <c r="D350">
        <v>1</v>
      </c>
      <c r="E350" t="s">
        <v>0</v>
      </c>
      <c r="F350" t="s">
        <v>799</v>
      </c>
      <c r="G350" t="s">
        <v>0</v>
      </c>
      <c r="H350" s="7">
        <f t="shared" si="5"/>
        <v>318662.9375</v>
      </c>
      <c r="I350" s="7">
        <v>50986.07</v>
      </c>
    </row>
    <row r="351" spans="1:9">
      <c r="A351" t="s">
        <v>3854</v>
      </c>
      <c r="B351" s="1">
        <v>42216</v>
      </c>
      <c r="C351" t="s">
        <v>3855</v>
      </c>
      <c r="D351">
        <v>1</v>
      </c>
      <c r="E351" t="s">
        <v>0</v>
      </c>
      <c r="F351" t="s">
        <v>799</v>
      </c>
      <c r="G351" t="s">
        <v>0</v>
      </c>
      <c r="H351" s="7">
        <f t="shared" si="5"/>
        <v>245823.37499999997</v>
      </c>
      <c r="I351" s="7">
        <v>39331.74</v>
      </c>
    </row>
    <row r="352" spans="1:9">
      <c r="A352" t="s">
        <v>3856</v>
      </c>
      <c r="B352" s="1">
        <v>42216</v>
      </c>
      <c r="C352" t="s">
        <v>3857</v>
      </c>
      <c r="D352">
        <v>1</v>
      </c>
      <c r="E352" t="s">
        <v>0</v>
      </c>
      <c r="F352" t="s">
        <v>799</v>
      </c>
      <c r="G352" t="s">
        <v>0</v>
      </c>
      <c r="H352" s="7">
        <f t="shared" si="5"/>
        <v>238984.875</v>
      </c>
      <c r="I352" s="7">
        <v>38237.58</v>
      </c>
    </row>
    <row r="353" spans="1:9">
      <c r="A353" t="s">
        <v>1866</v>
      </c>
      <c r="B353" s="1">
        <v>42216</v>
      </c>
      <c r="C353" t="s">
        <v>3870</v>
      </c>
      <c r="D353">
        <v>1</v>
      </c>
      <c r="E353" t="s">
        <v>0</v>
      </c>
      <c r="F353" t="s">
        <v>799</v>
      </c>
      <c r="G353" t="s">
        <v>0</v>
      </c>
      <c r="H353" s="7">
        <f t="shared" si="5"/>
        <v>178132.1875</v>
      </c>
      <c r="I353" s="7">
        <v>28501.15</v>
      </c>
    </row>
    <row r="354" spans="1:9">
      <c r="A354" t="s">
        <v>1870</v>
      </c>
      <c r="B354" s="1">
        <v>42216</v>
      </c>
      <c r="C354" t="s">
        <v>3871</v>
      </c>
      <c r="D354">
        <v>1</v>
      </c>
      <c r="E354" t="s">
        <v>0</v>
      </c>
      <c r="F354" t="s">
        <v>799</v>
      </c>
      <c r="G354" t="s">
        <v>0</v>
      </c>
      <c r="H354" s="7">
        <f t="shared" si="5"/>
        <v>178132.1875</v>
      </c>
      <c r="I354" s="7">
        <v>28501.15</v>
      </c>
    </row>
    <row r="355" spans="1:9">
      <c r="A355" t="s">
        <v>3875</v>
      </c>
      <c r="B355" s="1">
        <v>42216</v>
      </c>
      <c r="C355" t="s">
        <v>3876</v>
      </c>
      <c r="D355">
        <v>1</v>
      </c>
      <c r="E355" t="s">
        <v>0</v>
      </c>
      <c r="F355" t="s">
        <v>799</v>
      </c>
      <c r="G355" t="s">
        <v>0</v>
      </c>
      <c r="H355" s="7">
        <f t="shared" si="5"/>
        <v>178132.1875</v>
      </c>
      <c r="I355" s="7">
        <v>28501.15</v>
      </c>
    </row>
    <row r="356" spans="1:9">
      <c r="A356" t="s">
        <v>1893</v>
      </c>
      <c r="B356" s="1">
        <v>42216</v>
      </c>
      <c r="C356" t="s">
        <v>3877</v>
      </c>
      <c r="D356">
        <v>1</v>
      </c>
      <c r="E356" t="s">
        <v>0</v>
      </c>
      <c r="F356" t="s">
        <v>799</v>
      </c>
      <c r="G356" t="s">
        <v>0</v>
      </c>
      <c r="H356" s="7">
        <f t="shared" si="5"/>
        <v>209521.625</v>
      </c>
      <c r="I356" s="7">
        <v>33523.46</v>
      </c>
    </row>
    <row r="357" spans="1:9">
      <c r="A357" t="s">
        <v>1896</v>
      </c>
      <c r="B357" s="1">
        <v>42216</v>
      </c>
      <c r="C357" t="s">
        <v>3878</v>
      </c>
      <c r="D357">
        <v>1</v>
      </c>
      <c r="E357" t="s">
        <v>0</v>
      </c>
      <c r="F357" t="s">
        <v>799</v>
      </c>
      <c r="G357" t="s">
        <v>0</v>
      </c>
      <c r="H357" s="7">
        <f t="shared" si="5"/>
        <v>191433.625</v>
      </c>
      <c r="I357" s="7">
        <v>30629.38</v>
      </c>
    </row>
    <row r="358" spans="1:9">
      <c r="A358" t="s">
        <v>3879</v>
      </c>
      <c r="B358" s="1">
        <v>42216</v>
      </c>
      <c r="C358" t="s">
        <v>3880</v>
      </c>
      <c r="D358">
        <v>1</v>
      </c>
      <c r="E358" t="s">
        <v>0</v>
      </c>
      <c r="F358" t="s">
        <v>799</v>
      </c>
      <c r="G358" t="s">
        <v>0</v>
      </c>
      <c r="H358" s="7">
        <f t="shared" si="5"/>
        <v>275486.6875</v>
      </c>
      <c r="I358" s="7">
        <v>44077.87</v>
      </c>
    </row>
    <row r="359" spans="1:9">
      <c r="A359" t="s">
        <v>3881</v>
      </c>
      <c r="B359" s="1">
        <v>42216</v>
      </c>
      <c r="C359" t="s">
        <v>3882</v>
      </c>
      <c r="D359">
        <v>1</v>
      </c>
      <c r="E359" t="s">
        <v>0</v>
      </c>
      <c r="F359" t="s">
        <v>799</v>
      </c>
      <c r="G359" t="s">
        <v>0</v>
      </c>
      <c r="H359" s="7">
        <f t="shared" si="5"/>
        <v>275486.6875</v>
      </c>
      <c r="I359" s="7">
        <v>44077.87</v>
      </c>
    </row>
    <row r="360" spans="1:9">
      <c r="A360" t="s">
        <v>3883</v>
      </c>
      <c r="B360" s="1">
        <v>42216</v>
      </c>
      <c r="C360" t="s">
        <v>3884</v>
      </c>
      <c r="D360">
        <v>1</v>
      </c>
      <c r="E360" t="s">
        <v>0</v>
      </c>
      <c r="F360" t="s">
        <v>799</v>
      </c>
      <c r="G360" t="s">
        <v>0</v>
      </c>
      <c r="H360" s="7">
        <f t="shared" si="5"/>
        <v>318662.9375</v>
      </c>
      <c r="I360" s="7">
        <v>50986.07</v>
      </c>
    </row>
    <row r="361" spans="1:9">
      <c r="A361" t="s">
        <v>1925</v>
      </c>
      <c r="B361" s="1">
        <v>42216</v>
      </c>
      <c r="C361" t="s">
        <v>3886</v>
      </c>
      <c r="D361">
        <v>1</v>
      </c>
      <c r="E361" t="s">
        <v>0</v>
      </c>
      <c r="F361" t="s">
        <v>799</v>
      </c>
      <c r="G361" t="s">
        <v>0</v>
      </c>
      <c r="H361" s="7">
        <f t="shared" si="5"/>
        <v>157262.5</v>
      </c>
      <c r="I361" s="7">
        <v>25162</v>
      </c>
    </row>
    <row r="362" spans="1:9">
      <c r="A362" t="s">
        <v>1929</v>
      </c>
      <c r="B362" s="1">
        <v>42216</v>
      </c>
      <c r="C362" t="s">
        <v>3887</v>
      </c>
      <c r="D362">
        <v>1</v>
      </c>
      <c r="E362" t="s">
        <v>0</v>
      </c>
      <c r="F362" t="s">
        <v>799</v>
      </c>
      <c r="G362" t="s">
        <v>0</v>
      </c>
      <c r="H362" s="7">
        <f t="shared" si="5"/>
        <v>164788.375</v>
      </c>
      <c r="I362" s="7">
        <v>26366.14</v>
      </c>
    </row>
    <row r="363" spans="1:9">
      <c r="A363" t="s">
        <v>2569</v>
      </c>
      <c r="B363" s="1">
        <v>42186</v>
      </c>
      <c r="C363" t="s">
        <v>4097</v>
      </c>
      <c r="D363">
        <v>1</v>
      </c>
      <c r="E363" t="s">
        <v>1361</v>
      </c>
      <c r="F363" t="s">
        <v>799</v>
      </c>
      <c r="G363" t="s">
        <v>1361</v>
      </c>
      <c r="H363" s="7">
        <f t="shared" si="5"/>
        <v>14964.125000000002</v>
      </c>
      <c r="I363" s="7">
        <v>2394.2600000000002</v>
      </c>
    </row>
    <row r="364" spans="1:9">
      <c r="A364" t="s">
        <v>536</v>
      </c>
      <c r="B364" s="1">
        <v>42213</v>
      </c>
      <c r="C364" t="s">
        <v>4177</v>
      </c>
      <c r="D364">
        <v>1</v>
      </c>
      <c r="E364" t="s">
        <v>1361</v>
      </c>
      <c r="F364" t="s">
        <v>799</v>
      </c>
      <c r="G364" t="s">
        <v>1361</v>
      </c>
      <c r="H364" s="7">
        <f t="shared" si="5"/>
        <v>14237.562500000002</v>
      </c>
      <c r="I364" s="7">
        <v>2278.0100000000002</v>
      </c>
    </row>
    <row r="365" spans="1:9">
      <c r="A365" t="s">
        <v>1431</v>
      </c>
      <c r="B365" s="1">
        <v>42213</v>
      </c>
      <c r="C365" t="s">
        <v>4178</v>
      </c>
      <c r="D365">
        <v>1</v>
      </c>
      <c r="E365" t="s">
        <v>1361</v>
      </c>
      <c r="F365" t="s">
        <v>799</v>
      </c>
      <c r="G365" t="s">
        <v>1361</v>
      </c>
      <c r="H365" s="7">
        <f t="shared" si="5"/>
        <v>299.6875</v>
      </c>
      <c r="I365" s="7">
        <v>47.95</v>
      </c>
    </row>
    <row r="366" spans="1:9">
      <c r="A366" t="s">
        <v>1487</v>
      </c>
      <c r="B366" s="1">
        <v>42216</v>
      </c>
      <c r="C366" t="s">
        <v>4196</v>
      </c>
      <c r="D366">
        <v>1</v>
      </c>
      <c r="E366" t="s">
        <v>1361</v>
      </c>
      <c r="F366" t="s">
        <v>799</v>
      </c>
      <c r="G366" t="s">
        <v>1361</v>
      </c>
      <c r="H366" s="7">
        <f t="shared" si="5"/>
        <v>4321.3125</v>
      </c>
      <c r="I366" s="7">
        <v>691.41</v>
      </c>
    </row>
    <row r="367" spans="1:9">
      <c r="A367" t="s">
        <v>1488</v>
      </c>
      <c r="B367" s="1">
        <v>42216</v>
      </c>
      <c r="C367" t="s">
        <v>4197</v>
      </c>
      <c r="D367">
        <v>1</v>
      </c>
      <c r="E367" t="s">
        <v>1361</v>
      </c>
      <c r="F367" t="s">
        <v>799</v>
      </c>
      <c r="G367" t="s">
        <v>1361</v>
      </c>
      <c r="H367" s="7">
        <f t="shared" si="5"/>
        <v>6500</v>
      </c>
      <c r="I367" s="7">
        <v>1040</v>
      </c>
    </row>
    <row r="368" spans="1:9">
      <c r="A368" t="s">
        <v>254</v>
      </c>
      <c r="B368" s="1">
        <v>42216</v>
      </c>
      <c r="C368" t="s">
        <v>4078</v>
      </c>
      <c r="D368">
        <v>1</v>
      </c>
      <c r="E368" t="s">
        <v>878</v>
      </c>
      <c r="F368" t="s">
        <v>878</v>
      </c>
      <c r="G368" s="139" t="s">
        <v>7410</v>
      </c>
      <c r="H368" s="7">
        <f t="shared" si="5"/>
        <v>380</v>
      </c>
      <c r="I368" s="7">
        <v>60.8</v>
      </c>
    </row>
    <row r="369" spans="1:9">
      <c r="A369" t="s">
        <v>3913</v>
      </c>
      <c r="B369" s="1">
        <v>42216</v>
      </c>
      <c r="C369" t="s">
        <v>3914</v>
      </c>
      <c r="D369">
        <v>1</v>
      </c>
      <c r="E369" t="s">
        <v>2562</v>
      </c>
      <c r="F369" t="s">
        <v>878</v>
      </c>
      <c r="G369" s="139" t="s">
        <v>7410</v>
      </c>
      <c r="H369" s="7">
        <f t="shared" si="5"/>
        <v>380</v>
      </c>
      <c r="I369" s="7">
        <v>60.8</v>
      </c>
    </row>
    <row r="370" spans="1:9">
      <c r="A370" t="s">
        <v>3925</v>
      </c>
      <c r="B370" s="1">
        <v>42216</v>
      </c>
      <c r="C370" t="s">
        <v>3926</v>
      </c>
      <c r="D370">
        <v>1</v>
      </c>
      <c r="E370" t="s">
        <v>784</v>
      </c>
      <c r="F370" t="s">
        <v>784</v>
      </c>
      <c r="G370" s="139" t="s">
        <v>7415</v>
      </c>
      <c r="H370" s="7">
        <f t="shared" si="5"/>
        <v>53.4375</v>
      </c>
      <c r="I370" s="7">
        <v>8.5500000000000007</v>
      </c>
    </row>
    <row r="371" spans="1:9">
      <c r="A371" t="s">
        <v>4003</v>
      </c>
      <c r="B371" s="1">
        <v>42216</v>
      </c>
      <c r="C371" t="s">
        <v>1315</v>
      </c>
      <c r="D371">
        <v>1</v>
      </c>
      <c r="E371" t="s">
        <v>4006</v>
      </c>
      <c r="F371" t="s">
        <v>4006</v>
      </c>
      <c r="G371" s="139" t="s">
        <v>7416</v>
      </c>
      <c r="H371" s="7">
        <f t="shared" si="5"/>
        <v>93.125</v>
      </c>
      <c r="I371" s="7">
        <v>14.9</v>
      </c>
    </row>
    <row r="372" spans="1:9">
      <c r="A372" t="s">
        <v>3792</v>
      </c>
      <c r="B372" s="1">
        <v>42207</v>
      </c>
      <c r="C372" t="s">
        <v>3793</v>
      </c>
      <c r="D372">
        <v>1</v>
      </c>
      <c r="E372" t="s">
        <v>3794</v>
      </c>
      <c r="F372" t="s">
        <v>1643</v>
      </c>
      <c r="G372" t="s">
        <v>3794</v>
      </c>
      <c r="H372" s="7">
        <f t="shared" si="5"/>
        <v>149117.6875</v>
      </c>
      <c r="I372" s="7">
        <v>23858.83</v>
      </c>
    </row>
    <row r="373" spans="1:9">
      <c r="A373" t="s">
        <v>3280</v>
      </c>
      <c r="B373" s="1">
        <v>42193</v>
      </c>
      <c r="C373" t="s">
        <v>3735</v>
      </c>
      <c r="D373">
        <v>1</v>
      </c>
      <c r="E373" t="s">
        <v>3736</v>
      </c>
      <c r="F373" t="s">
        <v>1643</v>
      </c>
      <c r="G373" t="s">
        <v>3736</v>
      </c>
      <c r="H373" s="7">
        <f t="shared" si="5"/>
        <v>264997</v>
      </c>
      <c r="I373" s="7">
        <v>42399.519999999997</v>
      </c>
    </row>
    <row r="374" spans="1:9">
      <c r="A374" t="s">
        <v>3901</v>
      </c>
      <c r="B374" s="1">
        <v>42216</v>
      </c>
      <c r="C374" t="s">
        <v>3902</v>
      </c>
      <c r="D374">
        <v>1</v>
      </c>
      <c r="E374" t="s">
        <v>1632</v>
      </c>
      <c r="F374" t="s">
        <v>1632</v>
      </c>
      <c r="G374" s="139" t="s">
        <v>1633</v>
      </c>
      <c r="H374" s="7">
        <f t="shared" si="5"/>
        <v>461.3125</v>
      </c>
      <c r="I374" s="7">
        <v>73.81</v>
      </c>
    </row>
    <row r="375" spans="1:9">
      <c r="A375" t="s">
        <v>3906</v>
      </c>
      <c r="B375" s="1">
        <v>42216</v>
      </c>
      <c r="C375" t="s">
        <v>3907</v>
      </c>
      <c r="D375">
        <v>1</v>
      </c>
      <c r="E375" t="s">
        <v>1632</v>
      </c>
      <c r="F375" t="s">
        <v>1632</v>
      </c>
      <c r="G375" s="139" t="s">
        <v>1633</v>
      </c>
      <c r="H375" s="7">
        <f t="shared" si="5"/>
        <v>455.31249999999994</v>
      </c>
      <c r="I375" s="7">
        <v>72.849999999999994</v>
      </c>
    </row>
    <row r="376" spans="1:9">
      <c r="A376" t="s">
        <v>3777</v>
      </c>
      <c r="B376" s="1">
        <v>42206</v>
      </c>
      <c r="C376" t="s">
        <v>3778</v>
      </c>
      <c r="D376">
        <v>1</v>
      </c>
      <c r="E376" t="s">
        <v>3779</v>
      </c>
      <c r="F376" t="s">
        <v>951</v>
      </c>
      <c r="G376" t="s">
        <v>3779</v>
      </c>
      <c r="H376" s="7">
        <f t="shared" si="5"/>
        <v>149117.6875</v>
      </c>
      <c r="I376" s="7">
        <v>23858.83</v>
      </c>
    </row>
    <row r="377" spans="1:9">
      <c r="A377" t="s">
        <v>3851</v>
      </c>
      <c r="B377" s="1">
        <v>42216</v>
      </c>
      <c r="C377" t="s">
        <v>3852</v>
      </c>
      <c r="D377">
        <v>1</v>
      </c>
      <c r="E377" t="s">
        <v>3853</v>
      </c>
      <c r="F377" t="s">
        <v>951</v>
      </c>
      <c r="G377" t="s">
        <v>3853</v>
      </c>
      <c r="H377" s="7">
        <f t="shared" si="5"/>
        <v>149115.9375</v>
      </c>
      <c r="I377" s="7">
        <v>23858.55</v>
      </c>
    </row>
    <row r="378" spans="1:9">
      <c r="A378" t="s">
        <v>2076</v>
      </c>
      <c r="B378" s="1">
        <v>42200</v>
      </c>
      <c r="C378" t="s">
        <v>4137</v>
      </c>
      <c r="D378">
        <v>1</v>
      </c>
      <c r="E378" t="s">
        <v>642</v>
      </c>
      <c r="F378" t="s">
        <v>952</v>
      </c>
      <c r="G378" t="s">
        <v>642</v>
      </c>
      <c r="H378" s="7">
        <f t="shared" si="5"/>
        <v>2250</v>
      </c>
      <c r="I378" s="7">
        <v>360</v>
      </c>
    </row>
    <row r="379" spans="1:9">
      <c r="A379" t="s">
        <v>3911</v>
      </c>
      <c r="B379" s="1">
        <v>42216</v>
      </c>
      <c r="C379" t="s">
        <v>3912</v>
      </c>
      <c r="D379">
        <v>1</v>
      </c>
      <c r="E379" t="s">
        <v>802</v>
      </c>
      <c r="F379" t="s">
        <v>802</v>
      </c>
      <c r="G379" s="139" t="s">
        <v>275</v>
      </c>
      <c r="H379" s="7">
        <f t="shared" si="5"/>
        <v>310.375</v>
      </c>
      <c r="I379" s="7">
        <v>49.66</v>
      </c>
    </row>
    <row r="380" spans="1:9">
      <c r="A380" t="s">
        <v>4046</v>
      </c>
      <c r="B380" s="1">
        <v>42216</v>
      </c>
      <c r="C380" t="s">
        <v>4047</v>
      </c>
      <c r="D380">
        <v>1</v>
      </c>
      <c r="E380" t="s">
        <v>802</v>
      </c>
      <c r="F380" t="s">
        <v>802</v>
      </c>
      <c r="G380" s="139" t="s">
        <v>275</v>
      </c>
      <c r="H380" s="7">
        <f t="shared" si="5"/>
        <v>310.375</v>
      </c>
      <c r="I380" s="7">
        <v>49.66</v>
      </c>
    </row>
    <row r="381" spans="1:9" ht="18" customHeight="1">
      <c r="A381" t="s">
        <v>4024</v>
      </c>
      <c r="B381" s="1">
        <v>42216</v>
      </c>
      <c r="C381" t="s">
        <v>4025</v>
      </c>
      <c r="D381">
        <v>1</v>
      </c>
      <c r="E381" t="s">
        <v>4026</v>
      </c>
      <c r="F381" t="s">
        <v>4026</v>
      </c>
      <c r="G381" s="139" t="s">
        <v>7414</v>
      </c>
      <c r="H381" s="7">
        <f t="shared" si="5"/>
        <v>200</v>
      </c>
      <c r="I381" s="7">
        <v>32</v>
      </c>
    </row>
    <row r="382" spans="1:9">
      <c r="A382" t="s">
        <v>1424</v>
      </c>
      <c r="B382" s="1">
        <v>42212</v>
      </c>
      <c r="C382" t="s">
        <v>4176</v>
      </c>
      <c r="D382">
        <v>2</v>
      </c>
      <c r="E382" t="s">
        <v>3103</v>
      </c>
      <c r="F382" t="s">
        <v>3241</v>
      </c>
      <c r="G382" t="s">
        <v>3103</v>
      </c>
      <c r="H382" s="7">
        <f t="shared" si="5"/>
        <v>2500</v>
      </c>
      <c r="I382" s="7">
        <v>400</v>
      </c>
    </row>
    <row r="384" spans="1:9" ht="17.25">
      <c r="H384" s="64"/>
      <c r="I384" s="64"/>
    </row>
    <row r="385" spans="1:11">
      <c r="H385" s="9">
        <f>SUM(H7:H384)</f>
        <v>21657169.375</v>
      </c>
      <c r="I385" s="9">
        <f>SUM(I7:I384)</f>
        <v>3465147.0999999987</v>
      </c>
    </row>
    <row r="386" spans="1:11">
      <c r="H386" s="10">
        <f>3921241.04-455612.55</f>
        <v>3465628.49</v>
      </c>
      <c r="I386" s="10">
        <f>+H386-I385</f>
        <v>481.39000000152737</v>
      </c>
      <c r="J386" s="7" t="s">
        <v>960</v>
      </c>
    </row>
    <row r="387" spans="1:11" s="84" customFormat="1">
      <c r="A387" s="84" t="s">
        <v>492</v>
      </c>
      <c r="B387" s="147">
        <v>42206</v>
      </c>
      <c r="C387" s="84" t="s">
        <v>4150</v>
      </c>
      <c r="D387" s="84">
        <v>1</v>
      </c>
      <c r="E387" s="84" t="s">
        <v>4151</v>
      </c>
      <c r="F387" s="84" t="s">
        <v>4214</v>
      </c>
      <c r="G387" s="84" t="s">
        <v>4151</v>
      </c>
      <c r="H387" s="148">
        <f>+I387/0.16</f>
        <v>3008.6875</v>
      </c>
      <c r="I387" s="148">
        <v>481.39</v>
      </c>
      <c r="J387" s="148" t="s">
        <v>7554</v>
      </c>
      <c r="K387" s="148"/>
    </row>
    <row r="388" spans="1:11">
      <c r="I388" s="9">
        <f>+I387+I385</f>
        <v>3465628.4899999988</v>
      </c>
    </row>
    <row r="390" spans="1:11">
      <c r="F390" s="11"/>
      <c r="J390"/>
    </row>
    <row r="391" spans="1:11">
      <c r="F391" s="12" t="s">
        <v>696</v>
      </c>
      <c r="J391"/>
    </row>
    <row r="392" spans="1:11">
      <c r="F392" s="13" t="s">
        <v>7291</v>
      </c>
      <c r="J392"/>
    </row>
    <row r="393" spans="1:11">
      <c r="F393" s="11"/>
      <c r="J393"/>
    </row>
    <row r="394" spans="1:11">
      <c r="A394" s="14"/>
      <c r="B394" s="14"/>
      <c r="C394" s="14"/>
      <c r="D394" s="14"/>
      <c r="E394" s="14"/>
      <c r="F394" s="14" t="s">
        <v>692</v>
      </c>
      <c r="G394" s="14" t="s">
        <v>693</v>
      </c>
      <c r="H394" s="15" t="s">
        <v>694</v>
      </c>
      <c r="I394" s="14" t="s">
        <v>695</v>
      </c>
      <c r="J394" s="14" t="s">
        <v>697</v>
      </c>
    </row>
    <row r="395" spans="1:11">
      <c r="A395" s="150" t="s">
        <v>7544</v>
      </c>
      <c r="B395">
        <v>85</v>
      </c>
      <c r="F395" t="s">
        <v>1604</v>
      </c>
      <c r="G395" t="s">
        <v>1501</v>
      </c>
      <c r="H395" s="7">
        <f>+I395/0.16</f>
        <v>7100</v>
      </c>
      <c r="I395" s="7">
        <f t="shared" ref="I395:I426" si="6">+SUMIF($F$7:$F$382,F395,$I$7:$I$382)</f>
        <v>1136</v>
      </c>
    </row>
    <row r="396" spans="1:11">
      <c r="A396" s="150" t="s">
        <v>7544</v>
      </c>
      <c r="B396">
        <v>85</v>
      </c>
      <c r="F396" s="17" t="s">
        <v>705</v>
      </c>
      <c r="G396" t="s">
        <v>541</v>
      </c>
      <c r="H396" s="7">
        <f t="shared" ref="H396:H458" si="7">+I396/0.16</f>
        <v>80000</v>
      </c>
      <c r="I396" s="7">
        <f t="shared" si="6"/>
        <v>12800</v>
      </c>
    </row>
    <row r="397" spans="1:11">
      <c r="A397" s="150" t="s">
        <v>7544</v>
      </c>
      <c r="B397">
        <v>85</v>
      </c>
      <c r="F397" t="s">
        <v>923</v>
      </c>
      <c r="G397" t="s">
        <v>924</v>
      </c>
      <c r="H397" s="7">
        <f t="shared" si="7"/>
        <v>196.5625</v>
      </c>
      <c r="I397" s="7">
        <f t="shared" si="6"/>
        <v>31.45</v>
      </c>
    </row>
    <row r="398" spans="1:11">
      <c r="A398" s="150" t="s">
        <v>7544</v>
      </c>
      <c r="B398">
        <v>85</v>
      </c>
      <c r="F398" s="17" t="s">
        <v>733</v>
      </c>
      <c r="G398" t="s">
        <v>4209</v>
      </c>
      <c r="H398" s="7">
        <f t="shared" si="7"/>
        <v>1203.6875</v>
      </c>
      <c r="I398" s="7">
        <f t="shared" si="6"/>
        <v>192.59</v>
      </c>
    </row>
    <row r="399" spans="1:11">
      <c r="A399" s="150" t="s">
        <v>7544</v>
      </c>
      <c r="B399">
        <v>85</v>
      </c>
      <c r="F399" t="s">
        <v>701</v>
      </c>
      <c r="G399" t="s">
        <v>462</v>
      </c>
      <c r="H399" s="7">
        <f t="shared" si="7"/>
        <v>3103.4375</v>
      </c>
      <c r="I399" s="7">
        <f t="shared" si="6"/>
        <v>496.55</v>
      </c>
    </row>
    <row r="400" spans="1:11">
      <c r="A400" s="150" t="s">
        <v>7544</v>
      </c>
      <c r="B400">
        <v>85</v>
      </c>
      <c r="F400" t="s">
        <v>879</v>
      </c>
      <c r="G400" s="58" t="s">
        <v>880</v>
      </c>
      <c r="H400" s="7">
        <f t="shared" si="7"/>
        <v>1383.9374999999998</v>
      </c>
      <c r="I400" s="7">
        <f t="shared" si="6"/>
        <v>221.42999999999998</v>
      </c>
    </row>
    <row r="401" spans="1:9">
      <c r="A401" s="150" t="s">
        <v>7544</v>
      </c>
      <c r="B401">
        <v>85</v>
      </c>
      <c r="F401" t="s">
        <v>826</v>
      </c>
      <c r="G401" s="17" t="s">
        <v>291</v>
      </c>
      <c r="H401" s="7">
        <f t="shared" si="7"/>
        <v>587.875</v>
      </c>
      <c r="I401" s="7">
        <f t="shared" si="6"/>
        <v>94.06</v>
      </c>
    </row>
    <row r="402" spans="1:9">
      <c r="A402" s="150" t="s">
        <v>7544</v>
      </c>
      <c r="B402">
        <v>85</v>
      </c>
      <c r="F402" t="s">
        <v>2191</v>
      </c>
      <c r="G402" t="s">
        <v>1938</v>
      </c>
      <c r="H402" s="7">
        <f t="shared" si="7"/>
        <v>385</v>
      </c>
      <c r="I402" s="7">
        <f t="shared" si="6"/>
        <v>61.6</v>
      </c>
    </row>
    <row r="403" spans="1:9">
      <c r="A403" s="150" t="s">
        <v>7544</v>
      </c>
      <c r="B403">
        <v>85</v>
      </c>
      <c r="F403" t="s">
        <v>711</v>
      </c>
      <c r="G403" t="s">
        <v>4211</v>
      </c>
      <c r="H403" s="7">
        <f t="shared" si="7"/>
        <v>155.0625</v>
      </c>
      <c r="I403" s="7">
        <f t="shared" si="6"/>
        <v>24.810000000000002</v>
      </c>
    </row>
    <row r="404" spans="1:9">
      <c r="A404" s="150" t="s">
        <v>7544</v>
      </c>
      <c r="B404">
        <v>85</v>
      </c>
      <c r="F404" t="s">
        <v>745</v>
      </c>
      <c r="G404" s="49" t="s">
        <v>746</v>
      </c>
      <c r="H404" s="7">
        <f t="shared" si="7"/>
        <v>189.625</v>
      </c>
      <c r="I404" s="7">
        <f t="shared" si="6"/>
        <v>30.34</v>
      </c>
    </row>
    <row r="405" spans="1:9">
      <c r="A405" s="150" t="s">
        <v>7544</v>
      </c>
      <c r="B405">
        <v>85</v>
      </c>
      <c r="F405" t="s">
        <v>707</v>
      </c>
      <c r="G405" t="s">
        <v>3259</v>
      </c>
      <c r="H405" s="7">
        <f t="shared" si="7"/>
        <v>149117.6875</v>
      </c>
      <c r="I405" s="7">
        <f t="shared" si="6"/>
        <v>23858.83</v>
      </c>
    </row>
    <row r="406" spans="1:9">
      <c r="A406" s="150" t="s">
        <v>7544</v>
      </c>
      <c r="B406">
        <v>85</v>
      </c>
      <c r="F406" t="s">
        <v>3217</v>
      </c>
      <c r="G406" t="s">
        <v>4210</v>
      </c>
      <c r="H406" s="7">
        <f t="shared" si="7"/>
        <v>318282.4375</v>
      </c>
      <c r="I406" s="7">
        <f t="shared" si="6"/>
        <v>50925.19</v>
      </c>
    </row>
    <row r="407" spans="1:9">
      <c r="A407" s="150" t="s">
        <v>7544</v>
      </c>
      <c r="B407">
        <v>85</v>
      </c>
      <c r="F407" t="s">
        <v>714</v>
      </c>
      <c r="G407" t="s">
        <v>715</v>
      </c>
      <c r="H407" s="7">
        <f t="shared" si="7"/>
        <v>5838.9375000000018</v>
      </c>
      <c r="I407" s="7">
        <f t="shared" si="6"/>
        <v>934.23000000000025</v>
      </c>
    </row>
    <row r="408" spans="1:9">
      <c r="A408" s="150" t="s">
        <v>7544</v>
      </c>
      <c r="B408">
        <v>85</v>
      </c>
      <c r="F408" t="s">
        <v>2187</v>
      </c>
      <c r="G408" t="s">
        <v>3741</v>
      </c>
      <c r="H408" s="7">
        <f t="shared" si="7"/>
        <v>959051.49999999988</v>
      </c>
      <c r="I408" s="7">
        <f t="shared" si="6"/>
        <v>153448.24</v>
      </c>
    </row>
    <row r="409" spans="1:9">
      <c r="A409" s="150" t="s">
        <v>7544</v>
      </c>
      <c r="B409">
        <v>85</v>
      </c>
      <c r="F409" t="s">
        <v>3903</v>
      </c>
      <c r="G409" s="139" t="s">
        <v>7441</v>
      </c>
      <c r="H409" s="7">
        <f t="shared" si="7"/>
        <v>187.0625</v>
      </c>
      <c r="I409" s="7">
        <f t="shared" si="6"/>
        <v>29.93</v>
      </c>
    </row>
    <row r="410" spans="1:9">
      <c r="A410" s="150" t="s">
        <v>7544</v>
      </c>
      <c r="B410">
        <v>85</v>
      </c>
      <c r="F410" t="s">
        <v>749</v>
      </c>
      <c r="G410" t="s">
        <v>4021</v>
      </c>
      <c r="H410" s="7">
        <f t="shared" si="7"/>
        <v>89.625</v>
      </c>
      <c r="I410" s="7">
        <f t="shared" si="6"/>
        <v>14.34</v>
      </c>
    </row>
    <row r="411" spans="1:9">
      <c r="A411" s="150" t="s">
        <v>7544</v>
      </c>
      <c r="B411">
        <v>85</v>
      </c>
      <c r="F411" t="s">
        <v>3657</v>
      </c>
      <c r="G411" t="s">
        <v>3597</v>
      </c>
      <c r="H411" s="7">
        <f t="shared" si="7"/>
        <v>26000</v>
      </c>
      <c r="I411" s="7">
        <f t="shared" si="6"/>
        <v>4160</v>
      </c>
    </row>
    <row r="412" spans="1:9">
      <c r="A412" s="150" t="s">
        <v>7544</v>
      </c>
      <c r="B412">
        <v>85</v>
      </c>
      <c r="F412" t="s">
        <v>2690</v>
      </c>
      <c r="G412" t="s">
        <v>3732</v>
      </c>
      <c r="H412" s="7">
        <f t="shared" si="7"/>
        <v>226534.375</v>
      </c>
      <c r="I412" s="7">
        <f t="shared" si="6"/>
        <v>36245.5</v>
      </c>
    </row>
    <row r="413" spans="1:9">
      <c r="A413" s="150" t="s">
        <v>7544</v>
      </c>
      <c r="B413">
        <v>85</v>
      </c>
      <c r="F413" t="s">
        <v>2195</v>
      </c>
      <c r="G413" t="s">
        <v>7442</v>
      </c>
      <c r="H413" s="7">
        <f t="shared" si="7"/>
        <v>284.3125</v>
      </c>
      <c r="I413" s="7">
        <f t="shared" si="6"/>
        <v>45.49</v>
      </c>
    </row>
    <row r="414" spans="1:9">
      <c r="A414" s="150" t="s">
        <v>7544</v>
      </c>
      <c r="B414">
        <v>85</v>
      </c>
      <c r="F414" t="s">
        <v>3908</v>
      </c>
      <c r="G414" s="139" t="s">
        <v>7440</v>
      </c>
      <c r="H414" s="7">
        <f t="shared" si="7"/>
        <v>85</v>
      </c>
      <c r="I414" s="7">
        <f t="shared" si="6"/>
        <v>13.6</v>
      </c>
    </row>
    <row r="415" spans="1:9">
      <c r="A415" s="150" t="s">
        <v>7544</v>
      </c>
      <c r="B415">
        <v>85</v>
      </c>
      <c r="F415" s="25" t="s">
        <v>737</v>
      </c>
      <c r="G415" t="s">
        <v>4194</v>
      </c>
      <c r="H415" s="7">
        <f t="shared" si="7"/>
        <v>12663.875</v>
      </c>
      <c r="I415" s="7">
        <f t="shared" si="6"/>
        <v>2026.22</v>
      </c>
    </row>
    <row r="416" spans="1:9">
      <c r="A416" s="150" t="s">
        <v>7544</v>
      </c>
      <c r="B416">
        <v>85</v>
      </c>
      <c r="F416" s="25" t="s">
        <v>735</v>
      </c>
      <c r="G416" t="s">
        <v>4203</v>
      </c>
      <c r="H416" s="7">
        <f t="shared" si="7"/>
        <v>200</v>
      </c>
      <c r="I416" s="7">
        <f t="shared" si="6"/>
        <v>32</v>
      </c>
    </row>
    <row r="417" spans="1:10">
      <c r="A417" s="150" t="s">
        <v>7544</v>
      </c>
      <c r="B417">
        <v>85</v>
      </c>
      <c r="F417" t="s">
        <v>4212</v>
      </c>
      <c r="G417" t="s">
        <v>4136</v>
      </c>
      <c r="H417" s="7">
        <f t="shared" si="7"/>
        <v>2512</v>
      </c>
      <c r="I417" s="7">
        <f t="shared" si="6"/>
        <v>401.92</v>
      </c>
    </row>
    <row r="418" spans="1:10">
      <c r="A418" s="150" t="s">
        <v>7544</v>
      </c>
      <c r="B418">
        <v>85</v>
      </c>
      <c r="F418" t="s">
        <v>2212</v>
      </c>
      <c r="G418" t="s">
        <v>2097</v>
      </c>
      <c r="H418" s="7">
        <f t="shared" si="7"/>
        <v>3785.625</v>
      </c>
      <c r="I418" s="7">
        <f t="shared" si="6"/>
        <v>605.70000000000005</v>
      </c>
    </row>
    <row r="419" spans="1:10">
      <c r="A419" s="150" t="s">
        <v>7544</v>
      </c>
      <c r="B419">
        <v>85</v>
      </c>
      <c r="F419" s="25" t="s">
        <v>741</v>
      </c>
      <c r="G419" t="s">
        <v>4201</v>
      </c>
      <c r="H419" s="7">
        <f t="shared" si="7"/>
        <v>159</v>
      </c>
      <c r="I419" s="7">
        <f t="shared" si="6"/>
        <v>25.44</v>
      </c>
    </row>
    <row r="420" spans="1:10">
      <c r="A420" s="150" t="s">
        <v>7544</v>
      </c>
      <c r="B420">
        <v>85</v>
      </c>
      <c r="F420" t="s">
        <v>739</v>
      </c>
      <c r="G420" t="s">
        <v>7430</v>
      </c>
      <c r="H420" s="7">
        <f t="shared" si="7"/>
        <v>8406.5</v>
      </c>
      <c r="I420" s="7">
        <f t="shared" si="6"/>
        <v>1345.04</v>
      </c>
    </row>
    <row r="421" spans="1:10">
      <c r="A421" s="150" t="s">
        <v>7544</v>
      </c>
      <c r="B421">
        <v>85</v>
      </c>
      <c r="F421" s="25" t="s">
        <v>743</v>
      </c>
      <c r="G421" t="s">
        <v>4205</v>
      </c>
      <c r="H421" s="7">
        <f t="shared" si="7"/>
        <v>152</v>
      </c>
      <c r="I421" s="7">
        <f t="shared" si="6"/>
        <v>24.32</v>
      </c>
    </row>
    <row r="422" spans="1:10">
      <c r="A422" s="150" t="s">
        <v>7544</v>
      </c>
      <c r="B422">
        <v>85</v>
      </c>
      <c r="F422" t="s">
        <v>790</v>
      </c>
      <c r="G422" t="s">
        <v>428</v>
      </c>
      <c r="H422" s="7">
        <f t="shared" si="7"/>
        <v>1508536.5000000002</v>
      </c>
      <c r="I422" s="7">
        <f t="shared" si="6"/>
        <v>241365.84000000003</v>
      </c>
    </row>
    <row r="423" spans="1:10">
      <c r="A423" s="150" t="s">
        <v>7544</v>
      </c>
      <c r="B423" s="150" t="s">
        <v>7566</v>
      </c>
      <c r="F423" t="s">
        <v>956</v>
      </c>
      <c r="G423" t="s">
        <v>957</v>
      </c>
      <c r="H423" s="7">
        <f t="shared" si="7"/>
        <v>36890.4375</v>
      </c>
      <c r="I423" s="7">
        <f t="shared" si="6"/>
        <v>5902.47</v>
      </c>
      <c r="J423" s="7">
        <v>3934.98</v>
      </c>
    </row>
    <row r="424" spans="1:10">
      <c r="A424" s="150" t="s">
        <v>7544</v>
      </c>
      <c r="B424">
        <v>85</v>
      </c>
      <c r="F424" t="s">
        <v>724</v>
      </c>
      <c r="G424" t="s">
        <v>3739</v>
      </c>
      <c r="H424" s="7">
        <f t="shared" si="7"/>
        <v>164788.375</v>
      </c>
      <c r="I424" s="7">
        <f t="shared" si="6"/>
        <v>26366.14</v>
      </c>
    </row>
    <row r="425" spans="1:10">
      <c r="A425" s="150" t="s">
        <v>7544</v>
      </c>
      <c r="B425">
        <v>85</v>
      </c>
      <c r="F425" t="s">
        <v>3968</v>
      </c>
      <c r="G425" s="139" t="s">
        <v>7439</v>
      </c>
      <c r="H425" s="7">
        <f t="shared" si="7"/>
        <v>162.9375</v>
      </c>
      <c r="I425" s="7">
        <f t="shared" si="6"/>
        <v>26.07</v>
      </c>
    </row>
    <row r="426" spans="1:10">
      <c r="A426" s="150" t="s">
        <v>7544</v>
      </c>
      <c r="B426">
        <v>85</v>
      </c>
      <c r="F426" t="s">
        <v>1543</v>
      </c>
      <c r="G426" s="139" t="s">
        <v>7376</v>
      </c>
      <c r="H426" s="7">
        <f t="shared" si="7"/>
        <v>51.749999999999993</v>
      </c>
      <c r="I426" s="7">
        <f t="shared" si="6"/>
        <v>8.2799999999999994</v>
      </c>
    </row>
    <row r="427" spans="1:10">
      <c r="A427" s="150" t="s">
        <v>7544</v>
      </c>
      <c r="B427">
        <v>85</v>
      </c>
      <c r="F427" t="s">
        <v>730</v>
      </c>
      <c r="G427" t="s">
        <v>476</v>
      </c>
      <c r="H427" s="7">
        <f t="shared" si="7"/>
        <v>7448.3125</v>
      </c>
      <c r="I427" s="7">
        <f t="shared" ref="I427:I458" si="8">+SUMIF($F$7:$F$382,F427,$I$7:$I$382)</f>
        <v>1191.73</v>
      </c>
    </row>
    <row r="428" spans="1:10">
      <c r="A428" s="150" t="s">
        <v>7544</v>
      </c>
      <c r="B428">
        <v>85</v>
      </c>
      <c r="F428" t="s">
        <v>808</v>
      </c>
      <c r="G428" t="s">
        <v>5717</v>
      </c>
      <c r="H428" s="7">
        <f t="shared" si="7"/>
        <v>15665.625</v>
      </c>
      <c r="I428" s="7">
        <f t="shared" si="8"/>
        <v>2506.5</v>
      </c>
    </row>
    <row r="429" spans="1:10">
      <c r="A429" s="150" t="s">
        <v>7544</v>
      </c>
      <c r="B429">
        <v>85</v>
      </c>
      <c r="F429" t="s">
        <v>3945</v>
      </c>
      <c r="G429" s="139" t="s">
        <v>7438</v>
      </c>
      <c r="H429" s="7">
        <f t="shared" si="7"/>
        <v>419.37499999999994</v>
      </c>
      <c r="I429" s="7">
        <f t="shared" si="8"/>
        <v>67.099999999999994</v>
      </c>
    </row>
    <row r="430" spans="1:10">
      <c r="A430" s="150" t="s">
        <v>7544</v>
      </c>
      <c r="B430">
        <v>85</v>
      </c>
      <c r="F430" t="s">
        <v>726</v>
      </c>
      <c r="G430" s="139" t="s">
        <v>7364</v>
      </c>
      <c r="H430" s="7">
        <f t="shared" si="7"/>
        <v>348.3125</v>
      </c>
      <c r="I430" s="7">
        <f t="shared" si="8"/>
        <v>55.730000000000004</v>
      </c>
    </row>
    <row r="431" spans="1:10">
      <c r="A431" s="150" t="s">
        <v>7544</v>
      </c>
      <c r="B431">
        <v>85</v>
      </c>
      <c r="F431" t="s">
        <v>759</v>
      </c>
      <c r="G431" s="139" t="s">
        <v>3221</v>
      </c>
      <c r="H431" s="7">
        <f t="shared" si="7"/>
        <v>2732.5625</v>
      </c>
      <c r="I431" s="7">
        <f t="shared" si="8"/>
        <v>437.21000000000004</v>
      </c>
    </row>
    <row r="432" spans="1:10">
      <c r="A432" s="150" t="s">
        <v>7544</v>
      </c>
      <c r="B432">
        <v>85</v>
      </c>
      <c r="F432" t="s">
        <v>1551</v>
      </c>
      <c r="G432" t="s">
        <v>1436</v>
      </c>
      <c r="H432" s="7">
        <f t="shared" si="7"/>
        <v>2326.5</v>
      </c>
      <c r="I432" s="7">
        <f t="shared" si="8"/>
        <v>372.24</v>
      </c>
    </row>
    <row r="433" spans="1:10">
      <c r="A433" s="150" t="s">
        <v>7544</v>
      </c>
      <c r="B433">
        <v>85</v>
      </c>
      <c r="F433" t="s">
        <v>4216</v>
      </c>
      <c r="G433" s="139" t="s">
        <v>5639</v>
      </c>
      <c r="H433" s="7">
        <f t="shared" si="7"/>
        <v>536.875</v>
      </c>
      <c r="I433" s="7">
        <f t="shared" si="8"/>
        <v>85.9</v>
      </c>
    </row>
    <row r="434" spans="1:10">
      <c r="A434" s="150" t="s">
        <v>7544</v>
      </c>
      <c r="B434">
        <v>85</v>
      </c>
      <c r="F434" t="s">
        <v>1554</v>
      </c>
      <c r="G434" t="s">
        <v>3791</v>
      </c>
      <c r="H434" s="7">
        <f t="shared" si="7"/>
        <v>372177.99999999994</v>
      </c>
      <c r="I434" s="7">
        <f t="shared" si="8"/>
        <v>59548.479999999996</v>
      </c>
    </row>
    <row r="435" spans="1:10">
      <c r="A435" s="150" t="s">
        <v>7544</v>
      </c>
      <c r="B435">
        <v>85</v>
      </c>
      <c r="F435" t="s">
        <v>3477</v>
      </c>
      <c r="G435" s="139" t="s">
        <v>7366</v>
      </c>
      <c r="H435" s="7">
        <f t="shared" si="7"/>
        <v>202.99999999999997</v>
      </c>
      <c r="I435" s="7">
        <f t="shared" si="8"/>
        <v>32.479999999999997</v>
      </c>
    </row>
    <row r="436" spans="1:10">
      <c r="A436" s="150" t="s">
        <v>7544</v>
      </c>
      <c r="B436">
        <v>85</v>
      </c>
      <c r="F436" t="s">
        <v>4213</v>
      </c>
      <c r="G436" t="s">
        <v>4193</v>
      </c>
      <c r="H436" s="7">
        <f t="shared" si="7"/>
        <v>3935</v>
      </c>
      <c r="I436" s="7">
        <f t="shared" si="8"/>
        <v>629.6</v>
      </c>
    </row>
    <row r="437" spans="1:10">
      <c r="A437" s="150" t="s">
        <v>7544</v>
      </c>
      <c r="B437">
        <v>85</v>
      </c>
      <c r="F437" t="s">
        <v>795</v>
      </c>
      <c r="G437" t="s">
        <v>638</v>
      </c>
      <c r="H437" s="7">
        <f t="shared" si="7"/>
        <v>84069</v>
      </c>
      <c r="I437" s="7">
        <f t="shared" si="8"/>
        <v>13451.04</v>
      </c>
    </row>
    <row r="438" spans="1:10">
      <c r="A438" s="150" t="s">
        <v>7544</v>
      </c>
      <c r="B438">
        <v>85</v>
      </c>
      <c r="F438" t="s">
        <v>796</v>
      </c>
      <c r="G438" s="139" t="s">
        <v>7437</v>
      </c>
      <c r="H438" s="7">
        <f t="shared" si="7"/>
        <v>487.06250000000006</v>
      </c>
      <c r="I438" s="7">
        <f t="shared" si="8"/>
        <v>77.930000000000007</v>
      </c>
    </row>
    <row r="439" spans="1:10">
      <c r="A439" s="150" t="s">
        <v>7544</v>
      </c>
      <c r="B439">
        <v>85</v>
      </c>
      <c r="F439" t="s">
        <v>704</v>
      </c>
      <c r="G439" s="139" t="s">
        <v>237</v>
      </c>
      <c r="H439" s="7">
        <f t="shared" si="7"/>
        <v>1508.5624999999998</v>
      </c>
      <c r="I439" s="7">
        <f t="shared" si="8"/>
        <v>241.36999999999998</v>
      </c>
    </row>
    <row r="440" spans="1:10">
      <c r="A440" s="150" t="s">
        <v>7544</v>
      </c>
      <c r="B440">
        <v>85</v>
      </c>
      <c r="F440" t="s">
        <v>1561</v>
      </c>
      <c r="G440" t="s">
        <v>7284</v>
      </c>
      <c r="H440" s="7">
        <f t="shared" si="7"/>
        <v>138.75000000000003</v>
      </c>
      <c r="I440" s="7">
        <f t="shared" si="8"/>
        <v>22.200000000000003</v>
      </c>
    </row>
    <row r="441" spans="1:10">
      <c r="A441" s="150" t="s">
        <v>7544</v>
      </c>
      <c r="B441">
        <v>85</v>
      </c>
      <c r="F441" t="s">
        <v>961</v>
      </c>
      <c r="G441" s="139" t="s">
        <v>7382</v>
      </c>
      <c r="H441" s="7">
        <f t="shared" si="7"/>
        <v>351.5625</v>
      </c>
      <c r="I441" s="7">
        <f t="shared" si="8"/>
        <v>56.25</v>
      </c>
    </row>
    <row r="442" spans="1:10">
      <c r="A442" s="150" t="s">
        <v>7544</v>
      </c>
      <c r="B442">
        <v>85</v>
      </c>
      <c r="F442" t="s">
        <v>4033</v>
      </c>
      <c r="G442" s="139" t="s">
        <v>7436</v>
      </c>
      <c r="H442" s="7">
        <f t="shared" si="7"/>
        <v>718.875</v>
      </c>
      <c r="I442" s="7">
        <f t="shared" si="8"/>
        <v>115.02000000000001</v>
      </c>
    </row>
    <row r="443" spans="1:10">
      <c r="A443" s="150" t="s">
        <v>7544</v>
      </c>
      <c r="B443">
        <v>85</v>
      </c>
      <c r="F443" t="s">
        <v>2204</v>
      </c>
      <c r="G443" s="139" t="s">
        <v>1885</v>
      </c>
      <c r="H443" s="7">
        <f t="shared" si="7"/>
        <v>132.875</v>
      </c>
      <c r="I443" s="7">
        <f t="shared" si="8"/>
        <v>21.26</v>
      </c>
    </row>
    <row r="444" spans="1:10">
      <c r="A444" s="150" t="s">
        <v>7544</v>
      </c>
      <c r="B444">
        <v>85</v>
      </c>
      <c r="F444" t="s">
        <v>805</v>
      </c>
      <c r="G444" t="s">
        <v>1148</v>
      </c>
      <c r="H444" s="7">
        <f t="shared" si="7"/>
        <v>1242.875</v>
      </c>
      <c r="I444" s="7">
        <f t="shared" si="8"/>
        <v>198.86</v>
      </c>
      <c r="J444" s="7">
        <v>49.71</v>
      </c>
    </row>
    <row r="445" spans="1:10">
      <c r="A445" s="150" t="s">
        <v>7544</v>
      </c>
      <c r="B445">
        <v>85</v>
      </c>
      <c r="F445" t="s">
        <v>804</v>
      </c>
      <c r="G445" s="139" t="s">
        <v>7385</v>
      </c>
      <c r="H445" s="7">
        <f t="shared" si="7"/>
        <v>348.99999999999994</v>
      </c>
      <c r="I445" s="7">
        <f t="shared" si="8"/>
        <v>55.839999999999996</v>
      </c>
    </row>
    <row r="446" spans="1:10">
      <c r="A446" s="150" t="s">
        <v>7544</v>
      </c>
      <c r="B446">
        <v>85</v>
      </c>
      <c r="F446" t="s">
        <v>3994</v>
      </c>
      <c r="G446" s="139" t="s">
        <v>7435</v>
      </c>
      <c r="H446" s="7">
        <f t="shared" si="7"/>
        <v>115.5</v>
      </c>
      <c r="I446" s="7">
        <f t="shared" si="8"/>
        <v>18.48</v>
      </c>
    </row>
    <row r="447" spans="1:10">
      <c r="A447" s="150" t="s">
        <v>7544</v>
      </c>
      <c r="B447">
        <v>85</v>
      </c>
      <c r="F447" t="s">
        <v>1570</v>
      </c>
      <c r="G447" t="s">
        <v>1476</v>
      </c>
      <c r="H447" s="7">
        <f t="shared" si="7"/>
        <v>8112.9999999999991</v>
      </c>
      <c r="I447" s="7">
        <f t="shared" si="8"/>
        <v>1298.08</v>
      </c>
    </row>
    <row r="448" spans="1:10">
      <c r="A448" s="150" t="s">
        <v>7544</v>
      </c>
      <c r="B448">
        <v>85</v>
      </c>
      <c r="F448" t="s">
        <v>3948</v>
      </c>
      <c r="G448" s="139" t="s">
        <v>7434</v>
      </c>
      <c r="H448" s="7">
        <f t="shared" si="7"/>
        <v>463.375</v>
      </c>
      <c r="I448" s="7">
        <f t="shared" si="8"/>
        <v>74.14</v>
      </c>
    </row>
    <row r="449" spans="1:9">
      <c r="A449" s="150" t="s">
        <v>7544</v>
      </c>
      <c r="B449">
        <v>85</v>
      </c>
      <c r="F449" t="s">
        <v>4217</v>
      </c>
      <c r="G449" t="s">
        <v>7413</v>
      </c>
      <c r="H449" s="7">
        <f t="shared" si="7"/>
        <v>163793.125</v>
      </c>
      <c r="I449" s="7">
        <f t="shared" si="8"/>
        <v>26206.9</v>
      </c>
    </row>
    <row r="450" spans="1:9">
      <c r="A450" s="150" t="s">
        <v>7544</v>
      </c>
      <c r="B450">
        <v>85</v>
      </c>
      <c r="F450" t="s">
        <v>2235</v>
      </c>
      <c r="G450" s="139" t="s">
        <v>7433</v>
      </c>
      <c r="H450" s="7">
        <f t="shared" si="7"/>
        <v>557.75</v>
      </c>
      <c r="I450" s="7">
        <f t="shared" si="8"/>
        <v>89.24</v>
      </c>
    </row>
    <row r="451" spans="1:9">
      <c r="A451" s="150" t="s">
        <v>7544</v>
      </c>
      <c r="B451">
        <v>85</v>
      </c>
      <c r="F451" t="s">
        <v>815</v>
      </c>
      <c r="G451" t="s">
        <v>446</v>
      </c>
      <c r="H451" s="7">
        <f t="shared" si="7"/>
        <v>4590.1875</v>
      </c>
      <c r="I451" s="7">
        <f t="shared" si="8"/>
        <v>734.43000000000006</v>
      </c>
    </row>
    <row r="452" spans="1:9">
      <c r="A452" s="150" t="s">
        <v>7544</v>
      </c>
      <c r="B452">
        <v>85</v>
      </c>
      <c r="F452" t="s">
        <v>3898</v>
      </c>
      <c r="G452" s="139" t="s">
        <v>7432</v>
      </c>
      <c r="H452" s="7">
        <f t="shared" si="7"/>
        <v>162.9375</v>
      </c>
      <c r="I452" s="7">
        <f t="shared" si="8"/>
        <v>26.07</v>
      </c>
    </row>
    <row r="453" spans="1:9">
      <c r="A453" s="150" t="s">
        <v>7544</v>
      </c>
      <c r="B453">
        <v>85</v>
      </c>
      <c r="F453" t="s">
        <v>722</v>
      </c>
      <c r="G453" t="s">
        <v>722</v>
      </c>
      <c r="H453" s="7">
        <f t="shared" si="7"/>
        <v>8389.1250000000018</v>
      </c>
      <c r="I453" s="7">
        <f t="shared" si="8"/>
        <v>1342.2600000000002</v>
      </c>
    </row>
    <row r="454" spans="1:9">
      <c r="A454" s="150" t="s">
        <v>7544</v>
      </c>
      <c r="B454">
        <v>85</v>
      </c>
      <c r="F454" t="s">
        <v>2208</v>
      </c>
      <c r="G454" t="s">
        <v>2122</v>
      </c>
      <c r="H454" s="7">
        <f t="shared" si="7"/>
        <v>21990</v>
      </c>
      <c r="I454" s="7">
        <f t="shared" si="8"/>
        <v>3518.4</v>
      </c>
    </row>
    <row r="455" spans="1:9">
      <c r="A455" s="150" t="s">
        <v>7544</v>
      </c>
      <c r="B455">
        <v>85</v>
      </c>
      <c r="F455" t="s">
        <v>1638</v>
      </c>
      <c r="G455" s="139" t="s">
        <v>1639</v>
      </c>
      <c r="H455" s="7">
        <f t="shared" si="7"/>
        <v>910.5625</v>
      </c>
      <c r="I455" s="7">
        <f t="shared" si="8"/>
        <v>145.69</v>
      </c>
    </row>
    <row r="456" spans="1:9">
      <c r="A456" s="150" t="s">
        <v>7544</v>
      </c>
      <c r="B456">
        <v>85</v>
      </c>
      <c r="F456" t="s">
        <v>820</v>
      </c>
      <c r="G456" s="139" t="s">
        <v>7431</v>
      </c>
      <c r="H456" s="7">
        <f t="shared" si="7"/>
        <v>75.875</v>
      </c>
      <c r="I456" s="7">
        <f t="shared" si="8"/>
        <v>12.14</v>
      </c>
    </row>
    <row r="457" spans="1:9">
      <c r="A457" s="150" t="s">
        <v>7544</v>
      </c>
      <c r="B457">
        <v>85</v>
      </c>
      <c r="F457" t="s">
        <v>840</v>
      </c>
      <c r="G457" t="s">
        <v>409</v>
      </c>
      <c r="H457" s="7">
        <f t="shared" si="7"/>
        <v>236.68749999999997</v>
      </c>
      <c r="I457" s="7">
        <f t="shared" si="8"/>
        <v>37.869999999999997</v>
      </c>
    </row>
    <row r="458" spans="1:9">
      <c r="A458" s="150" t="s">
        <v>7544</v>
      </c>
      <c r="B458">
        <v>85</v>
      </c>
      <c r="F458" t="s">
        <v>955</v>
      </c>
      <c r="G458" s="139" t="s">
        <v>7429</v>
      </c>
      <c r="H458" s="7">
        <f t="shared" si="7"/>
        <v>4677.5</v>
      </c>
      <c r="I458" s="7">
        <f t="shared" si="8"/>
        <v>748.4</v>
      </c>
    </row>
    <row r="459" spans="1:9">
      <c r="A459" s="150" t="s">
        <v>7544</v>
      </c>
      <c r="B459">
        <v>85</v>
      </c>
      <c r="F459" t="s">
        <v>823</v>
      </c>
      <c r="G459" t="s">
        <v>455</v>
      </c>
      <c r="H459" s="7">
        <f t="shared" ref="H459:H522" si="9">+I459/0.16</f>
        <v>50819.25</v>
      </c>
      <c r="I459" s="7">
        <f t="shared" ref="I459:I490" si="10">+SUMIF($F$7:$F$382,F459,$I$7:$I$382)</f>
        <v>8131.08</v>
      </c>
    </row>
    <row r="460" spans="1:9">
      <c r="A460" s="150" t="s">
        <v>7544</v>
      </c>
      <c r="B460">
        <v>85</v>
      </c>
      <c r="F460" t="s">
        <v>1573</v>
      </c>
      <c r="G460" t="s">
        <v>1455</v>
      </c>
      <c r="H460" s="7">
        <f t="shared" si="9"/>
        <v>4650</v>
      </c>
      <c r="I460" s="7">
        <f t="shared" si="10"/>
        <v>744</v>
      </c>
    </row>
    <row r="461" spans="1:9">
      <c r="A461" s="150" t="s">
        <v>7544</v>
      </c>
      <c r="B461">
        <v>85</v>
      </c>
      <c r="F461" t="s">
        <v>821</v>
      </c>
      <c r="G461" s="139" t="s">
        <v>5707</v>
      </c>
      <c r="H461" s="7">
        <f t="shared" si="9"/>
        <v>1724.0625</v>
      </c>
      <c r="I461" s="7">
        <f t="shared" si="10"/>
        <v>275.85000000000002</v>
      </c>
    </row>
    <row r="462" spans="1:9">
      <c r="A462" s="150" t="s">
        <v>7544</v>
      </c>
      <c r="B462">
        <v>85</v>
      </c>
      <c r="F462" t="s">
        <v>716</v>
      </c>
      <c r="G462" s="139" t="s">
        <v>7386</v>
      </c>
      <c r="H462" s="7">
        <f t="shared" si="9"/>
        <v>4725</v>
      </c>
      <c r="I462" s="7">
        <f t="shared" si="10"/>
        <v>756</v>
      </c>
    </row>
    <row r="463" spans="1:9">
      <c r="A463" s="150" t="s">
        <v>7544</v>
      </c>
      <c r="B463">
        <v>85</v>
      </c>
      <c r="F463" t="s">
        <v>827</v>
      </c>
      <c r="G463" t="s">
        <v>650</v>
      </c>
      <c r="H463" s="7">
        <f t="shared" si="9"/>
        <v>3401.9999999999995</v>
      </c>
      <c r="I463" s="7">
        <f t="shared" si="10"/>
        <v>544.31999999999994</v>
      </c>
    </row>
    <row r="464" spans="1:9">
      <c r="A464" s="150" t="s">
        <v>7544</v>
      </c>
      <c r="B464">
        <v>85</v>
      </c>
      <c r="F464" s="139" t="s">
        <v>828</v>
      </c>
      <c r="G464" s="139" t="s">
        <v>7387</v>
      </c>
      <c r="H464" s="7">
        <f t="shared" si="9"/>
        <v>58.25</v>
      </c>
      <c r="I464" s="7">
        <f t="shared" si="10"/>
        <v>9.32</v>
      </c>
    </row>
    <row r="465" spans="1:10">
      <c r="A465" s="150" t="s">
        <v>7544</v>
      </c>
      <c r="B465">
        <v>85</v>
      </c>
      <c r="F465" t="s">
        <v>4215</v>
      </c>
      <c r="G465" t="s">
        <v>4134</v>
      </c>
      <c r="H465" s="7">
        <f t="shared" si="9"/>
        <v>1515.5</v>
      </c>
      <c r="I465" s="7">
        <f t="shared" si="10"/>
        <v>242.48</v>
      </c>
    </row>
    <row r="466" spans="1:10">
      <c r="A466" s="150" t="s">
        <v>7544</v>
      </c>
      <c r="B466">
        <v>85</v>
      </c>
      <c r="F466" t="s">
        <v>836</v>
      </c>
      <c r="G466" t="s">
        <v>472</v>
      </c>
      <c r="H466" s="7">
        <f t="shared" si="9"/>
        <v>12860.8125</v>
      </c>
      <c r="I466" s="7">
        <f t="shared" si="10"/>
        <v>2057.73</v>
      </c>
    </row>
    <row r="467" spans="1:10">
      <c r="A467" s="150" t="s">
        <v>7544</v>
      </c>
      <c r="B467" s="150" t="s">
        <v>7566</v>
      </c>
      <c r="F467" t="s">
        <v>829</v>
      </c>
      <c r="G467" t="s">
        <v>529</v>
      </c>
      <c r="H467" s="7">
        <f t="shared" si="9"/>
        <v>133928.625</v>
      </c>
      <c r="I467" s="7">
        <f t="shared" si="10"/>
        <v>21428.58</v>
      </c>
      <c r="J467" s="7">
        <v>14285.71</v>
      </c>
    </row>
    <row r="468" spans="1:10">
      <c r="A468" s="150" t="s">
        <v>7544</v>
      </c>
      <c r="B468">
        <v>85</v>
      </c>
      <c r="F468" t="s">
        <v>834</v>
      </c>
      <c r="G468" t="s">
        <v>520</v>
      </c>
      <c r="H468" s="7">
        <f t="shared" si="9"/>
        <v>101919.0625</v>
      </c>
      <c r="I468" s="7">
        <f t="shared" si="10"/>
        <v>16307.05</v>
      </c>
    </row>
    <row r="469" spans="1:10">
      <c r="A469" s="150" t="s">
        <v>7544</v>
      </c>
      <c r="B469">
        <v>85</v>
      </c>
      <c r="F469" t="s">
        <v>939</v>
      </c>
      <c r="G469" t="s">
        <v>940</v>
      </c>
      <c r="H469" s="7">
        <f t="shared" si="9"/>
        <v>86.187499999999986</v>
      </c>
      <c r="I469" s="7">
        <f t="shared" si="10"/>
        <v>13.79</v>
      </c>
    </row>
    <row r="470" spans="1:10">
      <c r="A470" s="150" t="s">
        <v>7544</v>
      </c>
      <c r="B470">
        <v>85</v>
      </c>
      <c r="F470" t="s">
        <v>1587</v>
      </c>
      <c r="G470" s="139" t="s">
        <v>1267</v>
      </c>
      <c r="H470" s="7">
        <f t="shared" si="9"/>
        <v>1100</v>
      </c>
      <c r="I470" s="7">
        <f t="shared" si="10"/>
        <v>176</v>
      </c>
    </row>
    <row r="471" spans="1:10">
      <c r="A471" s="150" t="s">
        <v>7544</v>
      </c>
      <c r="B471">
        <v>85</v>
      </c>
      <c r="F471" t="s">
        <v>700</v>
      </c>
      <c r="G471" s="139" t="s">
        <v>301</v>
      </c>
      <c r="H471" s="7">
        <f t="shared" si="9"/>
        <v>327</v>
      </c>
      <c r="I471" s="7">
        <f t="shared" si="10"/>
        <v>52.32</v>
      </c>
    </row>
    <row r="472" spans="1:10">
      <c r="A472" s="150" t="s">
        <v>7544</v>
      </c>
      <c r="B472">
        <v>85</v>
      </c>
      <c r="F472" t="s">
        <v>1589</v>
      </c>
      <c r="G472" t="s">
        <v>1341</v>
      </c>
      <c r="H472" s="7">
        <f t="shared" si="9"/>
        <v>12625.875</v>
      </c>
      <c r="I472" s="7">
        <f t="shared" si="10"/>
        <v>2020.14</v>
      </c>
    </row>
    <row r="473" spans="1:10">
      <c r="A473" s="150" t="s">
        <v>7544</v>
      </c>
      <c r="B473">
        <v>85</v>
      </c>
      <c r="F473" t="s">
        <v>838</v>
      </c>
      <c r="G473" t="s">
        <v>467</v>
      </c>
      <c r="H473" s="7">
        <f t="shared" si="9"/>
        <v>3530.5</v>
      </c>
      <c r="I473" s="7">
        <f t="shared" si="10"/>
        <v>564.88</v>
      </c>
    </row>
    <row r="474" spans="1:10">
      <c r="A474" s="150" t="s">
        <v>7544</v>
      </c>
      <c r="B474">
        <v>85</v>
      </c>
      <c r="F474" t="s">
        <v>837</v>
      </c>
      <c r="G474" s="139" t="s">
        <v>261</v>
      </c>
      <c r="H474" s="7">
        <f t="shared" si="9"/>
        <v>552.625</v>
      </c>
      <c r="I474" s="7">
        <f t="shared" si="10"/>
        <v>88.42</v>
      </c>
    </row>
    <row r="475" spans="1:10">
      <c r="A475" s="150" t="s">
        <v>7544</v>
      </c>
      <c r="B475">
        <v>85</v>
      </c>
      <c r="F475" s="140" t="s">
        <v>4005</v>
      </c>
      <c r="G475" s="140" t="s">
        <v>4005</v>
      </c>
      <c r="H475" s="7">
        <f t="shared" si="9"/>
        <v>258.625</v>
      </c>
      <c r="I475" s="7">
        <f t="shared" si="10"/>
        <v>41.38</v>
      </c>
    </row>
    <row r="476" spans="1:10">
      <c r="A476" s="150" t="s">
        <v>7544</v>
      </c>
      <c r="B476">
        <v>85</v>
      </c>
      <c r="F476" t="s">
        <v>1588</v>
      </c>
      <c r="G476" t="s">
        <v>1349</v>
      </c>
      <c r="H476" s="7">
        <f t="shared" si="9"/>
        <v>9500</v>
      </c>
      <c r="I476" s="7">
        <f t="shared" si="10"/>
        <v>1520</v>
      </c>
    </row>
    <row r="477" spans="1:10">
      <c r="A477" s="150" t="s">
        <v>7544</v>
      </c>
      <c r="B477">
        <v>85</v>
      </c>
      <c r="F477" t="s">
        <v>768</v>
      </c>
      <c r="G477" s="139" t="s">
        <v>7400</v>
      </c>
      <c r="H477" s="7">
        <f t="shared" si="9"/>
        <v>789.3125</v>
      </c>
      <c r="I477" s="7">
        <f t="shared" si="10"/>
        <v>126.29</v>
      </c>
    </row>
    <row r="478" spans="1:10">
      <c r="A478" s="150" t="s">
        <v>7544</v>
      </c>
      <c r="B478">
        <v>85</v>
      </c>
      <c r="F478" t="s">
        <v>1528</v>
      </c>
      <c r="G478" t="s">
        <v>3656</v>
      </c>
      <c r="H478" s="7">
        <f t="shared" si="9"/>
        <v>7350</v>
      </c>
      <c r="I478" s="7">
        <f t="shared" si="10"/>
        <v>1176</v>
      </c>
    </row>
    <row r="479" spans="1:10">
      <c r="A479" s="150" t="s">
        <v>7544</v>
      </c>
      <c r="B479">
        <v>85</v>
      </c>
      <c r="F479" t="s">
        <v>843</v>
      </c>
      <c r="G479" t="s">
        <v>470</v>
      </c>
      <c r="H479" s="7">
        <f t="shared" si="9"/>
        <v>1653</v>
      </c>
      <c r="I479" s="7">
        <f t="shared" si="10"/>
        <v>264.48</v>
      </c>
    </row>
    <row r="480" spans="1:10">
      <c r="A480" s="150" t="s">
        <v>7544</v>
      </c>
      <c r="B480">
        <v>85</v>
      </c>
      <c r="F480" t="s">
        <v>844</v>
      </c>
      <c r="G480" t="s">
        <v>665</v>
      </c>
      <c r="H480" s="7">
        <f t="shared" si="9"/>
        <v>2000</v>
      </c>
      <c r="I480" s="7">
        <f t="shared" si="10"/>
        <v>320</v>
      </c>
    </row>
    <row r="481" spans="1:10">
      <c r="A481" s="150" t="s">
        <v>7544</v>
      </c>
      <c r="B481">
        <v>85</v>
      </c>
      <c r="F481" t="s">
        <v>2216</v>
      </c>
      <c r="G481" t="s">
        <v>2157</v>
      </c>
      <c r="H481" s="7">
        <f t="shared" si="9"/>
        <v>245.43750000000003</v>
      </c>
      <c r="I481" s="7">
        <f t="shared" si="10"/>
        <v>39.270000000000003</v>
      </c>
    </row>
    <row r="482" spans="1:10">
      <c r="A482" s="150" t="s">
        <v>7544</v>
      </c>
      <c r="B482" s="150" t="s">
        <v>7566</v>
      </c>
      <c r="F482" t="s">
        <v>845</v>
      </c>
      <c r="G482" t="s">
        <v>532</v>
      </c>
      <c r="H482" s="7">
        <f t="shared" si="9"/>
        <v>133928.625</v>
      </c>
      <c r="I482" s="7">
        <f t="shared" si="10"/>
        <v>21428.58</v>
      </c>
      <c r="J482" s="7">
        <v>14285.71</v>
      </c>
    </row>
    <row r="483" spans="1:10">
      <c r="A483" s="150" t="s">
        <v>7544</v>
      </c>
      <c r="B483">
        <v>85</v>
      </c>
      <c r="F483" t="s">
        <v>1534</v>
      </c>
      <c r="G483" s="139" t="s">
        <v>1535</v>
      </c>
      <c r="H483" s="7">
        <f t="shared" si="9"/>
        <v>190.5</v>
      </c>
      <c r="I483" s="7">
        <f t="shared" si="10"/>
        <v>30.48</v>
      </c>
    </row>
    <row r="484" spans="1:10">
      <c r="A484" s="150" t="s">
        <v>7544</v>
      </c>
      <c r="B484">
        <v>85</v>
      </c>
      <c r="F484" t="s">
        <v>2743</v>
      </c>
      <c r="G484" s="139" t="s">
        <v>7426</v>
      </c>
      <c r="H484" s="7">
        <f t="shared" si="9"/>
        <v>201.68750000000003</v>
      </c>
      <c r="I484" s="7">
        <f t="shared" si="10"/>
        <v>32.270000000000003</v>
      </c>
    </row>
    <row r="485" spans="1:10">
      <c r="A485" s="150" t="s">
        <v>7544</v>
      </c>
      <c r="B485">
        <v>85</v>
      </c>
      <c r="F485" s="139" t="s">
        <v>3448</v>
      </c>
      <c r="G485" s="139" t="s">
        <v>7401</v>
      </c>
      <c r="H485" s="7">
        <f t="shared" si="9"/>
        <v>468.9375</v>
      </c>
      <c r="I485" s="7">
        <f t="shared" si="10"/>
        <v>75.03</v>
      </c>
    </row>
    <row r="486" spans="1:10">
      <c r="A486" s="150" t="s">
        <v>7544</v>
      </c>
      <c r="B486">
        <v>85</v>
      </c>
      <c r="F486" t="s">
        <v>2758</v>
      </c>
      <c r="G486" s="139" t="s">
        <v>2759</v>
      </c>
      <c r="H486" s="7">
        <f t="shared" si="9"/>
        <v>118.99999999999999</v>
      </c>
      <c r="I486" s="7">
        <f t="shared" si="10"/>
        <v>19.04</v>
      </c>
    </row>
    <row r="487" spans="1:10">
      <c r="A487" s="150" t="s">
        <v>7544</v>
      </c>
      <c r="B487">
        <v>85</v>
      </c>
      <c r="F487" t="s">
        <v>847</v>
      </c>
      <c r="G487" s="139" t="s">
        <v>7402</v>
      </c>
      <c r="H487" s="7">
        <f t="shared" si="9"/>
        <v>660.875</v>
      </c>
      <c r="I487" s="7">
        <f t="shared" si="10"/>
        <v>105.74000000000001</v>
      </c>
    </row>
    <row r="488" spans="1:10">
      <c r="A488" s="150" t="s">
        <v>7544</v>
      </c>
      <c r="B488">
        <v>85</v>
      </c>
      <c r="F488" t="s">
        <v>965</v>
      </c>
      <c r="G488" t="s">
        <v>7424</v>
      </c>
      <c r="H488" s="7">
        <f t="shared" si="9"/>
        <v>168979.625</v>
      </c>
      <c r="I488" s="7">
        <f t="shared" si="10"/>
        <v>27036.74</v>
      </c>
    </row>
    <row r="489" spans="1:10">
      <c r="A489" s="150" t="s">
        <v>7544</v>
      </c>
      <c r="B489">
        <v>85</v>
      </c>
      <c r="F489" t="s">
        <v>2252</v>
      </c>
      <c r="G489" t="s">
        <v>7425</v>
      </c>
      <c r="H489" s="7">
        <f t="shared" si="9"/>
        <v>2618.4375</v>
      </c>
      <c r="I489" s="7">
        <f t="shared" si="10"/>
        <v>418.95</v>
      </c>
    </row>
    <row r="490" spans="1:10">
      <c r="A490" s="150" t="s">
        <v>7544</v>
      </c>
      <c r="B490">
        <v>85</v>
      </c>
      <c r="F490" t="s">
        <v>849</v>
      </c>
      <c r="G490" t="s">
        <v>3726</v>
      </c>
      <c r="H490" s="7">
        <f t="shared" si="9"/>
        <v>572101.5</v>
      </c>
      <c r="I490" s="7">
        <f t="shared" si="10"/>
        <v>91536.24</v>
      </c>
    </row>
    <row r="491" spans="1:10">
      <c r="A491" s="150" t="s">
        <v>7544</v>
      </c>
      <c r="B491">
        <v>85</v>
      </c>
      <c r="F491" t="s">
        <v>3689</v>
      </c>
      <c r="G491" s="139" t="s">
        <v>7389</v>
      </c>
      <c r="H491" s="7">
        <f t="shared" si="9"/>
        <v>125</v>
      </c>
      <c r="I491" s="7">
        <f t="shared" ref="I491:I522" si="11">+SUMIF($F$7:$F$382,F491,$I$7:$I$382)</f>
        <v>20</v>
      </c>
    </row>
    <row r="492" spans="1:10">
      <c r="A492" s="150" t="s">
        <v>7544</v>
      </c>
      <c r="B492">
        <v>85</v>
      </c>
      <c r="F492" t="s">
        <v>769</v>
      </c>
      <c r="G492" t="s">
        <v>645</v>
      </c>
      <c r="H492" s="7">
        <f t="shared" si="9"/>
        <v>8497.4375</v>
      </c>
      <c r="I492" s="7">
        <f t="shared" si="11"/>
        <v>1359.59</v>
      </c>
    </row>
    <row r="493" spans="1:10">
      <c r="A493" s="150" t="s">
        <v>7544</v>
      </c>
      <c r="B493">
        <v>85</v>
      </c>
      <c r="F493" t="s">
        <v>2738</v>
      </c>
      <c r="G493" s="139" t="s">
        <v>7427</v>
      </c>
      <c r="H493" s="7">
        <f t="shared" si="9"/>
        <v>68.125</v>
      </c>
      <c r="I493" s="7">
        <f t="shared" si="11"/>
        <v>10.9</v>
      </c>
    </row>
    <row r="494" spans="1:10">
      <c r="A494" s="150" t="s">
        <v>7544</v>
      </c>
      <c r="B494">
        <v>85</v>
      </c>
      <c r="F494" t="s">
        <v>2705</v>
      </c>
      <c r="G494" t="s">
        <v>2706</v>
      </c>
      <c r="H494" s="7">
        <f t="shared" si="9"/>
        <v>105</v>
      </c>
      <c r="I494" s="7">
        <f t="shared" si="11"/>
        <v>16.8</v>
      </c>
    </row>
    <row r="495" spans="1:10">
      <c r="A495" s="150" t="s">
        <v>7544</v>
      </c>
      <c r="B495">
        <v>85</v>
      </c>
      <c r="F495" t="s">
        <v>915</v>
      </c>
      <c r="G495" s="139" t="s">
        <v>7403</v>
      </c>
      <c r="H495" s="7">
        <f t="shared" si="9"/>
        <v>1439.625</v>
      </c>
      <c r="I495" s="7">
        <f t="shared" si="11"/>
        <v>230.34</v>
      </c>
    </row>
    <row r="496" spans="1:10">
      <c r="A496" s="150" t="s">
        <v>7544</v>
      </c>
      <c r="B496">
        <v>85</v>
      </c>
      <c r="F496" t="s">
        <v>848</v>
      </c>
      <c r="G496" s="139" t="s">
        <v>3706</v>
      </c>
      <c r="H496" s="7">
        <f t="shared" si="9"/>
        <v>17900</v>
      </c>
      <c r="I496" s="7">
        <f t="shared" si="11"/>
        <v>2864</v>
      </c>
    </row>
    <row r="497" spans="1:9">
      <c r="A497" s="150" t="s">
        <v>7544</v>
      </c>
      <c r="B497">
        <v>85</v>
      </c>
      <c r="F497" t="s">
        <v>4072</v>
      </c>
      <c r="G497" s="139" t="s">
        <v>7423</v>
      </c>
      <c r="H497" s="7">
        <f t="shared" si="9"/>
        <v>150</v>
      </c>
      <c r="I497" s="7">
        <f t="shared" si="11"/>
        <v>24</v>
      </c>
    </row>
    <row r="498" spans="1:9">
      <c r="A498" s="150" t="s">
        <v>7544</v>
      </c>
      <c r="B498">
        <v>85</v>
      </c>
      <c r="F498" t="s">
        <v>1596</v>
      </c>
      <c r="G498" t="s">
        <v>1403</v>
      </c>
      <c r="H498" s="7">
        <f t="shared" si="9"/>
        <v>12274.0625</v>
      </c>
      <c r="I498" s="7">
        <f t="shared" si="11"/>
        <v>1963.85</v>
      </c>
    </row>
    <row r="499" spans="1:9">
      <c r="A499" s="150" t="s">
        <v>7544</v>
      </c>
      <c r="B499">
        <v>85</v>
      </c>
      <c r="F499" t="s">
        <v>1595</v>
      </c>
      <c r="G499" s="139" t="s">
        <v>7422</v>
      </c>
      <c r="H499" s="7">
        <f t="shared" si="9"/>
        <v>24.5</v>
      </c>
      <c r="I499" s="7">
        <f t="shared" si="11"/>
        <v>3.92</v>
      </c>
    </row>
    <row r="500" spans="1:9">
      <c r="A500" s="150" t="s">
        <v>7544</v>
      </c>
      <c r="B500">
        <v>85</v>
      </c>
      <c r="F500" t="s">
        <v>4218</v>
      </c>
      <c r="G500" t="s">
        <v>4170</v>
      </c>
      <c r="H500" s="7">
        <f t="shared" si="9"/>
        <v>11534</v>
      </c>
      <c r="I500" s="7">
        <f t="shared" si="11"/>
        <v>1845.44</v>
      </c>
    </row>
    <row r="501" spans="1:9">
      <c r="A501" s="150" t="s">
        <v>7544</v>
      </c>
      <c r="B501">
        <v>85</v>
      </c>
      <c r="F501" t="s">
        <v>3987</v>
      </c>
      <c r="G501" s="139" t="s">
        <v>7421</v>
      </c>
      <c r="H501" s="7">
        <f t="shared" si="9"/>
        <v>2841.875</v>
      </c>
      <c r="I501" s="7">
        <f t="shared" si="11"/>
        <v>454.70000000000005</v>
      </c>
    </row>
    <row r="502" spans="1:9">
      <c r="A502" s="150" t="s">
        <v>7544</v>
      </c>
      <c r="B502">
        <v>85</v>
      </c>
      <c r="F502" t="s">
        <v>832</v>
      </c>
      <c r="G502" t="s">
        <v>1585</v>
      </c>
      <c r="H502" s="7">
        <f t="shared" si="9"/>
        <v>2005.5</v>
      </c>
      <c r="I502" s="7">
        <f t="shared" si="11"/>
        <v>320.88</v>
      </c>
    </row>
    <row r="503" spans="1:9">
      <c r="A503" s="150" t="s">
        <v>7544</v>
      </c>
      <c r="B503">
        <v>85</v>
      </c>
      <c r="F503" t="s">
        <v>2700</v>
      </c>
      <c r="G503" s="139" t="s">
        <v>7420</v>
      </c>
      <c r="H503" s="7">
        <f t="shared" si="9"/>
        <v>494.00000000000006</v>
      </c>
      <c r="I503" s="7">
        <f t="shared" si="11"/>
        <v>79.040000000000006</v>
      </c>
    </row>
    <row r="504" spans="1:9">
      <c r="A504" s="150" t="s">
        <v>7544</v>
      </c>
      <c r="B504">
        <v>85</v>
      </c>
      <c r="F504" t="s">
        <v>860</v>
      </c>
      <c r="G504" t="s">
        <v>474</v>
      </c>
      <c r="H504" s="7">
        <f t="shared" si="9"/>
        <v>7300</v>
      </c>
      <c r="I504" s="7">
        <f t="shared" si="11"/>
        <v>1168</v>
      </c>
    </row>
    <row r="505" spans="1:9">
      <c r="A505" s="150" t="s">
        <v>7544</v>
      </c>
      <c r="B505">
        <v>85</v>
      </c>
      <c r="F505" t="s">
        <v>857</v>
      </c>
      <c r="G505" s="139" t="s">
        <v>315</v>
      </c>
      <c r="H505" s="7">
        <f t="shared" si="9"/>
        <v>148</v>
      </c>
      <c r="I505" s="7">
        <f t="shared" si="11"/>
        <v>23.68</v>
      </c>
    </row>
    <row r="506" spans="1:9">
      <c r="A506" s="150" t="s">
        <v>7544</v>
      </c>
      <c r="B506">
        <v>85</v>
      </c>
      <c r="F506" t="s">
        <v>858</v>
      </c>
      <c r="G506" t="s">
        <v>457</v>
      </c>
      <c r="H506" s="7">
        <f t="shared" si="9"/>
        <v>52871.624999999993</v>
      </c>
      <c r="I506" s="7">
        <f t="shared" si="11"/>
        <v>8459.4599999999991</v>
      </c>
    </row>
    <row r="507" spans="1:9">
      <c r="A507" s="150" t="s">
        <v>7544</v>
      </c>
      <c r="B507">
        <v>85</v>
      </c>
      <c r="F507" t="s">
        <v>706</v>
      </c>
      <c r="G507" s="139" t="s">
        <v>299</v>
      </c>
      <c r="H507" s="7">
        <f t="shared" si="9"/>
        <v>104.75000000000001</v>
      </c>
      <c r="I507" s="7">
        <f t="shared" si="11"/>
        <v>16.760000000000002</v>
      </c>
    </row>
    <row r="508" spans="1:9">
      <c r="A508" s="150" t="s">
        <v>7544</v>
      </c>
      <c r="B508">
        <v>85</v>
      </c>
      <c r="F508" t="s">
        <v>929</v>
      </c>
      <c r="G508" t="s">
        <v>4038</v>
      </c>
      <c r="H508" s="7">
        <f t="shared" si="9"/>
        <v>276</v>
      </c>
      <c r="I508" s="7">
        <f t="shared" si="11"/>
        <v>44.16</v>
      </c>
    </row>
    <row r="509" spans="1:9">
      <c r="A509" s="150" t="s">
        <v>7544</v>
      </c>
      <c r="B509">
        <v>85</v>
      </c>
      <c r="F509" t="s">
        <v>972</v>
      </c>
      <c r="G509" s="139" t="s">
        <v>5640</v>
      </c>
      <c r="H509" s="7">
        <f t="shared" si="9"/>
        <v>1593.9375</v>
      </c>
      <c r="I509" s="7">
        <f t="shared" si="11"/>
        <v>255.03</v>
      </c>
    </row>
    <row r="510" spans="1:9">
      <c r="A510" s="150" t="s">
        <v>7544</v>
      </c>
      <c r="B510">
        <v>85</v>
      </c>
      <c r="F510" t="s">
        <v>2222</v>
      </c>
      <c r="G510" s="139" t="s">
        <v>3708</v>
      </c>
      <c r="H510" s="7">
        <f t="shared" si="9"/>
        <v>4170</v>
      </c>
      <c r="I510" s="7">
        <f t="shared" si="11"/>
        <v>667.2</v>
      </c>
    </row>
    <row r="511" spans="1:9">
      <c r="A511" s="150" t="s">
        <v>7544</v>
      </c>
      <c r="B511">
        <v>85</v>
      </c>
      <c r="F511" t="s">
        <v>1648</v>
      </c>
      <c r="G511" t="s">
        <v>5725</v>
      </c>
      <c r="H511" s="7">
        <f t="shared" si="9"/>
        <v>3511.8125000000005</v>
      </c>
      <c r="I511" s="7">
        <f t="shared" si="11"/>
        <v>561.8900000000001</v>
      </c>
    </row>
    <row r="512" spans="1:9">
      <c r="A512" s="150" t="s">
        <v>7544</v>
      </c>
      <c r="B512">
        <v>85</v>
      </c>
      <c r="F512" t="s">
        <v>867</v>
      </c>
      <c r="G512" t="s">
        <v>517</v>
      </c>
      <c r="H512" s="7">
        <f t="shared" si="9"/>
        <v>306187</v>
      </c>
      <c r="I512" s="7">
        <f t="shared" si="11"/>
        <v>48989.919999999998</v>
      </c>
    </row>
    <row r="513" spans="1:9">
      <c r="A513" s="150" t="s">
        <v>7544</v>
      </c>
      <c r="B513">
        <v>85</v>
      </c>
      <c r="F513" t="s">
        <v>2701</v>
      </c>
      <c r="G513" t="s">
        <v>2660</v>
      </c>
      <c r="H513" s="7">
        <f t="shared" si="9"/>
        <v>2179.5</v>
      </c>
      <c r="I513" s="7">
        <f t="shared" si="11"/>
        <v>348.72</v>
      </c>
    </row>
    <row r="514" spans="1:9">
      <c r="A514" s="150" t="s">
        <v>7544</v>
      </c>
      <c r="B514">
        <v>85</v>
      </c>
      <c r="F514" t="s">
        <v>4045</v>
      </c>
      <c r="G514" t="s">
        <v>7419</v>
      </c>
      <c r="H514" s="7">
        <f t="shared" si="9"/>
        <v>335.5</v>
      </c>
      <c r="I514" s="7">
        <f t="shared" si="11"/>
        <v>53.68</v>
      </c>
    </row>
    <row r="515" spans="1:9">
      <c r="A515" s="150" t="s">
        <v>7544</v>
      </c>
      <c r="B515">
        <v>85</v>
      </c>
      <c r="F515" t="s">
        <v>863</v>
      </c>
      <c r="G515" t="s">
        <v>967</v>
      </c>
      <c r="H515" s="7">
        <f t="shared" si="9"/>
        <v>59855.8125</v>
      </c>
      <c r="I515" s="7">
        <f t="shared" si="11"/>
        <v>9576.93</v>
      </c>
    </row>
    <row r="516" spans="1:9">
      <c r="A516" s="150" t="s">
        <v>7544</v>
      </c>
      <c r="B516">
        <v>85</v>
      </c>
      <c r="F516" s="17" t="s">
        <v>1552</v>
      </c>
      <c r="G516" t="s">
        <v>4207</v>
      </c>
      <c r="H516" s="7">
        <f t="shared" si="9"/>
        <v>95</v>
      </c>
      <c r="I516" s="7">
        <f t="shared" si="11"/>
        <v>15.2</v>
      </c>
    </row>
    <row r="517" spans="1:9">
      <c r="A517" s="150" t="s">
        <v>7544</v>
      </c>
      <c r="B517">
        <v>85</v>
      </c>
      <c r="F517" t="s">
        <v>945</v>
      </c>
      <c r="G517" t="s">
        <v>4022</v>
      </c>
      <c r="H517" s="7">
        <f t="shared" si="9"/>
        <v>546.5625</v>
      </c>
      <c r="I517" s="7">
        <f t="shared" si="11"/>
        <v>87.45</v>
      </c>
    </row>
    <row r="518" spans="1:9">
      <c r="A518" s="150" t="s">
        <v>7544</v>
      </c>
      <c r="B518">
        <v>85</v>
      </c>
      <c r="F518" t="s">
        <v>883</v>
      </c>
      <c r="G518" s="139" t="s">
        <v>884</v>
      </c>
      <c r="H518" s="7">
        <f t="shared" si="9"/>
        <v>1386.8749999999998</v>
      </c>
      <c r="I518" s="7">
        <f t="shared" si="11"/>
        <v>221.89999999999998</v>
      </c>
    </row>
    <row r="519" spans="1:9">
      <c r="A519" s="150" t="s">
        <v>7544</v>
      </c>
      <c r="B519">
        <v>85</v>
      </c>
      <c r="F519" t="s">
        <v>853</v>
      </c>
      <c r="G519" s="139" t="s">
        <v>297</v>
      </c>
      <c r="H519" s="7">
        <f t="shared" si="9"/>
        <v>409.99999999999994</v>
      </c>
      <c r="I519" s="7">
        <f t="shared" si="11"/>
        <v>65.599999999999994</v>
      </c>
    </row>
    <row r="520" spans="1:9">
      <c r="A520" s="150" t="s">
        <v>7544</v>
      </c>
      <c r="B520">
        <v>85</v>
      </c>
      <c r="F520" t="s">
        <v>1603</v>
      </c>
      <c r="G520" s="139" t="s">
        <v>7417</v>
      </c>
      <c r="H520" s="7">
        <f t="shared" si="9"/>
        <v>29.499999999999996</v>
      </c>
      <c r="I520" s="7">
        <f t="shared" si="11"/>
        <v>4.72</v>
      </c>
    </row>
    <row r="521" spans="1:9">
      <c r="A521" s="150" t="s">
        <v>7544</v>
      </c>
      <c r="B521">
        <v>85</v>
      </c>
      <c r="F521" t="s">
        <v>2745</v>
      </c>
      <c r="G521" s="139" t="s">
        <v>2746</v>
      </c>
      <c r="H521" s="7">
        <f t="shared" si="9"/>
        <v>90.5</v>
      </c>
      <c r="I521" s="7">
        <f t="shared" si="11"/>
        <v>14.48</v>
      </c>
    </row>
    <row r="522" spans="1:9">
      <c r="A522" s="150" t="s">
        <v>7544</v>
      </c>
      <c r="B522">
        <v>85</v>
      </c>
      <c r="F522" t="s">
        <v>3959</v>
      </c>
      <c r="G522" t="s">
        <v>7418</v>
      </c>
      <c r="H522" s="7">
        <f t="shared" si="9"/>
        <v>419.37499999999994</v>
      </c>
      <c r="I522" s="7">
        <f t="shared" si="11"/>
        <v>67.099999999999994</v>
      </c>
    </row>
    <row r="523" spans="1:9">
      <c r="A523" s="150" t="s">
        <v>7544</v>
      </c>
      <c r="B523">
        <v>85</v>
      </c>
      <c r="F523" t="s">
        <v>780</v>
      </c>
      <c r="G523" s="139" t="s">
        <v>7408</v>
      </c>
      <c r="H523" s="7">
        <f t="shared" ref="H523:H539" si="12">+I523/0.16</f>
        <v>689</v>
      </c>
      <c r="I523" s="7">
        <f t="shared" ref="I523:I539" si="13">+SUMIF($F$7:$F$382,F523,$I$7:$I$382)</f>
        <v>110.24</v>
      </c>
    </row>
    <row r="524" spans="1:9">
      <c r="A524" s="150" t="s">
        <v>7544</v>
      </c>
      <c r="B524">
        <v>85</v>
      </c>
      <c r="F524" t="s">
        <v>7314</v>
      </c>
      <c r="G524" t="s">
        <v>7315</v>
      </c>
      <c r="H524" s="7">
        <f t="shared" si="12"/>
        <v>132884.5</v>
      </c>
      <c r="I524" s="7">
        <f t="shared" si="13"/>
        <v>21261.52</v>
      </c>
    </row>
    <row r="525" spans="1:9">
      <c r="A525" s="150" t="s">
        <v>7544</v>
      </c>
      <c r="B525">
        <v>85</v>
      </c>
      <c r="F525" t="s">
        <v>799</v>
      </c>
      <c r="G525" t="s">
        <v>0</v>
      </c>
      <c r="H525" s="7">
        <f t="shared" si="12"/>
        <v>14273029.562499994</v>
      </c>
      <c r="I525" s="7">
        <f t="shared" si="13"/>
        <v>2283684.7299999991</v>
      </c>
    </row>
    <row r="526" spans="1:9">
      <c r="A526" s="150" t="s">
        <v>7544</v>
      </c>
      <c r="B526">
        <v>85</v>
      </c>
      <c r="F526" t="s">
        <v>947</v>
      </c>
      <c r="G526" s="139" t="s">
        <v>948</v>
      </c>
      <c r="H526" s="7">
        <f t="shared" si="12"/>
        <v>754.93749999999989</v>
      </c>
      <c r="I526" s="7">
        <f t="shared" si="13"/>
        <v>120.78999999999999</v>
      </c>
    </row>
    <row r="527" spans="1:9">
      <c r="A527" s="150" t="s">
        <v>7544</v>
      </c>
      <c r="B527">
        <v>85</v>
      </c>
      <c r="F527" t="s">
        <v>2767</v>
      </c>
      <c r="G527" s="139" t="s">
        <v>7395</v>
      </c>
      <c r="H527" s="7">
        <f t="shared" si="12"/>
        <v>387.9375</v>
      </c>
      <c r="I527" s="7">
        <f t="shared" si="13"/>
        <v>62.07</v>
      </c>
    </row>
    <row r="528" spans="1:9">
      <c r="A528" s="150" t="s">
        <v>7544</v>
      </c>
      <c r="B528">
        <v>85</v>
      </c>
      <c r="F528" t="s">
        <v>868</v>
      </c>
      <c r="G528" t="s">
        <v>436</v>
      </c>
      <c r="H528" s="7">
        <f t="shared" si="12"/>
        <v>17321.3125</v>
      </c>
      <c r="I528" s="7">
        <f t="shared" si="13"/>
        <v>2771.41</v>
      </c>
    </row>
    <row r="529" spans="1:11">
      <c r="A529" s="150" t="s">
        <v>7544</v>
      </c>
      <c r="B529">
        <v>85</v>
      </c>
      <c r="F529" t="s">
        <v>3237</v>
      </c>
      <c r="G529" t="s">
        <v>1015</v>
      </c>
      <c r="H529" s="7">
        <f t="shared" si="12"/>
        <v>550976.875</v>
      </c>
      <c r="I529" s="7">
        <f t="shared" si="13"/>
        <v>88156.3</v>
      </c>
    </row>
    <row r="530" spans="1:11">
      <c r="A530" s="150" t="s">
        <v>7544</v>
      </c>
      <c r="B530">
        <v>85</v>
      </c>
      <c r="F530" t="s">
        <v>878</v>
      </c>
      <c r="G530" s="139" t="s">
        <v>7410</v>
      </c>
      <c r="H530" s="7">
        <f t="shared" si="12"/>
        <v>760</v>
      </c>
      <c r="I530" s="7">
        <f t="shared" si="13"/>
        <v>121.6</v>
      </c>
    </row>
    <row r="531" spans="1:11">
      <c r="A531" s="150" t="s">
        <v>7544</v>
      </c>
      <c r="B531">
        <v>85</v>
      </c>
      <c r="F531" t="s">
        <v>784</v>
      </c>
      <c r="G531" s="139" t="s">
        <v>7415</v>
      </c>
      <c r="H531" s="7">
        <f t="shared" si="12"/>
        <v>53.4375</v>
      </c>
      <c r="I531" s="7">
        <f t="shared" si="13"/>
        <v>8.5500000000000007</v>
      </c>
    </row>
    <row r="532" spans="1:11">
      <c r="A532" s="150" t="s">
        <v>7544</v>
      </c>
      <c r="B532">
        <v>85</v>
      </c>
      <c r="F532" t="s">
        <v>4006</v>
      </c>
      <c r="G532" s="139" t="s">
        <v>7416</v>
      </c>
      <c r="H532" s="7">
        <f t="shared" si="12"/>
        <v>93.125</v>
      </c>
      <c r="I532" s="7">
        <f t="shared" si="13"/>
        <v>14.9</v>
      </c>
    </row>
    <row r="533" spans="1:11">
      <c r="A533" s="150" t="s">
        <v>7544</v>
      </c>
      <c r="B533">
        <v>85</v>
      </c>
      <c r="F533" t="s">
        <v>1643</v>
      </c>
      <c r="G533" t="s">
        <v>3794</v>
      </c>
      <c r="H533" s="7">
        <f t="shared" si="12"/>
        <v>414114.6875</v>
      </c>
      <c r="I533" s="7">
        <f t="shared" si="13"/>
        <v>66258.350000000006</v>
      </c>
    </row>
    <row r="534" spans="1:11">
      <c r="A534" s="150" t="s">
        <v>7544</v>
      </c>
      <c r="B534">
        <v>85</v>
      </c>
      <c r="F534" t="s">
        <v>1632</v>
      </c>
      <c r="G534" s="139" t="s">
        <v>1633</v>
      </c>
      <c r="H534" s="7">
        <f t="shared" si="12"/>
        <v>916.625</v>
      </c>
      <c r="I534" s="7">
        <f t="shared" si="13"/>
        <v>146.66</v>
      </c>
    </row>
    <row r="535" spans="1:11">
      <c r="A535" s="150" t="s">
        <v>7544</v>
      </c>
      <c r="B535">
        <v>85</v>
      </c>
      <c r="F535" t="s">
        <v>952</v>
      </c>
      <c r="G535" t="s">
        <v>642</v>
      </c>
      <c r="H535" s="7">
        <f t="shared" si="12"/>
        <v>2250</v>
      </c>
      <c r="I535" s="7">
        <f t="shared" si="13"/>
        <v>360</v>
      </c>
    </row>
    <row r="536" spans="1:11">
      <c r="A536" s="150" t="s">
        <v>7544</v>
      </c>
      <c r="B536">
        <v>85</v>
      </c>
      <c r="F536" t="s">
        <v>802</v>
      </c>
      <c r="G536" t="s">
        <v>275</v>
      </c>
      <c r="H536" s="7">
        <f t="shared" si="12"/>
        <v>1189.6875</v>
      </c>
      <c r="I536" s="7">
        <f t="shared" si="13"/>
        <v>190.35</v>
      </c>
    </row>
    <row r="537" spans="1:11">
      <c r="A537" s="150" t="s">
        <v>7544</v>
      </c>
      <c r="B537">
        <v>85</v>
      </c>
      <c r="F537" t="s">
        <v>4026</v>
      </c>
      <c r="G537" s="139" t="s">
        <v>7414</v>
      </c>
      <c r="H537" s="7">
        <f t="shared" si="12"/>
        <v>200</v>
      </c>
      <c r="I537" s="7">
        <f t="shared" si="13"/>
        <v>32</v>
      </c>
    </row>
    <row r="538" spans="1:11">
      <c r="A538" s="150" t="s">
        <v>7544</v>
      </c>
      <c r="B538">
        <v>85</v>
      </c>
      <c r="F538" t="s">
        <v>3241</v>
      </c>
      <c r="G538" t="s">
        <v>3103</v>
      </c>
      <c r="H538" s="7">
        <f t="shared" si="12"/>
        <v>2500</v>
      </c>
      <c r="I538" s="7">
        <f t="shared" si="13"/>
        <v>400</v>
      </c>
    </row>
    <row r="539" spans="1:11">
      <c r="A539" s="150" t="s">
        <v>7544</v>
      </c>
      <c r="B539">
        <v>85</v>
      </c>
      <c r="F539" t="s">
        <v>951</v>
      </c>
      <c r="G539" t="s">
        <v>3779</v>
      </c>
      <c r="H539" s="7">
        <f t="shared" si="12"/>
        <v>298233.625</v>
      </c>
      <c r="I539" s="7">
        <f t="shared" si="13"/>
        <v>47717.380000000005</v>
      </c>
    </row>
    <row r="540" spans="1:11">
      <c r="H540" s="8"/>
      <c r="I540" s="8"/>
    </row>
    <row r="541" spans="1:11">
      <c r="H541" s="9">
        <f>SUM(H395:H540)</f>
        <v>21657169.374999993</v>
      </c>
      <c r="I541" s="9">
        <f>SUM(I395:I540)</f>
        <v>3465147.0999999982</v>
      </c>
      <c r="J541" s="7">
        <f>SUM(J395:J539)</f>
        <v>32556.109999999997</v>
      </c>
    </row>
    <row r="542" spans="1:11">
      <c r="H542" s="151">
        <f>+H385</f>
        <v>21657169.375</v>
      </c>
      <c r="I542" s="151">
        <f>+I385</f>
        <v>3465147.0999999987</v>
      </c>
    </row>
    <row r="543" spans="1:11">
      <c r="H543" s="10">
        <f>3921241.04-455612.55</f>
        <v>3465628.49</v>
      </c>
      <c r="I543" s="10">
        <f>+H543-I542</f>
        <v>481.39000000152737</v>
      </c>
      <c r="J543" s="7" t="s">
        <v>960</v>
      </c>
    </row>
    <row r="544" spans="1:11" s="84" customFormat="1">
      <c r="A544" s="84" t="s">
        <v>492</v>
      </c>
      <c r="B544" s="147">
        <v>42206</v>
      </c>
      <c r="C544" s="84" t="s">
        <v>4150</v>
      </c>
      <c r="D544" s="84">
        <v>1</v>
      </c>
      <c r="E544" s="84" t="s">
        <v>4151</v>
      </c>
      <c r="F544" s="84" t="s">
        <v>4214</v>
      </c>
      <c r="G544" s="84" t="s">
        <v>4151</v>
      </c>
      <c r="H544" s="148">
        <f>+I544/0.16</f>
        <v>3008.6875</v>
      </c>
      <c r="I544" s="148">
        <v>481.39</v>
      </c>
      <c r="J544" s="148" t="s">
        <v>7554</v>
      </c>
      <c r="K544" s="148"/>
    </row>
    <row r="545" spans="9:9">
      <c r="I545" s="9">
        <f>+I544+I542</f>
        <v>3465628.4899999988</v>
      </c>
    </row>
  </sheetData>
  <autoFilter ref="A6:L98"/>
  <sortState ref="A7:O380">
    <sortCondition ref="E7:E380"/>
  </sortState>
  <conditionalFormatting sqref="F395:G539">
    <cfRule type="duplicateValues" dxfId="10" priority="31"/>
  </conditionalFormatting>
  <pageMargins left="0.70866141732283472" right="0.70866141732283472" top="0.74803149606299213" bottom="0.74803149606299213" header="0.31496062992125984" footer="0.31496062992125984"/>
  <pageSetup paperSize="9" scale="27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39"/>
  <sheetViews>
    <sheetView topLeftCell="C519" zoomScale="110" zoomScaleNormal="110" workbookViewId="0">
      <selection activeCell="A378" sqref="A378:N539"/>
    </sheetView>
  </sheetViews>
  <sheetFormatPr baseColWidth="10" defaultRowHeight="15"/>
  <cols>
    <col min="1" max="1" width="7.7109375" bestFit="1" customWidth="1"/>
    <col min="2" max="2" width="10.7109375" bestFit="1" customWidth="1"/>
    <col min="3" max="3" width="14" bestFit="1" customWidth="1"/>
    <col min="4" max="4" width="2" bestFit="1" customWidth="1"/>
    <col min="5" max="5" width="39.7109375" bestFit="1" customWidth="1"/>
    <col min="6" max="6" width="14.140625" customWidth="1"/>
    <col min="7" max="7" width="19.28515625" customWidth="1"/>
    <col min="8" max="8" width="20.5703125" style="7" customWidth="1"/>
    <col min="9" max="9" width="13.140625" style="7" bestFit="1" customWidth="1"/>
    <col min="10" max="10" width="10.5703125" style="7" bestFit="1" customWidth="1"/>
    <col min="11" max="11" width="10.28515625" style="7" customWidth="1"/>
  </cols>
  <sheetData>
    <row r="1" spans="1:9">
      <c r="A1" t="s">
        <v>684</v>
      </c>
    </row>
    <row r="2" spans="1:9">
      <c r="A2" t="s">
        <v>4581</v>
      </c>
      <c r="B2">
        <v>2015</v>
      </c>
    </row>
    <row r="3" spans="1:9">
      <c r="A3" t="s">
        <v>685</v>
      </c>
    </row>
    <row r="6" spans="1:9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9">
      <c r="A7" t="s">
        <v>1335</v>
      </c>
      <c r="B7" s="1">
        <v>42221</v>
      </c>
      <c r="C7" t="s">
        <v>4493</v>
      </c>
      <c r="D7">
        <v>1</v>
      </c>
      <c r="E7" t="s">
        <v>1514</v>
      </c>
      <c r="F7" t="s">
        <v>1528</v>
      </c>
      <c r="G7" t="s">
        <v>1514</v>
      </c>
      <c r="H7" s="7">
        <f>+I7/0.16</f>
        <v>7350</v>
      </c>
      <c r="I7" s="7">
        <v>1176</v>
      </c>
    </row>
    <row r="8" spans="1:9">
      <c r="A8" t="s">
        <v>4106</v>
      </c>
      <c r="B8" s="1">
        <v>42221</v>
      </c>
      <c r="C8" t="s">
        <v>4491</v>
      </c>
      <c r="D8">
        <v>1</v>
      </c>
      <c r="E8" t="s">
        <v>2128</v>
      </c>
      <c r="F8" t="s">
        <v>2186</v>
      </c>
      <c r="G8" t="s">
        <v>2128</v>
      </c>
      <c r="H8" s="7">
        <f t="shared" ref="H8:H71" si="0">+I8/0.16</f>
        <v>3800</v>
      </c>
      <c r="I8" s="7">
        <v>608</v>
      </c>
    </row>
    <row r="9" spans="1:9">
      <c r="A9" t="s">
        <v>1865</v>
      </c>
      <c r="B9" s="1">
        <v>42247</v>
      </c>
      <c r="C9" t="s">
        <v>4392</v>
      </c>
      <c r="D9">
        <v>1</v>
      </c>
      <c r="E9" t="s">
        <v>4393</v>
      </c>
      <c r="F9" s="19" t="s">
        <v>4393</v>
      </c>
      <c r="G9" s="139" t="s">
        <v>7456</v>
      </c>
      <c r="H9" s="7">
        <f t="shared" si="0"/>
        <v>109.5</v>
      </c>
      <c r="I9" s="7">
        <v>17.52</v>
      </c>
    </row>
    <row r="10" spans="1:9">
      <c r="A10" t="s">
        <v>1866</v>
      </c>
      <c r="B10" s="1">
        <v>42247</v>
      </c>
      <c r="C10" t="s">
        <v>4394</v>
      </c>
      <c r="D10">
        <v>1</v>
      </c>
      <c r="E10" t="s">
        <v>4393</v>
      </c>
      <c r="F10" s="19" t="s">
        <v>4393</v>
      </c>
      <c r="G10" s="139" t="s">
        <v>7456</v>
      </c>
      <c r="H10" s="7">
        <f t="shared" si="0"/>
        <v>93.125</v>
      </c>
      <c r="I10" s="7">
        <v>14.9</v>
      </c>
    </row>
    <row r="11" spans="1:9">
      <c r="A11" t="s">
        <v>1219</v>
      </c>
      <c r="B11" s="1">
        <v>42247</v>
      </c>
      <c r="C11" t="s">
        <v>4261</v>
      </c>
      <c r="D11">
        <v>1</v>
      </c>
      <c r="E11" s="70" t="s">
        <v>2377</v>
      </c>
      <c r="F11" s="70" t="s">
        <v>805</v>
      </c>
      <c r="G11" s="70" t="s">
        <v>2377</v>
      </c>
      <c r="H11" s="7">
        <f t="shared" si="0"/>
        <v>310.6875</v>
      </c>
      <c r="I11" s="7">
        <v>49.71</v>
      </c>
    </row>
    <row r="12" spans="1:9">
      <c r="A12" t="s">
        <v>4259</v>
      </c>
      <c r="B12" s="1">
        <v>42247</v>
      </c>
      <c r="C12" t="s">
        <v>4260</v>
      </c>
      <c r="D12">
        <v>1</v>
      </c>
      <c r="E12" s="70" t="s">
        <v>2377</v>
      </c>
      <c r="F12" s="70" t="s">
        <v>805</v>
      </c>
      <c r="G12" s="70" t="s">
        <v>2377</v>
      </c>
      <c r="H12" s="7">
        <f t="shared" si="0"/>
        <v>669.625</v>
      </c>
      <c r="I12" s="7">
        <v>107.14</v>
      </c>
    </row>
    <row r="13" spans="1:9">
      <c r="A13" t="s">
        <v>1870</v>
      </c>
      <c r="B13" s="1">
        <v>42247</v>
      </c>
      <c r="C13" t="s">
        <v>1315</v>
      </c>
      <c r="D13">
        <v>1</v>
      </c>
      <c r="E13" s="19" t="s">
        <v>6294</v>
      </c>
      <c r="F13" s="19" t="s">
        <v>3689</v>
      </c>
      <c r="G13" s="19" t="s">
        <v>6294</v>
      </c>
      <c r="H13" s="7">
        <f t="shared" si="0"/>
        <v>98.25</v>
      </c>
      <c r="I13" s="7">
        <v>15.72</v>
      </c>
    </row>
    <row r="14" spans="1:9">
      <c r="A14" t="s">
        <v>1870</v>
      </c>
      <c r="B14" s="1">
        <v>42247</v>
      </c>
      <c r="C14" t="s">
        <v>1315</v>
      </c>
      <c r="D14">
        <v>1</v>
      </c>
      <c r="E14" s="19" t="s">
        <v>7246</v>
      </c>
      <c r="F14" s="19" t="s">
        <v>788</v>
      </c>
      <c r="G14" s="19" t="s">
        <v>7246</v>
      </c>
      <c r="H14" s="7">
        <f t="shared" si="0"/>
        <v>100</v>
      </c>
      <c r="I14" s="7">
        <v>16</v>
      </c>
    </row>
    <row r="15" spans="1:9">
      <c r="A15" t="s">
        <v>1876</v>
      </c>
      <c r="B15" s="1">
        <v>42247</v>
      </c>
      <c r="C15" t="s">
        <v>4397</v>
      </c>
      <c r="D15">
        <v>1</v>
      </c>
      <c r="E15" t="s">
        <v>923</v>
      </c>
      <c r="F15" s="19" t="s">
        <v>923</v>
      </c>
      <c r="G15" s="139" t="s">
        <v>7356</v>
      </c>
      <c r="H15" s="7">
        <f t="shared" si="0"/>
        <v>271.5625</v>
      </c>
      <c r="I15" s="7">
        <v>43.45</v>
      </c>
    </row>
    <row r="16" spans="1:9">
      <c r="A16" t="s">
        <v>1931</v>
      </c>
      <c r="B16" s="1">
        <v>42247</v>
      </c>
      <c r="C16" t="s">
        <v>4424</v>
      </c>
      <c r="D16">
        <v>1</v>
      </c>
      <c r="E16" t="s">
        <v>923</v>
      </c>
      <c r="F16" s="19" t="s">
        <v>923</v>
      </c>
      <c r="G16" s="139" t="s">
        <v>7356</v>
      </c>
      <c r="H16" s="7">
        <f t="shared" si="0"/>
        <v>531.9375</v>
      </c>
      <c r="I16" s="7">
        <v>85.11</v>
      </c>
    </row>
    <row r="17" spans="1:9">
      <c r="A17" t="s">
        <v>1886</v>
      </c>
      <c r="B17" s="1">
        <v>42247</v>
      </c>
      <c r="C17" t="s">
        <v>4403</v>
      </c>
      <c r="D17">
        <v>1</v>
      </c>
      <c r="E17" t="s">
        <v>879</v>
      </c>
      <c r="F17" s="19" t="s">
        <v>879</v>
      </c>
      <c r="G17" s="139" t="s">
        <v>7357</v>
      </c>
      <c r="H17" s="7">
        <f t="shared" si="0"/>
        <v>284.5625</v>
      </c>
      <c r="I17" s="7">
        <v>45.53</v>
      </c>
    </row>
    <row r="18" spans="1:9">
      <c r="A18" t="s">
        <v>3885</v>
      </c>
      <c r="B18" s="1">
        <v>42247</v>
      </c>
      <c r="C18" t="s">
        <v>4416</v>
      </c>
      <c r="D18">
        <v>1</v>
      </c>
      <c r="E18" t="s">
        <v>879</v>
      </c>
      <c r="F18" s="19" t="s">
        <v>879</v>
      </c>
      <c r="G18" s="139" t="s">
        <v>7357</v>
      </c>
      <c r="H18" s="7">
        <f t="shared" si="0"/>
        <v>335.5</v>
      </c>
      <c r="I18" s="7">
        <v>53.68</v>
      </c>
    </row>
    <row r="19" spans="1:9">
      <c r="A19" t="s">
        <v>1339</v>
      </c>
      <c r="B19" s="1">
        <v>42223</v>
      </c>
      <c r="C19" t="s">
        <v>4500</v>
      </c>
      <c r="D19">
        <v>1</v>
      </c>
      <c r="E19" t="s">
        <v>3597</v>
      </c>
      <c r="F19" t="s">
        <v>3657</v>
      </c>
      <c r="G19" t="s">
        <v>3597</v>
      </c>
      <c r="H19" s="7">
        <f t="shared" si="0"/>
        <v>26000</v>
      </c>
      <c r="I19" s="7">
        <v>4160</v>
      </c>
    </row>
    <row r="20" spans="1:9">
      <c r="A20" t="s">
        <v>3483</v>
      </c>
      <c r="B20" s="1">
        <v>42247</v>
      </c>
      <c r="C20" t="s">
        <v>4463</v>
      </c>
      <c r="D20">
        <v>1</v>
      </c>
      <c r="E20" t="s">
        <v>4464</v>
      </c>
      <c r="F20" t="s">
        <v>799</v>
      </c>
      <c r="G20" t="s">
        <v>0</v>
      </c>
      <c r="H20" s="7">
        <f t="shared" si="0"/>
        <v>-2133</v>
      </c>
      <c r="I20" s="7">
        <v>-341.28</v>
      </c>
    </row>
    <row r="21" spans="1:9">
      <c r="A21" t="s">
        <v>3059</v>
      </c>
      <c r="B21" s="1">
        <v>42236</v>
      </c>
      <c r="C21" t="s">
        <v>4296</v>
      </c>
      <c r="D21">
        <v>1</v>
      </c>
      <c r="E21" t="s">
        <v>4297</v>
      </c>
      <c r="F21" t="s">
        <v>2187</v>
      </c>
      <c r="G21" t="s">
        <v>4297</v>
      </c>
      <c r="H21" s="7">
        <f t="shared" si="0"/>
        <v>245825.0625</v>
      </c>
      <c r="I21" s="7">
        <v>39332.01</v>
      </c>
    </row>
    <row r="22" spans="1:9">
      <c r="A22" t="s">
        <v>1255</v>
      </c>
      <c r="B22" s="1">
        <v>42228</v>
      </c>
      <c r="C22" t="s">
        <v>4285</v>
      </c>
      <c r="D22">
        <v>1</v>
      </c>
      <c r="E22" t="s">
        <v>4286</v>
      </c>
      <c r="F22" t="s">
        <v>698</v>
      </c>
      <c r="G22" t="s">
        <v>4286</v>
      </c>
      <c r="H22" s="7">
        <f t="shared" si="0"/>
        <v>340063.25</v>
      </c>
      <c r="I22" s="7">
        <v>54410.12</v>
      </c>
    </row>
    <row r="23" spans="1:9">
      <c r="A23" t="s">
        <v>1256</v>
      </c>
      <c r="B23" s="1">
        <v>42237</v>
      </c>
      <c r="C23" t="s">
        <v>4298</v>
      </c>
      <c r="D23">
        <v>1</v>
      </c>
      <c r="E23" t="s">
        <v>4299</v>
      </c>
      <c r="F23" t="s">
        <v>698</v>
      </c>
      <c r="G23" t="s">
        <v>4299</v>
      </c>
      <c r="H23" s="7">
        <f t="shared" si="0"/>
        <v>275488.4375</v>
      </c>
      <c r="I23" s="7">
        <v>44078.15</v>
      </c>
    </row>
    <row r="24" spans="1:9">
      <c r="A24" t="s">
        <v>1272</v>
      </c>
      <c r="B24" s="1">
        <v>42242</v>
      </c>
      <c r="C24" t="s">
        <v>4230</v>
      </c>
      <c r="D24">
        <v>1</v>
      </c>
      <c r="E24" t="s">
        <v>4315</v>
      </c>
      <c r="F24" t="s">
        <v>3217</v>
      </c>
      <c r="G24" t="s">
        <v>4315</v>
      </c>
      <c r="H24" s="7">
        <f t="shared" si="0"/>
        <v>223284.93749999997</v>
      </c>
      <c r="I24" s="7">
        <v>35725.589999999997</v>
      </c>
    </row>
    <row r="25" spans="1:9">
      <c r="A25" t="s">
        <v>1884</v>
      </c>
      <c r="B25" s="1">
        <v>42247</v>
      </c>
      <c r="C25" t="s">
        <v>4401</v>
      </c>
      <c r="D25">
        <v>1</v>
      </c>
      <c r="E25" t="s">
        <v>2241</v>
      </c>
      <c r="F25" s="19" t="s">
        <v>2241</v>
      </c>
      <c r="G25" s="139" t="s">
        <v>2710</v>
      </c>
      <c r="H25" s="7">
        <f t="shared" si="0"/>
        <v>100</v>
      </c>
      <c r="I25" s="7">
        <v>16</v>
      </c>
    </row>
    <row r="26" spans="1:9">
      <c r="A26" t="s">
        <v>1827</v>
      </c>
      <c r="B26" s="1">
        <v>42247</v>
      </c>
      <c r="C26" t="s">
        <v>4374</v>
      </c>
      <c r="D26">
        <v>1</v>
      </c>
      <c r="E26" t="s">
        <v>2191</v>
      </c>
      <c r="F26" s="19" t="s">
        <v>2191</v>
      </c>
      <c r="G26" s="139" t="s">
        <v>4930</v>
      </c>
      <c r="H26" s="7">
        <f t="shared" si="0"/>
        <v>270</v>
      </c>
      <c r="I26" s="7">
        <v>43.2</v>
      </c>
    </row>
    <row r="27" spans="1:9">
      <c r="A27" t="s">
        <v>1228</v>
      </c>
      <c r="B27" s="1">
        <v>42247</v>
      </c>
      <c r="C27" t="s">
        <v>4266</v>
      </c>
      <c r="D27">
        <v>1</v>
      </c>
      <c r="E27" t="s">
        <v>711</v>
      </c>
      <c r="F27" s="70" t="s">
        <v>711</v>
      </c>
      <c r="G27" s="139" t="s">
        <v>7375</v>
      </c>
      <c r="H27" s="7">
        <f t="shared" si="0"/>
        <v>232.5</v>
      </c>
      <c r="I27" s="7">
        <v>37.200000000000003</v>
      </c>
    </row>
    <row r="28" spans="1:9">
      <c r="A28" t="s">
        <v>215</v>
      </c>
      <c r="B28" s="1">
        <v>42247</v>
      </c>
      <c r="C28" t="s">
        <v>4429</v>
      </c>
      <c r="D28">
        <v>1</v>
      </c>
      <c r="E28" t="s">
        <v>711</v>
      </c>
      <c r="F28" s="19" t="s">
        <v>711</v>
      </c>
      <c r="G28" s="139" t="s">
        <v>7375</v>
      </c>
      <c r="H28" s="7">
        <f t="shared" si="0"/>
        <v>137.875</v>
      </c>
      <c r="I28" s="7">
        <v>22.06</v>
      </c>
    </row>
    <row r="29" spans="1:9">
      <c r="A29" t="s">
        <v>221</v>
      </c>
      <c r="B29" s="1">
        <v>42247</v>
      </c>
      <c r="C29" t="s">
        <v>4431</v>
      </c>
      <c r="D29">
        <v>1</v>
      </c>
      <c r="E29" t="s">
        <v>711</v>
      </c>
      <c r="F29" s="19" t="s">
        <v>711</v>
      </c>
      <c r="G29" s="139" t="s">
        <v>7375</v>
      </c>
      <c r="H29" s="7">
        <f t="shared" si="0"/>
        <v>60.3125</v>
      </c>
      <c r="I29" s="7">
        <v>9.65</v>
      </c>
    </row>
    <row r="30" spans="1:9">
      <c r="A30" t="s">
        <v>1941</v>
      </c>
      <c r="B30" s="1">
        <v>42247</v>
      </c>
      <c r="C30" t="s">
        <v>4435</v>
      </c>
      <c r="D30">
        <v>1</v>
      </c>
      <c r="E30" t="s">
        <v>711</v>
      </c>
      <c r="F30" s="19" t="s">
        <v>711</v>
      </c>
      <c r="G30" s="139" t="s">
        <v>7375</v>
      </c>
      <c r="H30" s="7">
        <f t="shared" si="0"/>
        <v>318.5625</v>
      </c>
      <c r="I30" s="7">
        <v>50.97</v>
      </c>
    </row>
    <row r="31" spans="1:9">
      <c r="A31" t="s">
        <v>1876</v>
      </c>
      <c r="B31" s="1">
        <v>42247</v>
      </c>
      <c r="C31" t="s">
        <v>4397</v>
      </c>
      <c r="D31">
        <v>1</v>
      </c>
      <c r="E31" t="s">
        <v>745</v>
      </c>
      <c r="F31" s="19" t="s">
        <v>745</v>
      </c>
      <c r="G31" s="139" t="s">
        <v>746</v>
      </c>
      <c r="H31" s="7">
        <f t="shared" si="0"/>
        <v>94.8125</v>
      </c>
      <c r="I31" s="7">
        <v>15.17</v>
      </c>
    </row>
    <row r="32" spans="1:9">
      <c r="A32" t="s">
        <v>1939</v>
      </c>
      <c r="B32" s="1">
        <v>42247</v>
      </c>
      <c r="C32" t="s">
        <v>4428</v>
      </c>
      <c r="D32">
        <v>1</v>
      </c>
      <c r="E32" t="s">
        <v>745</v>
      </c>
      <c r="F32" s="19" t="s">
        <v>745</v>
      </c>
      <c r="G32" s="139" t="s">
        <v>746</v>
      </c>
      <c r="H32" s="7">
        <f t="shared" si="0"/>
        <v>56.0625</v>
      </c>
      <c r="I32" s="7">
        <v>8.9700000000000006</v>
      </c>
    </row>
    <row r="33" spans="1:9">
      <c r="A33" t="s">
        <v>1922</v>
      </c>
      <c r="B33" s="1">
        <v>42247</v>
      </c>
      <c r="C33" t="s">
        <v>4417</v>
      </c>
      <c r="D33">
        <v>1</v>
      </c>
      <c r="E33" t="s">
        <v>4418</v>
      </c>
      <c r="F33" s="19" t="s">
        <v>4418</v>
      </c>
      <c r="G33" s="139" t="s">
        <v>7457</v>
      </c>
      <c r="H33" s="7">
        <f t="shared" si="0"/>
        <v>99.125</v>
      </c>
      <c r="I33" s="7">
        <v>15.86</v>
      </c>
    </row>
    <row r="34" spans="1:9">
      <c r="A34" t="s">
        <v>1878</v>
      </c>
      <c r="B34" s="1">
        <v>42247</v>
      </c>
      <c r="C34" t="s">
        <v>4398</v>
      </c>
      <c r="D34">
        <v>1</v>
      </c>
      <c r="E34" t="s">
        <v>714</v>
      </c>
      <c r="F34" s="19" t="s">
        <v>714</v>
      </c>
      <c r="G34" s="19" t="s">
        <v>715</v>
      </c>
      <c r="H34" s="7">
        <f t="shared" si="0"/>
        <v>46.5625</v>
      </c>
      <c r="I34" s="7">
        <v>7.45</v>
      </c>
    </row>
    <row r="35" spans="1:9">
      <c r="A35" t="s">
        <v>1883</v>
      </c>
      <c r="B35" s="1">
        <v>42247</v>
      </c>
      <c r="C35" t="s">
        <v>4399</v>
      </c>
      <c r="D35">
        <v>1</v>
      </c>
      <c r="E35" t="s">
        <v>714</v>
      </c>
      <c r="F35" s="19" t="s">
        <v>714</v>
      </c>
      <c r="G35" s="19" t="s">
        <v>715</v>
      </c>
      <c r="H35" s="7">
        <f t="shared" si="0"/>
        <v>46.5625</v>
      </c>
      <c r="I35" s="7">
        <v>7.45</v>
      </c>
    </row>
    <row r="36" spans="1:9">
      <c r="A36" t="s">
        <v>1884</v>
      </c>
      <c r="B36" s="1">
        <v>42247</v>
      </c>
      <c r="C36" t="s">
        <v>4401</v>
      </c>
      <c r="D36">
        <v>1</v>
      </c>
      <c r="E36" t="s">
        <v>714</v>
      </c>
      <c r="F36" s="19" t="s">
        <v>714</v>
      </c>
      <c r="G36" s="19" t="s">
        <v>715</v>
      </c>
      <c r="H36" s="7">
        <f t="shared" si="0"/>
        <v>46.5625</v>
      </c>
      <c r="I36" s="7">
        <v>7.45</v>
      </c>
    </row>
    <row r="37" spans="1:9">
      <c r="A37" t="s">
        <v>3875</v>
      </c>
      <c r="B37" s="1">
        <v>42247</v>
      </c>
      <c r="C37" t="s">
        <v>4404</v>
      </c>
      <c r="D37">
        <v>1</v>
      </c>
      <c r="E37" t="s">
        <v>714</v>
      </c>
      <c r="F37" s="19" t="s">
        <v>714</v>
      </c>
      <c r="G37" s="19" t="s">
        <v>715</v>
      </c>
      <c r="H37" s="7">
        <f t="shared" si="0"/>
        <v>46.5625</v>
      </c>
      <c r="I37" s="7">
        <v>7.45</v>
      </c>
    </row>
    <row r="38" spans="1:9">
      <c r="A38" t="s">
        <v>3875</v>
      </c>
      <c r="B38" s="1">
        <v>42247</v>
      </c>
      <c r="C38" t="s">
        <v>4404</v>
      </c>
      <c r="D38">
        <v>1</v>
      </c>
      <c r="E38" t="s">
        <v>714</v>
      </c>
      <c r="F38" s="19" t="s">
        <v>714</v>
      </c>
      <c r="G38" s="19" t="s">
        <v>715</v>
      </c>
      <c r="H38" s="7">
        <f t="shared" si="0"/>
        <v>235.37499999999997</v>
      </c>
      <c r="I38" s="7">
        <v>37.659999999999997</v>
      </c>
    </row>
    <row r="39" spans="1:9">
      <c r="A39" t="s">
        <v>4407</v>
      </c>
      <c r="B39" s="1">
        <v>42247</v>
      </c>
      <c r="C39" t="s">
        <v>4408</v>
      </c>
      <c r="D39">
        <v>1</v>
      </c>
      <c r="E39" t="s">
        <v>714</v>
      </c>
      <c r="F39" s="19" t="s">
        <v>714</v>
      </c>
      <c r="G39" s="19" t="s">
        <v>715</v>
      </c>
      <c r="H39" s="7">
        <f t="shared" si="0"/>
        <v>314.625</v>
      </c>
      <c r="I39" s="7">
        <v>50.34</v>
      </c>
    </row>
    <row r="40" spans="1:9">
      <c r="A40" t="s">
        <v>1905</v>
      </c>
      <c r="B40" s="1">
        <v>42247</v>
      </c>
      <c r="C40" t="s">
        <v>4412</v>
      </c>
      <c r="D40">
        <v>1</v>
      </c>
      <c r="E40" t="s">
        <v>714</v>
      </c>
      <c r="F40" s="19" t="s">
        <v>714</v>
      </c>
      <c r="G40" s="19" t="s">
        <v>715</v>
      </c>
      <c r="H40" s="7">
        <f t="shared" si="0"/>
        <v>309.5</v>
      </c>
      <c r="I40" s="7">
        <v>49.52</v>
      </c>
    </row>
    <row r="41" spans="1:9">
      <c r="A41" t="s">
        <v>1911</v>
      </c>
      <c r="B41" s="1">
        <v>42247</v>
      </c>
      <c r="C41" t="s">
        <v>4413</v>
      </c>
      <c r="D41">
        <v>1</v>
      </c>
      <c r="E41" t="s">
        <v>714</v>
      </c>
      <c r="F41" s="19" t="s">
        <v>714</v>
      </c>
      <c r="G41" s="19" t="s">
        <v>715</v>
      </c>
      <c r="H41" s="7">
        <f t="shared" si="0"/>
        <v>46.5625</v>
      </c>
      <c r="I41" s="7">
        <v>7.45</v>
      </c>
    </row>
    <row r="42" spans="1:9">
      <c r="A42" t="s">
        <v>1916</v>
      </c>
      <c r="B42" s="1">
        <v>42247</v>
      </c>
      <c r="C42" t="s">
        <v>4414</v>
      </c>
      <c r="D42">
        <v>1</v>
      </c>
      <c r="E42" t="s">
        <v>714</v>
      </c>
      <c r="F42" s="19" t="s">
        <v>714</v>
      </c>
      <c r="G42" s="19" t="s">
        <v>715</v>
      </c>
      <c r="H42" s="7">
        <f t="shared" si="0"/>
        <v>309.5</v>
      </c>
      <c r="I42" s="7">
        <v>49.52</v>
      </c>
    </row>
    <row r="43" spans="1:9">
      <c r="A43" t="s">
        <v>1921</v>
      </c>
      <c r="B43" s="1">
        <v>42247</v>
      </c>
      <c r="C43" t="s">
        <v>4415</v>
      </c>
      <c r="D43">
        <v>1</v>
      </c>
      <c r="E43" t="s">
        <v>714</v>
      </c>
      <c r="F43" s="19" t="s">
        <v>714</v>
      </c>
      <c r="G43" s="19" t="s">
        <v>715</v>
      </c>
      <c r="H43" s="7">
        <f t="shared" si="0"/>
        <v>312.9375</v>
      </c>
      <c r="I43" s="7">
        <v>50.07</v>
      </c>
    </row>
    <row r="44" spans="1:9">
      <c r="A44" t="s">
        <v>3885</v>
      </c>
      <c r="B44" s="1">
        <v>42247</v>
      </c>
      <c r="C44" t="s">
        <v>4416</v>
      </c>
      <c r="D44">
        <v>1</v>
      </c>
      <c r="E44" t="s">
        <v>714</v>
      </c>
      <c r="F44" s="19" t="s">
        <v>714</v>
      </c>
      <c r="G44" s="19" t="s">
        <v>715</v>
      </c>
      <c r="H44" s="7">
        <f t="shared" si="0"/>
        <v>805.18750000000011</v>
      </c>
      <c r="I44" s="7">
        <v>128.83000000000001</v>
      </c>
    </row>
    <row r="45" spans="1:9">
      <c r="A45" t="s">
        <v>1922</v>
      </c>
      <c r="B45" s="1">
        <v>42247</v>
      </c>
      <c r="C45" t="s">
        <v>4417</v>
      </c>
      <c r="D45">
        <v>1</v>
      </c>
      <c r="E45" t="s">
        <v>714</v>
      </c>
      <c r="F45" s="19" t="s">
        <v>714</v>
      </c>
      <c r="G45" s="19" t="s">
        <v>715</v>
      </c>
      <c r="H45" s="7">
        <f t="shared" si="0"/>
        <v>322.4375</v>
      </c>
      <c r="I45" s="7">
        <v>51.59</v>
      </c>
    </row>
    <row r="46" spans="1:9">
      <c r="A46" t="s">
        <v>1923</v>
      </c>
      <c r="B46" s="1">
        <v>42247</v>
      </c>
      <c r="C46" t="s">
        <v>4420</v>
      </c>
      <c r="D46">
        <v>1</v>
      </c>
      <c r="E46" t="s">
        <v>714</v>
      </c>
      <c r="F46" s="19" t="s">
        <v>714</v>
      </c>
      <c r="G46" s="19" t="s">
        <v>715</v>
      </c>
      <c r="H46" s="7">
        <f t="shared" si="0"/>
        <v>243.125</v>
      </c>
      <c r="I46" s="7">
        <v>38.9</v>
      </c>
    </row>
    <row r="47" spans="1:9">
      <c r="A47" t="s">
        <v>1927</v>
      </c>
      <c r="B47" s="1">
        <v>42247</v>
      </c>
      <c r="C47" t="s">
        <v>4421</v>
      </c>
      <c r="D47">
        <v>1</v>
      </c>
      <c r="E47" t="s">
        <v>714</v>
      </c>
      <c r="F47" s="19" t="s">
        <v>714</v>
      </c>
      <c r="G47" s="19" t="s">
        <v>715</v>
      </c>
      <c r="H47" s="7">
        <f t="shared" si="0"/>
        <v>205.18749999999997</v>
      </c>
      <c r="I47" s="7">
        <v>32.83</v>
      </c>
    </row>
    <row r="48" spans="1:9">
      <c r="A48" t="s">
        <v>1933</v>
      </c>
      <c r="B48" s="1">
        <v>42247</v>
      </c>
      <c r="C48" t="s">
        <v>4426</v>
      </c>
      <c r="D48">
        <v>1</v>
      </c>
      <c r="E48" t="s">
        <v>714</v>
      </c>
      <c r="F48" s="19" t="s">
        <v>714</v>
      </c>
      <c r="G48" s="19" t="s">
        <v>715</v>
      </c>
      <c r="H48" s="7">
        <f t="shared" si="0"/>
        <v>163.8125</v>
      </c>
      <c r="I48" s="7">
        <v>26.21</v>
      </c>
    </row>
    <row r="49" spans="1:9">
      <c r="A49" t="s">
        <v>1870</v>
      </c>
      <c r="B49" s="1">
        <v>42247</v>
      </c>
      <c r="C49" t="s">
        <v>1315</v>
      </c>
      <c r="D49">
        <v>1</v>
      </c>
      <c r="E49" t="s">
        <v>714</v>
      </c>
      <c r="F49" s="19" t="s">
        <v>714</v>
      </c>
      <c r="G49" s="19" t="s">
        <v>715</v>
      </c>
      <c r="H49" s="7">
        <f t="shared" si="0"/>
        <v>309.5</v>
      </c>
      <c r="I49" s="7">
        <v>49.52</v>
      </c>
    </row>
    <row r="50" spans="1:9">
      <c r="A50" t="s">
        <v>1870</v>
      </c>
      <c r="B50" s="1">
        <v>42247</v>
      </c>
      <c r="C50" t="s">
        <v>1315</v>
      </c>
      <c r="D50">
        <v>1</v>
      </c>
      <c r="E50" t="s">
        <v>714</v>
      </c>
      <c r="F50" s="19" t="s">
        <v>714</v>
      </c>
      <c r="G50" s="19" t="s">
        <v>715</v>
      </c>
      <c r="H50" s="7">
        <f t="shared" si="0"/>
        <v>309.5</v>
      </c>
      <c r="I50" s="7">
        <v>49.52</v>
      </c>
    </row>
    <row r="51" spans="1:9">
      <c r="A51" t="s">
        <v>1872</v>
      </c>
      <c r="B51" s="1">
        <v>42247</v>
      </c>
      <c r="C51" t="s">
        <v>1315</v>
      </c>
      <c r="D51">
        <v>1</v>
      </c>
      <c r="E51" t="s">
        <v>714</v>
      </c>
      <c r="F51" s="19" t="s">
        <v>714</v>
      </c>
      <c r="G51" s="19" t="s">
        <v>715</v>
      </c>
      <c r="H51" s="7">
        <f t="shared" si="0"/>
        <v>46.5625</v>
      </c>
      <c r="I51" s="7">
        <v>7.45</v>
      </c>
    </row>
    <row r="52" spans="1:9">
      <c r="A52" t="s">
        <v>1872</v>
      </c>
      <c r="B52" s="1">
        <v>42247</v>
      </c>
      <c r="C52" t="s">
        <v>1315</v>
      </c>
      <c r="D52">
        <v>1</v>
      </c>
      <c r="E52" t="s">
        <v>714</v>
      </c>
      <c r="F52" s="19" t="s">
        <v>714</v>
      </c>
      <c r="G52" s="19" t="s">
        <v>715</v>
      </c>
      <c r="H52" s="7">
        <f t="shared" si="0"/>
        <v>222.43750000000003</v>
      </c>
      <c r="I52" s="7">
        <v>35.590000000000003</v>
      </c>
    </row>
    <row r="53" spans="1:9">
      <c r="A53" t="s">
        <v>1872</v>
      </c>
      <c r="B53" s="1">
        <v>42247</v>
      </c>
      <c r="C53" t="s">
        <v>1315</v>
      </c>
      <c r="D53">
        <v>1</v>
      </c>
      <c r="E53" t="s">
        <v>714</v>
      </c>
      <c r="F53" s="19" t="s">
        <v>714</v>
      </c>
      <c r="G53" s="19" t="s">
        <v>715</v>
      </c>
      <c r="H53" s="7">
        <f t="shared" si="0"/>
        <v>309.5</v>
      </c>
      <c r="I53" s="7">
        <v>49.52</v>
      </c>
    </row>
    <row r="54" spans="1:9">
      <c r="A54" t="s">
        <v>3875</v>
      </c>
      <c r="B54" s="1">
        <v>42247</v>
      </c>
      <c r="C54" t="s">
        <v>4404</v>
      </c>
      <c r="D54">
        <v>1</v>
      </c>
      <c r="E54" t="s">
        <v>751</v>
      </c>
      <c r="F54" s="19" t="s">
        <v>751</v>
      </c>
      <c r="G54" s="139" t="s">
        <v>7358</v>
      </c>
      <c r="H54" s="7">
        <f t="shared" si="0"/>
        <v>222.43750000000003</v>
      </c>
      <c r="I54" s="7">
        <v>35.590000000000003</v>
      </c>
    </row>
    <row r="55" spans="1:9">
      <c r="A55" t="s">
        <v>3875</v>
      </c>
      <c r="B55" s="1">
        <v>42247</v>
      </c>
      <c r="C55" t="s">
        <v>4404</v>
      </c>
      <c r="D55">
        <v>1</v>
      </c>
      <c r="E55" t="s">
        <v>751</v>
      </c>
      <c r="F55" s="19" t="s">
        <v>751</v>
      </c>
      <c r="G55" s="139" t="s">
        <v>7358</v>
      </c>
      <c r="H55" s="7">
        <f t="shared" si="0"/>
        <v>489.625</v>
      </c>
      <c r="I55" s="7">
        <v>78.34</v>
      </c>
    </row>
    <row r="56" spans="1:9">
      <c r="A56" t="s">
        <v>1931</v>
      </c>
      <c r="B56" s="1">
        <v>42247</v>
      </c>
      <c r="C56" t="s">
        <v>4424</v>
      </c>
      <c r="D56">
        <v>1</v>
      </c>
      <c r="E56" t="s">
        <v>751</v>
      </c>
      <c r="F56" s="19" t="s">
        <v>751</v>
      </c>
      <c r="G56" s="139" t="s">
        <v>7358</v>
      </c>
      <c r="H56" s="7">
        <f t="shared" si="0"/>
        <v>82.75</v>
      </c>
      <c r="I56" s="7">
        <v>13.24</v>
      </c>
    </row>
    <row r="57" spans="1:9">
      <c r="A57" t="s">
        <v>1916</v>
      </c>
      <c r="B57" s="1">
        <v>42247</v>
      </c>
      <c r="C57" t="s">
        <v>4414</v>
      </c>
      <c r="D57">
        <v>1</v>
      </c>
      <c r="E57" t="s">
        <v>3903</v>
      </c>
      <c r="F57" s="19" t="s">
        <v>3903</v>
      </c>
      <c r="G57" s="139" t="s">
        <v>7441</v>
      </c>
      <c r="H57" s="7">
        <f t="shared" si="0"/>
        <v>82.75</v>
      </c>
      <c r="I57" s="7">
        <v>13.24</v>
      </c>
    </row>
    <row r="58" spans="1:9">
      <c r="A58" t="s">
        <v>1207</v>
      </c>
      <c r="B58" s="1">
        <v>42247</v>
      </c>
      <c r="C58" t="s">
        <v>4248</v>
      </c>
      <c r="D58">
        <v>1</v>
      </c>
      <c r="E58" t="s">
        <v>4249</v>
      </c>
      <c r="F58" s="19" t="s">
        <v>700</v>
      </c>
      <c r="G58" s="139" t="s">
        <v>301</v>
      </c>
      <c r="H58" s="7">
        <f t="shared" si="0"/>
        <v>342.1875</v>
      </c>
      <c r="I58" s="7">
        <v>54.75</v>
      </c>
    </row>
    <row r="59" spans="1:9">
      <c r="A59" t="s">
        <v>4250</v>
      </c>
      <c r="B59" s="1">
        <v>42247</v>
      </c>
      <c r="C59" t="s">
        <v>4251</v>
      </c>
      <c r="D59">
        <v>1</v>
      </c>
      <c r="E59" t="s">
        <v>4249</v>
      </c>
      <c r="F59" s="19" t="s">
        <v>847</v>
      </c>
      <c r="G59" s="139" t="s">
        <v>7402</v>
      </c>
      <c r="H59" s="7">
        <f t="shared" si="0"/>
        <v>447.625</v>
      </c>
      <c r="I59" s="7">
        <v>71.62</v>
      </c>
    </row>
    <row r="60" spans="1:9">
      <c r="A60" t="s">
        <v>3002</v>
      </c>
      <c r="B60" s="1">
        <v>42247</v>
      </c>
      <c r="C60" t="s">
        <v>4252</v>
      </c>
      <c r="D60">
        <v>1</v>
      </c>
      <c r="E60" t="s">
        <v>4249</v>
      </c>
      <c r="F60" s="19" t="s">
        <v>703</v>
      </c>
      <c r="G60" s="143" t="s">
        <v>273</v>
      </c>
      <c r="H60" s="7">
        <f t="shared" si="0"/>
        <v>100.06250000000001</v>
      </c>
      <c r="I60" s="7">
        <v>16.010000000000002</v>
      </c>
    </row>
    <row r="61" spans="1:9">
      <c r="A61" t="s">
        <v>486</v>
      </c>
      <c r="B61" s="1">
        <v>42235</v>
      </c>
      <c r="C61" t="s">
        <v>4540</v>
      </c>
      <c r="D61">
        <v>1</v>
      </c>
      <c r="E61" t="s">
        <v>4541</v>
      </c>
      <c r="F61" t="s">
        <v>1530</v>
      </c>
      <c r="G61" t="s">
        <v>4541</v>
      </c>
      <c r="H61" s="7">
        <f t="shared" si="0"/>
        <v>1171.4375</v>
      </c>
      <c r="I61" s="7">
        <v>187.43</v>
      </c>
    </row>
    <row r="62" spans="1:9">
      <c r="A62" t="s">
        <v>1308</v>
      </c>
      <c r="B62" s="1">
        <v>42247</v>
      </c>
      <c r="C62" t="s">
        <v>4238</v>
      </c>
      <c r="D62">
        <v>1</v>
      </c>
      <c r="E62" t="s">
        <v>4352</v>
      </c>
      <c r="F62" t="s">
        <v>2690</v>
      </c>
      <c r="G62" t="s">
        <v>4352</v>
      </c>
      <c r="H62" s="7">
        <f t="shared" si="0"/>
        <v>245825.0625</v>
      </c>
      <c r="I62" s="7">
        <v>39332.01</v>
      </c>
    </row>
    <row r="64" spans="1:9">
      <c r="A64" t="s">
        <v>4367</v>
      </c>
      <c r="B64" s="1">
        <v>42247</v>
      </c>
      <c r="C64" t="s">
        <v>4368</v>
      </c>
      <c r="D64">
        <v>1</v>
      </c>
      <c r="E64" t="s">
        <v>4369</v>
      </c>
      <c r="F64" s="70" t="s">
        <v>712</v>
      </c>
      <c r="G64" s="19" t="s">
        <v>7459</v>
      </c>
      <c r="H64" s="7">
        <f t="shared" si="0"/>
        <v>86.25</v>
      </c>
      <c r="I64" s="7">
        <v>13.8</v>
      </c>
    </row>
    <row r="65" spans="1:9">
      <c r="A65" t="s">
        <v>4467</v>
      </c>
      <c r="B65" s="1">
        <v>42247</v>
      </c>
      <c r="C65" t="s">
        <v>4468</v>
      </c>
      <c r="D65">
        <v>1</v>
      </c>
      <c r="E65" t="s">
        <v>4469</v>
      </c>
      <c r="F65" t="s">
        <v>4469</v>
      </c>
      <c r="G65" t="s">
        <v>7269</v>
      </c>
      <c r="H65" s="7">
        <f t="shared" si="0"/>
        <v>60.375</v>
      </c>
      <c r="I65" s="7">
        <v>9.66</v>
      </c>
    </row>
    <row r="66" spans="1:9">
      <c r="A66" t="s">
        <v>1320</v>
      </c>
      <c r="B66" s="1">
        <v>42217</v>
      </c>
      <c r="C66" t="s">
        <v>4475</v>
      </c>
      <c r="D66">
        <v>1</v>
      </c>
      <c r="E66" t="s">
        <v>4476</v>
      </c>
      <c r="F66" s="19" t="s">
        <v>4932</v>
      </c>
      <c r="G66" t="s">
        <v>4476</v>
      </c>
      <c r="H66" s="7">
        <f t="shared" si="0"/>
        <v>3900</v>
      </c>
      <c r="I66" s="7">
        <v>624</v>
      </c>
    </row>
    <row r="67" spans="1:9">
      <c r="A67" t="s">
        <v>3875</v>
      </c>
      <c r="B67" s="1">
        <v>42247</v>
      </c>
      <c r="C67" t="s">
        <v>4404</v>
      </c>
      <c r="D67">
        <v>1</v>
      </c>
      <c r="E67" t="s">
        <v>895</v>
      </c>
      <c r="F67" s="19" t="s">
        <v>895</v>
      </c>
      <c r="G67" s="139" t="s">
        <v>896</v>
      </c>
      <c r="H67" s="7">
        <f t="shared" si="0"/>
        <v>94.8125</v>
      </c>
      <c r="I67" s="7">
        <v>15.17</v>
      </c>
    </row>
    <row r="68" spans="1:9">
      <c r="A68" t="s">
        <v>3044</v>
      </c>
      <c r="B68" s="1">
        <v>42226</v>
      </c>
      <c r="C68" t="s">
        <v>4282</v>
      </c>
      <c r="D68">
        <v>1</v>
      </c>
      <c r="E68" t="s">
        <v>4283</v>
      </c>
      <c r="F68" t="s">
        <v>724</v>
      </c>
      <c r="G68" t="s">
        <v>4283</v>
      </c>
      <c r="H68" s="7">
        <f t="shared" si="0"/>
        <v>245825.0625</v>
      </c>
      <c r="I68" s="7">
        <v>39332.01</v>
      </c>
    </row>
    <row r="69" spans="1:9">
      <c r="A69" t="s">
        <v>1302</v>
      </c>
      <c r="B69" s="1">
        <v>42247</v>
      </c>
      <c r="C69" t="s">
        <v>4347</v>
      </c>
      <c r="D69">
        <v>1</v>
      </c>
      <c r="E69" t="s">
        <v>4348</v>
      </c>
      <c r="F69" t="s">
        <v>724</v>
      </c>
      <c r="G69" t="s">
        <v>4348</v>
      </c>
      <c r="H69" s="7">
        <f t="shared" si="0"/>
        <v>275488.4375</v>
      </c>
      <c r="I69" s="7">
        <v>44078.15</v>
      </c>
    </row>
    <row r="70" spans="1:9">
      <c r="A70" t="s">
        <v>4330</v>
      </c>
      <c r="B70" s="1">
        <v>42244</v>
      </c>
      <c r="C70" t="s">
        <v>4331</v>
      </c>
      <c r="D70">
        <v>1</v>
      </c>
      <c r="E70" t="s">
        <v>4304</v>
      </c>
      <c r="F70" t="s">
        <v>727</v>
      </c>
      <c r="G70" t="s">
        <v>4304</v>
      </c>
      <c r="H70" s="7">
        <f t="shared" si="0"/>
        <v>158063.6875</v>
      </c>
      <c r="I70" s="7">
        <v>25290.19</v>
      </c>
    </row>
    <row r="71" spans="1:9">
      <c r="A71" t="s">
        <v>3066</v>
      </c>
      <c r="B71" s="1">
        <v>42238</v>
      </c>
      <c r="C71" t="s">
        <v>4303</v>
      </c>
      <c r="D71">
        <v>1</v>
      </c>
      <c r="E71" t="s">
        <v>4304</v>
      </c>
      <c r="F71" t="s">
        <v>727</v>
      </c>
      <c r="G71" t="s">
        <v>4304</v>
      </c>
      <c r="H71" s="7">
        <f t="shared" si="0"/>
        <v>245825.0625</v>
      </c>
      <c r="I71" s="7">
        <v>39332.01</v>
      </c>
    </row>
    <row r="72" spans="1:9">
      <c r="A72" t="s">
        <v>1931</v>
      </c>
      <c r="B72" s="1">
        <v>42247</v>
      </c>
      <c r="C72" t="s">
        <v>4424</v>
      </c>
      <c r="D72">
        <v>1</v>
      </c>
      <c r="E72" t="s">
        <v>2763</v>
      </c>
      <c r="F72" s="19" t="s">
        <v>2763</v>
      </c>
      <c r="G72" s="139" t="s">
        <v>2764</v>
      </c>
      <c r="H72" s="7">
        <f t="shared" ref="H72:H135" si="1">+I72/0.16</f>
        <v>514.125</v>
      </c>
      <c r="I72" s="7">
        <v>82.26</v>
      </c>
    </row>
    <row r="73" spans="1:9">
      <c r="A73" t="s">
        <v>1923</v>
      </c>
      <c r="B73" s="1">
        <v>42247</v>
      </c>
      <c r="C73" t="s">
        <v>4420</v>
      </c>
      <c r="D73">
        <v>1</v>
      </c>
      <c r="E73" t="s">
        <v>3945</v>
      </c>
      <c r="F73" s="19" t="s">
        <v>3945</v>
      </c>
      <c r="G73" s="139" t="s">
        <v>7438</v>
      </c>
      <c r="H73" s="7">
        <f t="shared" si="1"/>
        <v>539.375</v>
      </c>
      <c r="I73" s="7">
        <v>86.3</v>
      </c>
    </row>
    <row r="74" spans="1:9">
      <c r="A74" t="s">
        <v>431</v>
      </c>
      <c r="B74" s="1">
        <v>42222</v>
      </c>
      <c r="C74" t="s">
        <v>4485</v>
      </c>
      <c r="D74">
        <v>1</v>
      </c>
      <c r="E74" t="s">
        <v>1436</v>
      </c>
      <c r="F74" t="s">
        <v>1551</v>
      </c>
      <c r="G74" t="s">
        <v>1436</v>
      </c>
      <c r="H74" s="7">
        <f t="shared" si="1"/>
        <v>1163.25</v>
      </c>
      <c r="I74" s="7">
        <v>186.12</v>
      </c>
    </row>
    <row r="75" spans="1:9">
      <c r="A75" t="s">
        <v>4451</v>
      </c>
      <c r="B75" s="1">
        <v>42247</v>
      </c>
      <c r="C75" t="s">
        <v>4452</v>
      </c>
      <c r="D75">
        <v>1</v>
      </c>
      <c r="E75" t="s">
        <v>759</v>
      </c>
      <c r="F75" s="19" t="s">
        <v>759</v>
      </c>
      <c r="G75" s="139" t="s">
        <v>3221</v>
      </c>
      <c r="H75" s="7">
        <f t="shared" si="1"/>
        <v>124.125</v>
      </c>
      <c r="I75" s="7">
        <v>19.86</v>
      </c>
    </row>
    <row r="76" spans="1:9">
      <c r="A76" t="s">
        <v>2040</v>
      </c>
      <c r="B76" s="1">
        <v>42221</v>
      </c>
      <c r="C76" t="s">
        <v>4482</v>
      </c>
      <c r="D76">
        <v>2</v>
      </c>
      <c r="E76" t="s">
        <v>476</v>
      </c>
      <c r="F76" t="s">
        <v>730</v>
      </c>
      <c r="G76" t="s">
        <v>476</v>
      </c>
      <c r="H76" s="7">
        <f t="shared" si="1"/>
        <v>7413.8125</v>
      </c>
      <c r="I76" s="7">
        <v>1186.21</v>
      </c>
    </row>
    <row r="77" spans="1:9">
      <c r="A77" t="s">
        <v>1867</v>
      </c>
      <c r="B77" s="1">
        <v>42247</v>
      </c>
      <c r="C77" t="s">
        <v>4395</v>
      </c>
      <c r="D77">
        <v>1</v>
      </c>
      <c r="E77" t="s">
        <v>4396</v>
      </c>
      <c r="F77" s="19" t="s">
        <v>4396</v>
      </c>
      <c r="G77" s="139" t="s">
        <v>7458</v>
      </c>
      <c r="H77" s="7">
        <f t="shared" si="1"/>
        <v>748.9375</v>
      </c>
      <c r="I77" s="7">
        <v>119.83</v>
      </c>
    </row>
    <row r="78" spans="1:9">
      <c r="A78" t="s">
        <v>1145</v>
      </c>
      <c r="B78" s="1">
        <v>42247</v>
      </c>
      <c r="C78" t="s">
        <v>4239</v>
      </c>
      <c r="D78">
        <v>1</v>
      </c>
      <c r="E78" t="s">
        <v>4240</v>
      </c>
      <c r="F78" s="25" t="s">
        <v>735</v>
      </c>
      <c r="G78" t="s">
        <v>4240</v>
      </c>
      <c r="H78" s="7">
        <f t="shared" si="1"/>
        <v>200</v>
      </c>
      <c r="I78" s="7">
        <v>32</v>
      </c>
    </row>
    <row r="79" spans="1:9">
      <c r="A79" t="s">
        <v>1151</v>
      </c>
      <c r="B79" s="1">
        <v>42247</v>
      </c>
      <c r="C79" t="s">
        <v>3147</v>
      </c>
      <c r="D79">
        <v>1</v>
      </c>
      <c r="E79" t="s">
        <v>4201</v>
      </c>
      <c r="F79" s="25" t="s">
        <v>741</v>
      </c>
      <c r="G79" t="s">
        <v>4201</v>
      </c>
      <c r="H79" s="7">
        <f t="shared" si="1"/>
        <v>1087</v>
      </c>
      <c r="I79" s="7">
        <v>173.92</v>
      </c>
    </row>
    <row r="80" spans="1:9">
      <c r="A80" t="s">
        <v>2053</v>
      </c>
      <c r="B80" s="1">
        <v>42229</v>
      </c>
      <c r="C80" t="s">
        <v>3147</v>
      </c>
      <c r="D80">
        <v>1</v>
      </c>
      <c r="E80" t="s">
        <v>4512</v>
      </c>
      <c r="F80" s="25" t="s">
        <v>737</v>
      </c>
      <c r="G80" t="s">
        <v>4512</v>
      </c>
      <c r="H80" s="7">
        <f t="shared" si="1"/>
        <v>2390.375</v>
      </c>
      <c r="I80" s="7">
        <v>382.46</v>
      </c>
    </row>
    <row r="81" spans="1:9">
      <c r="A81" t="s">
        <v>2055</v>
      </c>
      <c r="B81" s="1">
        <v>42229</v>
      </c>
      <c r="C81" t="s">
        <v>3147</v>
      </c>
      <c r="D81">
        <v>1</v>
      </c>
      <c r="E81" t="s">
        <v>4513</v>
      </c>
      <c r="F81" s="25" t="s">
        <v>737</v>
      </c>
      <c r="G81" t="s">
        <v>4513</v>
      </c>
      <c r="H81" s="7">
        <f t="shared" si="1"/>
        <v>93.375</v>
      </c>
      <c r="I81" s="7">
        <v>14.94</v>
      </c>
    </row>
    <row r="82" spans="1:9">
      <c r="A82" t="s">
        <v>2058</v>
      </c>
      <c r="B82" s="1">
        <v>42229</v>
      </c>
      <c r="C82" t="s">
        <v>3147</v>
      </c>
      <c r="D82">
        <v>1</v>
      </c>
      <c r="E82" t="s">
        <v>4514</v>
      </c>
      <c r="F82" s="25" t="s">
        <v>737</v>
      </c>
      <c r="G82" t="s">
        <v>4514</v>
      </c>
      <c r="H82" s="7">
        <f t="shared" si="1"/>
        <v>1413.5</v>
      </c>
      <c r="I82" s="7">
        <v>226.16</v>
      </c>
    </row>
    <row r="83" spans="1:9">
      <c r="A83" t="s">
        <v>1359</v>
      </c>
      <c r="B83" s="1">
        <v>42229</v>
      </c>
      <c r="C83" t="s">
        <v>3147</v>
      </c>
      <c r="D83">
        <v>1</v>
      </c>
      <c r="E83" t="s">
        <v>4515</v>
      </c>
      <c r="F83" s="25" t="s">
        <v>737</v>
      </c>
      <c r="G83" t="s">
        <v>4515</v>
      </c>
      <c r="H83" s="7">
        <f t="shared" si="1"/>
        <v>940.12499999999989</v>
      </c>
      <c r="I83" s="7">
        <v>150.41999999999999</v>
      </c>
    </row>
    <row r="84" spans="1:9">
      <c r="A84" t="s">
        <v>2610</v>
      </c>
      <c r="B84" s="1">
        <v>42229</v>
      </c>
      <c r="C84" t="s">
        <v>3147</v>
      </c>
      <c r="D84">
        <v>1</v>
      </c>
      <c r="E84" t="s">
        <v>4516</v>
      </c>
      <c r="F84" s="25" t="s">
        <v>737</v>
      </c>
      <c r="G84" t="s">
        <v>4516</v>
      </c>
      <c r="H84" s="7">
        <f t="shared" si="1"/>
        <v>276.625</v>
      </c>
      <c r="I84" s="7">
        <v>44.26</v>
      </c>
    </row>
    <row r="85" spans="1:9">
      <c r="A85" t="s">
        <v>2061</v>
      </c>
      <c r="B85" s="1">
        <v>42229</v>
      </c>
      <c r="C85" t="s">
        <v>3147</v>
      </c>
      <c r="D85">
        <v>1</v>
      </c>
      <c r="E85" t="s">
        <v>4517</v>
      </c>
      <c r="F85" s="25" t="s">
        <v>737</v>
      </c>
      <c r="G85" t="s">
        <v>4517</v>
      </c>
      <c r="H85" s="7">
        <f t="shared" si="1"/>
        <v>585.875</v>
      </c>
      <c r="I85" s="7">
        <v>93.74</v>
      </c>
    </row>
    <row r="86" spans="1:9">
      <c r="A86" t="s">
        <v>2613</v>
      </c>
      <c r="B86" s="1">
        <v>42229</v>
      </c>
      <c r="C86" t="s">
        <v>3147</v>
      </c>
      <c r="D86">
        <v>1</v>
      </c>
      <c r="E86" t="s">
        <v>4518</v>
      </c>
      <c r="F86" s="25" t="s">
        <v>737</v>
      </c>
      <c r="G86" t="s">
        <v>4518</v>
      </c>
      <c r="H86" s="7">
        <f t="shared" si="1"/>
        <v>533.0625</v>
      </c>
      <c r="I86" s="7">
        <v>85.29</v>
      </c>
    </row>
    <row r="87" spans="1:9">
      <c r="A87" t="s">
        <v>2615</v>
      </c>
      <c r="B87" s="1">
        <v>42229</v>
      </c>
      <c r="C87" t="s">
        <v>3147</v>
      </c>
      <c r="D87">
        <v>1</v>
      </c>
      <c r="E87" t="s">
        <v>4519</v>
      </c>
      <c r="F87" s="25" t="s">
        <v>737</v>
      </c>
      <c r="G87" t="s">
        <v>4519</v>
      </c>
      <c r="H87" s="7">
        <f t="shared" si="1"/>
        <v>1258.0625</v>
      </c>
      <c r="I87" s="7">
        <v>201.29</v>
      </c>
    </row>
    <row r="88" spans="1:9">
      <c r="A88" t="s">
        <v>439</v>
      </c>
      <c r="B88" s="1">
        <v>42229</v>
      </c>
      <c r="C88" t="s">
        <v>3147</v>
      </c>
      <c r="D88">
        <v>1</v>
      </c>
      <c r="E88" t="s">
        <v>4520</v>
      </c>
      <c r="F88" s="25" t="s">
        <v>737</v>
      </c>
      <c r="G88" t="s">
        <v>4520</v>
      </c>
      <c r="H88" s="7">
        <f t="shared" si="1"/>
        <v>959.1875</v>
      </c>
      <c r="I88" s="7">
        <v>153.47</v>
      </c>
    </row>
    <row r="89" spans="1:9">
      <c r="A89" t="s">
        <v>3115</v>
      </c>
      <c r="B89" s="1">
        <v>42223</v>
      </c>
      <c r="C89" t="s">
        <v>4497</v>
      </c>
      <c r="D89">
        <v>1</v>
      </c>
      <c r="E89" t="s">
        <v>489</v>
      </c>
      <c r="F89" t="s">
        <v>808</v>
      </c>
      <c r="G89" t="s">
        <v>489</v>
      </c>
      <c r="H89" s="7">
        <f t="shared" si="1"/>
        <v>17642.25</v>
      </c>
      <c r="I89" s="7">
        <v>2822.76</v>
      </c>
    </row>
    <row r="90" spans="1:9">
      <c r="A90" t="s">
        <v>1149</v>
      </c>
      <c r="B90" s="1">
        <v>42247</v>
      </c>
      <c r="C90" t="s">
        <v>3147</v>
      </c>
      <c r="D90">
        <v>1</v>
      </c>
      <c r="E90" t="s">
        <v>1466</v>
      </c>
      <c r="F90" s="25" t="s">
        <v>743</v>
      </c>
      <c r="G90" t="s">
        <v>1466</v>
      </c>
      <c r="H90" s="7">
        <f t="shared" si="1"/>
        <v>178</v>
      </c>
      <c r="I90" s="7">
        <v>28.48</v>
      </c>
    </row>
    <row r="91" spans="1:9">
      <c r="A91" t="s">
        <v>1930</v>
      </c>
      <c r="B91" s="1">
        <v>42247</v>
      </c>
      <c r="C91" t="s">
        <v>4422</v>
      </c>
      <c r="D91">
        <v>1</v>
      </c>
      <c r="E91" t="s">
        <v>4423</v>
      </c>
      <c r="F91" s="17" t="s">
        <v>733</v>
      </c>
      <c r="G91" t="s">
        <v>4423</v>
      </c>
      <c r="H91" s="7">
        <f t="shared" si="1"/>
        <v>1199.4375</v>
      </c>
      <c r="I91" s="7">
        <v>191.91</v>
      </c>
    </row>
    <row r="92" spans="1:9">
      <c r="A92" t="s">
        <v>2569</v>
      </c>
      <c r="B92" s="1">
        <v>42219</v>
      </c>
      <c r="C92" t="s">
        <v>4477</v>
      </c>
      <c r="D92">
        <v>1</v>
      </c>
      <c r="E92" t="s">
        <v>428</v>
      </c>
      <c r="F92" t="s">
        <v>790</v>
      </c>
      <c r="G92" t="s">
        <v>428</v>
      </c>
      <c r="H92" s="7">
        <f t="shared" si="1"/>
        <v>6252.9375</v>
      </c>
      <c r="I92" s="7">
        <v>1000.47</v>
      </c>
    </row>
    <row r="93" spans="1:9">
      <c r="A93" t="s">
        <v>1326</v>
      </c>
      <c r="B93" s="1">
        <v>42222</v>
      </c>
      <c r="C93" t="s">
        <v>4481</v>
      </c>
      <c r="D93">
        <v>1</v>
      </c>
      <c r="E93" t="s">
        <v>428</v>
      </c>
      <c r="F93" t="s">
        <v>790</v>
      </c>
      <c r="G93" t="s">
        <v>428</v>
      </c>
      <c r="H93" s="7">
        <f t="shared" si="1"/>
        <v>2852.6875</v>
      </c>
      <c r="I93" s="7">
        <v>456.43</v>
      </c>
    </row>
    <row r="94" spans="1:9">
      <c r="A94" t="s">
        <v>1342</v>
      </c>
      <c r="B94" s="1">
        <v>42223</v>
      </c>
      <c r="C94" t="s">
        <v>4501</v>
      </c>
      <c r="D94">
        <v>1</v>
      </c>
      <c r="E94" t="s">
        <v>428</v>
      </c>
      <c r="F94" t="s">
        <v>790</v>
      </c>
      <c r="G94" t="s">
        <v>428</v>
      </c>
      <c r="H94" s="7">
        <f t="shared" si="1"/>
        <v>117424.4375</v>
      </c>
      <c r="I94" s="7">
        <v>18787.91</v>
      </c>
    </row>
    <row r="95" spans="1:9">
      <c r="A95" t="s">
        <v>2583</v>
      </c>
      <c r="B95" s="1">
        <v>42223</v>
      </c>
      <c r="C95" t="s">
        <v>4502</v>
      </c>
      <c r="D95">
        <v>1</v>
      </c>
      <c r="E95" t="s">
        <v>428</v>
      </c>
      <c r="F95" t="s">
        <v>790</v>
      </c>
      <c r="G95" t="s">
        <v>428</v>
      </c>
      <c r="H95" s="7">
        <f t="shared" si="1"/>
        <v>595.625</v>
      </c>
      <c r="I95" s="7">
        <v>95.3</v>
      </c>
    </row>
    <row r="96" spans="1:9">
      <c r="A96" t="s">
        <v>444</v>
      </c>
      <c r="B96" s="1">
        <v>42230</v>
      </c>
      <c r="C96" t="s">
        <v>4521</v>
      </c>
      <c r="D96">
        <v>1</v>
      </c>
      <c r="E96" t="s">
        <v>428</v>
      </c>
      <c r="F96" t="s">
        <v>790</v>
      </c>
      <c r="G96" t="s">
        <v>428</v>
      </c>
      <c r="H96" s="7">
        <f t="shared" si="1"/>
        <v>346627.5</v>
      </c>
      <c r="I96" s="7">
        <v>55460.4</v>
      </c>
    </row>
    <row r="97" spans="1:9">
      <c r="A97" t="s">
        <v>447</v>
      </c>
      <c r="B97" s="1">
        <v>42230</v>
      </c>
      <c r="C97" t="s">
        <v>4522</v>
      </c>
      <c r="D97">
        <v>1</v>
      </c>
      <c r="E97" t="s">
        <v>428</v>
      </c>
      <c r="F97" t="s">
        <v>790</v>
      </c>
      <c r="G97" t="s">
        <v>428</v>
      </c>
      <c r="H97" s="7">
        <f t="shared" si="1"/>
        <v>60975.5625</v>
      </c>
      <c r="I97" s="7">
        <v>9756.09</v>
      </c>
    </row>
    <row r="98" spans="1:9">
      <c r="A98" t="s">
        <v>3101</v>
      </c>
      <c r="B98" s="1">
        <v>42222</v>
      </c>
      <c r="C98" t="s">
        <v>4480</v>
      </c>
      <c r="D98">
        <v>1</v>
      </c>
      <c r="E98" t="s">
        <v>428</v>
      </c>
      <c r="F98" t="s">
        <v>790</v>
      </c>
      <c r="G98" t="s">
        <v>428</v>
      </c>
      <c r="H98" s="7">
        <f t="shared" si="1"/>
        <v>186170.6875</v>
      </c>
      <c r="I98" s="7">
        <v>29787.31</v>
      </c>
    </row>
    <row r="99" spans="1:9">
      <c r="A99" t="s">
        <v>450</v>
      </c>
      <c r="B99" s="1">
        <v>42230</v>
      </c>
      <c r="C99" t="s">
        <v>4523</v>
      </c>
      <c r="D99">
        <v>1</v>
      </c>
      <c r="E99" t="s">
        <v>428</v>
      </c>
      <c r="F99" t="s">
        <v>790</v>
      </c>
      <c r="G99" t="s">
        <v>428</v>
      </c>
      <c r="H99" s="7">
        <f t="shared" si="1"/>
        <v>1485</v>
      </c>
      <c r="I99" s="7">
        <v>237.6</v>
      </c>
    </row>
    <row r="100" spans="1:9">
      <c r="A100" t="s">
        <v>3154</v>
      </c>
      <c r="B100" s="1">
        <v>42233</v>
      </c>
      <c r="C100" t="s">
        <v>4537</v>
      </c>
      <c r="D100">
        <v>1</v>
      </c>
      <c r="E100" t="s">
        <v>428</v>
      </c>
      <c r="F100" t="s">
        <v>790</v>
      </c>
      <c r="G100" t="s">
        <v>428</v>
      </c>
      <c r="H100" s="7">
        <f t="shared" si="1"/>
        <v>38377.1875</v>
      </c>
      <c r="I100" s="7">
        <v>6140.35</v>
      </c>
    </row>
    <row r="101" spans="1:9">
      <c r="A101" t="s">
        <v>2103</v>
      </c>
      <c r="B101" s="1">
        <v>42234</v>
      </c>
      <c r="C101" t="s">
        <v>4538</v>
      </c>
      <c r="D101">
        <v>1</v>
      </c>
      <c r="E101" t="s">
        <v>428</v>
      </c>
      <c r="F101" t="s">
        <v>790</v>
      </c>
      <c r="G101" t="s">
        <v>428</v>
      </c>
      <c r="H101" s="7">
        <f t="shared" si="1"/>
        <v>7952.3750000000009</v>
      </c>
      <c r="I101" s="7">
        <v>1272.3800000000001</v>
      </c>
    </row>
    <row r="102" spans="1:9">
      <c r="A102" t="s">
        <v>1383</v>
      </c>
      <c r="B102" s="1">
        <v>42236</v>
      </c>
      <c r="C102" t="s">
        <v>4550</v>
      </c>
      <c r="D102">
        <v>1</v>
      </c>
      <c r="E102" t="s">
        <v>428</v>
      </c>
      <c r="F102" t="s">
        <v>790</v>
      </c>
      <c r="G102" t="s">
        <v>428</v>
      </c>
      <c r="H102" s="7">
        <f t="shared" si="1"/>
        <v>40836.1875</v>
      </c>
      <c r="I102" s="7">
        <v>6533.79</v>
      </c>
    </row>
    <row r="103" spans="1:9">
      <c r="A103" t="s">
        <v>1399</v>
      </c>
      <c r="B103" s="1">
        <v>42237</v>
      </c>
      <c r="C103" t="s">
        <v>4555</v>
      </c>
      <c r="D103">
        <v>1</v>
      </c>
      <c r="E103" t="s">
        <v>428</v>
      </c>
      <c r="F103" t="s">
        <v>790</v>
      </c>
      <c r="G103" t="s">
        <v>428</v>
      </c>
      <c r="H103" s="7">
        <f t="shared" si="1"/>
        <v>100550.8125</v>
      </c>
      <c r="I103" s="7">
        <v>16088.13</v>
      </c>
    </row>
    <row r="104" spans="1:9">
      <c r="A104" t="s">
        <v>550</v>
      </c>
      <c r="B104" s="1">
        <v>42244</v>
      </c>
      <c r="C104" t="s">
        <v>4572</v>
      </c>
      <c r="D104">
        <v>1</v>
      </c>
      <c r="E104" t="s">
        <v>428</v>
      </c>
      <c r="F104" t="s">
        <v>790</v>
      </c>
      <c r="G104" t="s">
        <v>428</v>
      </c>
      <c r="H104" s="7">
        <f t="shared" si="1"/>
        <v>1100</v>
      </c>
      <c r="I104" s="7">
        <v>176</v>
      </c>
    </row>
    <row r="105" spans="1:9">
      <c r="A105" t="s">
        <v>552</v>
      </c>
      <c r="B105" s="1">
        <v>42244</v>
      </c>
      <c r="C105" t="s">
        <v>4573</v>
      </c>
      <c r="D105">
        <v>1</v>
      </c>
      <c r="E105" t="s">
        <v>428</v>
      </c>
      <c r="F105" t="s">
        <v>790</v>
      </c>
      <c r="G105" t="s">
        <v>428</v>
      </c>
      <c r="H105" s="7">
        <f t="shared" si="1"/>
        <v>188011.5625</v>
      </c>
      <c r="I105" s="7">
        <v>30081.85</v>
      </c>
    </row>
    <row r="106" spans="1:9">
      <c r="A106" t="s">
        <v>1462</v>
      </c>
      <c r="B106" s="1">
        <v>42244</v>
      </c>
      <c r="C106" t="s">
        <v>4574</v>
      </c>
      <c r="D106">
        <v>1</v>
      </c>
      <c r="E106" t="s">
        <v>428</v>
      </c>
      <c r="F106" t="s">
        <v>790</v>
      </c>
      <c r="G106" t="s">
        <v>428</v>
      </c>
      <c r="H106" s="7">
        <f t="shared" si="1"/>
        <v>188535</v>
      </c>
      <c r="I106" s="7">
        <v>30165.599999999999</v>
      </c>
    </row>
    <row r="107" spans="1:9">
      <c r="A107" t="s">
        <v>555</v>
      </c>
      <c r="B107" s="1">
        <v>42244</v>
      </c>
      <c r="C107" t="s">
        <v>4575</v>
      </c>
      <c r="D107">
        <v>1</v>
      </c>
      <c r="E107" t="s">
        <v>428</v>
      </c>
      <c r="F107" t="s">
        <v>790</v>
      </c>
      <c r="G107" t="s">
        <v>428</v>
      </c>
      <c r="H107" s="7">
        <f t="shared" si="1"/>
        <v>1815.3125</v>
      </c>
      <c r="I107" s="7">
        <v>290.45</v>
      </c>
    </row>
    <row r="108" spans="1:9">
      <c r="A108" t="s">
        <v>465</v>
      </c>
      <c r="B108" s="1">
        <v>42228</v>
      </c>
      <c r="C108" t="s">
        <v>4530</v>
      </c>
      <c r="D108">
        <v>1</v>
      </c>
      <c r="E108" t="s">
        <v>428</v>
      </c>
      <c r="F108" t="s">
        <v>790</v>
      </c>
      <c r="G108" t="s">
        <v>428</v>
      </c>
      <c r="H108" s="7">
        <f t="shared" si="1"/>
        <v>5714.25</v>
      </c>
      <c r="I108" s="7">
        <v>914.28</v>
      </c>
    </row>
    <row r="109" spans="1:9">
      <c r="A109" t="s">
        <v>4255</v>
      </c>
      <c r="B109" s="1">
        <v>42247</v>
      </c>
      <c r="C109" t="s">
        <v>4256</v>
      </c>
      <c r="D109">
        <v>1</v>
      </c>
      <c r="E109" t="s">
        <v>4257</v>
      </c>
      <c r="F109" s="19" t="s">
        <v>7282</v>
      </c>
      <c r="G109" s="70" t="s">
        <v>7283</v>
      </c>
      <c r="H109" s="7">
        <f t="shared" si="1"/>
        <v>68.125</v>
      </c>
      <c r="I109" s="7">
        <v>10.9</v>
      </c>
    </row>
    <row r="110" spans="1:9">
      <c r="A110" t="s">
        <v>1333</v>
      </c>
      <c r="B110" s="1">
        <v>42221</v>
      </c>
      <c r="C110" t="s">
        <v>4488</v>
      </c>
      <c r="D110">
        <v>1</v>
      </c>
      <c r="E110" t="s">
        <v>4489</v>
      </c>
      <c r="F110" t="s">
        <v>3220</v>
      </c>
      <c r="G110" t="s">
        <v>4489</v>
      </c>
      <c r="H110" s="7">
        <f t="shared" si="1"/>
        <v>1293</v>
      </c>
      <c r="I110" s="7">
        <v>206.88</v>
      </c>
    </row>
    <row r="111" spans="1:9">
      <c r="A111" t="s">
        <v>1323</v>
      </c>
      <c r="B111" s="1">
        <v>42220</v>
      </c>
      <c r="C111" t="s">
        <v>4478</v>
      </c>
      <c r="D111">
        <v>1</v>
      </c>
      <c r="E111" t="s">
        <v>4193</v>
      </c>
      <c r="F111" t="s">
        <v>4213</v>
      </c>
      <c r="G111" t="s">
        <v>4193</v>
      </c>
      <c r="H111" s="7">
        <f t="shared" si="1"/>
        <v>1320</v>
      </c>
      <c r="I111" s="7">
        <v>211.2</v>
      </c>
    </row>
    <row r="112" spans="1:9">
      <c r="A112" t="s">
        <v>1263</v>
      </c>
      <c r="B112" s="1">
        <v>42240</v>
      </c>
      <c r="C112" t="s">
        <v>4306</v>
      </c>
      <c r="D112">
        <v>1</v>
      </c>
      <c r="E112" t="s">
        <v>4307</v>
      </c>
      <c r="F112" t="s">
        <v>791</v>
      </c>
      <c r="G112" t="s">
        <v>4307</v>
      </c>
      <c r="H112" s="7">
        <f t="shared" si="1"/>
        <v>275488.4375</v>
      </c>
      <c r="I112" s="7">
        <v>44078.15</v>
      </c>
    </row>
    <row r="113" spans="1:9">
      <c r="A113" t="s">
        <v>475</v>
      </c>
      <c r="B113" s="1">
        <v>42228</v>
      </c>
      <c r="C113" t="s">
        <v>4533</v>
      </c>
      <c r="D113">
        <v>1</v>
      </c>
      <c r="E113" t="s">
        <v>638</v>
      </c>
      <c r="F113" t="s">
        <v>795</v>
      </c>
      <c r="G113" t="s">
        <v>638</v>
      </c>
      <c r="H113" s="7">
        <f t="shared" si="1"/>
        <v>74069</v>
      </c>
      <c r="I113" s="7">
        <v>11851.04</v>
      </c>
    </row>
    <row r="114" spans="1:9">
      <c r="A114" t="s">
        <v>1890</v>
      </c>
      <c r="B114" s="1">
        <v>42247</v>
      </c>
      <c r="C114" t="s">
        <v>4405</v>
      </c>
      <c r="D114">
        <v>1</v>
      </c>
      <c r="E114" t="s">
        <v>885</v>
      </c>
      <c r="F114" s="19" t="s">
        <v>885</v>
      </c>
      <c r="G114" s="139" t="s">
        <v>7367</v>
      </c>
      <c r="H114" s="7">
        <f t="shared" si="1"/>
        <v>113.8125</v>
      </c>
      <c r="I114" s="7">
        <v>18.21</v>
      </c>
    </row>
    <row r="115" spans="1:9">
      <c r="A115" t="s">
        <v>1893</v>
      </c>
      <c r="B115" s="1">
        <v>42247</v>
      </c>
      <c r="C115" t="s">
        <v>4406</v>
      </c>
      <c r="D115">
        <v>1</v>
      </c>
      <c r="E115" t="s">
        <v>885</v>
      </c>
      <c r="F115" s="19" t="s">
        <v>885</v>
      </c>
      <c r="G115" s="139" t="s">
        <v>7367</v>
      </c>
      <c r="H115" s="7">
        <f t="shared" si="1"/>
        <v>113.8125</v>
      </c>
      <c r="I115" s="7">
        <v>18.21</v>
      </c>
    </row>
    <row r="116" spans="1:9">
      <c r="A116" t="s">
        <v>1274</v>
      </c>
      <c r="B116" s="1">
        <v>42242</v>
      </c>
      <c r="C116" t="s">
        <v>4316</v>
      </c>
      <c r="D116">
        <v>1</v>
      </c>
      <c r="E116" t="s">
        <v>2326</v>
      </c>
      <c r="F116" t="s">
        <v>797</v>
      </c>
      <c r="G116" t="s">
        <v>2326</v>
      </c>
      <c r="H116" s="7">
        <f t="shared" si="1"/>
        <v>213644.4375</v>
      </c>
      <c r="I116" s="7">
        <v>34183.11</v>
      </c>
    </row>
    <row r="117" spans="1:9">
      <c r="A117" t="s">
        <v>458</v>
      </c>
      <c r="B117" s="1">
        <v>42228</v>
      </c>
      <c r="C117" t="s">
        <v>4528</v>
      </c>
      <c r="D117">
        <v>1</v>
      </c>
      <c r="E117" t="s">
        <v>4529</v>
      </c>
      <c r="F117" t="s">
        <v>797</v>
      </c>
      <c r="G117" t="s">
        <v>4529</v>
      </c>
      <c r="H117" s="7">
        <f t="shared" si="1"/>
        <v>1160</v>
      </c>
      <c r="I117" s="7">
        <v>185.6</v>
      </c>
    </row>
    <row r="118" spans="1:9">
      <c r="A118" t="s">
        <v>1884</v>
      </c>
      <c r="B118" s="1">
        <v>42247</v>
      </c>
      <c r="C118" t="s">
        <v>4401</v>
      </c>
      <c r="D118">
        <v>1</v>
      </c>
      <c r="E118" t="s">
        <v>4402</v>
      </c>
      <c r="F118" s="19" t="s">
        <v>4402</v>
      </c>
      <c r="G118" s="139" t="s">
        <v>7460</v>
      </c>
      <c r="H118" s="7">
        <f t="shared" si="1"/>
        <v>671</v>
      </c>
      <c r="I118" s="7">
        <v>107.36</v>
      </c>
    </row>
    <row r="119" spans="1:9">
      <c r="A119" t="s">
        <v>1876</v>
      </c>
      <c r="B119" s="1">
        <v>42247</v>
      </c>
      <c r="C119" t="s">
        <v>4397</v>
      </c>
      <c r="D119">
        <v>1</v>
      </c>
      <c r="E119" t="s">
        <v>961</v>
      </c>
      <c r="F119" s="19" t="s">
        <v>961</v>
      </c>
      <c r="G119" s="139" t="s">
        <v>7382</v>
      </c>
      <c r="H119" s="7">
        <f t="shared" si="1"/>
        <v>58.75</v>
      </c>
      <c r="I119" s="7">
        <v>9.4</v>
      </c>
    </row>
    <row r="120" spans="1:9">
      <c r="A120" t="s">
        <v>1876</v>
      </c>
      <c r="B120" s="1">
        <v>42247</v>
      </c>
      <c r="C120" t="s">
        <v>4397</v>
      </c>
      <c r="D120">
        <v>1</v>
      </c>
      <c r="E120" t="s">
        <v>961</v>
      </c>
      <c r="F120" s="19" t="s">
        <v>961</v>
      </c>
      <c r="G120" s="139" t="s">
        <v>7382</v>
      </c>
      <c r="H120" s="7">
        <f t="shared" si="1"/>
        <v>461.3125</v>
      </c>
      <c r="I120" s="7">
        <v>73.81</v>
      </c>
    </row>
    <row r="121" spans="1:9">
      <c r="A121" t="s">
        <v>203</v>
      </c>
      <c r="B121" s="1">
        <v>42247</v>
      </c>
      <c r="C121" t="s">
        <v>4382</v>
      </c>
      <c r="D121">
        <v>1</v>
      </c>
      <c r="E121" t="s">
        <v>961</v>
      </c>
      <c r="F121" s="19" t="s">
        <v>961</v>
      </c>
      <c r="G121" s="139" t="s">
        <v>7382</v>
      </c>
      <c r="H121" s="7">
        <f t="shared" si="1"/>
        <v>167.75</v>
      </c>
      <c r="I121" s="7">
        <v>26.84</v>
      </c>
    </row>
    <row r="122" spans="1:9">
      <c r="A122" t="s">
        <v>1911</v>
      </c>
      <c r="B122" s="1">
        <v>42247</v>
      </c>
      <c r="C122" t="s">
        <v>4413</v>
      </c>
      <c r="D122">
        <v>1</v>
      </c>
      <c r="E122" t="s">
        <v>961</v>
      </c>
      <c r="F122" s="19" t="s">
        <v>961</v>
      </c>
      <c r="G122" s="139" t="s">
        <v>7382</v>
      </c>
      <c r="H122" s="7">
        <f t="shared" si="1"/>
        <v>125.81249999999999</v>
      </c>
      <c r="I122" s="7">
        <v>20.13</v>
      </c>
    </row>
    <row r="123" spans="1:9">
      <c r="A123" t="s">
        <v>1931</v>
      </c>
      <c r="B123" s="1">
        <v>42247</v>
      </c>
      <c r="C123" t="s">
        <v>4424</v>
      </c>
      <c r="D123">
        <v>1</v>
      </c>
      <c r="E123" t="s">
        <v>961</v>
      </c>
      <c r="F123" s="19" t="s">
        <v>961</v>
      </c>
      <c r="G123" s="139" t="s">
        <v>7382</v>
      </c>
      <c r="H123" s="7">
        <f t="shared" si="1"/>
        <v>251.62499999999997</v>
      </c>
      <c r="I123" s="7">
        <v>40.26</v>
      </c>
    </row>
    <row r="124" spans="1:9">
      <c r="A124" t="s">
        <v>3875</v>
      </c>
      <c r="B124" s="1">
        <v>42247</v>
      </c>
      <c r="C124" t="s">
        <v>4404</v>
      </c>
      <c r="D124">
        <v>1</v>
      </c>
      <c r="E124" t="s">
        <v>905</v>
      </c>
      <c r="F124" s="19" t="s">
        <v>905</v>
      </c>
      <c r="G124" s="139" t="s">
        <v>906</v>
      </c>
      <c r="H124" s="7">
        <f t="shared" si="1"/>
        <v>455.375</v>
      </c>
      <c r="I124" s="7">
        <v>72.86</v>
      </c>
    </row>
    <row r="125" spans="1:9">
      <c r="A125" t="s">
        <v>2012</v>
      </c>
      <c r="B125" s="1">
        <v>42247</v>
      </c>
      <c r="C125" t="s">
        <v>4466</v>
      </c>
      <c r="D125">
        <v>1</v>
      </c>
      <c r="E125" t="s">
        <v>805</v>
      </c>
      <c r="F125" t="s">
        <v>805</v>
      </c>
      <c r="G125" t="s">
        <v>2385</v>
      </c>
      <c r="H125" s="7">
        <f t="shared" si="1"/>
        <v>310.6875</v>
      </c>
      <c r="I125" s="7">
        <v>49.71</v>
      </c>
    </row>
    <row r="126" spans="1:9">
      <c r="A126" t="s">
        <v>2015</v>
      </c>
      <c r="B126" s="1">
        <v>42247</v>
      </c>
      <c r="C126" t="s">
        <v>4470</v>
      </c>
      <c r="D126">
        <v>1</v>
      </c>
      <c r="E126" t="s">
        <v>2385</v>
      </c>
      <c r="F126" t="s">
        <v>805</v>
      </c>
      <c r="G126" t="s">
        <v>2385</v>
      </c>
      <c r="H126" s="7">
        <f t="shared" si="1"/>
        <v>310.6875</v>
      </c>
      <c r="I126" s="7">
        <v>49.71</v>
      </c>
    </row>
    <row r="127" spans="1:9">
      <c r="A127" t="s">
        <v>4360</v>
      </c>
      <c r="B127" s="1">
        <v>42247</v>
      </c>
      <c r="C127" t="s">
        <v>4361</v>
      </c>
      <c r="D127">
        <v>1</v>
      </c>
      <c r="E127" t="s">
        <v>804</v>
      </c>
      <c r="F127" s="70" t="s">
        <v>804</v>
      </c>
      <c r="G127" s="139" t="s">
        <v>7385</v>
      </c>
      <c r="H127" s="7">
        <f t="shared" si="1"/>
        <v>38</v>
      </c>
      <c r="I127" s="7">
        <v>6.08</v>
      </c>
    </row>
    <row r="128" spans="1:9">
      <c r="A128" t="s">
        <v>209</v>
      </c>
      <c r="B128" s="1">
        <v>42247</v>
      </c>
      <c r="C128" t="s">
        <v>4389</v>
      </c>
      <c r="D128">
        <v>1</v>
      </c>
      <c r="E128" t="s">
        <v>804</v>
      </c>
      <c r="F128" s="19" t="s">
        <v>804</v>
      </c>
      <c r="G128" s="139" t="s">
        <v>7385</v>
      </c>
      <c r="H128" s="7">
        <f t="shared" si="1"/>
        <v>96</v>
      </c>
      <c r="I128" s="7">
        <v>15.36</v>
      </c>
    </row>
    <row r="129" spans="1:9">
      <c r="A129" t="s">
        <v>218</v>
      </c>
      <c r="B129" s="1">
        <v>42247</v>
      </c>
      <c r="C129" t="s">
        <v>4430</v>
      </c>
      <c r="D129">
        <v>1</v>
      </c>
      <c r="E129" t="s">
        <v>804</v>
      </c>
      <c r="F129" s="19" t="s">
        <v>804</v>
      </c>
      <c r="G129" s="139" t="s">
        <v>7385</v>
      </c>
      <c r="H129" s="7">
        <f t="shared" si="1"/>
        <v>112.00000000000001</v>
      </c>
      <c r="I129" s="7">
        <v>17.920000000000002</v>
      </c>
    </row>
    <row r="130" spans="1:9">
      <c r="A130" t="s">
        <v>1942</v>
      </c>
      <c r="B130" s="1">
        <v>42247</v>
      </c>
      <c r="C130" t="s">
        <v>4436</v>
      </c>
      <c r="D130">
        <v>1</v>
      </c>
      <c r="E130" t="s">
        <v>804</v>
      </c>
      <c r="F130" s="19" t="s">
        <v>804</v>
      </c>
      <c r="G130" s="139" t="s">
        <v>7385</v>
      </c>
      <c r="H130" s="7">
        <f t="shared" si="1"/>
        <v>82.625</v>
      </c>
      <c r="I130" s="7">
        <v>13.22</v>
      </c>
    </row>
    <row r="131" spans="1:9">
      <c r="A131" t="s">
        <v>4437</v>
      </c>
      <c r="B131" s="1">
        <v>42247</v>
      </c>
      <c r="C131" t="s">
        <v>4438</v>
      </c>
      <c r="D131">
        <v>1</v>
      </c>
      <c r="E131" t="s">
        <v>804</v>
      </c>
      <c r="F131" s="19" t="s">
        <v>804</v>
      </c>
      <c r="G131" s="139" t="s">
        <v>7385</v>
      </c>
      <c r="H131" s="7">
        <f t="shared" si="1"/>
        <v>43</v>
      </c>
      <c r="I131" s="7">
        <v>6.88</v>
      </c>
    </row>
    <row r="132" spans="1:9">
      <c r="A132" t="s">
        <v>4439</v>
      </c>
      <c r="B132" s="1">
        <v>42247</v>
      </c>
      <c r="C132" t="s">
        <v>4440</v>
      </c>
      <c r="D132">
        <v>1</v>
      </c>
      <c r="E132" t="s">
        <v>804</v>
      </c>
      <c r="F132" s="19" t="s">
        <v>804</v>
      </c>
      <c r="G132" s="139" t="s">
        <v>7385</v>
      </c>
      <c r="H132" s="7">
        <f t="shared" si="1"/>
        <v>24.625</v>
      </c>
      <c r="I132" s="7">
        <v>3.94</v>
      </c>
    </row>
    <row r="133" spans="1:9">
      <c r="A133" t="s">
        <v>4442</v>
      </c>
      <c r="B133" s="1">
        <v>42247</v>
      </c>
      <c r="C133" t="s">
        <v>4443</v>
      </c>
      <c r="D133">
        <v>1</v>
      </c>
      <c r="E133" t="s">
        <v>804</v>
      </c>
      <c r="F133" s="19" t="s">
        <v>804</v>
      </c>
      <c r="G133" s="139" t="s">
        <v>7385</v>
      </c>
      <c r="H133" s="7">
        <f t="shared" si="1"/>
        <v>25</v>
      </c>
      <c r="I133" s="7">
        <v>4</v>
      </c>
    </row>
    <row r="134" spans="1:9">
      <c r="A134" t="s">
        <v>1354</v>
      </c>
      <c r="B134" s="1">
        <v>42229</v>
      </c>
      <c r="C134" t="s">
        <v>4509</v>
      </c>
      <c r="D134">
        <v>1</v>
      </c>
      <c r="E134" s="70" t="s">
        <v>2047</v>
      </c>
      <c r="F134" s="19" t="s">
        <v>2211</v>
      </c>
      <c r="G134" s="70" t="s">
        <v>2047</v>
      </c>
      <c r="H134" s="7">
        <f t="shared" si="1"/>
        <v>880.18750000000011</v>
      </c>
      <c r="I134" s="7">
        <v>140.83000000000001</v>
      </c>
    </row>
    <row r="135" spans="1:9">
      <c r="A135" t="s">
        <v>4432</v>
      </c>
      <c r="B135" s="1">
        <v>42247</v>
      </c>
      <c r="C135" t="s">
        <v>4433</v>
      </c>
      <c r="D135">
        <v>1</v>
      </c>
      <c r="E135" t="s">
        <v>4434</v>
      </c>
      <c r="F135" s="19" t="s">
        <v>4434</v>
      </c>
      <c r="G135" s="139" t="s">
        <v>7461</v>
      </c>
      <c r="H135" s="7">
        <f t="shared" si="1"/>
        <v>1038.8125</v>
      </c>
      <c r="I135" s="7">
        <v>166.21</v>
      </c>
    </row>
    <row r="136" spans="1:9">
      <c r="A136" t="s">
        <v>3885</v>
      </c>
      <c r="B136" s="1">
        <v>42247</v>
      </c>
      <c r="C136" t="s">
        <v>4416</v>
      </c>
      <c r="D136">
        <v>1</v>
      </c>
      <c r="E136" t="s">
        <v>3898</v>
      </c>
      <c r="F136" s="19" t="s">
        <v>3898</v>
      </c>
      <c r="G136" s="139" t="s">
        <v>7432</v>
      </c>
      <c r="H136" s="7">
        <f t="shared" ref="H136:H201" si="2">+I136/0.16</f>
        <v>102.5625</v>
      </c>
      <c r="I136" s="7">
        <v>16.41</v>
      </c>
    </row>
    <row r="137" spans="1:9">
      <c r="A137" t="s">
        <v>1931</v>
      </c>
      <c r="B137" s="1">
        <v>42247</v>
      </c>
      <c r="C137" t="s">
        <v>4424</v>
      </c>
      <c r="D137">
        <v>1</v>
      </c>
      <c r="E137" t="s">
        <v>4425</v>
      </c>
      <c r="F137" s="19" t="s">
        <v>4425</v>
      </c>
      <c r="G137" s="139" t="s">
        <v>5698</v>
      </c>
      <c r="H137" s="7">
        <f t="shared" si="2"/>
        <v>419.37499999999994</v>
      </c>
      <c r="I137" s="7">
        <v>67.099999999999994</v>
      </c>
    </row>
    <row r="138" spans="1:9">
      <c r="A138" t="s">
        <v>1876</v>
      </c>
      <c r="B138" s="1">
        <v>42247</v>
      </c>
      <c r="C138" t="s">
        <v>4397</v>
      </c>
      <c r="D138">
        <v>1</v>
      </c>
      <c r="E138" t="s">
        <v>722</v>
      </c>
      <c r="F138" s="19" t="s">
        <v>722</v>
      </c>
      <c r="G138" s="19" t="s">
        <v>722</v>
      </c>
      <c r="H138" s="7">
        <f t="shared" si="2"/>
        <v>234.5625</v>
      </c>
      <c r="I138" s="7">
        <v>37.53</v>
      </c>
    </row>
    <row r="139" spans="1:9">
      <c r="A139" t="s">
        <v>1878</v>
      </c>
      <c r="B139" s="1">
        <v>42247</v>
      </c>
      <c r="C139" t="s">
        <v>4398</v>
      </c>
      <c r="D139">
        <v>1</v>
      </c>
      <c r="E139" t="s">
        <v>722</v>
      </c>
      <c r="F139" s="19" t="s">
        <v>722</v>
      </c>
      <c r="G139" s="19" t="s">
        <v>722</v>
      </c>
      <c r="H139" s="7">
        <f t="shared" si="2"/>
        <v>56.0625</v>
      </c>
      <c r="I139" s="7">
        <v>8.9700000000000006</v>
      </c>
    </row>
    <row r="140" spans="1:9">
      <c r="A140" t="s">
        <v>1883</v>
      </c>
      <c r="B140" s="1">
        <v>42247</v>
      </c>
      <c r="C140" t="s">
        <v>4399</v>
      </c>
      <c r="D140">
        <v>1</v>
      </c>
      <c r="E140" t="s">
        <v>722</v>
      </c>
      <c r="F140" s="19" t="s">
        <v>722</v>
      </c>
      <c r="G140" s="19" t="s">
        <v>722</v>
      </c>
      <c r="H140" s="7">
        <f t="shared" si="2"/>
        <v>49.125</v>
      </c>
      <c r="I140" s="7">
        <v>7.86</v>
      </c>
    </row>
    <row r="141" spans="1:9">
      <c r="A141" t="s">
        <v>1884</v>
      </c>
      <c r="B141" s="1">
        <v>42247</v>
      </c>
      <c r="C141" t="s">
        <v>4401</v>
      </c>
      <c r="D141">
        <v>1</v>
      </c>
      <c r="E141" t="s">
        <v>722</v>
      </c>
      <c r="F141" s="19" t="s">
        <v>722</v>
      </c>
      <c r="G141" s="19" t="s">
        <v>722</v>
      </c>
      <c r="H141" s="7">
        <f t="shared" si="2"/>
        <v>49.125</v>
      </c>
      <c r="I141" s="7">
        <v>7.86</v>
      </c>
    </row>
    <row r="142" spans="1:9">
      <c r="A142" t="s">
        <v>1886</v>
      </c>
      <c r="B142" s="1">
        <v>42247</v>
      </c>
      <c r="C142" t="s">
        <v>4403</v>
      </c>
      <c r="D142">
        <v>1</v>
      </c>
      <c r="E142" t="s">
        <v>722</v>
      </c>
      <c r="F142" s="19" t="s">
        <v>722</v>
      </c>
      <c r="G142" s="19" t="s">
        <v>722</v>
      </c>
      <c r="H142" s="7">
        <f t="shared" si="2"/>
        <v>732.75</v>
      </c>
      <c r="I142" s="7">
        <v>117.24</v>
      </c>
    </row>
    <row r="143" spans="1:9">
      <c r="A143" t="s">
        <v>3875</v>
      </c>
      <c r="B143" s="1">
        <v>42247</v>
      </c>
      <c r="C143" t="s">
        <v>4404</v>
      </c>
      <c r="D143">
        <v>1</v>
      </c>
      <c r="E143" t="s">
        <v>722</v>
      </c>
      <c r="F143" s="19" t="s">
        <v>722</v>
      </c>
      <c r="G143" s="19" t="s">
        <v>722</v>
      </c>
      <c r="H143" s="7">
        <f t="shared" si="2"/>
        <v>593.25</v>
      </c>
      <c r="I143" s="7">
        <v>94.92</v>
      </c>
    </row>
    <row r="144" spans="1:9">
      <c r="A144" t="s">
        <v>1890</v>
      </c>
      <c r="B144" s="1">
        <v>42247</v>
      </c>
      <c r="C144" t="s">
        <v>4405</v>
      </c>
      <c r="D144">
        <v>1</v>
      </c>
      <c r="E144" t="s">
        <v>722</v>
      </c>
      <c r="F144" s="19" t="s">
        <v>722</v>
      </c>
      <c r="G144" s="19" t="s">
        <v>722</v>
      </c>
      <c r="H144" s="7">
        <f t="shared" si="2"/>
        <v>56.0625</v>
      </c>
      <c r="I144" s="7">
        <v>8.9700000000000006</v>
      </c>
    </row>
    <row r="145" spans="1:9">
      <c r="A145" t="s">
        <v>1893</v>
      </c>
      <c r="B145" s="1">
        <v>42247</v>
      </c>
      <c r="C145" t="s">
        <v>4406</v>
      </c>
      <c r="D145">
        <v>1</v>
      </c>
      <c r="E145" t="s">
        <v>722</v>
      </c>
      <c r="F145" s="19" t="s">
        <v>722</v>
      </c>
      <c r="G145" s="19" t="s">
        <v>722</v>
      </c>
      <c r="H145" s="7">
        <f t="shared" si="2"/>
        <v>56.0625</v>
      </c>
      <c r="I145" s="7">
        <v>8.9700000000000006</v>
      </c>
    </row>
    <row r="146" spans="1:9">
      <c r="A146" t="s">
        <v>4407</v>
      </c>
      <c r="B146" s="1">
        <v>42247</v>
      </c>
      <c r="C146" t="s">
        <v>4408</v>
      </c>
      <c r="D146">
        <v>1</v>
      </c>
      <c r="E146" t="s">
        <v>722</v>
      </c>
      <c r="F146" s="19" t="s">
        <v>722</v>
      </c>
      <c r="G146" s="19" t="s">
        <v>722</v>
      </c>
      <c r="H146" s="7">
        <f t="shared" si="2"/>
        <v>274.1875</v>
      </c>
      <c r="I146" s="7">
        <v>43.87</v>
      </c>
    </row>
    <row r="147" spans="1:9">
      <c r="A147" t="s">
        <v>4409</v>
      </c>
      <c r="B147" s="1">
        <v>42247</v>
      </c>
      <c r="C147" t="s">
        <v>4410</v>
      </c>
      <c r="D147">
        <v>1</v>
      </c>
      <c r="E147" t="s">
        <v>722</v>
      </c>
      <c r="F147" s="19" t="s">
        <v>722</v>
      </c>
      <c r="G147" s="19" t="s">
        <v>722</v>
      </c>
      <c r="H147" s="7">
        <f t="shared" si="2"/>
        <v>56.0625</v>
      </c>
      <c r="I147" s="7">
        <v>8.9700000000000006</v>
      </c>
    </row>
    <row r="148" spans="1:9">
      <c r="A148" t="s">
        <v>1899</v>
      </c>
      <c r="B148" s="1">
        <v>42247</v>
      </c>
      <c r="C148" t="s">
        <v>4411</v>
      </c>
      <c r="D148">
        <v>1</v>
      </c>
      <c r="E148" t="s">
        <v>722</v>
      </c>
      <c r="F148" s="19" t="s">
        <v>722</v>
      </c>
      <c r="G148" s="19" t="s">
        <v>722</v>
      </c>
      <c r="H148" s="7">
        <f t="shared" si="2"/>
        <v>56.0625</v>
      </c>
      <c r="I148" s="7">
        <v>8.9700000000000006</v>
      </c>
    </row>
    <row r="149" spans="1:9">
      <c r="A149" t="s">
        <v>1911</v>
      </c>
      <c r="B149" s="1">
        <v>42247</v>
      </c>
      <c r="C149" t="s">
        <v>4413</v>
      </c>
      <c r="D149">
        <v>1</v>
      </c>
      <c r="E149" t="s">
        <v>722</v>
      </c>
      <c r="F149" s="19" t="s">
        <v>722</v>
      </c>
      <c r="G149" s="19" t="s">
        <v>722</v>
      </c>
      <c r="H149" s="7">
        <f t="shared" si="2"/>
        <v>56.0625</v>
      </c>
      <c r="I149" s="7">
        <v>8.9700000000000006</v>
      </c>
    </row>
    <row r="150" spans="1:9">
      <c r="A150" t="s">
        <v>1921</v>
      </c>
      <c r="B150" s="1">
        <v>42247</v>
      </c>
      <c r="C150" t="s">
        <v>4415</v>
      </c>
      <c r="D150">
        <v>1</v>
      </c>
      <c r="E150" t="s">
        <v>722</v>
      </c>
      <c r="F150" s="19" t="s">
        <v>722</v>
      </c>
      <c r="G150" s="19" t="s">
        <v>722</v>
      </c>
      <c r="H150" s="7">
        <f t="shared" si="2"/>
        <v>176.8125</v>
      </c>
      <c r="I150" s="7">
        <v>28.29</v>
      </c>
    </row>
    <row r="151" spans="1:9">
      <c r="A151" t="s">
        <v>3885</v>
      </c>
      <c r="B151" s="1">
        <v>42247</v>
      </c>
      <c r="C151" t="s">
        <v>4416</v>
      </c>
      <c r="D151">
        <v>1</v>
      </c>
      <c r="E151" t="s">
        <v>722</v>
      </c>
      <c r="F151" s="19" t="s">
        <v>722</v>
      </c>
      <c r="G151" s="19" t="s">
        <v>722</v>
      </c>
      <c r="H151" s="7">
        <f t="shared" si="2"/>
        <v>732.8125</v>
      </c>
      <c r="I151" s="7">
        <v>117.25</v>
      </c>
    </row>
    <row r="152" spans="1:9">
      <c r="A152" t="s">
        <v>1922</v>
      </c>
      <c r="B152" s="1">
        <v>42247</v>
      </c>
      <c r="C152" t="s">
        <v>4417</v>
      </c>
      <c r="D152">
        <v>1</v>
      </c>
      <c r="E152" t="s">
        <v>722</v>
      </c>
      <c r="F152" s="19" t="s">
        <v>722</v>
      </c>
      <c r="G152" s="19" t="s">
        <v>722</v>
      </c>
      <c r="H152" s="7">
        <f t="shared" si="2"/>
        <v>237.1875</v>
      </c>
      <c r="I152" s="7">
        <v>37.950000000000003</v>
      </c>
    </row>
    <row r="153" spans="1:9">
      <c r="A153" t="s">
        <v>1923</v>
      </c>
      <c r="B153" s="1">
        <v>42247</v>
      </c>
      <c r="C153" t="s">
        <v>4420</v>
      </c>
      <c r="D153">
        <v>1</v>
      </c>
      <c r="E153" t="s">
        <v>722</v>
      </c>
      <c r="F153" s="19" t="s">
        <v>722</v>
      </c>
      <c r="G153" s="19" t="s">
        <v>722</v>
      </c>
      <c r="H153" s="7">
        <f t="shared" si="2"/>
        <v>176.8125</v>
      </c>
      <c r="I153" s="7">
        <v>28.29</v>
      </c>
    </row>
    <row r="154" spans="1:9">
      <c r="A154" t="s">
        <v>1927</v>
      </c>
      <c r="B154" s="1">
        <v>42247</v>
      </c>
      <c r="C154" t="s">
        <v>4421</v>
      </c>
      <c r="D154">
        <v>1</v>
      </c>
      <c r="E154" t="s">
        <v>722</v>
      </c>
      <c r="F154" s="19" t="s">
        <v>722</v>
      </c>
      <c r="G154" s="19" t="s">
        <v>722</v>
      </c>
      <c r="H154" s="7">
        <f t="shared" si="2"/>
        <v>176.8125</v>
      </c>
      <c r="I154" s="7">
        <v>28.29</v>
      </c>
    </row>
    <row r="155" spans="1:9">
      <c r="A155" t="s">
        <v>1931</v>
      </c>
      <c r="B155" s="1">
        <v>42247</v>
      </c>
      <c r="C155" t="s">
        <v>4424</v>
      </c>
      <c r="D155">
        <v>1</v>
      </c>
      <c r="E155" t="s">
        <v>722</v>
      </c>
      <c r="F155" s="19" t="s">
        <v>722</v>
      </c>
      <c r="G155" s="19" t="s">
        <v>722</v>
      </c>
      <c r="H155" s="7">
        <f t="shared" si="2"/>
        <v>494.00000000000006</v>
      </c>
      <c r="I155" s="7">
        <v>79.040000000000006</v>
      </c>
    </row>
    <row r="156" spans="1:9">
      <c r="A156" t="s">
        <v>1933</v>
      </c>
      <c r="B156" s="1">
        <v>42247</v>
      </c>
      <c r="C156" t="s">
        <v>4426</v>
      </c>
      <c r="D156">
        <v>1</v>
      </c>
      <c r="E156" t="s">
        <v>722</v>
      </c>
      <c r="F156" s="19" t="s">
        <v>722</v>
      </c>
      <c r="G156" s="19" t="s">
        <v>722</v>
      </c>
      <c r="H156" s="7">
        <f t="shared" si="2"/>
        <v>56.0625</v>
      </c>
      <c r="I156" s="7">
        <v>8.9700000000000006</v>
      </c>
    </row>
    <row r="157" spans="1:9">
      <c r="A157" t="s">
        <v>1936</v>
      </c>
      <c r="B157" s="1">
        <v>42247</v>
      </c>
      <c r="C157" t="s">
        <v>4427</v>
      </c>
      <c r="D157">
        <v>1</v>
      </c>
      <c r="E157" t="s">
        <v>722</v>
      </c>
      <c r="F157" s="19" t="s">
        <v>722</v>
      </c>
      <c r="G157" s="19" t="s">
        <v>722</v>
      </c>
      <c r="H157" s="7">
        <f t="shared" si="2"/>
        <v>176.8125</v>
      </c>
      <c r="I157" s="7">
        <v>28.29</v>
      </c>
    </row>
    <row r="158" spans="1:9">
      <c r="A158" t="s">
        <v>1939</v>
      </c>
      <c r="B158" s="1">
        <v>42247</v>
      </c>
      <c r="C158" t="s">
        <v>4428</v>
      </c>
      <c r="D158">
        <v>1</v>
      </c>
      <c r="E158" t="s">
        <v>722</v>
      </c>
      <c r="F158" s="19" t="s">
        <v>722</v>
      </c>
      <c r="G158" s="19" t="s">
        <v>722</v>
      </c>
      <c r="H158" s="7">
        <f t="shared" si="2"/>
        <v>176.8125</v>
      </c>
      <c r="I158" s="7">
        <v>28.29</v>
      </c>
    </row>
    <row r="159" spans="1:9">
      <c r="A159" t="s">
        <v>4449</v>
      </c>
      <c r="B159" s="1">
        <v>42247</v>
      </c>
      <c r="C159" t="s">
        <v>4450</v>
      </c>
      <c r="D159">
        <v>1</v>
      </c>
      <c r="E159" t="s">
        <v>722</v>
      </c>
      <c r="F159" s="19" t="s">
        <v>722</v>
      </c>
      <c r="G159" s="19" t="s">
        <v>722</v>
      </c>
      <c r="H159" s="7">
        <f t="shared" si="2"/>
        <v>290.5</v>
      </c>
      <c r="I159" s="7">
        <v>46.48</v>
      </c>
    </row>
    <row r="160" spans="1:9">
      <c r="A160" t="s">
        <v>1951</v>
      </c>
      <c r="B160" s="1">
        <v>42247</v>
      </c>
      <c r="C160" t="s">
        <v>4455</v>
      </c>
      <c r="D160">
        <v>1</v>
      </c>
      <c r="E160" t="s">
        <v>722</v>
      </c>
      <c r="F160" s="19" t="s">
        <v>722</v>
      </c>
      <c r="G160" s="19" t="s">
        <v>722</v>
      </c>
      <c r="H160" s="7">
        <f t="shared" si="2"/>
        <v>134.875</v>
      </c>
      <c r="I160" s="7">
        <v>21.58</v>
      </c>
    </row>
    <row r="161" spans="1:9">
      <c r="A161" t="s">
        <v>2044</v>
      </c>
      <c r="B161" s="1">
        <v>42221</v>
      </c>
      <c r="C161" t="s">
        <v>4492</v>
      </c>
      <c r="D161">
        <v>1</v>
      </c>
      <c r="E161" t="s">
        <v>1476</v>
      </c>
      <c r="F161" t="s">
        <v>1570</v>
      </c>
      <c r="G161" t="s">
        <v>1476</v>
      </c>
      <c r="H161" s="7">
        <f t="shared" si="2"/>
        <v>2697</v>
      </c>
      <c r="I161" s="7">
        <v>431.52</v>
      </c>
    </row>
    <row r="162" spans="1:9">
      <c r="A162" t="s">
        <v>437</v>
      </c>
      <c r="B162" s="1">
        <v>42221</v>
      </c>
      <c r="C162" t="s">
        <v>4487</v>
      </c>
      <c r="D162">
        <v>1</v>
      </c>
      <c r="E162" t="s">
        <v>446</v>
      </c>
      <c r="F162" t="s">
        <v>815</v>
      </c>
      <c r="G162" t="s">
        <v>446</v>
      </c>
      <c r="H162" s="7">
        <f t="shared" si="2"/>
        <v>568.8125</v>
      </c>
      <c r="I162" s="7">
        <v>91.01</v>
      </c>
    </row>
    <row r="163" spans="1:9">
      <c r="A163" t="s">
        <v>2116</v>
      </c>
      <c r="B163" s="1">
        <v>42235</v>
      </c>
      <c r="C163" t="s">
        <v>4545</v>
      </c>
      <c r="D163">
        <v>1</v>
      </c>
      <c r="E163" t="s">
        <v>446</v>
      </c>
      <c r="F163" t="s">
        <v>815</v>
      </c>
      <c r="G163" t="s">
        <v>446</v>
      </c>
      <c r="H163" s="7">
        <f t="shared" si="2"/>
        <v>4287.1875</v>
      </c>
      <c r="I163" s="7">
        <v>685.95</v>
      </c>
    </row>
    <row r="164" spans="1:9">
      <c r="A164" t="s">
        <v>1949</v>
      </c>
      <c r="B164" s="1">
        <v>42247</v>
      </c>
      <c r="C164" t="s">
        <v>4453</v>
      </c>
      <c r="D164">
        <v>1</v>
      </c>
      <c r="E164" t="s">
        <v>820</v>
      </c>
      <c r="F164" s="19" t="s">
        <v>820</v>
      </c>
      <c r="G164" s="139" t="s">
        <v>7431</v>
      </c>
      <c r="H164" s="7">
        <f t="shared" si="2"/>
        <v>72</v>
      </c>
      <c r="I164" s="7">
        <v>11.52</v>
      </c>
    </row>
    <row r="165" spans="1:9">
      <c r="A165" t="s">
        <v>3445</v>
      </c>
      <c r="B165" s="1">
        <v>42247</v>
      </c>
      <c r="C165" t="s">
        <v>4454</v>
      </c>
      <c r="D165">
        <v>1</v>
      </c>
      <c r="E165" t="s">
        <v>820</v>
      </c>
      <c r="F165" s="19" t="s">
        <v>820</v>
      </c>
      <c r="G165" s="139" t="s">
        <v>7431</v>
      </c>
      <c r="H165" s="7">
        <f t="shared" si="2"/>
        <v>39.25</v>
      </c>
      <c r="I165" s="7">
        <v>6.28</v>
      </c>
    </row>
    <row r="166" spans="1:9">
      <c r="A166" t="s">
        <v>2144</v>
      </c>
      <c r="B166" s="1">
        <v>42240</v>
      </c>
      <c r="C166" t="s">
        <v>4557</v>
      </c>
      <c r="D166">
        <v>1</v>
      </c>
      <c r="E166" t="s">
        <v>588</v>
      </c>
      <c r="F166" t="s">
        <v>822</v>
      </c>
      <c r="G166" t="s">
        <v>588</v>
      </c>
      <c r="H166" s="7">
        <f t="shared" si="2"/>
        <v>447.25</v>
      </c>
      <c r="I166" s="7">
        <v>71.56</v>
      </c>
    </row>
    <row r="167" spans="1:9">
      <c r="A167" t="s">
        <v>494</v>
      </c>
      <c r="B167" s="1">
        <v>42235</v>
      </c>
      <c r="C167" t="s">
        <v>3167</v>
      </c>
      <c r="D167">
        <v>2</v>
      </c>
      <c r="E167" t="s">
        <v>455</v>
      </c>
      <c r="F167" t="s">
        <v>823</v>
      </c>
      <c r="G167" t="s">
        <v>455</v>
      </c>
      <c r="H167" s="7">
        <f t="shared" si="2"/>
        <v>799</v>
      </c>
      <c r="I167" s="7">
        <v>127.84</v>
      </c>
    </row>
    <row r="168" spans="1:9">
      <c r="A168" t="s">
        <v>1870</v>
      </c>
      <c r="B168" s="1">
        <v>42247</v>
      </c>
      <c r="C168" t="s">
        <v>1315</v>
      </c>
      <c r="D168">
        <v>1</v>
      </c>
      <c r="E168" t="s">
        <v>716</v>
      </c>
      <c r="F168" s="19" t="s">
        <v>716</v>
      </c>
      <c r="G168" s="139" t="s">
        <v>7386</v>
      </c>
      <c r="H168" s="7">
        <f t="shared" si="2"/>
        <v>2362.5</v>
      </c>
      <c r="I168" s="7">
        <v>378</v>
      </c>
    </row>
    <row r="169" spans="1:9">
      <c r="A169" t="s">
        <v>1872</v>
      </c>
      <c r="B169" s="1">
        <v>42247</v>
      </c>
      <c r="C169" t="s">
        <v>1315</v>
      </c>
      <c r="D169">
        <v>1</v>
      </c>
      <c r="E169" t="s">
        <v>716</v>
      </c>
      <c r="F169" s="19" t="s">
        <v>716</v>
      </c>
      <c r="G169" s="139" t="s">
        <v>7386</v>
      </c>
      <c r="H169" s="7">
        <f t="shared" si="2"/>
        <v>75.875</v>
      </c>
      <c r="I169" s="7">
        <v>12.14</v>
      </c>
    </row>
    <row r="170" spans="1:9">
      <c r="A170" t="s">
        <v>1872</v>
      </c>
      <c r="B170" s="1">
        <v>42247</v>
      </c>
      <c r="C170" t="s">
        <v>1315</v>
      </c>
      <c r="D170">
        <v>1</v>
      </c>
      <c r="E170" t="s">
        <v>716</v>
      </c>
      <c r="F170" s="19" t="s">
        <v>716</v>
      </c>
      <c r="G170" s="139" t="s">
        <v>7386</v>
      </c>
      <c r="H170" s="7">
        <f t="shared" si="2"/>
        <v>86.187499999999986</v>
      </c>
      <c r="I170" s="7">
        <v>13.79</v>
      </c>
    </row>
    <row r="171" spans="1:9">
      <c r="A171" t="s">
        <v>1872</v>
      </c>
      <c r="B171" s="1">
        <v>42247</v>
      </c>
      <c r="C171" t="s">
        <v>1315</v>
      </c>
      <c r="D171">
        <v>1</v>
      </c>
      <c r="E171" t="s">
        <v>716</v>
      </c>
      <c r="F171" s="19" t="s">
        <v>716</v>
      </c>
      <c r="G171" s="139" t="s">
        <v>7386</v>
      </c>
      <c r="H171" s="7">
        <f t="shared" si="2"/>
        <v>2362.5</v>
      </c>
      <c r="I171" s="7">
        <v>378</v>
      </c>
    </row>
    <row r="172" spans="1:9">
      <c r="A172" t="s">
        <v>434</v>
      </c>
      <c r="B172" s="1">
        <v>42221</v>
      </c>
      <c r="C172" t="s">
        <v>4486</v>
      </c>
      <c r="D172">
        <v>1</v>
      </c>
      <c r="E172" t="s">
        <v>2097</v>
      </c>
      <c r="F172" t="s">
        <v>2212</v>
      </c>
      <c r="G172" t="s">
        <v>2097</v>
      </c>
      <c r="H172" s="7">
        <f t="shared" si="2"/>
        <v>10785.625</v>
      </c>
      <c r="I172" s="7">
        <v>1725.7</v>
      </c>
    </row>
    <row r="173" spans="1:9">
      <c r="A173" t="s">
        <v>4526</v>
      </c>
      <c r="B173" s="1">
        <v>42228</v>
      </c>
      <c r="C173" t="s">
        <v>4527</v>
      </c>
      <c r="D173">
        <v>1</v>
      </c>
      <c r="E173" t="s">
        <v>2097</v>
      </c>
      <c r="F173" t="s">
        <v>2212</v>
      </c>
      <c r="G173" t="s">
        <v>2097</v>
      </c>
      <c r="H173" s="7">
        <f t="shared" si="2"/>
        <v>7285.625</v>
      </c>
      <c r="I173" s="7">
        <v>1165.7</v>
      </c>
    </row>
    <row r="174" spans="1:9">
      <c r="A174" t="s">
        <v>1423</v>
      </c>
      <c r="B174" s="1">
        <v>42242</v>
      </c>
      <c r="C174" t="s">
        <v>4559</v>
      </c>
      <c r="D174">
        <v>1</v>
      </c>
      <c r="E174" t="s">
        <v>2097</v>
      </c>
      <c r="F174" t="s">
        <v>2212</v>
      </c>
      <c r="G174" t="s">
        <v>2097</v>
      </c>
      <c r="H174" s="7">
        <f t="shared" si="2"/>
        <v>3785.625</v>
      </c>
      <c r="I174" s="7">
        <v>605.70000000000005</v>
      </c>
    </row>
    <row r="175" spans="1:9">
      <c r="A175" t="s">
        <v>2620</v>
      </c>
      <c r="B175" s="1">
        <v>42228</v>
      </c>
      <c r="C175" t="s">
        <v>3142</v>
      </c>
      <c r="D175">
        <v>2</v>
      </c>
      <c r="E175" t="s">
        <v>650</v>
      </c>
      <c r="F175" t="s">
        <v>827</v>
      </c>
      <c r="G175" t="s">
        <v>650</v>
      </c>
      <c r="H175" s="7">
        <f t="shared" si="2"/>
        <v>3479</v>
      </c>
      <c r="I175" s="7">
        <v>556.64</v>
      </c>
    </row>
    <row r="176" spans="1:9">
      <c r="A176" t="s">
        <v>488</v>
      </c>
      <c r="B176" s="1">
        <v>42235</v>
      </c>
      <c r="C176" t="s">
        <v>4542</v>
      </c>
      <c r="D176">
        <v>2</v>
      </c>
      <c r="E176" t="s">
        <v>650</v>
      </c>
      <c r="F176" t="s">
        <v>827</v>
      </c>
      <c r="G176" t="s">
        <v>650</v>
      </c>
      <c r="H176" s="7">
        <f t="shared" si="2"/>
        <v>770</v>
      </c>
      <c r="I176" s="7">
        <v>123.2</v>
      </c>
    </row>
    <row r="177" spans="1:12">
      <c r="A177" t="s">
        <v>1216</v>
      </c>
      <c r="B177" s="1">
        <v>42247</v>
      </c>
      <c r="C177" t="s">
        <v>4258</v>
      </c>
      <c r="D177">
        <v>1</v>
      </c>
      <c r="E177" t="s">
        <v>828</v>
      </c>
      <c r="F177" s="70" t="s">
        <v>828</v>
      </c>
      <c r="G177" s="139" t="s">
        <v>7387</v>
      </c>
      <c r="H177" s="7">
        <f t="shared" si="2"/>
        <v>67.5625</v>
      </c>
      <c r="I177" s="7">
        <v>10.81</v>
      </c>
    </row>
    <row r="178" spans="1:12">
      <c r="A178" t="s">
        <v>3504</v>
      </c>
      <c r="B178" s="1">
        <v>42247</v>
      </c>
      <c r="C178" t="s">
        <v>4471</v>
      </c>
      <c r="D178">
        <v>1</v>
      </c>
      <c r="E178" t="s">
        <v>4472</v>
      </c>
      <c r="F178" t="s">
        <v>4472</v>
      </c>
      <c r="G178" t="s">
        <v>7316</v>
      </c>
      <c r="H178" s="7">
        <f t="shared" si="2"/>
        <v>300</v>
      </c>
      <c r="I178" s="7">
        <v>48</v>
      </c>
    </row>
    <row r="179" spans="1:12">
      <c r="A179" t="s">
        <v>1394</v>
      </c>
      <c r="B179" s="1">
        <v>42237</v>
      </c>
      <c r="C179" t="s">
        <v>4552</v>
      </c>
      <c r="D179">
        <v>1</v>
      </c>
      <c r="E179" t="s">
        <v>529</v>
      </c>
      <c r="F179" t="s">
        <v>829</v>
      </c>
      <c r="G179" t="s">
        <v>529</v>
      </c>
      <c r="H179" s="7">
        <f t="shared" si="2"/>
        <v>107758.625</v>
      </c>
      <c r="I179" s="7">
        <v>17241.38</v>
      </c>
    </row>
    <row r="180" spans="1:12">
      <c r="A180" t="s">
        <v>4288</v>
      </c>
      <c r="B180" s="1">
        <v>42231</v>
      </c>
      <c r="C180" t="s">
        <v>4289</v>
      </c>
      <c r="D180">
        <v>1</v>
      </c>
      <c r="E180" t="s">
        <v>4290</v>
      </c>
      <c r="F180" t="s">
        <v>830</v>
      </c>
      <c r="G180" t="s">
        <v>4290</v>
      </c>
      <c r="H180" s="7">
        <f t="shared" si="2"/>
        <v>245825.0625</v>
      </c>
      <c r="I180" s="7">
        <v>39332.01</v>
      </c>
    </row>
    <row r="181" spans="1:12">
      <c r="A181" t="s">
        <v>1370</v>
      </c>
      <c r="B181" s="1">
        <v>42228</v>
      </c>
      <c r="C181" t="s">
        <v>4534</v>
      </c>
      <c r="D181">
        <v>1</v>
      </c>
      <c r="E181" t="s">
        <v>557</v>
      </c>
      <c r="F181" t="s">
        <v>956</v>
      </c>
      <c r="G181" t="s">
        <v>957</v>
      </c>
      <c r="H181" s="7">
        <f t="shared" si="2"/>
        <v>36890.4375</v>
      </c>
      <c r="I181" s="7">
        <v>5902.47</v>
      </c>
      <c r="J181" s="7">
        <f>+H181-[1]AGO.2015!$H$71</f>
        <v>6890.4375</v>
      </c>
      <c r="K181" s="7">
        <f>+I181-[1]AGO.2015!$I$71</f>
        <v>1102.4700000000003</v>
      </c>
      <c r="L181" t="s">
        <v>960</v>
      </c>
    </row>
    <row r="182" spans="1:12">
      <c r="A182" t="s">
        <v>1299</v>
      </c>
      <c r="B182" s="1">
        <v>42247</v>
      </c>
      <c r="C182" t="s">
        <v>4343</v>
      </c>
      <c r="D182">
        <v>1</v>
      </c>
      <c r="E182" t="s">
        <v>4344</v>
      </c>
      <c r="F182" t="s">
        <v>727</v>
      </c>
      <c r="G182" t="s">
        <v>7452</v>
      </c>
      <c r="H182" s="7">
        <f t="shared" si="2"/>
        <v>150355.0625</v>
      </c>
      <c r="I182" s="7">
        <v>24056.81</v>
      </c>
      <c r="J182" s="7">
        <f>+H182-[1]AGO.2015!$H$215</f>
        <v>1239.125</v>
      </c>
      <c r="K182" s="7">
        <f>+I182-[1]AGO.2015!$I$215</f>
        <v>198.26000000000204</v>
      </c>
      <c r="L182" t="s">
        <v>960</v>
      </c>
    </row>
    <row r="183" spans="1:12">
      <c r="A183" t="s">
        <v>1147</v>
      </c>
      <c r="B183" s="1">
        <v>42247</v>
      </c>
      <c r="C183" t="s">
        <v>4241</v>
      </c>
      <c r="D183">
        <v>1</v>
      </c>
      <c r="E183" t="s">
        <v>4242</v>
      </c>
      <c r="F183" t="s">
        <v>739</v>
      </c>
      <c r="G183" s="19" t="s">
        <v>7451</v>
      </c>
      <c r="H183" s="7">
        <f t="shared" si="2"/>
        <v>8515.875</v>
      </c>
      <c r="I183" s="7">
        <v>1362.54</v>
      </c>
    </row>
    <row r="184" spans="1:12">
      <c r="A184" t="s">
        <v>4358</v>
      </c>
      <c r="B184" s="1">
        <v>42247</v>
      </c>
      <c r="C184" t="s">
        <v>1315</v>
      </c>
      <c r="D184">
        <v>1</v>
      </c>
      <c r="E184" t="s">
        <v>4359</v>
      </c>
      <c r="F184" s="19" t="s">
        <v>714</v>
      </c>
      <c r="G184" s="19" t="s">
        <v>715</v>
      </c>
      <c r="H184" s="27">
        <f t="shared" si="2"/>
        <v>280.1875</v>
      </c>
      <c r="I184" s="19">
        <v>44.83</v>
      </c>
    </row>
    <row r="185" spans="1:12">
      <c r="A185" t="s">
        <v>4358</v>
      </c>
      <c r="B185" s="1">
        <v>42247</v>
      </c>
      <c r="C185" t="s">
        <v>1315</v>
      </c>
      <c r="D185">
        <v>1</v>
      </c>
      <c r="E185" t="s">
        <v>4359</v>
      </c>
      <c r="F185" s="19" t="s">
        <v>714</v>
      </c>
      <c r="G185" s="19" t="s">
        <v>715</v>
      </c>
      <c r="H185" s="27">
        <f t="shared" si="2"/>
        <v>309.5</v>
      </c>
      <c r="I185" s="27">
        <v>49.52</v>
      </c>
    </row>
    <row r="186" spans="1:12">
      <c r="A186" t="s">
        <v>4358</v>
      </c>
      <c r="B186" s="1">
        <v>42247</v>
      </c>
      <c r="C186" t="s">
        <v>1315</v>
      </c>
      <c r="D186">
        <v>1</v>
      </c>
      <c r="E186" t="s">
        <v>4359</v>
      </c>
      <c r="F186" s="19" t="s">
        <v>716</v>
      </c>
      <c r="G186" s="19" t="s">
        <v>717</v>
      </c>
      <c r="H186" s="27">
        <f t="shared" si="2"/>
        <v>2953.125</v>
      </c>
      <c r="I186" s="27">
        <v>472.5</v>
      </c>
      <c r="J186" s="7">
        <f>3542.81-H184-H185-H186</f>
        <v>-2.5000000000545697E-3</v>
      </c>
      <c r="K186" s="7">
        <f>566.85-I184-I185-I186</f>
        <v>0</v>
      </c>
    </row>
    <row r="187" spans="1:12">
      <c r="A187" t="s">
        <v>4231</v>
      </c>
      <c r="B187" s="1">
        <v>42244</v>
      </c>
      <c r="C187" t="s">
        <v>4232</v>
      </c>
      <c r="D187">
        <v>1</v>
      </c>
      <c r="E187" t="s">
        <v>4233</v>
      </c>
      <c r="F187" s="25" t="s">
        <v>737</v>
      </c>
      <c r="G187" t="s">
        <v>7450</v>
      </c>
      <c r="H187" s="7">
        <f t="shared" si="2"/>
        <v>9712.5625</v>
      </c>
      <c r="I187" s="7">
        <v>1554.01</v>
      </c>
    </row>
    <row r="188" spans="1:12">
      <c r="A188" t="s">
        <v>1356</v>
      </c>
      <c r="B188" s="1">
        <v>42229</v>
      </c>
      <c r="C188" t="s">
        <v>4510</v>
      </c>
      <c r="D188">
        <v>1</v>
      </c>
      <c r="E188" t="s">
        <v>4511</v>
      </c>
      <c r="F188" s="139" t="s">
        <v>7569</v>
      </c>
      <c r="G188" s="19" t="s">
        <v>7449</v>
      </c>
      <c r="H188" s="7">
        <f t="shared" si="2"/>
        <v>193965.5</v>
      </c>
      <c r="I188" s="7">
        <v>31034.48</v>
      </c>
    </row>
    <row r="189" spans="1:12">
      <c r="A189" t="s">
        <v>1858</v>
      </c>
      <c r="B189" s="1">
        <v>42247</v>
      </c>
      <c r="C189" t="s">
        <v>4383</v>
      </c>
      <c r="D189">
        <v>1</v>
      </c>
      <c r="E189" t="s">
        <v>4384</v>
      </c>
      <c r="F189" s="19" t="s">
        <v>4933</v>
      </c>
      <c r="G189" s="139" t="s">
        <v>7462</v>
      </c>
      <c r="H189" s="7">
        <f t="shared" si="2"/>
        <v>164.625</v>
      </c>
      <c r="I189" s="7">
        <v>26.34</v>
      </c>
    </row>
    <row r="190" spans="1:12">
      <c r="A190" t="s">
        <v>1282</v>
      </c>
      <c r="B190" s="1">
        <v>42244</v>
      </c>
      <c r="C190" t="s">
        <v>4323</v>
      </c>
      <c r="D190">
        <v>1</v>
      </c>
      <c r="E190" t="s">
        <v>4319</v>
      </c>
      <c r="F190" t="s">
        <v>791</v>
      </c>
      <c r="G190" t="s">
        <v>7448</v>
      </c>
      <c r="H190" s="7">
        <f t="shared" si="2"/>
        <v>157112.625</v>
      </c>
      <c r="I190" s="7">
        <v>25138.02</v>
      </c>
      <c r="J190" s="7">
        <f>+H190-[1]AGO.2015!$H$159</f>
        <v>-951.0625</v>
      </c>
      <c r="K190" s="7">
        <f>+I190-[1]AGO.2015!$I$159</f>
        <v>-152.16999999999825</v>
      </c>
      <c r="L190" t="s">
        <v>960</v>
      </c>
    </row>
    <row r="191" spans="1:12">
      <c r="A191" t="s">
        <v>4317</v>
      </c>
      <c r="B191" s="1">
        <v>42242</v>
      </c>
      <c r="C191" t="s">
        <v>4318</v>
      </c>
      <c r="D191">
        <v>1</v>
      </c>
      <c r="E191" t="s">
        <v>4319</v>
      </c>
      <c r="F191" t="s">
        <v>791</v>
      </c>
      <c r="G191" s="19" t="s">
        <v>7448</v>
      </c>
      <c r="H191" s="7">
        <f t="shared" si="2"/>
        <v>154831.125</v>
      </c>
      <c r="I191" s="7">
        <v>24772.98</v>
      </c>
      <c r="J191" s="7">
        <f>+H191-[1]AGO.2015!$H$139</f>
        <v>1362.75</v>
      </c>
      <c r="K191" s="7">
        <f>+I191-[1]AGO.2015!$I$139</f>
        <v>218.04000000000087</v>
      </c>
      <c r="L191" t="s">
        <v>960</v>
      </c>
    </row>
    <row r="192" spans="1:12">
      <c r="A192" t="s">
        <v>4121</v>
      </c>
      <c r="B192" s="1">
        <v>42228</v>
      </c>
      <c r="C192" t="s">
        <v>4507</v>
      </c>
      <c r="D192">
        <v>1</v>
      </c>
      <c r="E192" t="s">
        <v>4508</v>
      </c>
      <c r="F192" t="s">
        <v>1559</v>
      </c>
      <c r="G192" s="19" t="s">
        <v>7447</v>
      </c>
      <c r="H192" s="7">
        <f t="shared" si="2"/>
        <v>3509.5</v>
      </c>
      <c r="I192" s="7">
        <v>561.52</v>
      </c>
    </row>
    <row r="193" spans="1:9">
      <c r="A193" t="s">
        <v>2142</v>
      </c>
      <c r="B193" s="1">
        <v>42240</v>
      </c>
      <c r="C193" t="s">
        <v>4556</v>
      </c>
      <c r="D193">
        <v>1</v>
      </c>
      <c r="E193" t="s">
        <v>4508</v>
      </c>
      <c r="F193" t="s">
        <v>1559</v>
      </c>
      <c r="G193" s="19" t="s">
        <v>7447</v>
      </c>
      <c r="H193" s="7">
        <f t="shared" si="2"/>
        <v>12929.499999999998</v>
      </c>
      <c r="I193" s="7">
        <v>2068.7199999999998</v>
      </c>
    </row>
    <row r="194" spans="1:9">
      <c r="A194" t="s">
        <v>1201</v>
      </c>
      <c r="B194" s="1">
        <v>42247</v>
      </c>
      <c r="C194" t="s">
        <v>4244</v>
      </c>
      <c r="D194">
        <v>1</v>
      </c>
      <c r="E194" t="s">
        <v>4245</v>
      </c>
      <c r="F194" s="19" t="s">
        <v>1561</v>
      </c>
      <c r="G194" s="139" t="s">
        <v>7369</v>
      </c>
      <c r="H194" s="7">
        <f t="shared" si="2"/>
        <v>340.5</v>
      </c>
      <c r="I194" s="7">
        <v>54.48</v>
      </c>
    </row>
    <row r="195" spans="1:9">
      <c r="A195" t="s">
        <v>1858</v>
      </c>
      <c r="B195" s="1">
        <v>42247</v>
      </c>
      <c r="C195" t="s">
        <v>4383</v>
      </c>
      <c r="D195">
        <v>1</v>
      </c>
      <c r="E195" t="s">
        <v>4385</v>
      </c>
      <c r="F195" s="19" t="s">
        <v>4934</v>
      </c>
      <c r="G195" s="139" t="s">
        <v>7463</v>
      </c>
      <c r="H195" s="7">
        <f t="shared" si="2"/>
        <v>1385.125</v>
      </c>
      <c r="I195" s="7">
        <v>221.62</v>
      </c>
    </row>
    <row r="196" spans="1:9">
      <c r="A196" t="s">
        <v>1858</v>
      </c>
      <c r="B196" s="1">
        <v>42247</v>
      </c>
      <c r="C196" t="s">
        <v>4383</v>
      </c>
      <c r="D196">
        <v>1</v>
      </c>
      <c r="E196" t="s">
        <v>3508</v>
      </c>
      <c r="F196" s="19" t="s">
        <v>722</v>
      </c>
      <c r="G196" s="19" t="s">
        <v>722</v>
      </c>
      <c r="H196" s="7">
        <f t="shared" si="2"/>
        <v>56.0625</v>
      </c>
      <c r="I196" s="7">
        <v>8.9700000000000006</v>
      </c>
    </row>
    <row r="197" spans="1:9">
      <c r="A197" t="s">
        <v>1858</v>
      </c>
      <c r="B197" s="1">
        <v>42247</v>
      </c>
      <c r="C197" t="s">
        <v>4383</v>
      </c>
      <c r="D197">
        <v>1</v>
      </c>
      <c r="E197" t="s">
        <v>3508</v>
      </c>
      <c r="F197" s="19" t="s">
        <v>722</v>
      </c>
      <c r="G197" s="19" t="s">
        <v>722</v>
      </c>
      <c r="H197" s="7">
        <f t="shared" si="2"/>
        <v>60.375</v>
      </c>
      <c r="I197" s="7">
        <v>9.66</v>
      </c>
    </row>
    <row r="198" spans="1:9">
      <c r="A198" t="s">
        <v>1858</v>
      </c>
      <c r="B198" s="1">
        <v>42247</v>
      </c>
      <c r="C198" t="s">
        <v>4383</v>
      </c>
      <c r="D198">
        <v>1</v>
      </c>
      <c r="E198" t="s">
        <v>3508</v>
      </c>
      <c r="F198" s="19" t="s">
        <v>722</v>
      </c>
      <c r="G198" s="19" t="s">
        <v>722</v>
      </c>
      <c r="H198" s="7">
        <f t="shared" si="2"/>
        <v>60.375</v>
      </c>
      <c r="I198" s="7">
        <v>9.66</v>
      </c>
    </row>
    <row r="199" spans="1:9">
      <c r="A199" t="s">
        <v>1858</v>
      </c>
      <c r="B199" s="1">
        <v>42247</v>
      </c>
      <c r="C199" t="s">
        <v>4383</v>
      </c>
      <c r="D199">
        <v>1</v>
      </c>
      <c r="E199" t="s">
        <v>3508</v>
      </c>
      <c r="F199" s="19" t="s">
        <v>722</v>
      </c>
      <c r="G199" s="19" t="s">
        <v>722</v>
      </c>
      <c r="H199" s="7">
        <f t="shared" si="2"/>
        <v>60.375</v>
      </c>
      <c r="I199" s="7">
        <v>9.66</v>
      </c>
    </row>
    <row r="200" spans="1:9">
      <c r="A200" t="s">
        <v>1858</v>
      </c>
      <c r="B200" s="1">
        <v>42247</v>
      </c>
      <c r="C200" t="s">
        <v>4383</v>
      </c>
      <c r="D200">
        <v>1</v>
      </c>
      <c r="E200" t="s">
        <v>3508</v>
      </c>
      <c r="F200" s="19" t="s">
        <v>722</v>
      </c>
      <c r="G200" s="19" t="s">
        <v>722</v>
      </c>
      <c r="H200" s="7">
        <f t="shared" si="2"/>
        <v>60.375</v>
      </c>
      <c r="I200" s="7">
        <v>9.66</v>
      </c>
    </row>
    <row r="201" spans="1:9">
      <c r="A201" t="s">
        <v>1858</v>
      </c>
      <c r="B201" s="1">
        <v>42247</v>
      </c>
      <c r="C201" t="s">
        <v>4383</v>
      </c>
      <c r="D201">
        <v>1</v>
      </c>
      <c r="E201" t="s">
        <v>3508</v>
      </c>
      <c r="F201" s="19" t="s">
        <v>722</v>
      </c>
      <c r="G201" s="19" t="s">
        <v>722</v>
      </c>
      <c r="H201" s="7">
        <f t="shared" si="2"/>
        <v>91.375</v>
      </c>
      <c r="I201" s="7">
        <v>14.62</v>
      </c>
    </row>
    <row r="202" spans="1:9">
      <c r="A202" t="s">
        <v>1858</v>
      </c>
      <c r="B202" s="1">
        <v>42247</v>
      </c>
      <c r="C202" t="s">
        <v>4383</v>
      </c>
      <c r="D202">
        <v>1</v>
      </c>
      <c r="E202" t="s">
        <v>4386</v>
      </c>
      <c r="F202" s="19" t="s">
        <v>1626</v>
      </c>
      <c r="G202" s="139" t="s">
        <v>7372</v>
      </c>
      <c r="H202" s="7">
        <f t="shared" ref="H202:H265" si="3">+I202/0.16</f>
        <v>167.75</v>
      </c>
      <c r="I202" s="7">
        <v>26.84</v>
      </c>
    </row>
    <row r="203" spans="1:9">
      <c r="A203" t="s">
        <v>1467</v>
      </c>
      <c r="B203" s="1">
        <v>42244</v>
      </c>
      <c r="C203" t="s">
        <v>4578</v>
      </c>
      <c r="D203">
        <v>1</v>
      </c>
      <c r="E203" t="s">
        <v>4579</v>
      </c>
      <c r="F203" s="19" t="s">
        <v>7454</v>
      </c>
      <c r="G203" t="s">
        <v>7455</v>
      </c>
      <c r="H203" s="7">
        <f t="shared" si="3"/>
        <v>137586.1875</v>
      </c>
      <c r="I203" s="7">
        <v>22013.79</v>
      </c>
    </row>
    <row r="204" spans="1:9">
      <c r="A204" t="s">
        <v>1434</v>
      </c>
      <c r="B204" s="1">
        <v>42242</v>
      </c>
      <c r="C204" t="s">
        <v>3190</v>
      </c>
      <c r="D204">
        <v>2</v>
      </c>
      <c r="E204" t="s">
        <v>4568</v>
      </c>
      <c r="F204" t="s">
        <v>823</v>
      </c>
      <c r="G204" s="19" t="s">
        <v>7446</v>
      </c>
      <c r="H204" s="7">
        <f t="shared" si="3"/>
        <v>10303.0625</v>
      </c>
      <c r="I204" s="7">
        <v>1648.49</v>
      </c>
    </row>
    <row r="205" spans="1:9">
      <c r="A205" t="s">
        <v>1962</v>
      </c>
      <c r="B205" s="1">
        <v>42246</v>
      </c>
      <c r="C205" t="s">
        <v>4461</v>
      </c>
      <c r="D205">
        <v>1</v>
      </c>
      <c r="E205" t="s">
        <v>4462</v>
      </c>
      <c r="F205" t="s">
        <v>799</v>
      </c>
      <c r="G205" s="19" t="s">
        <v>0</v>
      </c>
      <c r="H205" s="7">
        <f t="shared" si="3"/>
        <v>159153.9375</v>
      </c>
      <c r="I205" s="7">
        <v>25464.63</v>
      </c>
    </row>
    <row r="206" spans="1:9">
      <c r="A206" t="s">
        <v>539</v>
      </c>
      <c r="B206" s="1">
        <v>42242</v>
      </c>
      <c r="C206" t="s">
        <v>4566</v>
      </c>
      <c r="D206">
        <v>1</v>
      </c>
      <c r="E206" t="s">
        <v>4567</v>
      </c>
      <c r="F206" t="s">
        <v>838</v>
      </c>
      <c r="G206" s="19" t="s">
        <v>467</v>
      </c>
      <c r="H206" s="7">
        <f t="shared" si="3"/>
        <v>4040.375</v>
      </c>
      <c r="I206" s="7">
        <v>646.46</v>
      </c>
    </row>
    <row r="207" spans="1:9">
      <c r="A207" t="s">
        <v>4224</v>
      </c>
      <c r="B207" s="1">
        <v>42223</v>
      </c>
      <c r="C207" t="s">
        <v>4225</v>
      </c>
      <c r="D207">
        <v>1</v>
      </c>
      <c r="E207" t="s">
        <v>3816</v>
      </c>
      <c r="F207" t="s">
        <v>799</v>
      </c>
      <c r="G207" s="19" t="s">
        <v>0</v>
      </c>
      <c r="H207" s="7">
        <f t="shared" si="3"/>
        <v>5566.875</v>
      </c>
      <c r="I207" s="7">
        <v>890.7</v>
      </c>
    </row>
    <row r="208" spans="1:9">
      <c r="A208" t="s">
        <v>4221</v>
      </c>
      <c r="B208" s="1">
        <v>42223</v>
      </c>
      <c r="C208" t="s">
        <v>4222</v>
      </c>
      <c r="D208">
        <v>1</v>
      </c>
      <c r="E208" t="s">
        <v>4223</v>
      </c>
      <c r="F208" t="s">
        <v>799</v>
      </c>
      <c r="G208" s="19" t="s">
        <v>0</v>
      </c>
      <c r="H208" s="7">
        <f t="shared" si="3"/>
        <v>14964.4375</v>
      </c>
      <c r="I208" s="7">
        <v>2394.31</v>
      </c>
    </row>
    <row r="209" spans="1:12">
      <c r="A209" t="s">
        <v>1437</v>
      </c>
      <c r="B209" s="1">
        <v>42242</v>
      </c>
      <c r="C209" t="s">
        <v>3191</v>
      </c>
      <c r="D209">
        <v>2</v>
      </c>
      <c r="E209" t="s">
        <v>4569</v>
      </c>
      <c r="F209" t="s">
        <v>844</v>
      </c>
      <c r="G209" s="19" t="s">
        <v>665</v>
      </c>
      <c r="H209" s="7">
        <f t="shared" si="3"/>
        <v>2400</v>
      </c>
      <c r="I209" s="7">
        <v>384</v>
      </c>
    </row>
    <row r="210" spans="1:12">
      <c r="A210" t="s">
        <v>1431</v>
      </c>
      <c r="B210" s="1">
        <v>42242</v>
      </c>
      <c r="C210" t="s">
        <v>4564</v>
      </c>
      <c r="D210">
        <v>1</v>
      </c>
      <c r="E210" t="s">
        <v>4565</v>
      </c>
      <c r="F210" t="s">
        <v>3705</v>
      </c>
      <c r="G210" s="19" t="s">
        <v>3193</v>
      </c>
      <c r="H210" s="7">
        <f t="shared" si="3"/>
        <v>2500</v>
      </c>
      <c r="I210" s="7">
        <v>400</v>
      </c>
    </row>
    <row r="211" spans="1:12">
      <c r="A211" t="s">
        <v>1204</v>
      </c>
      <c r="B211" s="1">
        <v>42247</v>
      </c>
      <c r="C211" t="s">
        <v>4246</v>
      </c>
      <c r="D211">
        <v>1</v>
      </c>
      <c r="E211" t="s">
        <v>4247</v>
      </c>
      <c r="F211" s="19" t="s">
        <v>847</v>
      </c>
      <c r="G211" s="139" t="s">
        <v>7402</v>
      </c>
      <c r="H211" s="7">
        <f t="shared" si="3"/>
        <v>257.75</v>
      </c>
      <c r="I211" s="7">
        <v>41.24</v>
      </c>
    </row>
    <row r="212" spans="1:12">
      <c r="A212" t="s">
        <v>1440</v>
      </c>
      <c r="B212" s="1">
        <v>42242</v>
      </c>
      <c r="C212" t="s">
        <v>3194</v>
      </c>
      <c r="D212">
        <v>2</v>
      </c>
      <c r="E212" t="s">
        <v>4570</v>
      </c>
      <c r="F212" t="s">
        <v>848</v>
      </c>
      <c r="G212" s="19" t="s">
        <v>449</v>
      </c>
      <c r="H212" s="7">
        <f t="shared" si="3"/>
        <v>4000</v>
      </c>
      <c r="I212" s="7">
        <v>640</v>
      </c>
    </row>
    <row r="213" spans="1:12">
      <c r="A213" t="s">
        <v>1858</v>
      </c>
      <c r="B213" s="1">
        <v>42247</v>
      </c>
      <c r="C213" t="s">
        <v>4383</v>
      </c>
      <c r="D213">
        <v>1</v>
      </c>
      <c r="E213" t="s">
        <v>4387</v>
      </c>
      <c r="F213" s="19" t="s">
        <v>4935</v>
      </c>
      <c r="G213" s="139" t="s">
        <v>7464</v>
      </c>
      <c r="H213" s="7">
        <f t="shared" si="3"/>
        <v>159.5</v>
      </c>
      <c r="I213" s="7">
        <v>25.52</v>
      </c>
    </row>
    <row r="214" spans="1:12">
      <c r="A214" t="s">
        <v>1858</v>
      </c>
      <c r="B214" s="1">
        <v>42247</v>
      </c>
      <c r="C214" t="s">
        <v>4383</v>
      </c>
      <c r="D214">
        <v>1</v>
      </c>
      <c r="E214" t="s">
        <v>4388</v>
      </c>
      <c r="F214" s="19" t="s">
        <v>2217</v>
      </c>
      <c r="G214" s="139" t="s">
        <v>1940</v>
      </c>
      <c r="H214" s="7">
        <f t="shared" si="3"/>
        <v>255.5</v>
      </c>
      <c r="I214" s="7">
        <v>40.880000000000003</v>
      </c>
    </row>
    <row r="215" spans="1:12">
      <c r="A215" t="s">
        <v>2791</v>
      </c>
      <c r="B215" s="1">
        <v>42220</v>
      </c>
      <c r="C215" t="s">
        <v>4219</v>
      </c>
      <c r="D215">
        <v>1</v>
      </c>
      <c r="E215" t="s">
        <v>4220</v>
      </c>
      <c r="F215" s="139" t="s">
        <v>7570</v>
      </c>
      <c r="G215" s="19" t="s">
        <v>7445</v>
      </c>
      <c r="H215" s="7">
        <f t="shared" si="3"/>
        <v>215517.25</v>
      </c>
      <c r="I215" s="7">
        <v>34482.76</v>
      </c>
    </row>
    <row r="216" spans="1:12">
      <c r="A216" t="s">
        <v>2795</v>
      </c>
      <c r="B216" s="1">
        <v>42220</v>
      </c>
      <c r="C216" t="s">
        <v>4219</v>
      </c>
      <c r="D216">
        <v>1</v>
      </c>
      <c r="E216" t="s">
        <v>4220</v>
      </c>
      <c r="F216" s="139" t="s">
        <v>7570</v>
      </c>
      <c r="G216" s="19" t="s">
        <v>7445</v>
      </c>
      <c r="H216" s="7">
        <f t="shared" si="3"/>
        <v>215517.25</v>
      </c>
      <c r="I216" s="7">
        <v>34482.76</v>
      </c>
    </row>
    <row r="217" spans="1:12">
      <c r="A217" t="s">
        <v>2162</v>
      </c>
      <c r="B217" s="1">
        <v>42247</v>
      </c>
      <c r="C217" t="s">
        <v>4576</v>
      </c>
      <c r="D217">
        <v>1</v>
      </c>
      <c r="E217" t="s">
        <v>4577</v>
      </c>
      <c r="F217" t="s">
        <v>799</v>
      </c>
      <c r="G217" s="19" t="s">
        <v>0</v>
      </c>
      <c r="H217" s="7">
        <f t="shared" si="3"/>
        <v>585771.1875</v>
      </c>
      <c r="I217" s="7">
        <v>93723.39</v>
      </c>
    </row>
    <row r="218" spans="1:12">
      <c r="A218" t="s">
        <v>4353</v>
      </c>
      <c r="B218" s="1">
        <v>42247</v>
      </c>
      <c r="C218" t="s">
        <v>4354</v>
      </c>
      <c r="D218">
        <v>1</v>
      </c>
      <c r="E218" t="s">
        <v>4355</v>
      </c>
      <c r="F218" t="s">
        <v>854</v>
      </c>
      <c r="G218" s="19" t="s">
        <v>2281</v>
      </c>
      <c r="H218" s="7">
        <f t="shared" si="3"/>
        <v>283694.75</v>
      </c>
      <c r="I218" s="7">
        <v>45391.16</v>
      </c>
      <c r="J218" s="7">
        <f>+H218-[1]AGO.2015!$H$222</f>
        <v>2976.8125</v>
      </c>
      <c r="K218" s="7">
        <f>+I218-[1]AGO.2015!$I$222</f>
        <v>476.29000000000087</v>
      </c>
      <c r="L218" t="s">
        <v>960</v>
      </c>
    </row>
    <row r="219" spans="1:12">
      <c r="A219" t="s">
        <v>3185</v>
      </c>
      <c r="B219" s="1">
        <v>42241</v>
      </c>
      <c r="C219" t="s">
        <v>4558</v>
      </c>
      <c r="D219">
        <v>2</v>
      </c>
      <c r="E219" t="s">
        <v>1422</v>
      </c>
      <c r="F219" t="s">
        <v>858</v>
      </c>
      <c r="G219" s="19" t="s">
        <v>457</v>
      </c>
      <c r="H219" s="7">
        <f t="shared" si="3"/>
        <v>9000</v>
      </c>
      <c r="I219" s="7">
        <v>1440</v>
      </c>
    </row>
    <row r="220" spans="1:12">
      <c r="A220" t="s">
        <v>1438</v>
      </c>
      <c r="B220" s="1">
        <v>42242</v>
      </c>
      <c r="C220" t="s">
        <v>3192</v>
      </c>
      <c r="D220">
        <v>2</v>
      </c>
      <c r="E220" t="s">
        <v>1422</v>
      </c>
      <c r="F220" t="s">
        <v>858</v>
      </c>
      <c r="G220" t="s">
        <v>457</v>
      </c>
      <c r="H220" s="7">
        <f t="shared" si="3"/>
        <v>2500</v>
      </c>
      <c r="I220" s="7">
        <v>400</v>
      </c>
    </row>
    <row r="221" spans="1:12">
      <c r="A221" t="s">
        <v>536</v>
      </c>
      <c r="B221" s="1">
        <v>42242</v>
      </c>
      <c r="C221" t="s">
        <v>4563</v>
      </c>
      <c r="D221">
        <v>1</v>
      </c>
      <c r="E221" t="s">
        <v>1461</v>
      </c>
      <c r="F221" t="s">
        <v>1648</v>
      </c>
      <c r="G221" t="s">
        <v>1649</v>
      </c>
      <c r="H221" s="7">
        <f t="shared" si="3"/>
        <v>1379.3125</v>
      </c>
      <c r="I221" s="7">
        <v>220.69</v>
      </c>
    </row>
    <row r="222" spans="1:12">
      <c r="A222" t="s">
        <v>453</v>
      </c>
      <c r="B222" s="1">
        <v>42230</v>
      </c>
      <c r="C222" t="s">
        <v>4524</v>
      </c>
      <c r="D222">
        <v>1</v>
      </c>
      <c r="E222" t="s">
        <v>4525</v>
      </c>
      <c r="F222" t="s">
        <v>863</v>
      </c>
      <c r="G222" t="s">
        <v>7444</v>
      </c>
      <c r="H222" s="7">
        <f t="shared" si="3"/>
        <v>22823.374999999996</v>
      </c>
      <c r="I222" s="7">
        <v>3651.74</v>
      </c>
    </row>
    <row r="223" spans="1:12">
      <c r="A223" t="s">
        <v>535</v>
      </c>
      <c r="B223" s="1">
        <v>42242</v>
      </c>
      <c r="C223" t="s">
        <v>3189</v>
      </c>
      <c r="D223">
        <v>2</v>
      </c>
      <c r="E223" t="s">
        <v>4562</v>
      </c>
      <c r="F223" t="s">
        <v>1604</v>
      </c>
      <c r="G223" t="s">
        <v>1501</v>
      </c>
      <c r="H223" s="7">
        <f t="shared" si="3"/>
        <v>1700</v>
      </c>
      <c r="I223" s="7">
        <v>272</v>
      </c>
    </row>
    <row r="224" spans="1:12">
      <c r="A224" t="s">
        <v>4356</v>
      </c>
      <c r="B224" s="1">
        <v>42217</v>
      </c>
      <c r="C224" t="s">
        <v>4357</v>
      </c>
      <c r="D224">
        <v>1</v>
      </c>
      <c r="E224" t="s">
        <v>107</v>
      </c>
      <c r="F224" t="s">
        <v>799</v>
      </c>
      <c r="G224" s="19" t="s">
        <v>0</v>
      </c>
      <c r="H224" s="7">
        <f t="shared" si="3"/>
        <v>149115.9375</v>
      </c>
      <c r="I224" s="7">
        <v>23858.55</v>
      </c>
    </row>
    <row r="225" spans="1:9">
      <c r="A225" t="s">
        <v>1240</v>
      </c>
      <c r="B225" s="1">
        <v>42222</v>
      </c>
      <c r="C225" t="s">
        <v>4272</v>
      </c>
      <c r="D225">
        <v>1</v>
      </c>
      <c r="E225" t="s">
        <v>107</v>
      </c>
      <c r="F225" t="s">
        <v>799</v>
      </c>
      <c r="G225" s="19" t="s">
        <v>0</v>
      </c>
      <c r="H225" s="7">
        <f t="shared" si="3"/>
        <v>318282.4375</v>
      </c>
      <c r="I225" s="7">
        <v>50925.19</v>
      </c>
    </row>
    <row r="226" spans="1:9">
      <c r="A226" t="s">
        <v>3054</v>
      </c>
      <c r="B226" s="1">
        <v>42233</v>
      </c>
      <c r="C226" t="s">
        <v>4291</v>
      </c>
      <c r="D226">
        <v>1</v>
      </c>
      <c r="E226" t="s">
        <v>107</v>
      </c>
      <c r="F226" t="s">
        <v>799</v>
      </c>
      <c r="G226" s="19" t="s">
        <v>0</v>
      </c>
      <c r="H226" s="7">
        <f t="shared" si="3"/>
        <v>226534.375</v>
      </c>
      <c r="I226" s="7">
        <v>36245.5</v>
      </c>
    </row>
    <row r="227" spans="1:9">
      <c r="A227" t="s">
        <v>1858</v>
      </c>
      <c r="B227" s="1">
        <v>42247</v>
      </c>
      <c r="C227" t="s">
        <v>4383</v>
      </c>
      <c r="D227">
        <v>1</v>
      </c>
      <c r="E227" t="s">
        <v>3398</v>
      </c>
      <c r="F227" s="19" t="s">
        <v>3695</v>
      </c>
      <c r="G227" s="139" t="s">
        <v>7398</v>
      </c>
      <c r="H227" s="7">
        <f t="shared" si="3"/>
        <v>225.875</v>
      </c>
      <c r="I227" s="7">
        <v>36.14</v>
      </c>
    </row>
    <row r="228" spans="1:9">
      <c r="A228" t="s">
        <v>2112</v>
      </c>
      <c r="B228" s="1">
        <v>42235</v>
      </c>
      <c r="C228" t="s">
        <v>4539</v>
      </c>
      <c r="D228">
        <v>1</v>
      </c>
      <c r="E228" t="s">
        <v>520</v>
      </c>
      <c r="F228" t="s">
        <v>834</v>
      </c>
      <c r="G228" t="s">
        <v>520</v>
      </c>
      <c r="H228" s="7">
        <f t="shared" si="3"/>
        <v>16000</v>
      </c>
      <c r="I228" s="7">
        <v>2560</v>
      </c>
    </row>
    <row r="229" spans="1:9">
      <c r="A229" t="s">
        <v>1469</v>
      </c>
      <c r="B229" s="1">
        <v>42245</v>
      </c>
      <c r="C229" t="s">
        <v>4580</v>
      </c>
      <c r="D229">
        <v>1</v>
      </c>
      <c r="E229" t="s">
        <v>520</v>
      </c>
      <c r="F229" t="s">
        <v>834</v>
      </c>
      <c r="G229" t="s">
        <v>520</v>
      </c>
      <c r="H229" s="7">
        <f t="shared" si="3"/>
        <v>12275.875</v>
      </c>
      <c r="I229" s="7">
        <v>1964.14</v>
      </c>
    </row>
    <row r="230" spans="1:9">
      <c r="A230" t="s">
        <v>460</v>
      </c>
      <c r="B230" s="1">
        <v>42228</v>
      </c>
      <c r="C230" t="s">
        <v>3144</v>
      </c>
      <c r="D230">
        <v>2</v>
      </c>
      <c r="E230" t="s">
        <v>472</v>
      </c>
      <c r="F230" t="s">
        <v>836</v>
      </c>
      <c r="G230" t="s">
        <v>472</v>
      </c>
      <c r="H230" s="7">
        <f t="shared" si="3"/>
        <v>6430</v>
      </c>
      <c r="I230" s="7">
        <v>1028.8</v>
      </c>
    </row>
    <row r="231" spans="1:9">
      <c r="A231" t="s">
        <v>4292</v>
      </c>
      <c r="B231" s="1">
        <v>42234</v>
      </c>
      <c r="C231" t="s">
        <v>4293</v>
      </c>
      <c r="D231">
        <v>1</v>
      </c>
      <c r="E231" t="s">
        <v>4294</v>
      </c>
      <c r="F231" t="s">
        <v>963</v>
      </c>
      <c r="G231" t="s">
        <v>4294</v>
      </c>
      <c r="H231" s="7">
        <f t="shared" si="3"/>
        <v>156874.5625</v>
      </c>
      <c r="I231" s="7">
        <v>25099.93</v>
      </c>
    </row>
    <row r="232" spans="1:9">
      <c r="A232" t="s">
        <v>2605</v>
      </c>
      <c r="B232" s="1">
        <v>42228</v>
      </c>
      <c r="C232" t="s">
        <v>4506</v>
      </c>
      <c r="D232">
        <v>1</v>
      </c>
      <c r="E232" t="s">
        <v>544</v>
      </c>
      <c r="F232" t="s">
        <v>841</v>
      </c>
      <c r="G232" t="s">
        <v>544</v>
      </c>
      <c r="H232" s="7">
        <f t="shared" si="3"/>
        <v>3008.6875</v>
      </c>
      <c r="I232" s="7">
        <v>481.39</v>
      </c>
    </row>
    <row r="233" spans="1:9">
      <c r="A233" t="s">
        <v>4269</v>
      </c>
      <c r="B233" s="1">
        <v>42247</v>
      </c>
      <c r="C233" t="s">
        <v>4270</v>
      </c>
      <c r="D233">
        <v>1</v>
      </c>
      <c r="E233" t="s">
        <v>837</v>
      </c>
      <c r="F233" s="70" t="s">
        <v>837</v>
      </c>
      <c r="G233" s="139" t="s">
        <v>261</v>
      </c>
      <c r="H233" s="7">
        <f t="shared" si="3"/>
        <v>300.6875</v>
      </c>
      <c r="I233" s="7">
        <v>48.11</v>
      </c>
    </row>
    <row r="234" spans="1:9">
      <c r="A234" t="s">
        <v>1852</v>
      </c>
      <c r="B234" s="1">
        <v>42247</v>
      </c>
      <c r="C234" t="s">
        <v>4379</v>
      </c>
      <c r="D234">
        <v>1</v>
      </c>
      <c r="E234" t="s">
        <v>837</v>
      </c>
      <c r="F234" s="19" t="s">
        <v>837</v>
      </c>
      <c r="G234" s="139" t="s">
        <v>261</v>
      </c>
      <c r="H234" s="7">
        <f t="shared" si="3"/>
        <v>95.0625</v>
      </c>
      <c r="I234" s="7">
        <v>15.21</v>
      </c>
    </row>
    <row r="235" spans="1:9">
      <c r="A235" t="s">
        <v>1855</v>
      </c>
      <c r="B235" s="1">
        <v>42247</v>
      </c>
      <c r="C235" t="s">
        <v>4381</v>
      </c>
      <c r="D235">
        <v>1</v>
      </c>
      <c r="E235" t="s">
        <v>837</v>
      </c>
      <c r="F235" s="19" t="s">
        <v>837</v>
      </c>
      <c r="G235" s="139" t="s">
        <v>261</v>
      </c>
      <c r="H235" s="7">
        <f t="shared" si="3"/>
        <v>140</v>
      </c>
      <c r="I235" s="7">
        <v>22.4</v>
      </c>
    </row>
    <row r="236" spans="1:9">
      <c r="A236" t="s">
        <v>2118</v>
      </c>
      <c r="B236" s="1">
        <v>42235</v>
      </c>
      <c r="C236" t="s">
        <v>4546</v>
      </c>
      <c r="D236">
        <v>1</v>
      </c>
      <c r="E236" t="s">
        <v>1341</v>
      </c>
      <c r="F236" t="s">
        <v>1589</v>
      </c>
      <c r="G236" t="s">
        <v>1341</v>
      </c>
      <c r="H236" s="7">
        <f t="shared" si="3"/>
        <v>1720</v>
      </c>
      <c r="I236" s="7">
        <v>275.2</v>
      </c>
    </row>
    <row r="237" spans="1:9">
      <c r="A237" t="s">
        <v>1840</v>
      </c>
      <c r="B237" s="1">
        <v>42247</v>
      </c>
      <c r="C237" t="s">
        <v>4376</v>
      </c>
      <c r="D237">
        <v>1</v>
      </c>
      <c r="E237" t="s">
        <v>768</v>
      </c>
      <c r="F237" s="19" t="s">
        <v>768</v>
      </c>
      <c r="G237" s="139" t="s">
        <v>7400</v>
      </c>
      <c r="H237" s="7">
        <f t="shared" si="3"/>
        <v>378.25</v>
      </c>
      <c r="I237" s="7">
        <v>60.52</v>
      </c>
    </row>
    <row r="238" spans="1:9">
      <c r="A238" t="s">
        <v>1853</v>
      </c>
      <c r="B238" s="1">
        <v>42247</v>
      </c>
      <c r="C238" t="s">
        <v>4380</v>
      </c>
      <c r="D238">
        <v>1</v>
      </c>
      <c r="E238" t="s">
        <v>768</v>
      </c>
      <c r="F238" s="19" t="s">
        <v>768</v>
      </c>
      <c r="G238" s="139" t="s">
        <v>7400</v>
      </c>
      <c r="H238" s="7">
        <f t="shared" si="3"/>
        <v>498.125</v>
      </c>
      <c r="I238" s="7">
        <v>79.7</v>
      </c>
    </row>
    <row r="239" spans="1:9">
      <c r="A239" t="s">
        <v>471</v>
      </c>
      <c r="B239" s="1">
        <v>42228</v>
      </c>
      <c r="C239" t="s">
        <v>4532</v>
      </c>
      <c r="D239">
        <v>2</v>
      </c>
      <c r="E239" t="s">
        <v>665</v>
      </c>
      <c r="F239" t="s">
        <v>844</v>
      </c>
      <c r="G239" t="s">
        <v>665</v>
      </c>
      <c r="H239" s="7">
        <f t="shared" si="3"/>
        <v>3650</v>
      </c>
      <c r="I239" s="7">
        <v>584</v>
      </c>
    </row>
    <row r="240" spans="1:9">
      <c r="A240" t="s">
        <v>1819</v>
      </c>
      <c r="B240" s="1">
        <v>42247</v>
      </c>
      <c r="C240" t="s">
        <v>4264</v>
      </c>
      <c r="D240">
        <v>1</v>
      </c>
      <c r="E240" t="s">
        <v>4265</v>
      </c>
      <c r="F240" s="70" t="s">
        <v>4265</v>
      </c>
      <c r="G240" s="139" t="s">
        <v>7465</v>
      </c>
      <c r="H240" s="7">
        <f t="shared" si="3"/>
        <v>362.0625</v>
      </c>
      <c r="I240" s="7">
        <v>57.93</v>
      </c>
    </row>
    <row r="241" spans="1:9">
      <c r="A241" t="s">
        <v>1392</v>
      </c>
      <c r="B241" s="1">
        <v>42237</v>
      </c>
      <c r="C241" t="s">
        <v>4551</v>
      </c>
      <c r="D241">
        <v>1</v>
      </c>
      <c r="E241" t="s">
        <v>532</v>
      </c>
      <c r="F241" t="s">
        <v>845</v>
      </c>
      <c r="G241" t="s">
        <v>532</v>
      </c>
      <c r="H241" s="7">
        <f t="shared" si="3"/>
        <v>107758.625</v>
      </c>
      <c r="I241" s="7">
        <v>17241.38</v>
      </c>
    </row>
    <row r="242" spans="1:9">
      <c r="A242" t="s">
        <v>1870</v>
      </c>
      <c r="B242" s="1">
        <v>42247</v>
      </c>
      <c r="C242" t="s">
        <v>1315</v>
      </c>
      <c r="D242">
        <v>1</v>
      </c>
      <c r="E242" t="s">
        <v>1534</v>
      </c>
      <c r="F242" s="19" t="s">
        <v>1534</v>
      </c>
      <c r="G242" s="139" t="s">
        <v>1535</v>
      </c>
      <c r="H242" s="7">
        <f t="shared" si="3"/>
        <v>62.9375</v>
      </c>
      <c r="I242" s="7">
        <v>10.07</v>
      </c>
    </row>
    <row r="243" spans="1:9">
      <c r="A243" t="s">
        <v>1870</v>
      </c>
      <c r="B243" s="1">
        <v>42247</v>
      </c>
      <c r="C243" t="s">
        <v>1315</v>
      </c>
      <c r="D243">
        <v>1</v>
      </c>
      <c r="E243" t="s">
        <v>1534</v>
      </c>
      <c r="F243" s="19" t="s">
        <v>1534</v>
      </c>
      <c r="G243" s="139" t="s">
        <v>1535</v>
      </c>
      <c r="H243" s="7">
        <f t="shared" si="3"/>
        <v>134.5</v>
      </c>
      <c r="I243" s="7">
        <v>21.52</v>
      </c>
    </row>
    <row r="244" spans="1:9">
      <c r="A244" t="s">
        <v>1872</v>
      </c>
      <c r="B244" s="1">
        <v>42247</v>
      </c>
      <c r="C244" t="s">
        <v>1315</v>
      </c>
      <c r="D244">
        <v>1</v>
      </c>
      <c r="E244" t="s">
        <v>1534</v>
      </c>
      <c r="F244" s="19" t="s">
        <v>1534</v>
      </c>
      <c r="G244" s="139" t="s">
        <v>1535</v>
      </c>
      <c r="H244" s="7">
        <f t="shared" si="3"/>
        <v>118.99999999999999</v>
      </c>
      <c r="I244" s="7">
        <v>19.04</v>
      </c>
    </row>
    <row r="245" spans="1:9">
      <c r="A245" t="s">
        <v>2125</v>
      </c>
      <c r="B245" s="1">
        <v>42235</v>
      </c>
      <c r="C245" t="s">
        <v>4548</v>
      </c>
      <c r="D245">
        <v>1</v>
      </c>
      <c r="E245" t="s">
        <v>3193</v>
      </c>
      <c r="F245" t="s">
        <v>3705</v>
      </c>
      <c r="G245" t="s">
        <v>3193</v>
      </c>
      <c r="H245" s="7">
        <f t="shared" si="3"/>
        <v>7200</v>
      </c>
      <c r="I245" s="7">
        <v>1152</v>
      </c>
    </row>
    <row r="246" spans="1:9">
      <c r="A246" t="s">
        <v>2580</v>
      </c>
      <c r="B246" s="1">
        <v>42221</v>
      </c>
      <c r="C246" t="s">
        <v>4495</v>
      </c>
      <c r="D246">
        <v>1</v>
      </c>
      <c r="E246" t="s">
        <v>449</v>
      </c>
      <c r="F246" t="s">
        <v>848</v>
      </c>
      <c r="G246" t="s">
        <v>449</v>
      </c>
      <c r="H246" s="7">
        <f t="shared" si="3"/>
        <v>5300</v>
      </c>
      <c r="I246" s="7">
        <v>848</v>
      </c>
    </row>
    <row r="247" spans="1:9">
      <c r="A247" t="s">
        <v>468</v>
      </c>
      <c r="B247" s="1">
        <v>42228</v>
      </c>
      <c r="C247" t="s">
        <v>4531</v>
      </c>
      <c r="D247">
        <v>1</v>
      </c>
      <c r="E247" t="s">
        <v>449</v>
      </c>
      <c r="F247" t="s">
        <v>848</v>
      </c>
      <c r="G247" t="s">
        <v>449</v>
      </c>
      <c r="H247" s="7">
        <f t="shared" si="3"/>
        <v>9200</v>
      </c>
      <c r="I247" s="7">
        <v>1472</v>
      </c>
    </row>
    <row r="248" spans="1:9">
      <c r="A248" t="s">
        <v>1231</v>
      </c>
      <c r="B248" s="1">
        <v>42247</v>
      </c>
      <c r="C248" t="s">
        <v>4268</v>
      </c>
      <c r="D248">
        <v>1</v>
      </c>
      <c r="E248" t="s">
        <v>769</v>
      </c>
      <c r="F248" s="70" t="s">
        <v>769</v>
      </c>
      <c r="G248" t="s">
        <v>645</v>
      </c>
      <c r="H248" s="7">
        <f t="shared" si="3"/>
        <v>117.25000000000001</v>
      </c>
      <c r="I248" s="7">
        <v>18.760000000000002</v>
      </c>
    </row>
    <row r="249" spans="1:9">
      <c r="A249" t="s">
        <v>1956</v>
      </c>
      <c r="B249" s="1">
        <v>42247</v>
      </c>
      <c r="C249" t="s">
        <v>4459</v>
      </c>
      <c r="D249">
        <v>1</v>
      </c>
      <c r="E249" t="s">
        <v>769</v>
      </c>
      <c r="F249" s="19" t="s">
        <v>769</v>
      </c>
      <c r="G249" t="s">
        <v>645</v>
      </c>
      <c r="H249" s="7">
        <f t="shared" si="3"/>
        <v>117.25000000000001</v>
      </c>
      <c r="I249" s="7">
        <v>18.760000000000002</v>
      </c>
    </row>
    <row r="250" spans="1:9">
      <c r="A250" t="s">
        <v>1958</v>
      </c>
      <c r="B250" s="1">
        <v>42247</v>
      </c>
      <c r="C250" t="s">
        <v>4460</v>
      </c>
      <c r="D250">
        <v>1</v>
      </c>
      <c r="E250" t="s">
        <v>769</v>
      </c>
      <c r="F250" s="19" t="s">
        <v>769</v>
      </c>
      <c r="G250" t="s">
        <v>645</v>
      </c>
      <c r="H250" s="7">
        <f t="shared" si="3"/>
        <v>387.0625</v>
      </c>
      <c r="I250" s="7">
        <v>61.93</v>
      </c>
    </row>
    <row r="251" spans="1:9">
      <c r="A251" t="s">
        <v>3875</v>
      </c>
      <c r="B251" s="1">
        <v>42247</v>
      </c>
      <c r="C251" t="s">
        <v>4404</v>
      </c>
      <c r="D251">
        <v>1</v>
      </c>
      <c r="E251" t="s">
        <v>897</v>
      </c>
      <c r="F251" s="19" t="s">
        <v>897</v>
      </c>
      <c r="G251" s="139" t="s">
        <v>7466</v>
      </c>
      <c r="H251" s="7">
        <f t="shared" si="3"/>
        <v>302.125</v>
      </c>
      <c r="I251" s="7">
        <v>48.34</v>
      </c>
    </row>
    <row r="252" spans="1:9">
      <c r="A252" t="s">
        <v>3109</v>
      </c>
      <c r="B252" s="1">
        <v>42221</v>
      </c>
      <c r="C252" t="s">
        <v>4490</v>
      </c>
      <c r="D252">
        <v>1</v>
      </c>
      <c r="E252" t="s">
        <v>645</v>
      </c>
      <c r="F252" t="s">
        <v>769</v>
      </c>
      <c r="G252" t="s">
        <v>645</v>
      </c>
      <c r="H252" s="7">
        <f t="shared" si="3"/>
        <v>5693.3125</v>
      </c>
      <c r="I252" s="7">
        <v>910.93</v>
      </c>
    </row>
    <row r="253" spans="1:9">
      <c r="A253" t="s">
        <v>490</v>
      </c>
      <c r="B253" s="1">
        <v>42235</v>
      </c>
      <c r="C253" t="s">
        <v>4543</v>
      </c>
      <c r="D253">
        <v>1</v>
      </c>
      <c r="E253" t="s">
        <v>645</v>
      </c>
      <c r="F253" t="s">
        <v>769</v>
      </c>
      <c r="G253" t="s">
        <v>645</v>
      </c>
      <c r="H253" s="7">
        <f t="shared" si="3"/>
        <v>3801.3125</v>
      </c>
      <c r="I253" s="7">
        <v>608.21</v>
      </c>
    </row>
    <row r="254" spans="1:9">
      <c r="A254" t="s">
        <v>3875</v>
      </c>
      <c r="B254" s="1">
        <v>42247</v>
      </c>
      <c r="C254" t="s">
        <v>4404</v>
      </c>
      <c r="D254">
        <v>1</v>
      </c>
      <c r="E254" t="s">
        <v>3690</v>
      </c>
      <c r="F254" s="19" t="s">
        <v>3690</v>
      </c>
      <c r="G254" s="139" t="s">
        <v>7390</v>
      </c>
      <c r="H254" s="7">
        <f t="shared" si="3"/>
        <v>443.87499999999994</v>
      </c>
      <c r="I254" s="7">
        <v>71.02</v>
      </c>
    </row>
    <row r="255" spans="1:9">
      <c r="A255" t="s">
        <v>1328</v>
      </c>
      <c r="B255" s="1">
        <v>42221</v>
      </c>
      <c r="C255" t="s">
        <v>4483</v>
      </c>
      <c r="D255">
        <v>1</v>
      </c>
      <c r="E255" t="s">
        <v>4484</v>
      </c>
      <c r="F255" t="s">
        <v>4936</v>
      </c>
      <c r="G255" s="139" t="s">
        <v>7467</v>
      </c>
      <c r="H255" s="7">
        <f t="shared" si="3"/>
        <v>2700</v>
      </c>
      <c r="I255" s="7">
        <v>432</v>
      </c>
    </row>
    <row r="256" spans="1:9">
      <c r="A256" t="s">
        <v>1883</v>
      </c>
      <c r="B256" s="1">
        <v>42247</v>
      </c>
      <c r="C256" t="s">
        <v>4399</v>
      </c>
      <c r="D256">
        <v>1</v>
      </c>
      <c r="E256" t="s">
        <v>915</v>
      </c>
      <c r="F256" s="19" t="s">
        <v>915</v>
      </c>
      <c r="G256" s="139" t="s">
        <v>7403</v>
      </c>
      <c r="H256" s="7">
        <f t="shared" si="3"/>
        <v>698.25</v>
      </c>
      <c r="I256" s="7">
        <v>111.72</v>
      </c>
    </row>
    <row r="257" spans="1:9">
      <c r="A257" t="s">
        <v>1884</v>
      </c>
      <c r="B257" s="1">
        <v>42247</v>
      </c>
      <c r="C257" t="s">
        <v>4401</v>
      </c>
      <c r="D257">
        <v>1</v>
      </c>
      <c r="E257" t="s">
        <v>915</v>
      </c>
      <c r="F257" s="19" t="s">
        <v>915</v>
      </c>
      <c r="G257" s="139" t="s">
        <v>7403</v>
      </c>
      <c r="H257" s="7">
        <f t="shared" si="3"/>
        <v>737.0625</v>
      </c>
      <c r="I257" s="7">
        <v>117.93</v>
      </c>
    </row>
    <row r="258" spans="1:9">
      <c r="A258" t="s">
        <v>1861</v>
      </c>
      <c r="B258" s="1">
        <v>42247</v>
      </c>
      <c r="C258" t="s">
        <v>4390</v>
      </c>
      <c r="D258">
        <v>1</v>
      </c>
      <c r="E258" t="s">
        <v>2217</v>
      </c>
      <c r="F258" s="19" t="s">
        <v>2217</v>
      </c>
      <c r="G258" s="139" t="s">
        <v>1940</v>
      </c>
      <c r="H258" s="7">
        <f t="shared" si="3"/>
        <v>266.0625</v>
      </c>
      <c r="I258" s="7">
        <v>42.57</v>
      </c>
    </row>
    <row r="259" spans="1:9">
      <c r="A259" t="s">
        <v>3076</v>
      </c>
      <c r="B259" s="1">
        <v>42240</v>
      </c>
      <c r="C259" t="s">
        <v>4229</v>
      </c>
      <c r="D259">
        <v>1</v>
      </c>
      <c r="E259" t="s">
        <v>74</v>
      </c>
      <c r="F259" t="s">
        <v>849</v>
      </c>
      <c r="G259" t="s">
        <v>74</v>
      </c>
      <c r="H259" s="7">
        <f t="shared" si="3"/>
        <v>178132.1875</v>
      </c>
      <c r="I259" s="7">
        <v>28501.15</v>
      </c>
    </row>
    <row r="260" spans="1:9">
      <c r="A260" t="s">
        <v>194</v>
      </c>
      <c r="B260" s="1">
        <v>42247</v>
      </c>
      <c r="C260" t="s">
        <v>4271</v>
      </c>
      <c r="D260">
        <v>1</v>
      </c>
      <c r="E260" t="s">
        <v>1595</v>
      </c>
      <c r="F260" s="70" t="s">
        <v>1595</v>
      </c>
      <c r="G260" s="139" t="s">
        <v>7422</v>
      </c>
      <c r="H260" s="7">
        <f t="shared" si="3"/>
        <v>206.875</v>
      </c>
      <c r="I260" s="7">
        <v>33.1</v>
      </c>
    </row>
    <row r="261" spans="1:9">
      <c r="A261" t="s">
        <v>1426</v>
      </c>
      <c r="B261" s="1">
        <v>42242</v>
      </c>
      <c r="C261" t="s">
        <v>3168</v>
      </c>
      <c r="D261">
        <v>2</v>
      </c>
      <c r="E261" t="s">
        <v>4561</v>
      </c>
      <c r="F261" t="s">
        <v>4937</v>
      </c>
      <c r="G261" t="s">
        <v>4561</v>
      </c>
      <c r="H261" s="7">
        <f t="shared" si="3"/>
        <v>1507</v>
      </c>
      <c r="I261" s="7">
        <v>241.12</v>
      </c>
    </row>
    <row r="262" spans="1:9">
      <c r="A262" t="s">
        <v>1883</v>
      </c>
      <c r="B262" s="1">
        <v>42247</v>
      </c>
      <c r="C262" t="s">
        <v>4399</v>
      </c>
      <c r="D262">
        <v>1</v>
      </c>
      <c r="E262" t="s">
        <v>917</v>
      </c>
      <c r="F262" s="19" t="s">
        <v>917</v>
      </c>
      <c r="G262" s="139" t="s">
        <v>918</v>
      </c>
      <c r="H262" s="7">
        <f t="shared" si="3"/>
        <v>108.62499999999999</v>
      </c>
      <c r="I262" s="7">
        <v>17.38</v>
      </c>
    </row>
    <row r="263" spans="1:9">
      <c r="A263" t="s">
        <v>4370</v>
      </c>
      <c r="B263" s="1">
        <v>42247</v>
      </c>
      <c r="C263" t="s">
        <v>4371</v>
      </c>
      <c r="D263">
        <v>1</v>
      </c>
      <c r="E263" t="s">
        <v>852</v>
      </c>
      <c r="F263" s="70" t="s">
        <v>852</v>
      </c>
      <c r="G263" s="139" t="s">
        <v>7468</v>
      </c>
      <c r="H263" s="7">
        <f t="shared" si="3"/>
        <v>235.4375</v>
      </c>
      <c r="I263" s="7">
        <v>37.67</v>
      </c>
    </row>
    <row r="264" spans="1:9">
      <c r="A264" t="s">
        <v>1883</v>
      </c>
      <c r="B264" s="1">
        <v>42247</v>
      </c>
      <c r="C264" t="s">
        <v>4399</v>
      </c>
      <c r="D264">
        <v>1</v>
      </c>
      <c r="E264" t="s">
        <v>3234</v>
      </c>
      <c r="F264" s="19" t="s">
        <v>3234</v>
      </c>
      <c r="G264" s="143" t="s">
        <v>7469</v>
      </c>
      <c r="H264" s="7">
        <f t="shared" si="3"/>
        <v>318.625</v>
      </c>
      <c r="I264" s="7">
        <v>50.98</v>
      </c>
    </row>
    <row r="265" spans="1:9">
      <c r="A265" t="s">
        <v>1884</v>
      </c>
      <c r="B265" s="1">
        <v>42247</v>
      </c>
      <c r="C265" t="s">
        <v>4401</v>
      </c>
      <c r="D265">
        <v>1</v>
      </c>
      <c r="E265" t="s">
        <v>3234</v>
      </c>
      <c r="F265" s="19" t="s">
        <v>3234</v>
      </c>
      <c r="G265" s="143" t="s">
        <v>7469</v>
      </c>
      <c r="H265" s="7">
        <f t="shared" si="3"/>
        <v>251.62499999999997</v>
      </c>
      <c r="I265" s="7">
        <v>40.26</v>
      </c>
    </row>
    <row r="266" spans="1:9">
      <c r="A266" t="s">
        <v>1266</v>
      </c>
      <c r="B266" s="1">
        <v>42241</v>
      </c>
      <c r="C266" t="s">
        <v>4311</v>
      </c>
      <c r="D266">
        <v>1</v>
      </c>
      <c r="E266" t="s">
        <v>4312</v>
      </c>
      <c r="F266" t="s">
        <v>854</v>
      </c>
      <c r="G266" t="s">
        <v>4312</v>
      </c>
      <c r="H266" s="7">
        <f t="shared" ref="H266:H329" si="4">+I266/0.16</f>
        <v>318282.4375</v>
      </c>
      <c r="I266" s="7">
        <v>50925.19</v>
      </c>
    </row>
    <row r="267" spans="1:9">
      <c r="A267" t="s">
        <v>1305</v>
      </c>
      <c r="B267" s="1">
        <v>42247</v>
      </c>
      <c r="C267" t="s">
        <v>4349</v>
      </c>
      <c r="D267">
        <v>1</v>
      </c>
      <c r="E267" t="s">
        <v>2281</v>
      </c>
      <c r="F267" t="s">
        <v>854</v>
      </c>
      <c r="G267" t="s">
        <v>2281</v>
      </c>
      <c r="H267" s="7">
        <f t="shared" si="4"/>
        <v>318282.4375</v>
      </c>
      <c r="I267" s="7">
        <v>50925.19</v>
      </c>
    </row>
    <row r="268" spans="1:9">
      <c r="A268" t="s">
        <v>1424</v>
      </c>
      <c r="B268" s="1">
        <v>42242</v>
      </c>
      <c r="C268" t="s">
        <v>4560</v>
      </c>
      <c r="D268">
        <v>2</v>
      </c>
      <c r="E268" t="s">
        <v>2105</v>
      </c>
      <c r="F268" t="s">
        <v>2222</v>
      </c>
      <c r="G268" t="s">
        <v>2105</v>
      </c>
      <c r="H268" s="7">
        <f t="shared" si="4"/>
        <v>6000</v>
      </c>
      <c r="I268" s="7">
        <v>960</v>
      </c>
    </row>
    <row r="269" spans="1:9">
      <c r="A269" t="s">
        <v>4372</v>
      </c>
      <c r="B269" s="1">
        <v>42247</v>
      </c>
      <c r="C269" t="s">
        <v>4373</v>
      </c>
      <c r="D269">
        <v>1</v>
      </c>
      <c r="E269" t="s">
        <v>857</v>
      </c>
      <c r="F269" s="70" t="s">
        <v>857</v>
      </c>
      <c r="G269" s="139" t="s">
        <v>315</v>
      </c>
      <c r="H269" s="7">
        <f t="shared" si="4"/>
        <v>178.4375</v>
      </c>
      <c r="I269" s="7">
        <v>28.55</v>
      </c>
    </row>
    <row r="270" spans="1:9">
      <c r="A270" t="s">
        <v>473</v>
      </c>
      <c r="B270" s="1">
        <v>42228</v>
      </c>
      <c r="C270" t="s">
        <v>3145</v>
      </c>
      <c r="D270">
        <v>2</v>
      </c>
      <c r="E270" t="s">
        <v>457</v>
      </c>
      <c r="F270" t="s">
        <v>858</v>
      </c>
      <c r="G270" s="139" t="s">
        <v>3243</v>
      </c>
      <c r="H270" s="7">
        <f t="shared" si="4"/>
        <v>38300</v>
      </c>
      <c r="I270" s="7">
        <v>6128</v>
      </c>
    </row>
    <row r="271" spans="1:9">
      <c r="A271" t="s">
        <v>1379</v>
      </c>
      <c r="B271" s="1">
        <v>42235</v>
      </c>
      <c r="C271" t="s">
        <v>4549</v>
      </c>
      <c r="D271">
        <v>2</v>
      </c>
      <c r="E271" t="s">
        <v>457</v>
      </c>
      <c r="F271" t="s">
        <v>858</v>
      </c>
      <c r="G271" s="139" t="s">
        <v>3243</v>
      </c>
      <c r="H271" s="7">
        <f t="shared" si="4"/>
        <v>350</v>
      </c>
      <c r="I271" s="7">
        <v>56</v>
      </c>
    </row>
    <row r="272" spans="1:9">
      <c r="A272" t="s">
        <v>1862</v>
      </c>
      <c r="B272" s="1">
        <v>42247</v>
      </c>
      <c r="C272" t="s">
        <v>4391</v>
      </c>
      <c r="D272">
        <v>1</v>
      </c>
      <c r="E272" t="s">
        <v>706</v>
      </c>
      <c r="F272" s="19" t="s">
        <v>706</v>
      </c>
      <c r="G272" s="139" t="s">
        <v>299</v>
      </c>
      <c r="H272" s="7">
        <f t="shared" si="4"/>
        <v>81</v>
      </c>
      <c r="I272" s="7">
        <v>12.96</v>
      </c>
    </row>
    <row r="273" spans="1:9">
      <c r="A273" t="s">
        <v>1886</v>
      </c>
      <c r="B273" s="1">
        <v>42247</v>
      </c>
      <c r="C273" t="s">
        <v>4403</v>
      </c>
      <c r="D273">
        <v>1</v>
      </c>
      <c r="E273" t="s">
        <v>929</v>
      </c>
      <c r="F273" s="19" t="s">
        <v>929</v>
      </c>
      <c r="G273" s="139" t="s">
        <v>4038</v>
      </c>
      <c r="H273" s="7">
        <f t="shared" si="4"/>
        <v>103.4375</v>
      </c>
      <c r="I273" s="7">
        <v>16.55</v>
      </c>
    </row>
    <row r="274" spans="1:9">
      <c r="A274" t="s">
        <v>4407</v>
      </c>
      <c r="B274" s="1">
        <v>42247</v>
      </c>
      <c r="C274" t="s">
        <v>4408</v>
      </c>
      <c r="D274">
        <v>1</v>
      </c>
      <c r="E274" t="s">
        <v>929</v>
      </c>
      <c r="F274" s="19" t="s">
        <v>929</v>
      </c>
      <c r="G274" s="139" t="s">
        <v>4038</v>
      </c>
      <c r="H274" s="7">
        <f t="shared" si="4"/>
        <v>69</v>
      </c>
      <c r="I274" s="7">
        <v>11.04</v>
      </c>
    </row>
    <row r="275" spans="1:9">
      <c r="A275" t="s">
        <v>1933</v>
      </c>
      <c r="B275" s="1">
        <v>42247</v>
      </c>
      <c r="C275" t="s">
        <v>4426</v>
      </c>
      <c r="D275">
        <v>1</v>
      </c>
      <c r="E275" t="s">
        <v>929</v>
      </c>
      <c r="F275" s="19" t="s">
        <v>929</v>
      </c>
      <c r="G275" s="139" t="s">
        <v>4038</v>
      </c>
      <c r="H275" s="7">
        <f t="shared" si="4"/>
        <v>69</v>
      </c>
      <c r="I275" s="7">
        <v>11.04</v>
      </c>
    </row>
    <row r="276" spans="1:9">
      <c r="A276" t="s">
        <v>4165</v>
      </c>
      <c r="B276" s="1">
        <v>42237</v>
      </c>
      <c r="C276" t="s">
        <v>4553</v>
      </c>
      <c r="D276">
        <v>1</v>
      </c>
      <c r="E276" t="s">
        <v>4554</v>
      </c>
      <c r="F276" s="19" t="s">
        <v>4938</v>
      </c>
      <c r="G276" t="s">
        <v>4554</v>
      </c>
      <c r="H276" s="7">
        <f t="shared" si="4"/>
        <v>4374.125</v>
      </c>
      <c r="I276" s="7">
        <v>699.86</v>
      </c>
    </row>
    <row r="277" spans="1:9">
      <c r="A277" t="s">
        <v>456</v>
      </c>
      <c r="B277" s="1">
        <v>42228</v>
      </c>
      <c r="C277" t="s">
        <v>3143</v>
      </c>
      <c r="D277">
        <v>2</v>
      </c>
      <c r="E277" t="s">
        <v>474</v>
      </c>
      <c r="F277" t="s">
        <v>860</v>
      </c>
      <c r="G277" t="s">
        <v>474</v>
      </c>
      <c r="H277" s="7">
        <f t="shared" si="4"/>
        <v>300</v>
      </c>
      <c r="I277" s="7">
        <v>48</v>
      </c>
    </row>
    <row r="278" spans="1:9">
      <c r="A278" t="s">
        <v>533</v>
      </c>
      <c r="B278" s="1">
        <v>42242</v>
      </c>
      <c r="C278" t="s">
        <v>3171</v>
      </c>
      <c r="D278">
        <v>2</v>
      </c>
      <c r="E278" t="s">
        <v>474</v>
      </c>
      <c r="F278" t="s">
        <v>860</v>
      </c>
      <c r="G278" t="s">
        <v>474</v>
      </c>
      <c r="H278" s="7">
        <f t="shared" si="4"/>
        <v>3600</v>
      </c>
      <c r="I278" s="7">
        <v>576</v>
      </c>
    </row>
    <row r="279" spans="1:9">
      <c r="A279" t="s">
        <v>1872</v>
      </c>
      <c r="B279" s="1">
        <v>42247</v>
      </c>
      <c r="C279" t="s">
        <v>1315</v>
      </c>
      <c r="D279">
        <v>1</v>
      </c>
      <c r="E279" t="s">
        <v>788</v>
      </c>
      <c r="F279" s="19" t="s">
        <v>788</v>
      </c>
      <c r="G279" s="139" t="s">
        <v>3696</v>
      </c>
      <c r="H279" s="7">
        <f t="shared" si="4"/>
        <v>102.5625</v>
      </c>
      <c r="I279" s="7">
        <v>16.41</v>
      </c>
    </row>
    <row r="280" spans="1:9">
      <c r="A280" t="s">
        <v>4446</v>
      </c>
      <c r="B280" s="1">
        <v>42247</v>
      </c>
      <c r="C280" t="s">
        <v>4447</v>
      </c>
      <c r="D280">
        <v>1</v>
      </c>
      <c r="E280" t="s">
        <v>4448</v>
      </c>
      <c r="F280" s="19" t="s">
        <v>4448</v>
      </c>
      <c r="G280" s="139" t="s">
        <v>7271</v>
      </c>
      <c r="H280" s="7">
        <f t="shared" si="4"/>
        <v>120</v>
      </c>
      <c r="I280" s="7">
        <v>19.2</v>
      </c>
    </row>
    <row r="281" spans="1:9">
      <c r="A281" t="s">
        <v>2018</v>
      </c>
      <c r="B281" s="1">
        <v>42247</v>
      </c>
      <c r="C281" t="s">
        <v>4473</v>
      </c>
      <c r="D281">
        <v>1</v>
      </c>
      <c r="E281" t="s">
        <v>4474</v>
      </c>
      <c r="F281" t="s">
        <v>4474</v>
      </c>
      <c r="G281" t="s">
        <v>4474</v>
      </c>
      <c r="H281" s="7">
        <f t="shared" si="4"/>
        <v>200</v>
      </c>
      <c r="I281" s="7">
        <v>32</v>
      </c>
    </row>
    <row r="282" spans="1:9">
      <c r="A282" t="s">
        <v>3842</v>
      </c>
      <c r="B282" s="1">
        <v>42247</v>
      </c>
      <c r="C282" t="s">
        <v>4345</v>
      </c>
      <c r="D282">
        <v>1</v>
      </c>
      <c r="E282" t="s">
        <v>4346</v>
      </c>
      <c r="F282" t="s">
        <v>4939</v>
      </c>
      <c r="G282" t="s">
        <v>4346</v>
      </c>
      <c r="H282" s="7">
        <f t="shared" si="4"/>
        <v>318282.4375</v>
      </c>
      <c r="I282" s="7">
        <v>50925.19</v>
      </c>
    </row>
    <row r="283" spans="1:9">
      <c r="A283" t="s">
        <v>3113</v>
      </c>
      <c r="B283" s="1">
        <v>42221</v>
      </c>
      <c r="C283" t="s">
        <v>4496</v>
      </c>
      <c r="D283">
        <v>1</v>
      </c>
      <c r="E283" t="s">
        <v>2660</v>
      </c>
      <c r="F283" t="s">
        <v>2701</v>
      </c>
      <c r="G283" t="s">
        <v>2660</v>
      </c>
      <c r="H283" s="7">
        <f t="shared" si="4"/>
        <v>1832.9999999999998</v>
      </c>
      <c r="I283" s="7">
        <v>293.27999999999997</v>
      </c>
    </row>
    <row r="284" spans="1:9">
      <c r="A284" t="s">
        <v>2578</v>
      </c>
      <c r="B284" s="1">
        <v>42221</v>
      </c>
      <c r="C284" t="s">
        <v>4494</v>
      </c>
      <c r="D284">
        <v>1</v>
      </c>
      <c r="E284" t="s">
        <v>1649</v>
      </c>
      <c r="F284" t="s">
        <v>1648</v>
      </c>
      <c r="G284" t="s">
        <v>1649</v>
      </c>
      <c r="H284" s="7">
        <f t="shared" si="4"/>
        <v>1796.75</v>
      </c>
      <c r="I284" s="7">
        <v>287.48</v>
      </c>
    </row>
    <row r="285" spans="1:9">
      <c r="A285" t="s">
        <v>2123</v>
      </c>
      <c r="B285" s="1">
        <v>42235</v>
      </c>
      <c r="C285" t="s">
        <v>4547</v>
      </c>
      <c r="D285">
        <v>1</v>
      </c>
      <c r="E285" t="s">
        <v>1649</v>
      </c>
      <c r="F285" t="s">
        <v>1648</v>
      </c>
      <c r="G285" t="s">
        <v>1649</v>
      </c>
      <c r="H285" s="7">
        <f t="shared" si="4"/>
        <v>1151.5</v>
      </c>
      <c r="I285" s="7">
        <v>184.24</v>
      </c>
    </row>
    <row r="286" spans="1:9">
      <c r="A286" t="s">
        <v>1213</v>
      </c>
      <c r="B286" s="1">
        <v>42247</v>
      </c>
      <c r="C286" t="s">
        <v>4253</v>
      </c>
      <c r="D286">
        <v>1</v>
      </c>
      <c r="E286" t="s">
        <v>4254</v>
      </c>
      <c r="F286" s="19" t="s">
        <v>714</v>
      </c>
      <c r="G286" s="70" t="s">
        <v>715</v>
      </c>
      <c r="H286" s="7">
        <f t="shared" si="4"/>
        <v>314.625</v>
      </c>
      <c r="I286" s="7">
        <v>50.34</v>
      </c>
    </row>
    <row r="287" spans="1:9">
      <c r="A287" t="s">
        <v>3099</v>
      </c>
      <c r="B287" s="1">
        <v>42220</v>
      </c>
      <c r="C287" t="s">
        <v>4479</v>
      </c>
      <c r="D287">
        <v>1</v>
      </c>
      <c r="E287" t="s">
        <v>967</v>
      </c>
      <c r="F287" t="s">
        <v>863</v>
      </c>
      <c r="G287" t="s">
        <v>967</v>
      </c>
      <c r="H287" s="7">
        <f t="shared" si="4"/>
        <v>9784.6875</v>
      </c>
      <c r="I287" s="7">
        <v>1565.55</v>
      </c>
    </row>
    <row r="288" spans="1:9">
      <c r="A288" t="s">
        <v>492</v>
      </c>
      <c r="B288" s="1">
        <v>42235</v>
      </c>
      <c r="C288" t="s">
        <v>4544</v>
      </c>
      <c r="D288">
        <v>1</v>
      </c>
      <c r="E288" t="s">
        <v>967</v>
      </c>
      <c r="F288" t="s">
        <v>863</v>
      </c>
      <c r="G288" t="s">
        <v>967</v>
      </c>
      <c r="H288" s="7">
        <f t="shared" si="4"/>
        <v>24113.8125</v>
      </c>
      <c r="I288" s="7">
        <v>3858.21</v>
      </c>
    </row>
    <row r="289" spans="1:9">
      <c r="A289" t="s">
        <v>3433</v>
      </c>
      <c r="B289" s="1">
        <v>42247</v>
      </c>
      <c r="C289" t="s">
        <v>4441</v>
      </c>
      <c r="D289">
        <v>1</v>
      </c>
      <c r="E289" t="s">
        <v>864</v>
      </c>
      <c r="F289" s="19" t="s">
        <v>864</v>
      </c>
      <c r="G289" s="139" t="s">
        <v>7470</v>
      </c>
      <c r="H289" s="7">
        <f t="shared" si="4"/>
        <v>465.5</v>
      </c>
      <c r="I289" s="7">
        <v>74.48</v>
      </c>
    </row>
    <row r="290" spans="1:9">
      <c r="A290" t="s">
        <v>4407</v>
      </c>
      <c r="B290" s="1">
        <v>42247</v>
      </c>
      <c r="C290" t="s">
        <v>4408</v>
      </c>
      <c r="D290">
        <v>1</v>
      </c>
      <c r="E290" t="s">
        <v>1617</v>
      </c>
      <c r="F290" s="19" t="s">
        <v>1617</v>
      </c>
      <c r="G290" s="139" t="s">
        <v>1618</v>
      </c>
      <c r="H290" s="7">
        <f t="shared" si="4"/>
        <v>293.5625</v>
      </c>
      <c r="I290" s="7">
        <v>46.97</v>
      </c>
    </row>
    <row r="291" spans="1:9">
      <c r="A291" t="s">
        <v>1922</v>
      </c>
      <c r="B291" s="1">
        <v>42247</v>
      </c>
      <c r="C291" t="s">
        <v>4417</v>
      </c>
      <c r="D291">
        <v>1</v>
      </c>
      <c r="E291" t="s">
        <v>4419</v>
      </c>
      <c r="F291" s="19" t="s">
        <v>4419</v>
      </c>
      <c r="G291" s="139" t="s">
        <v>5657</v>
      </c>
      <c r="H291" s="7">
        <f t="shared" si="4"/>
        <v>503.24999999999994</v>
      </c>
      <c r="I291" s="7">
        <v>80.52</v>
      </c>
    </row>
    <row r="292" spans="1:9">
      <c r="A292" t="s">
        <v>1883</v>
      </c>
      <c r="B292" s="1">
        <v>42247</v>
      </c>
      <c r="C292" t="s">
        <v>4399</v>
      </c>
      <c r="D292">
        <v>1</v>
      </c>
      <c r="E292" t="s">
        <v>4400</v>
      </c>
      <c r="F292" s="19" t="s">
        <v>4400</v>
      </c>
      <c r="G292" s="139" t="s">
        <v>7471</v>
      </c>
      <c r="H292" s="7">
        <f t="shared" si="4"/>
        <v>455.31249999999994</v>
      </c>
      <c r="I292" s="7">
        <v>72.849999999999994</v>
      </c>
    </row>
    <row r="293" spans="1:9">
      <c r="A293" t="s">
        <v>1921</v>
      </c>
      <c r="B293" s="1">
        <v>42247</v>
      </c>
      <c r="C293" t="s">
        <v>4415</v>
      </c>
      <c r="D293">
        <v>1</v>
      </c>
      <c r="E293" t="s">
        <v>2724</v>
      </c>
      <c r="F293" s="19" t="s">
        <v>2724</v>
      </c>
      <c r="G293" s="139" t="s">
        <v>7472</v>
      </c>
      <c r="H293" s="7">
        <f t="shared" si="4"/>
        <v>293.5625</v>
      </c>
      <c r="I293" s="7">
        <v>46.97</v>
      </c>
    </row>
    <row r="294" spans="1:9">
      <c r="A294" t="s">
        <v>1886</v>
      </c>
      <c r="B294" s="1">
        <v>42247</v>
      </c>
      <c r="C294" t="s">
        <v>4403</v>
      </c>
      <c r="D294">
        <v>1</v>
      </c>
      <c r="E294" t="s">
        <v>883</v>
      </c>
      <c r="F294" s="19" t="s">
        <v>883</v>
      </c>
      <c r="G294" s="139" t="s">
        <v>884</v>
      </c>
      <c r="H294" s="7">
        <f t="shared" si="4"/>
        <v>660.1875</v>
      </c>
      <c r="I294" s="7">
        <v>105.63</v>
      </c>
    </row>
    <row r="295" spans="1:9">
      <c r="A295" t="s">
        <v>3885</v>
      </c>
      <c r="B295" s="1">
        <v>42247</v>
      </c>
      <c r="C295" t="s">
        <v>4416</v>
      </c>
      <c r="D295">
        <v>1</v>
      </c>
      <c r="E295" t="s">
        <v>883</v>
      </c>
      <c r="F295" s="19" t="s">
        <v>883</v>
      </c>
      <c r="G295" s="139" t="s">
        <v>884</v>
      </c>
      <c r="H295" s="7">
        <f t="shared" si="4"/>
        <v>552.8125</v>
      </c>
      <c r="I295" s="7">
        <v>88.45</v>
      </c>
    </row>
    <row r="296" spans="1:9">
      <c r="A296" t="s">
        <v>1927</v>
      </c>
      <c r="B296" s="1">
        <v>42247</v>
      </c>
      <c r="C296" t="s">
        <v>4421</v>
      </c>
      <c r="D296">
        <v>1</v>
      </c>
      <c r="E296" t="s">
        <v>2233</v>
      </c>
      <c r="F296" s="19" t="s">
        <v>2233</v>
      </c>
      <c r="G296" s="139" t="s">
        <v>7473</v>
      </c>
      <c r="H296" s="7">
        <f t="shared" si="4"/>
        <v>432.3125</v>
      </c>
      <c r="I296" s="7">
        <v>69.17</v>
      </c>
    </row>
    <row r="297" spans="1:9">
      <c r="A297" t="s">
        <v>1936</v>
      </c>
      <c r="B297" s="1">
        <v>42247</v>
      </c>
      <c r="C297" t="s">
        <v>4427</v>
      </c>
      <c r="D297">
        <v>1</v>
      </c>
      <c r="E297" t="s">
        <v>2233</v>
      </c>
      <c r="F297" s="19" t="s">
        <v>2233</v>
      </c>
      <c r="G297" s="139" t="s">
        <v>7473</v>
      </c>
      <c r="H297" s="7">
        <f t="shared" si="4"/>
        <v>584.6875</v>
      </c>
      <c r="I297" s="7">
        <v>93.55</v>
      </c>
    </row>
    <row r="298" spans="1:9">
      <c r="A298" t="s">
        <v>3011</v>
      </c>
      <c r="B298" s="1">
        <v>42247</v>
      </c>
      <c r="C298" t="s">
        <v>4263</v>
      </c>
      <c r="D298">
        <v>1</v>
      </c>
      <c r="E298" t="s">
        <v>853</v>
      </c>
      <c r="F298" s="70" t="s">
        <v>853</v>
      </c>
      <c r="G298" s="139" t="s">
        <v>297</v>
      </c>
      <c r="H298" s="7">
        <f t="shared" si="4"/>
        <v>240</v>
      </c>
      <c r="I298" s="7">
        <v>38.4</v>
      </c>
    </row>
    <row r="299" spans="1:9">
      <c r="A299" t="s">
        <v>4104</v>
      </c>
      <c r="B299" s="1">
        <v>42221</v>
      </c>
      <c r="C299" t="s">
        <v>3141</v>
      </c>
      <c r="D299">
        <v>2</v>
      </c>
      <c r="E299" t="s">
        <v>1501</v>
      </c>
      <c r="F299" t="s">
        <v>1604</v>
      </c>
      <c r="G299" t="s">
        <v>1501</v>
      </c>
      <c r="H299" s="7">
        <f t="shared" si="4"/>
        <v>900</v>
      </c>
      <c r="I299" s="7">
        <v>144</v>
      </c>
    </row>
    <row r="300" spans="1:9">
      <c r="A300" t="s">
        <v>1368</v>
      </c>
      <c r="B300" s="1">
        <v>42228</v>
      </c>
      <c r="C300" t="s">
        <v>3146</v>
      </c>
      <c r="D300">
        <v>2</v>
      </c>
      <c r="E300" t="s">
        <v>1501</v>
      </c>
      <c r="F300" t="s">
        <v>1604</v>
      </c>
      <c r="G300" t="s">
        <v>1501</v>
      </c>
      <c r="H300" s="7">
        <f t="shared" si="4"/>
        <v>2100</v>
      </c>
      <c r="I300" s="7">
        <v>336</v>
      </c>
    </row>
    <row r="301" spans="1:9">
      <c r="A301" t="s">
        <v>1933</v>
      </c>
      <c r="B301" s="1">
        <v>42247</v>
      </c>
      <c r="C301" t="s">
        <v>4426</v>
      </c>
      <c r="D301">
        <v>1</v>
      </c>
      <c r="E301" t="s">
        <v>778</v>
      </c>
      <c r="F301" s="19" t="s">
        <v>778</v>
      </c>
      <c r="G301" s="139" t="s">
        <v>7474</v>
      </c>
      <c r="H301" s="7">
        <f t="shared" si="4"/>
        <v>251.75</v>
      </c>
      <c r="I301" s="7">
        <v>40.28</v>
      </c>
    </row>
    <row r="302" spans="1:9">
      <c r="A302" t="s">
        <v>1453</v>
      </c>
      <c r="B302" s="1">
        <v>42243</v>
      </c>
      <c r="C302" t="s">
        <v>4571</v>
      </c>
      <c r="D302">
        <v>1</v>
      </c>
      <c r="E302" t="s">
        <v>517</v>
      </c>
      <c r="F302" t="s">
        <v>867</v>
      </c>
      <c r="G302" t="s">
        <v>517</v>
      </c>
      <c r="H302" s="7">
        <f t="shared" si="4"/>
        <v>81971.25</v>
      </c>
      <c r="I302" s="7">
        <v>13115.4</v>
      </c>
    </row>
    <row r="303" spans="1:9">
      <c r="A303" t="s">
        <v>2079</v>
      </c>
      <c r="B303" s="1">
        <v>42233</v>
      </c>
      <c r="C303" t="s">
        <v>4535</v>
      </c>
      <c r="D303">
        <v>1</v>
      </c>
      <c r="E303" t="s">
        <v>436</v>
      </c>
      <c r="F303" t="s">
        <v>868</v>
      </c>
      <c r="G303" t="s">
        <v>436</v>
      </c>
      <c r="H303" s="7">
        <f t="shared" si="4"/>
        <v>6445</v>
      </c>
      <c r="I303" s="7">
        <v>1031.2</v>
      </c>
    </row>
    <row r="304" spans="1:9">
      <c r="A304" t="s">
        <v>2632</v>
      </c>
      <c r="B304" s="1">
        <v>42233</v>
      </c>
      <c r="C304" t="s">
        <v>4536</v>
      </c>
      <c r="D304">
        <v>1</v>
      </c>
      <c r="E304" t="s">
        <v>436</v>
      </c>
      <c r="F304" t="s">
        <v>868</v>
      </c>
      <c r="G304" t="s">
        <v>436</v>
      </c>
      <c r="H304" s="7">
        <f t="shared" si="4"/>
        <v>10931.3125</v>
      </c>
      <c r="I304" s="7">
        <v>1749.01</v>
      </c>
    </row>
    <row r="305" spans="1:9">
      <c r="A305" t="s">
        <v>1257</v>
      </c>
      <c r="B305" s="1">
        <v>42237</v>
      </c>
      <c r="C305" t="s">
        <v>4300</v>
      </c>
      <c r="D305">
        <v>1</v>
      </c>
      <c r="E305" t="s">
        <v>4301</v>
      </c>
      <c r="F305" t="s">
        <v>3237</v>
      </c>
      <c r="G305" t="s">
        <v>4301</v>
      </c>
      <c r="H305" s="7">
        <f t="shared" si="4"/>
        <v>213644.4375</v>
      </c>
      <c r="I305" s="7">
        <v>34183.11</v>
      </c>
    </row>
    <row r="306" spans="1:9">
      <c r="A306" t="s">
        <v>4336</v>
      </c>
      <c r="B306" s="1">
        <v>42247</v>
      </c>
      <c r="C306" t="s">
        <v>4337</v>
      </c>
      <c r="D306">
        <v>1</v>
      </c>
      <c r="E306" t="s">
        <v>4338</v>
      </c>
      <c r="F306" s="25" t="s">
        <v>871</v>
      </c>
      <c r="G306" t="s">
        <v>4338</v>
      </c>
      <c r="H306" s="7">
        <f t="shared" si="4"/>
        <v>195674.875</v>
      </c>
      <c r="I306" s="7">
        <v>31307.98</v>
      </c>
    </row>
    <row r="307" spans="1:9">
      <c r="A307" t="s">
        <v>1246</v>
      </c>
      <c r="B307" s="1">
        <v>42223</v>
      </c>
      <c r="C307" t="s">
        <v>4273</v>
      </c>
      <c r="D307">
        <v>1</v>
      </c>
      <c r="E307" t="s">
        <v>4274</v>
      </c>
      <c r="F307" s="25" t="s">
        <v>871</v>
      </c>
      <c r="G307" t="s">
        <v>4274</v>
      </c>
      <c r="H307" s="7">
        <f t="shared" si="4"/>
        <v>303976.8125</v>
      </c>
      <c r="I307" s="7">
        <v>48636.29</v>
      </c>
    </row>
    <row r="308" spans="1:9">
      <c r="A308" t="s">
        <v>198</v>
      </c>
      <c r="B308" s="1">
        <v>42240</v>
      </c>
      <c r="C308" t="s">
        <v>4305</v>
      </c>
      <c r="D308">
        <v>1</v>
      </c>
      <c r="E308" t="s">
        <v>1055</v>
      </c>
      <c r="F308" t="s">
        <v>1606</v>
      </c>
      <c r="G308" t="s">
        <v>1055</v>
      </c>
      <c r="H308" s="7">
        <f t="shared" si="4"/>
        <v>164790.0625</v>
      </c>
      <c r="I308" s="7">
        <v>26366.41</v>
      </c>
    </row>
    <row r="309" spans="1:9">
      <c r="A309" t="s">
        <v>1287</v>
      </c>
      <c r="B309" s="1">
        <v>42245</v>
      </c>
      <c r="C309" t="s">
        <v>4334</v>
      </c>
      <c r="D309">
        <v>1</v>
      </c>
      <c r="E309" t="s">
        <v>4335</v>
      </c>
      <c r="F309" t="s">
        <v>875</v>
      </c>
      <c r="G309" t="s">
        <v>4335</v>
      </c>
      <c r="H309" s="7">
        <f t="shared" si="4"/>
        <v>157264.1875</v>
      </c>
      <c r="I309" s="7">
        <v>25162.27</v>
      </c>
    </row>
    <row r="310" spans="1:9">
      <c r="A310" t="s">
        <v>3069</v>
      </c>
      <c r="B310" s="1">
        <v>42240</v>
      </c>
      <c r="C310" t="s">
        <v>4228</v>
      </c>
      <c r="D310">
        <v>1</v>
      </c>
      <c r="E310" t="s">
        <v>0</v>
      </c>
      <c r="F310" t="s">
        <v>799</v>
      </c>
      <c r="G310" t="s">
        <v>0</v>
      </c>
      <c r="H310" s="7">
        <f t="shared" si="4"/>
        <v>243505.74999999997</v>
      </c>
      <c r="I310" s="7">
        <v>38960.92</v>
      </c>
    </row>
    <row r="311" spans="1:9">
      <c r="A311" t="s">
        <v>1275</v>
      </c>
      <c r="B311" s="1">
        <v>42243</v>
      </c>
      <c r="C311" t="s">
        <v>4320</v>
      </c>
      <c r="D311">
        <v>1</v>
      </c>
      <c r="E311" t="s">
        <v>0</v>
      </c>
      <c r="F311" t="s">
        <v>799</v>
      </c>
      <c r="G311" t="s">
        <v>0</v>
      </c>
      <c r="H311" s="7">
        <f t="shared" si="4"/>
        <v>157753.375</v>
      </c>
      <c r="I311" s="7">
        <v>25240.54</v>
      </c>
    </row>
    <row r="312" spans="1:9">
      <c r="A312" t="s">
        <v>1284</v>
      </c>
      <c r="B312" s="1">
        <v>42244</v>
      </c>
      <c r="C312" t="s">
        <v>4332</v>
      </c>
      <c r="D312">
        <v>1</v>
      </c>
      <c r="E312" t="s">
        <v>0</v>
      </c>
      <c r="F312" t="s">
        <v>799</v>
      </c>
      <c r="G312" t="s">
        <v>0</v>
      </c>
      <c r="H312" s="7">
        <f t="shared" si="4"/>
        <v>157753.375</v>
      </c>
      <c r="I312" s="7">
        <v>25240.54</v>
      </c>
    </row>
    <row r="313" spans="1:9">
      <c r="A313" t="s">
        <v>1293</v>
      </c>
      <c r="B313" s="1">
        <v>42247</v>
      </c>
      <c r="C313" t="s">
        <v>4341</v>
      </c>
      <c r="D313">
        <v>1</v>
      </c>
      <c r="E313" t="s">
        <v>0</v>
      </c>
      <c r="F313" t="s">
        <v>799</v>
      </c>
      <c r="G313" t="s">
        <v>0</v>
      </c>
      <c r="H313" s="7">
        <f t="shared" si="4"/>
        <v>243507.4375</v>
      </c>
      <c r="I313" s="7">
        <v>38961.19</v>
      </c>
    </row>
    <row r="314" spans="1:9">
      <c r="A314" t="s">
        <v>3086</v>
      </c>
      <c r="B314" s="1">
        <v>42247</v>
      </c>
      <c r="C314" t="s">
        <v>4342</v>
      </c>
      <c r="D314">
        <v>1</v>
      </c>
      <c r="E314" t="s">
        <v>0</v>
      </c>
      <c r="F314" t="s">
        <v>799</v>
      </c>
      <c r="G314" t="s">
        <v>0</v>
      </c>
      <c r="H314" s="7">
        <f t="shared" si="4"/>
        <v>243507.4375</v>
      </c>
      <c r="I314" s="7">
        <v>38961.19</v>
      </c>
    </row>
    <row r="315" spans="1:9">
      <c r="A315" t="s">
        <v>3051</v>
      </c>
      <c r="B315" s="1">
        <v>42231</v>
      </c>
      <c r="C315" t="s">
        <v>4227</v>
      </c>
      <c r="D315">
        <v>1</v>
      </c>
      <c r="E315" t="s">
        <v>0</v>
      </c>
      <c r="F315" t="s">
        <v>799</v>
      </c>
      <c r="G315" t="s">
        <v>0</v>
      </c>
      <c r="H315" s="7">
        <f t="shared" si="4"/>
        <v>156874.5625</v>
      </c>
      <c r="I315" s="7">
        <v>25099.93</v>
      </c>
    </row>
    <row r="316" spans="1:9">
      <c r="A316" t="s">
        <v>1247</v>
      </c>
      <c r="B316" s="1">
        <v>42226</v>
      </c>
      <c r="C316" t="s">
        <v>4275</v>
      </c>
      <c r="D316">
        <v>1</v>
      </c>
      <c r="E316" t="s">
        <v>0</v>
      </c>
      <c r="F316" t="s">
        <v>799</v>
      </c>
      <c r="G316" t="s">
        <v>0</v>
      </c>
      <c r="H316" s="7">
        <f t="shared" si="4"/>
        <v>264996.875</v>
      </c>
      <c r="I316" s="7">
        <v>42399.5</v>
      </c>
    </row>
    <row r="317" spans="1:9">
      <c r="A317" t="s">
        <v>3034</v>
      </c>
      <c r="B317" s="1">
        <v>42226</v>
      </c>
      <c r="C317" t="s">
        <v>4276</v>
      </c>
      <c r="D317">
        <v>1</v>
      </c>
      <c r="E317" t="s">
        <v>0</v>
      </c>
      <c r="F317" t="s">
        <v>799</v>
      </c>
      <c r="G317" t="s">
        <v>0</v>
      </c>
      <c r="H317" s="7">
        <f t="shared" si="4"/>
        <v>322663.875</v>
      </c>
      <c r="I317" s="7">
        <v>51626.22</v>
      </c>
    </row>
    <row r="318" spans="1:9">
      <c r="A318" t="s">
        <v>1249</v>
      </c>
      <c r="B318" s="1">
        <v>42226</v>
      </c>
      <c r="C318" t="s">
        <v>4277</v>
      </c>
      <c r="D318">
        <v>1</v>
      </c>
      <c r="E318" t="s">
        <v>0</v>
      </c>
      <c r="F318" t="s">
        <v>799</v>
      </c>
      <c r="G318" t="s">
        <v>0</v>
      </c>
      <c r="H318" s="7">
        <f t="shared" si="4"/>
        <v>340063.25</v>
      </c>
      <c r="I318" s="7">
        <v>54410.12</v>
      </c>
    </row>
    <row r="319" spans="1:9">
      <c r="A319" t="s">
        <v>1251</v>
      </c>
      <c r="B319" s="1">
        <v>42226</v>
      </c>
      <c r="C319" t="s">
        <v>4278</v>
      </c>
      <c r="D319">
        <v>1</v>
      </c>
      <c r="E319" t="s">
        <v>0</v>
      </c>
      <c r="F319" t="s">
        <v>799</v>
      </c>
      <c r="G319" t="s">
        <v>0</v>
      </c>
      <c r="H319" s="7">
        <f t="shared" si="4"/>
        <v>303976.8125</v>
      </c>
      <c r="I319" s="7">
        <v>48636.29</v>
      </c>
    </row>
    <row r="320" spans="1:9">
      <c r="A320" t="s">
        <v>1253</v>
      </c>
      <c r="B320" s="1">
        <v>42226</v>
      </c>
      <c r="C320" t="s">
        <v>4280</v>
      </c>
      <c r="D320">
        <v>1</v>
      </c>
      <c r="E320" t="s">
        <v>0</v>
      </c>
      <c r="F320" t="s">
        <v>799</v>
      </c>
      <c r="G320" t="s">
        <v>0</v>
      </c>
      <c r="H320" s="7">
        <f t="shared" si="4"/>
        <v>303976.8125</v>
      </c>
      <c r="I320" s="7">
        <v>48636.29</v>
      </c>
    </row>
    <row r="321" spans="1:9">
      <c r="A321" t="s">
        <v>1252</v>
      </c>
      <c r="B321" s="1">
        <v>42226</v>
      </c>
      <c r="C321" t="s">
        <v>4279</v>
      </c>
      <c r="D321">
        <v>1</v>
      </c>
      <c r="E321" t="s">
        <v>0</v>
      </c>
      <c r="F321" t="s">
        <v>799</v>
      </c>
      <c r="G321" t="s">
        <v>0</v>
      </c>
      <c r="H321" s="7">
        <f t="shared" si="4"/>
        <v>322663.875</v>
      </c>
      <c r="I321" s="7">
        <v>51626.22</v>
      </c>
    </row>
    <row r="322" spans="1:9">
      <c r="A322" t="s">
        <v>3042</v>
      </c>
      <c r="B322" s="1">
        <v>42226</v>
      </c>
      <c r="C322" t="s">
        <v>4281</v>
      </c>
      <c r="D322">
        <v>1</v>
      </c>
      <c r="E322" t="s">
        <v>0</v>
      </c>
      <c r="F322" t="s">
        <v>799</v>
      </c>
      <c r="G322" t="s">
        <v>0</v>
      </c>
      <c r="H322" s="7">
        <f t="shared" si="4"/>
        <v>303976.8125</v>
      </c>
      <c r="I322" s="7">
        <v>48636.29</v>
      </c>
    </row>
    <row r="323" spans="1:9">
      <c r="A323" t="s">
        <v>1254</v>
      </c>
      <c r="B323" s="1">
        <v>42226</v>
      </c>
      <c r="C323" t="s">
        <v>4284</v>
      </c>
      <c r="D323">
        <v>1</v>
      </c>
      <c r="E323" t="s">
        <v>0</v>
      </c>
      <c r="F323" t="s">
        <v>799</v>
      </c>
      <c r="G323" t="s">
        <v>0</v>
      </c>
      <c r="H323" s="7">
        <f t="shared" si="4"/>
        <v>303975.125</v>
      </c>
      <c r="I323" s="7">
        <v>48636.02</v>
      </c>
    </row>
    <row r="324" spans="1:9">
      <c r="A324" t="s">
        <v>1258</v>
      </c>
      <c r="B324" s="1">
        <v>42237</v>
      </c>
      <c r="C324" t="s">
        <v>4302</v>
      </c>
      <c r="D324">
        <v>1</v>
      </c>
      <c r="E324" t="s">
        <v>0</v>
      </c>
      <c r="F324" t="s">
        <v>799</v>
      </c>
      <c r="G324" t="s">
        <v>0</v>
      </c>
      <c r="H324" s="7">
        <f t="shared" si="4"/>
        <v>149115.9375</v>
      </c>
      <c r="I324" s="7">
        <v>23858.55</v>
      </c>
    </row>
    <row r="325" spans="1:9">
      <c r="A325" t="s">
        <v>1268</v>
      </c>
      <c r="B325" s="1">
        <v>42241</v>
      </c>
      <c r="C325" t="s">
        <v>4313</v>
      </c>
      <c r="D325">
        <v>1</v>
      </c>
      <c r="E325" t="s">
        <v>0</v>
      </c>
      <c r="F325" t="s">
        <v>799</v>
      </c>
      <c r="G325" t="s">
        <v>0</v>
      </c>
      <c r="H325" s="7">
        <f t="shared" si="4"/>
        <v>148805.625</v>
      </c>
      <c r="I325" s="7">
        <v>23808.9</v>
      </c>
    </row>
    <row r="326" spans="1:9">
      <c r="A326" t="s">
        <v>1277</v>
      </c>
      <c r="B326" s="1">
        <v>42243</v>
      </c>
      <c r="C326" t="s">
        <v>4321</v>
      </c>
      <c r="D326">
        <v>1</v>
      </c>
      <c r="E326" t="s">
        <v>0</v>
      </c>
      <c r="F326" t="s">
        <v>799</v>
      </c>
      <c r="G326" t="s">
        <v>0</v>
      </c>
      <c r="H326" s="7">
        <f t="shared" si="4"/>
        <v>264512.5</v>
      </c>
      <c r="I326" s="7">
        <v>42322</v>
      </c>
    </row>
    <row r="327" spans="1:9">
      <c r="A327" t="s">
        <v>3082</v>
      </c>
      <c r="B327" s="1">
        <v>42241</v>
      </c>
      <c r="C327" t="s">
        <v>4310</v>
      </c>
      <c r="D327">
        <v>1</v>
      </c>
      <c r="E327" t="s">
        <v>0</v>
      </c>
      <c r="F327" t="s">
        <v>799</v>
      </c>
      <c r="G327" t="s">
        <v>0</v>
      </c>
      <c r="H327" s="7">
        <f t="shared" si="4"/>
        <v>318271.75</v>
      </c>
      <c r="I327" s="7">
        <v>50923.48</v>
      </c>
    </row>
    <row r="328" spans="1:9">
      <c r="A328" t="s">
        <v>3049</v>
      </c>
      <c r="B328" s="1">
        <v>42231</v>
      </c>
      <c r="C328" t="s">
        <v>4287</v>
      </c>
      <c r="D328">
        <v>1</v>
      </c>
      <c r="E328" t="s">
        <v>0</v>
      </c>
      <c r="F328" t="s">
        <v>799</v>
      </c>
      <c r="G328" t="s">
        <v>0</v>
      </c>
      <c r="H328" s="7">
        <f t="shared" si="4"/>
        <v>318280.6875</v>
      </c>
      <c r="I328" s="7">
        <v>50924.91</v>
      </c>
    </row>
    <row r="329" spans="1:9">
      <c r="A329" t="s">
        <v>1278</v>
      </c>
      <c r="B329" s="1">
        <v>42243</v>
      </c>
      <c r="C329" t="s">
        <v>4322</v>
      </c>
      <c r="D329">
        <v>1</v>
      </c>
      <c r="E329" t="s">
        <v>0</v>
      </c>
      <c r="F329" t="s">
        <v>799</v>
      </c>
      <c r="G329" t="s">
        <v>0</v>
      </c>
      <c r="H329" s="7">
        <f t="shared" si="4"/>
        <v>177821.875</v>
      </c>
      <c r="I329" s="7">
        <v>28451.5</v>
      </c>
    </row>
    <row r="330" spans="1:9">
      <c r="A330" t="s">
        <v>4333</v>
      </c>
      <c r="B330" s="1">
        <v>42245</v>
      </c>
      <c r="C330" t="s">
        <v>4235</v>
      </c>
      <c r="D330">
        <v>1</v>
      </c>
      <c r="E330" t="s">
        <v>0</v>
      </c>
      <c r="F330" t="s">
        <v>799</v>
      </c>
      <c r="G330" t="s">
        <v>0</v>
      </c>
      <c r="H330" s="7">
        <f t="shared" ref="H330:H371" si="5">+I330/0.16</f>
        <v>177821.875</v>
      </c>
      <c r="I330" s="7">
        <v>28451.5</v>
      </c>
    </row>
    <row r="331" spans="1:9">
      <c r="A331" t="s">
        <v>1823</v>
      </c>
      <c r="B331" s="1">
        <v>42234</v>
      </c>
      <c r="C331" t="s">
        <v>4295</v>
      </c>
      <c r="D331">
        <v>1</v>
      </c>
      <c r="E331" t="s">
        <v>0</v>
      </c>
      <c r="F331" t="s">
        <v>799</v>
      </c>
      <c r="G331" t="s">
        <v>0</v>
      </c>
      <c r="H331" s="7">
        <f t="shared" si="5"/>
        <v>264980</v>
      </c>
      <c r="I331" s="7">
        <v>42396.800000000003</v>
      </c>
    </row>
    <row r="332" spans="1:9">
      <c r="A332" t="s">
        <v>1290</v>
      </c>
      <c r="B332" s="1">
        <v>42247</v>
      </c>
      <c r="C332" t="s">
        <v>4236</v>
      </c>
      <c r="D332">
        <v>1</v>
      </c>
      <c r="E332" t="s">
        <v>0</v>
      </c>
      <c r="F332" t="s">
        <v>799</v>
      </c>
      <c r="G332" t="s">
        <v>0</v>
      </c>
      <c r="H332" s="7">
        <f t="shared" si="5"/>
        <v>317972.0625</v>
      </c>
      <c r="I332" s="7">
        <v>50875.53</v>
      </c>
    </row>
    <row r="333" spans="1:9">
      <c r="A333" t="s">
        <v>1269</v>
      </c>
      <c r="B333" s="1">
        <v>42241</v>
      </c>
      <c r="C333" t="s">
        <v>4314</v>
      </c>
      <c r="D333">
        <v>1</v>
      </c>
      <c r="E333" t="s">
        <v>0</v>
      </c>
      <c r="F333" t="s">
        <v>799</v>
      </c>
      <c r="G333" t="s">
        <v>0</v>
      </c>
      <c r="H333" s="7">
        <f t="shared" si="5"/>
        <v>264669.6875</v>
      </c>
      <c r="I333" s="7">
        <v>42347.15</v>
      </c>
    </row>
    <row r="334" spans="1:9">
      <c r="A334" t="s">
        <v>4324</v>
      </c>
      <c r="B334" s="1">
        <v>42244</v>
      </c>
      <c r="C334" t="s">
        <v>4325</v>
      </c>
      <c r="D334">
        <v>1</v>
      </c>
      <c r="E334" t="s">
        <v>0</v>
      </c>
      <c r="F334" t="s">
        <v>799</v>
      </c>
      <c r="G334" t="s">
        <v>0</v>
      </c>
      <c r="H334" s="7">
        <f t="shared" si="5"/>
        <v>212994.25</v>
      </c>
      <c r="I334" s="7">
        <v>34079.08</v>
      </c>
    </row>
    <row r="335" spans="1:9">
      <c r="A335" t="s">
        <v>4326</v>
      </c>
      <c r="B335" s="1">
        <v>42244</v>
      </c>
      <c r="C335" t="s">
        <v>4327</v>
      </c>
      <c r="D335">
        <v>1</v>
      </c>
      <c r="E335" t="s">
        <v>0</v>
      </c>
      <c r="F335" t="s">
        <v>799</v>
      </c>
      <c r="G335" t="s">
        <v>0</v>
      </c>
      <c r="H335" s="7">
        <f t="shared" si="5"/>
        <v>275176.375</v>
      </c>
      <c r="I335" s="7">
        <v>44028.22</v>
      </c>
    </row>
    <row r="336" spans="1:9">
      <c r="A336" t="s">
        <v>3840</v>
      </c>
      <c r="B336" s="1">
        <v>42244</v>
      </c>
      <c r="C336" t="s">
        <v>4328</v>
      </c>
      <c r="D336">
        <v>1</v>
      </c>
      <c r="E336" t="s">
        <v>0</v>
      </c>
      <c r="F336" t="s">
        <v>799</v>
      </c>
      <c r="G336" t="s">
        <v>0</v>
      </c>
      <c r="H336" s="7">
        <f t="shared" si="5"/>
        <v>322351.8125</v>
      </c>
      <c r="I336" s="7">
        <v>51576.29</v>
      </c>
    </row>
    <row r="337" spans="1:9">
      <c r="A337" t="s">
        <v>1283</v>
      </c>
      <c r="B337" s="1">
        <v>42244</v>
      </c>
      <c r="C337" t="s">
        <v>4329</v>
      </c>
      <c r="D337">
        <v>1</v>
      </c>
      <c r="E337" t="s">
        <v>0</v>
      </c>
      <c r="F337" t="s">
        <v>799</v>
      </c>
      <c r="G337" t="s">
        <v>0</v>
      </c>
      <c r="H337" s="7">
        <f t="shared" si="5"/>
        <v>262429.9375</v>
      </c>
      <c r="I337" s="7">
        <v>41988.79</v>
      </c>
    </row>
    <row r="338" spans="1:9">
      <c r="A338" t="s">
        <v>4339</v>
      </c>
      <c r="B338" s="1">
        <v>42247</v>
      </c>
      <c r="C338" t="s">
        <v>4340</v>
      </c>
      <c r="D338">
        <v>1</v>
      </c>
      <c r="E338" t="s">
        <v>0</v>
      </c>
      <c r="F338" t="s">
        <v>799</v>
      </c>
      <c r="G338" t="s">
        <v>0</v>
      </c>
      <c r="H338" s="7">
        <f t="shared" si="5"/>
        <v>245514.75</v>
      </c>
      <c r="I338" s="7">
        <v>39282.36</v>
      </c>
    </row>
    <row r="339" spans="1:9">
      <c r="A339" t="s">
        <v>3089</v>
      </c>
      <c r="B339" s="1">
        <v>42247</v>
      </c>
      <c r="C339" t="s">
        <v>4237</v>
      </c>
      <c r="D339">
        <v>1</v>
      </c>
      <c r="E339" t="s">
        <v>0</v>
      </c>
      <c r="F339" t="s">
        <v>799</v>
      </c>
      <c r="G339" t="s">
        <v>0</v>
      </c>
      <c r="H339" s="7">
        <f t="shared" si="5"/>
        <v>302003.9375</v>
      </c>
      <c r="I339" s="7">
        <v>48320.63</v>
      </c>
    </row>
    <row r="340" spans="1:9">
      <c r="A340" t="s">
        <v>4350</v>
      </c>
      <c r="B340" s="1">
        <v>42247</v>
      </c>
      <c r="C340" t="s">
        <v>4351</v>
      </c>
      <c r="D340">
        <v>1</v>
      </c>
      <c r="E340" t="s">
        <v>0</v>
      </c>
      <c r="F340" t="s">
        <v>799</v>
      </c>
      <c r="G340" t="s">
        <v>0</v>
      </c>
      <c r="H340" s="7">
        <f t="shared" si="5"/>
        <v>387895.8125</v>
      </c>
      <c r="I340" s="7">
        <v>62063.33</v>
      </c>
    </row>
    <row r="341" spans="1:9">
      <c r="A341" t="s">
        <v>3119</v>
      </c>
      <c r="B341" s="1">
        <v>42223</v>
      </c>
      <c r="C341" t="s">
        <v>4498</v>
      </c>
      <c r="D341">
        <v>1</v>
      </c>
      <c r="E341" t="s">
        <v>1361</v>
      </c>
      <c r="F341" t="s">
        <v>799</v>
      </c>
      <c r="G341" t="s">
        <v>0</v>
      </c>
      <c r="H341" s="7">
        <f t="shared" si="5"/>
        <v>14964.125000000002</v>
      </c>
      <c r="I341" s="7">
        <v>2394.2600000000002</v>
      </c>
    </row>
    <row r="342" spans="1:9">
      <c r="A342" t="s">
        <v>1337</v>
      </c>
      <c r="B342" s="1">
        <v>42223</v>
      </c>
      <c r="C342" t="s">
        <v>4499</v>
      </c>
      <c r="D342">
        <v>1</v>
      </c>
      <c r="E342" t="s">
        <v>1361</v>
      </c>
      <c r="F342" t="s">
        <v>799</v>
      </c>
      <c r="G342" t="s">
        <v>0</v>
      </c>
      <c r="H342" s="7">
        <f t="shared" si="5"/>
        <v>5566.9375</v>
      </c>
      <c r="I342" s="7">
        <v>890.71</v>
      </c>
    </row>
    <row r="343" spans="1:9">
      <c r="A343" t="s">
        <v>3565</v>
      </c>
      <c r="B343" s="1">
        <v>42226</v>
      </c>
      <c r="C343" t="s">
        <v>4503</v>
      </c>
      <c r="D343">
        <v>1</v>
      </c>
      <c r="E343" t="s">
        <v>1361</v>
      </c>
      <c r="F343" t="s">
        <v>799</v>
      </c>
      <c r="G343" t="s">
        <v>0</v>
      </c>
      <c r="H343" s="7">
        <f t="shared" si="5"/>
        <v>276434.625</v>
      </c>
      <c r="I343" s="7">
        <v>44229.54</v>
      </c>
    </row>
    <row r="344" spans="1:9">
      <c r="A344" t="s">
        <v>2587</v>
      </c>
      <c r="B344" s="1">
        <v>42226</v>
      </c>
      <c r="C344" t="s">
        <v>4505</v>
      </c>
      <c r="D344">
        <v>1</v>
      </c>
      <c r="E344" t="s">
        <v>1361</v>
      </c>
      <c r="F344" t="s">
        <v>799</v>
      </c>
      <c r="G344" t="s">
        <v>0</v>
      </c>
      <c r="H344" s="7">
        <f t="shared" si="5"/>
        <v>435876.81249999994</v>
      </c>
      <c r="I344" s="7">
        <v>69740.289999999994</v>
      </c>
    </row>
    <row r="345" spans="1:9">
      <c r="A345" t="s">
        <v>1842</v>
      </c>
      <c r="B345" s="1">
        <v>42247</v>
      </c>
      <c r="C345" t="s">
        <v>4377</v>
      </c>
      <c r="D345">
        <v>1</v>
      </c>
      <c r="E345" t="s">
        <v>878</v>
      </c>
      <c r="F345" s="19" t="s">
        <v>878</v>
      </c>
      <c r="G345" s="139" t="s">
        <v>7410</v>
      </c>
      <c r="H345" s="7">
        <f t="shared" si="5"/>
        <v>380</v>
      </c>
      <c r="I345" s="7">
        <v>60.8</v>
      </c>
    </row>
    <row r="346" spans="1:9">
      <c r="A346" t="s">
        <v>1851</v>
      </c>
      <c r="B346" s="1">
        <v>42247</v>
      </c>
      <c r="C346" t="s">
        <v>4378</v>
      </c>
      <c r="D346">
        <v>1</v>
      </c>
      <c r="E346" t="s">
        <v>878</v>
      </c>
      <c r="F346" s="19" t="s">
        <v>878</v>
      </c>
      <c r="G346" s="139" t="s">
        <v>7410</v>
      </c>
      <c r="H346" s="7">
        <f t="shared" si="5"/>
        <v>380</v>
      </c>
      <c r="I346" s="7">
        <v>60.8</v>
      </c>
    </row>
    <row r="347" spans="1:9">
      <c r="A347" t="s">
        <v>1921</v>
      </c>
      <c r="B347" s="1">
        <v>42247</v>
      </c>
      <c r="C347" t="s">
        <v>4415</v>
      </c>
      <c r="D347">
        <v>1</v>
      </c>
      <c r="E347" t="s">
        <v>935</v>
      </c>
      <c r="F347" s="19" t="s">
        <v>935</v>
      </c>
      <c r="G347" s="139" t="s">
        <v>936</v>
      </c>
      <c r="H347" s="7">
        <f t="shared" si="5"/>
        <v>86.187499999999986</v>
      </c>
      <c r="I347" s="7">
        <v>13.79</v>
      </c>
    </row>
    <row r="348" spans="1:9">
      <c r="A348" t="s">
        <v>1922</v>
      </c>
      <c r="B348" s="1">
        <v>42247</v>
      </c>
      <c r="C348" t="s">
        <v>4417</v>
      </c>
      <c r="D348">
        <v>1</v>
      </c>
      <c r="E348" t="s">
        <v>935</v>
      </c>
      <c r="F348" s="19" t="s">
        <v>935</v>
      </c>
      <c r="G348" s="139" t="s">
        <v>936</v>
      </c>
      <c r="H348" s="7">
        <f t="shared" si="5"/>
        <v>86.187499999999986</v>
      </c>
      <c r="I348" s="7">
        <v>13.79</v>
      </c>
    </row>
    <row r="349" spans="1:9">
      <c r="A349" t="s">
        <v>1927</v>
      </c>
      <c r="B349" s="1">
        <v>42247</v>
      </c>
      <c r="C349" t="s">
        <v>4421</v>
      </c>
      <c r="D349">
        <v>1</v>
      </c>
      <c r="E349" t="s">
        <v>935</v>
      </c>
      <c r="F349" s="19" t="s">
        <v>935</v>
      </c>
      <c r="G349" s="139" t="s">
        <v>936</v>
      </c>
      <c r="H349" s="7">
        <f t="shared" si="5"/>
        <v>86.187499999999986</v>
      </c>
      <c r="I349" s="7">
        <v>13.79</v>
      </c>
    </row>
    <row r="350" spans="1:9">
      <c r="A350" t="s">
        <v>4364</v>
      </c>
      <c r="B350" s="1">
        <v>42247</v>
      </c>
      <c r="C350" t="s">
        <v>4365</v>
      </c>
      <c r="D350">
        <v>1</v>
      </c>
      <c r="E350" t="s">
        <v>4366</v>
      </c>
      <c r="F350" s="70" t="s">
        <v>4366</v>
      </c>
      <c r="G350" s="139" t="s">
        <v>7475</v>
      </c>
      <c r="H350" s="7">
        <f t="shared" si="5"/>
        <v>126.75</v>
      </c>
      <c r="I350" s="7">
        <v>20.28</v>
      </c>
    </row>
    <row r="351" spans="1:9">
      <c r="A351" t="s">
        <v>1264</v>
      </c>
      <c r="B351" s="1">
        <v>42241</v>
      </c>
      <c r="C351" t="s">
        <v>4308</v>
      </c>
      <c r="D351">
        <v>1</v>
      </c>
      <c r="E351" t="s">
        <v>4309</v>
      </c>
      <c r="F351" t="s">
        <v>1643</v>
      </c>
      <c r="G351" t="s">
        <v>4309</v>
      </c>
      <c r="H351" s="7">
        <f t="shared" si="5"/>
        <v>275488.4375</v>
      </c>
      <c r="I351" s="7">
        <v>44078.15</v>
      </c>
    </row>
    <row r="352" spans="1:9">
      <c r="A352" t="s">
        <v>1905</v>
      </c>
      <c r="B352" s="1">
        <v>42247</v>
      </c>
      <c r="C352" t="s">
        <v>4412</v>
      </c>
      <c r="D352">
        <v>1</v>
      </c>
      <c r="E352" t="s">
        <v>1632</v>
      </c>
      <c r="F352" s="19" t="s">
        <v>1632</v>
      </c>
      <c r="G352" s="139" t="s">
        <v>1633</v>
      </c>
      <c r="H352" s="7">
        <f t="shared" si="5"/>
        <v>419.37499999999994</v>
      </c>
      <c r="I352" s="7">
        <v>67.099999999999994</v>
      </c>
    </row>
    <row r="353" spans="1:11">
      <c r="A353" t="s">
        <v>1916</v>
      </c>
      <c r="B353" s="1">
        <v>42247</v>
      </c>
      <c r="C353" t="s">
        <v>4414</v>
      </c>
      <c r="D353">
        <v>1</v>
      </c>
      <c r="E353" t="s">
        <v>1632</v>
      </c>
      <c r="F353" s="19" t="s">
        <v>1632</v>
      </c>
      <c r="G353" s="139" t="s">
        <v>1633</v>
      </c>
      <c r="H353" s="7">
        <f t="shared" si="5"/>
        <v>334.875</v>
      </c>
      <c r="I353" s="7">
        <v>53.58</v>
      </c>
    </row>
    <row r="354" spans="1:11">
      <c r="A354" t="s">
        <v>3009</v>
      </c>
      <c r="B354" s="1">
        <v>42247</v>
      </c>
      <c r="C354" t="s">
        <v>4262</v>
      </c>
      <c r="D354">
        <v>1</v>
      </c>
      <c r="E354" t="s">
        <v>2207</v>
      </c>
      <c r="F354" s="70" t="s">
        <v>2207</v>
      </c>
      <c r="G354" s="139" t="s">
        <v>1856</v>
      </c>
      <c r="H354" s="7">
        <f t="shared" si="5"/>
        <v>206.875</v>
      </c>
      <c r="I354" s="7">
        <v>33.1</v>
      </c>
    </row>
    <row r="355" spans="1:11">
      <c r="A355" t="s">
        <v>4444</v>
      </c>
      <c r="B355" s="1">
        <v>42247</v>
      </c>
      <c r="C355" t="s">
        <v>4445</v>
      </c>
      <c r="D355">
        <v>1</v>
      </c>
      <c r="E355" t="s">
        <v>2207</v>
      </c>
      <c r="F355" s="19" t="s">
        <v>2207</v>
      </c>
      <c r="G355" s="139" t="s">
        <v>1856</v>
      </c>
      <c r="H355" s="7">
        <f t="shared" si="5"/>
        <v>129.3125</v>
      </c>
      <c r="I355" s="7">
        <v>20.69</v>
      </c>
    </row>
    <row r="356" spans="1:11">
      <c r="A356" t="s">
        <v>191</v>
      </c>
      <c r="B356" s="1">
        <v>42247</v>
      </c>
      <c r="C356" t="s">
        <v>4267</v>
      </c>
      <c r="D356">
        <v>1</v>
      </c>
      <c r="E356" t="s">
        <v>802</v>
      </c>
      <c r="F356" s="70" t="s">
        <v>802</v>
      </c>
      <c r="G356" s="139" t="s">
        <v>275</v>
      </c>
      <c r="H356" s="7">
        <f t="shared" si="5"/>
        <v>603.4375</v>
      </c>
      <c r="I356" s="7">
        <v>96.55</v>
      </c>
    </row>
    <row r="357" spans="1:11">
      <c r="A357" t="s">
        <v>4362</v>
      </c>
      <c r="B357" s="1">
        <v>42247</v>
      </c>
      <c r="C357" t="s">
        <v>4363</v>
      </c>
      <c r="D357">
        <v>1</v>
      </c>
      <c r="E357" t="s">
        <v>802</v>
      </c>
      <c r="F357" s="70" t="s">
        <v>802</v>
      </c>
      <c r="G357" s="139" t="s">
        <v>275</v>
      </c>
      <c r="H357" s="7">
        <f t="shared" si="5"/>
        <v>310.375</v>
      </c>
      <c r="I357" s="7">
        <v>49.66</v>
      </c>
    </row>
    <row r="358" spans="1:11">
      <c r="A358" t="s">
        <v>1838</v>
      </c>
      <c r="B358" s="1">
        <v>42247</v>
      </c>
      <c r="C358" t="s">
        <v>4375</v>
      </c>
      <c r="D358">
        <v>1</v>
      </c>
      <c r="E358" t="s">
        <v>802</v>
      </c>
      <c r="F358" s="19" t="s">
        <v>802</v>
      </c>
      <c r="G358" s="139" t="s">
        <v>275</v>
      </c>
      <c r="H358" s="7">
        <f t="shared" si="5"/>
        <v>310.375</v>
      </c>
      <c r="I358" s="7">
        <v>49.66</v>
      </c>
    </row>
    <row r="359" spans="1:11">
      <c r="A359" t="s">
        <v>1160</v>
      </c>
      <c r="B359" s="1">
        <v>42247</v>
      </c>
      <c r="C359" t="s">
        <v>3506</v>
      </c>
      <c r="D359">
        <v>1</v>
      </c>
      <c r="E359" t="s">
        <v>4243</v>
      </c>
      <c r="F359" s="19" t="s">
        <v>714</v>
      </c>
      <c r="G359" s="70" t="s">
        <v>715</v>
      </c>
      <c r="H359" s="27">
        <f t="shared" si="5"/>
        <v>46.5625</v>
      </c>
      <c r="I359" s="27">
        <v>7.45</v>
      </c>
    </row>
    <row r="360" spans="1:11">
      <c r="A360" t="s">
        <v>1160</v>
      </c>
      <c r="B360" s="1">
        <v>42247</v>
      </c>
      <c r="C360" t="s">
        <v>3506</v>
      </c>
      <c r="D360">
        <v>1</v>
      </c>
      <c r="E360" t="s">
        <v>4243</v>
      </c>
      <c r="F360" s="19" t="s">
        <v>714</v>
      </c>
      <c r="G360" s="70" t="s">
        <v>715</v>
      </c>
      <c r="H360" s="27">
        <f t="shared" si="5"/>
        <v>222.43750000000003</v>
      </c>
      <c r="I360" s="27">
        <v>35.590000000000003</v>
      </c>
    </row>
    <row r="361" spans="1:11">
      <c r="A361" t="s">
        <v>1160</v>
      </c>
      <c r="B361" s="1">
        <v>42247</v>
      </c>
      <c r="C361" t="s">
        <v>3506</v>
      </c>
      <c r="D361">
        <v>1</v>
      </c>
      <c r="E361" t="s">
        <v>4243</v>
      </c>
      <c r="F361" s="19" t="s">
        <v>714</v>
      </c>
      <c r="G361" s="70" t="s">
        <v>715</v>
      </c>
      <c r="H361" s="27">
        <f t="shared" si="5"/>
        <v>222.43750000000003</v>
      </c>
      <c r="I361" s="27">
        <v>35.590000000000003</v>
      </c>
    </row>
    <row r="362" spans="1:11">
      <c r="A362" t="s">
        <v>1160</v>
      </c>
      <c r="B362" s="1">
        <v>42247</v>
      </c>
      <c r="C362" t="s">
        <v>3506</v>
      </c>
      <c r="D362">
        <v>1</v>
      </c>
      <c r="E362" t="s">
        <v>4243</v>
      </c>
      <c r="F362" s="19" t="s">
        <v>714</v>
      </c>
      <c r="G362" s="70" t="s">
        <v>715</v>
      </c>
      <c r="H362" s="27">
        <f t="shared" si="5"/>
        <v>46.5625</v>
      </c>
      <c r="I362" s="27">
        <v>7.45</v>
      </c>
    </row>
    <row r="363" spans="1:11">
      <c r="A363" t="s">
        <v>1160</v>
      </c>
      <c r="B363" s="1">
        <v>42247</v>
      </c>
      <c r="C363" t="s">
        <v>3506</v>
      </c>
      <c r="D363">
        <v>1</v>
      </c>
      <c r="E363" t="s">
        <v>4243</v>
      </c>
      <c r="F363" s="91" t="s">
        <v>716</v>
      </c>
      <c r="G363" s="70" t="s">
        <v>717</v>
      </c>
      <c r="H363" s="27">
        <f t="shared" si="5"/>
        <v>81.0625</v>
      </c>
      <c r="I363" s="27">
        <v>12.97</v>
      </c>
    </row>
    <row r="364" spans="1:11">
      <c r="A364" t="s">
        <v>1160</v>
      </c>
      <c r="B364" s="1">
        <v>42247</v>
      </c>
      <c r="C364" t="s">
        <v>3506</v>
      </c>
      <c r="D364">
        <v>1</v>
      </c>
      <c r="E364" t="s">
        <v>4243</v>
      </c>
      <c r="F364" s="91" t="s">
        <v>716</v>
      </c>
      <c r="G364" s="70" t="s">
        <v>717</v>
      </c>
      <c r="H364" s="27">
        <f t="shared" si="5"/>
        <v>137.0625</v>
      </c>
      <c r="I364" s="27">
        <v>21.93</v>
      </c>
    </row>
    <row r="365" spans="1:11">
      <c r="A365" t="s">
        <v>1160</v>
      </c>
      <c r="B365" s="1">
        <v>42247</v>
      </c>
      <c r="C365" t="s">
        <v>3506</v>
      </c>
      <c r="D365">
        <v>1</v>
      </c>
      <c r="E365" t="s">
        <v>4243</v>
      </c>
      <c r="F365" s="91" t="s">
        <v>1534</v>
      </c>
      <c r="G365" s="70" t="s">
        <v>1535</v>
      </c>
      <c r="H365" s="27">
        <f t="shared" si="5"/>
        <v>53.4375</v>
      </c>
      <c r="I365" s="27">
        <v>8.5500000000000007</v>
      </c>
    </row>
    <row r="366" spans="1:11">
      <c r="A366" t="s">
        <v>1160</v>
      </c>
      <c r="B366" s="1">
        <v>42247</v>
      </c>
      <c r="C366" t="s">
        <v>3506</v>
      </c>
      <c r="D366">
        <v>1</v>
      </c>
      <c r="E366" t="s">
        <v>4243</v>
      </c>
      <c r="F366" s="91" t="s">
        <v>716</v>
      </c>
      <c r="G366" s="70" t="s">
        <v>717</v>
      </c>
      <c r="H366" s="27">
        <f t="shared" si="5"/>
        <v>2953.125</v>
      </c>
      <c r="I366" s="27">
        <v>472.5</v>
      </c>
      <c r="J366" s="7">
        <f>3762.69-H359-H360-H361-H362-H363-H364-H365-H366</f>
        <v>2.5000000000545697E-3</v>
      </c>
      <c r="K366" s="7">
        <f>602.03-I359-I360-I361-I362-I363-I364-I365-I366</f>
        <v>0</v>
      </c>
    </row>
    <row r="367" spans="1:11">
      <c r="A367" t="s">
        <v>1997</v>
      </c>
      <c r="B367" s="1">
        <v>42246</v>
      </c>
      <c r="C367" t="s">
        <v>1315</v>
      </c>
      <c r="D367">
        <v>1</v>
      </c>
      <c r="E367" t="s">
        <v>4465</v>
      </c>
      <c r="F367" s="91" t="s">
        <v>5646</v>
      </c>
      <c r="G367" s="70" t="s">
        <v>5649</v>
      </c>
      <c r="H367" s="7">
        <f t="shared" si="5"/>
        <v>651.5625</v>
      </c>
      <c r="I367" s="7">
        <v>104.25</v>
      </c>
      <c r="J367" s="7">
        <f>+K367/0.16</f>
        <v>839.49999999999989</v>
      </c>
      <c r="K367" s="7">
        <v>134.32</v>
      </c>
    </row>
    <row r="368" spans="1:11">
      <c r="A368" t="s">
        <v>1997</v>
      </c>
      <c r="B368" s="1">
        <v>42246</v>
      </c>
      <c r="C368" t="s">
        <v>1315</v>
      </c>
      <c r="D368">
        <v>1</v>
      </c>
      <c r="E368" t="s">
        <v>4465</v>
      </c>
      <c r="F368" s="19" t="s">
        <v>722</v>
      </c>
      <c r="G368" s="70" t="s">
        <v>723</v>
      </c>
      <c r="H368" s="7">
        <f t="shared" si="5"/>
        <v>118.12499999999999</v>
      </c>
      <c r="I368" s="7">
        <v>18.899999999999999</v>
      </c>
    </row>
    <row r="369" spans="1:11">
      <c r="A369" t="s">
        <v>1997</v>
      </c>
      <c r="B369" s="1">
        <v>42246</v>
      </c>
      <c r="C369" t="s">
        <v>1315</v>
      </c>
      <c r="D369">
        <v>1</v>
      </c>
      <c r="E369" t="s">
        <v>4465</v>
      </c>
      <c r="F369" s="19" t="s">
        <v>722</v>
      </c>
      <c r="G369" s="70" t="s">
        <v>723</v>
      </c>
      <c r="H369" s="7">
        <f t="shared" si="5"/>
        <v>60.375</v>
      </c>
      <c r="I369" s="7">
        <v>9.66</v>
      </c>
    </row>
    <row r="370" spans="1:11">
      <c r="A370" t="s">
        <v>1997</v>
      </c>
      <c r="B370" s="1">
        <v>42246</v>
      </c>
      <c r="C370" t="s">
        <v>1315</v>
      </c>
      <c r="D370">
        <v>1</v>
      </c>
      <c r="E370" t="s">
        <v>4465</v>
      </c>
      <c r="F370" s="139" t="s">
        <v>881</v>
      </c>
      <c r="G370" s="70" t="s">
        <v>882</v>
      </c>
      <c r="H370" s="7">
        <f t="shared" si="5"/>
        <v>9.4375</v>
      </c>
      <c r="I370" s="7">
        <f>1.52-0.01</f>
        <v>1.51</v>
      </c>
      <c r="J370" s="7">
        <f>839.5-H367-H368-H369-H370</f>
        <v>1.4210854715202004E-14</v>
      </c>
      <c r="K370" s="7">
        <f>134.32-I367-I368-I369-I370</f>
        <v>-5.5511151231257827E-15</v>
      </c>
    </row>
    <row r="371" spans="1:11">
      <c r="A371" t="s">
        <v>4456</v>
      </c>
      <c r="B371" s="1">
        <v>42247</v>
      </c>
      <c r="C371" t="s">
        <v>4457</v>
      </c>
      <c r="D371">
        <v>1</v>
      </c>
      <c r="E371" t="s">
        <v>4458</v>
      </c>
      <c r="F371" s="19" t="s">
        <v>722</v>
      </c>
      <c r="G371" s="70" t="s">
        <v>722</v>
      </c>
      <c r="H371" s="7">
        <f t="shared" si="5"/>
        <v>459.99999999999994</v>
      </c>
      <c r="I371" s="7">
        <v>73.599999999999994</v>
      </c>
    </row>
    <row r="373" spans="1:11">
      <c r="H373" s="8"/>
      <c r="I373" s="8"/>
    </row>
    <row r="374" spans="1:11">
      <c r="H374" s="9">
        <f>SUM(H7:H373)</f>
        <v>19534430.375</v>
      </c>
      <c r="I374" s="9">
        <f>SUM(I7:I373)</f>
        <v>3125508.859999998</v>
      </c>
    </row>
    <row r="375" spans="1:11">
      <c r="H375" s="10">
        <f>3627325.97-502298.5</f>
        <v>3125027.47</v>
      </c>
      <c r="I375" s="10">
        <f>+H375-I374</f>
        <v>-481.38999999780208</v>
      </c>
      <c r="J375" s="7" t="s">
        <v>960</v>
      </c>
    </row>
    <row r="376" spans="1:11" s="84" customFormat="1">
      <c r="A376" s="84" t="s">
        <v>4115</v>
      </c>
      <c r="B376" s="147">
        <v>42226</v>
      </c>
      <c r="C376" s="84" t="s">
        <v>4150</v>
      </c>
      <c r="D376" s="84">
        <v>1</v>
      </c>
      <c r="E376" s="84" t="s">
        <v>4504</v>
      </c>
      <c r="F376" s="84" t="s">
        <v>4214</v>
      </c>
      <c r="G376" s="84" t="s">
        <v>7453</v>
      </c>
      <c r="H376" s="148">
        <f>+I376/0.16</f>
        <v>-3008.6875</v>
      </c>
      <c r="I376" s="148">
        <v>-481.39</v>
      </c>
      <c r="J376" s="148" t="s">
        <v>7555</v>
      </c>
      <c r="K376" s="148"/>
    </row>
    <row r="377" spans="1:11">
      <c r="I377" s="9">
        <f>+I376+I374</f>
        <v>3125027.4699999979</v>
      </c>
    </row>
    <row r="378" spans="1:11">
      <c r="I378" s="9"/>
    </row>
    <row r="379" spans="1:11">
      <c r="F379" s="11"/>
      <c r="J379"/>
    </row>
    <row r="380" spans="1:11">
      <c r="F380" s="12" t="s">
        <v>696</v>
      </c>
      <c r="J380"/>
    </row>
    <row r="381" spans="1:11">
      <c r="F381" s="13" t="s">
        <v>7292</v>
      </c>
      <c r="J381"/>
    </row>
    <row r="382" spans="1:11">
      <c r="F382" s="11"/>
      <c r="J382"/>
    </row>
    <row r="383" spans="1:11">
      <c r="A383" s="14"/>
      <c r="B383" s="14"/>
      <c r="C383" s="14"/>
      <c r="D383" s="14"/>
      <c r="E383" s="14"/>
      <c r="F383" s="14" t="s">
        <v>692</v>
      </c>
      <c r="G383" s="14" t="s">
        <v>693</v>
      </c>
      <c r="H383" s="15" t="s">
        <v>694</v>
      </c>
      <c r="I383" s="14" t="s">
        <v>695</v>
      </c>
      <c r="J383" s="14" t="s">
        <v>697</v>
      </c>
    </row>
    <row r="384" spans="1:11">
      <c r="A384" s="150" t="s">
        <v>7544</v>
      </c>
      <c r="B384">
        <v>85</v>
      </c>
      <c r="F384" t="s">
        <v>1604</v>
      </c>
      <c r="G384" t="s">
        <v>1501</v>
      </c>
      <c r="H384" s="7">
        <f>+I384/0.16</f>
        <v>4700</v>
      </c>
      <c r="I384" s="7">
        <f>+SUMIF($F$7:$F$371,F384,$I$7:$I$371)</f>
        <v>752</v>
      </c>
    </row>
    <row r="385" spans="1:9">
      <c r="A385" s="150" t="s">
        <v>7544</v>
      </c>
      <c r="B385">
        <v>85</v>
      </c>
      <c r="F385" s="19" t="s">
        <v>4393</v>
      </c>
      <c r="G385" s="139" t="s">
        <v>7456</v>
      </c>
      <c r="H385" s="7">
        <f t="shared" ref="H385:H447" si="6">+I385/0.16</f>
        <v>202.625</v>
      </c>
      <c r="I385" s="7">
        <f t="shared" ref="I385:I447" si="7">+SUMIF($F$7:$F$371,F385,$I$7:$I$371)</f>
        <v>32.42</v>
      </c>
    </row>
    <row r="386" spans="1:9">
      <c r="A386" s="150" t="s">
        <v>7544</v>
      </c>
      <c r="B386">
        <v>85</v>
      </c>
      <c r="F386" s="19" t="s">
        <v>923</v>
      </c>
      <c r="G386" s="139" t="s">
        <v>7356</v>
      </c>
      <c r="H386" s="7">
        <f t="shared" si="6"/>
        <v>803.5</v>
      </c>
      <c r="I386" s="7">
        <f t="shared" si="7"/>
        <v>128.56</v>
      </c>
    </row>
    <row r="387" spans="1:9">
      <c r="A387" s="150" t="s">
        <v>7544</v>
      </c>
      <c r="B387">
        <v>85</v>
      </c>
      <c r="F387" s="17" t="s">
        <v>733</v>
      </c>
      <c r="G387" t="s">
        <v>4423</v>
      </c>
      <c r="H387" s="7">
        <f t="shared" si="6"/>
        <v>1199.4375</v>
      </c>
      <c r="I387" s="7">
        <f t="shared" si="7"/>
        <v>191.91</v>
      </c>
    </row>
    <row r="388" spans="1:9">
      <c r="A388" s="150" t="s">
        <v>7544</v>
      </c>
      <c r="B388">
        <v>85</v>
      </c>
      <c r="F388" s="19" t="s">
        <v>879</v>
      </c>
      <c r="G388" s="139" t="s">
        <v>7357</v>
      </c>
      <c r="H388" s="7">
        <f t="shared" si="6"/>
        <v>620.0625</v>
      </c>
      <c r="I388" s="7">
        <f t="shared" si="7"/>
        <v>99.210000000000008</v>
      </c>
    </row>
    <row r="389" spans="1:9">
      <c r="A389" s="150" t="s">
        <v>7544</v>
      </c>
      <c r="B389">
        <v>85</v>
      </c>
      <c r="F389" s="19" t="s">
        <v>2241</v>
      </c>
      <c r="G389" s="139" t="s">
        <v>2710</v>
      </c>
      <c r="H389" s="7">
        <f t="shared" si="6"/>
        <v>100</v>
      </c>
      <c r="I389" s="7">
        <f t="shared" si="7"/>
        <v>16</v>
      </c>
    </row>
    <row r="390" spans="1:9">
      <c r="A390" s="150" t="s">
        <v>7544</v>
      </c>
      <c r="B390">
        <v>85</v>
      </c>
      <c r="F390" s="19" t="s">
        <v>2191</v>
      </c>
      <c r="G390" s="139" t="s">
        <v>4930</v>
      </c>
      <c r="H390" s="7">
        <f t="shared" si="6"/>
        <v>270</v>
      </c>
      <c r="I390" s="7">
        <f t="shared" si="7"/>
        <v>43.2</v>
      </c>
    </row>
    <row r="391" spans="1:9">
      <c r="A391" s="150" t="s">
        <v>7544</v>
      </c>
      <c r="B391">
        <v>85</v>
      </c>
      <c r="F391" s="70" t="s">
        <v>711</v>
      </c>
      <c r="G391" s="139" t="s">
        <v>7375</v>
      </c>
      <c r="H391" s="7">
        <f t="shared" si="6"/>
        <v>749.25</v>
      </c>
      <c r="I391" s="7">
        <f t="shared" si="7"/>
        <v>119.88000000000001</v>
      </c>
    </row>
    <row r="392" spans="1:9">
      <c r="A392" s="150" t="s">
        <v>7544</v>
      </c>
      <c r="B392">
        <v>85</v>
      </c>
      <c r="F392" s="19" t="s">
        <v>745</v>
      </c>
      <c r="G392" s="139" t="s">
        <v>746</v>
      </c>
      <c r="H392" s="7">
        <f t="shared" si="6"/>
        <v>150.875</v>
      </c>
      <c r="I392" s="7">
        <f t="shared" si="7"/>
        <v>24.14</v>
      </c>
    </row>
    <row r="393" spans="1:9">
      <c r="A393" s="150" t="s">
        <v>7544</v>
      </c>
      <c r="B393">
        <v>85</v>
      </c>
      <c r="F393" t="s">
        <v>1530</v>
      </c>
      <c r="G393" t="s">
        <v>4541</v>
      </c>
      <c r="H393" s="7">
        <f t="shared" si="6"/>
        <v>1171.4375</v>
      </c>
      <c r="I393" s="7">
        <f t="shared" si="7"/>
        <v>187.43</v>
      </c>
    </row>
    <row r="394" spans="1:9">
      <c r="A394" s="150" t="s">
        <v>7544</v>
      </c>
      <c r="B394">
        <v>85</v>
      </c>
      <c r="F394" t="s">
        <v>3217</v>
      </c>
      <c r="G394" t="s">
        <v>4315</v>
      </c>
      <c r="H394" s="7">
        <f t="shared" si="6"/>
        <v>223284.93749999997</v>
      </c>
      <c r="I394" s="7">
        <f t="shared" si="7"/>
        <v>35725.589999999997</v>
      </c>
    </row>
    <row r="395" spans="1:9">
      <c r="A395" s="150" t="s">
        <v>7544</v>
      </c>
      <c r="B395">
        <v>85</v>
      </c>
      <c r="F395" s="19" t="s">
        <v>4418</v>
      </c>
      <c r="G395" s="139" t="s">
        <v>7457</v>
      </c>
      <c r="H395" s="7">
        <f t="shared" si="6"/>
        <v>99.125</v>
      </c>
      <c r="I395" s="7">
        <f t="shared" si="7"/>
        <v>15.86</v>
      </c>
    </row>
    <row r="396" spans="1:9">
      <c r="A396" s="150" t="s">
        <v>7544</v>
      </c>
      <c r="B396">
        <v>85</v>
      </c>
      <c r="F396" s="19" t="s">
        <v>714</v>
      </c>
      <c r="G396" s="19" t="s">
        <v>715</v>
      </c>
      <c r="H396" s="7">
        <f t="shared" si="6"/>
        <v>6094.3125000000018</v>
      </c>
      <c r="I396" s="7">
        <f t="shared" si="7"/>
        <v>975.09000000000037</v>
      </c>
    </row>
    <row r="397" spans="1:9">
      <c r="A397" s="150" t="s">
        <v>7544</v>
      </c>
      <c r="B397">
        <v>85</v>
      </c>
      <c r="F397" s="19" t="s">
        <v>751</v>
      </c>
      <c r="G397" s="139" t="s">
        <v>7358</v>
      </c>
      <c r="H397" s="7">
        <f t="shared" si="6"/>
        <v>794.8125</v>
      </c>
      <c r="I397" s="7">
        <f t="shared" si="7"/>
        <v>127.17</v>
      </c>
    </row>
    <row r="398" spans="1:9">
      <c r="A398" s="150" t="s">
        <v>7544</v>
      </c>
      <c r="B398">
        <v>85</v>
      </c>
      <c r="F398" t="s">
        <v>2187</v>
      </c>
      <c r="G398" t="s">
        <v>4297</v>
      </c>
      <c r="H398" s="7">
        <f t="shared" si="6"/>
        <v>245825.0625</v>
      </c>
      <c r="I398" s="7">
        <f t="shared" si="7"/>
        <v>39332.01</v>
      </c>
    </row>
    <row r="399" spans="1:9">
      <c r="A399" s="150" t="s">
        <v>7544</v>
      </c>
      <c r="B399">
        <v>85</v>
      </c>
      <c r="F399" s="19" t="s">
        <v>3903</v>
      </c>
      <c r="G399" s="139" t="s">
        <v>7441</v>
      </c>
      <c r="H399" s="7">
        <f t="shared" si="6"/>
        <v>82.75</v>
      </c>
      <c r="I399" s="7">
        <f t="shared" si="7"/>
        <v>13.24</v>
      </c>
    </row>
    <row r="400" spans="1:9">
      <c r="A400" s="150" t="s">
        <v>7544</v>
      </c>
      <c r="B400">
        <v>85</v>
      </c>
      <c r="F400" t="s">
        <v>698</v>
      </c>
      <c r="G400" t="s">
        <v>4286</v>
      </c>
      <c r="H400" s="7">
        <f t="shared" si="6"/>
        <v>615551.6875</v>
      </c>
      <c r="I400" s="7">
        <f t="shared" si="7"/>
        <v>98488.27</v>
      </c>
    </row>
    <row r="401" spans="1:10">
      <c r="A401" s="150" t="s">
        <v>7544</v>
      </c>
      <c r="B401">
        <v>85</v>
      </c>
      <c r="F401" s="19" t="s">
        <v>7282</v>
      </c>
      <c r="G401" s="70" t="s">
        <v>7283</v>
      </c>
      <c r="H401" s="7">
        <f t="shared" si="6"/>
        <v>68.125</v>
      </c>
      <c r="I401" s="7">
        <f t="shared" si="7"/>
        <v>10.9</v>
      </c>
    </row>
    <row r="402" spans="1:10">
      <c r="A402" s="150" t="s">
        <v>7544</v>
      </c>
      <c r="B402">
        <v>85</v>
      </c>
      <c r="F402" t="s">
        <v>3657</v>
      </c>
      <c r="G402" t="s">
        <v>3597</v>
      </c>
      <c r="H402" s="7">
        <f t="shared" si="6"/>
        <v>26000</v>
      </c>
      <c r="I402" s="7">
        <f t="shared" si="7"/>
        <v>4160</v>
      </c>
    </row>
    <row r="403" spans="1:10">
      <c r="A403" s="150" t="s">
        <v>7544</v>
      </c>
      <c r="B403">
        <v>85</v>
      </c>
      <c r="F403" t="s">
        <v>2690</v>
      </c>
      <c r="G403" t="s">
        <v>4352</v>
      </c>
      <c r="H403" s="7">
        <f t="shared" si="6"/>
        <v>245825.0625</v>
      </c>
      <c r="I403" s="7">
        <f t="shared" si="7"/>
        <v>39332.01</v>
      </c>
    </row>
    <row r="404" spans="1:10">
      <c r="A404" s="150" t="s">
        <v>7544</v>
      </c>
      <c r="B404">
        <v>85</v>
      </c>
      <c r="F404" s="25" t="s">
        <v>737</v>
      </c>
      <c r="G404" t="s">
        <v>4512</v>
      </c>
      <c r="H404" s="7">
        <f t="shared" si="6"/>
        <v>18162.75</v>
      </c>
      <c r="I404" s="7">
        <f t="shared" si="7"/>
        <v>2906.04</v>
      </c>
    </row>
    <row r="405" spans="1:10">
      <c r="A405" s="150" t="s">
        <v>7544</v>
      </c>
      <c r="B405">
        <v>85</v>
      </c>
      <c r="F405" s="25" t="s">
        <v>735</v>
      </c>
      <c r="G405" t="s">
        <v>4240</v>
      </c>
      <c r="H405" s="7">
        <f t="shared" si="6"/>
        <v>200</v>
      </c>
      <c r="I405" s="7">
        <f t="shared" si="7"/>
        <v>32</v>
      </c>
    </row>
    <row r="406" spans="1:10">
      <c r="A406" s="150" t="s">
        <v>7544</v>
      </c>
      <c r="B406">
        <v>85</v>
      </c>
      <c r="F406" t="s">
        <v>2212</v>
      </c>
      <c r="G406" t="s">
        <v>2097</v>
      </c>
      <c r="H406" s="7">
        <f t="shared" si="6"/>
        <v>21856.875</v>
      </c>
      <c r="I406" s="7">
        <f t="shared" si="7"/>
        <v>3497.1000000000004</v>
      </c>
    </row>
    <row r="407" spans="1:10">
      <c r="A407" s="150" t="s">
        <v>7544</v>
      </c>
      <c r="B407">
        <v>85</v>
      </c>
      <c r="F407" s="25" t="s">
        <v>741</v>
      </c>
      <c r="G407" t="s">
        <v>4201</v>
      </c>
      <c r="H407" s="7">
        <f t="shared" si="6"/>
        <v>1087</v>
      </c>
      <c r="I407" s="7">
        <f t="shared" si="7"/>
        <v>173.92</v>
      </c>
    </row>
    <row r="408" spans="1:10">
      <c r="A408" s="150" t="s">
        <v>7544</v>
      </c>
      <c r="B408">
        <v>85</v>
      </c>
      <c r="F408" t="s">
        <v>739</v>
      </c>
      <c r="G408" s="19" t="s">
        <v>7451</v>
      </c>
      <c r="H408" s="7">
        <f t="shared" si="6"/>
        <v>8515.875</v>
      </c>
      <c r="I408" s="7">
        <f t="shared" si="7"/>
        <v>1362.54</v>
      </c>
    </row>
    <row r="409" spans="1:10">
      <c r="A409" s="150" t="s">
        <v>7544</v>
      </c>
      <c r="B409">
        <v>85</v>
      </c>
      <c r="F409" s="70" t="s">
        <v>712</v>
      </c>
      <c r="G409" s="19" t="s">
        <v>7459</v>
      </c>
      <c r="H409" s="7">
        <f t="shared" si="6"/>
        <v>86.25</v>
      </c>
      <c r="I409" s="7">
        <f t="shared" si="7"/>
        <v>13.8</v>
      </c>
    </row>
    <row r="410" spans="1:10">
      <c r="A410" s="150" t="s">
        <v>7544</v>
      </c>
      <c r="B410">
        <v>85</v>
      </c>
      <c r="F410" s="25" t="s">
        <v>743</v>
      </c>
      <c r="G410" t="s">
        <v>1466</v>
      </c>
      <c r="H410" s="7">
        <f t="shared" si="6"/>
        <v>178</v>
      </c>
      <c r="I410" s="7">
        <f t="shared" si="7"/>
        <v>28.48</v>
      </c>
    </row>
    <row r="411" spans="1:10">
      <c r="A411" s="150" t="s">
        <v>7544</v>
      </c>
      <c r="B411">
        <v>85</v>
      </c>
      <c r="F411" t="s">
        <v>790</v>
      </c>
      <c r="G411" t="s">
        <v>428</v>
      </c>
      <c r="H411" s="7">
        <f t="shared" si="6"/>
        <v>1295277.1250000002</v>
      </c>
      <c r="I411" s="7">
        <f t="shared" si="7"/>
        <v>207244.34000000003</v>
      </c>
    </row>
    <row r="412" spans="1:10">
      <c r="A412" s="150" t="s">
        <v>7544</v>
      </c>
      <c r="B412" s="150" t="s">
        <v>7566</v>
      </c>
      <c r="F412" t="s">
        <v>956</v>
      </c>
      <c r="G412" t="s">
        <v>957</v>
      </c>
      <c r="H412" s="7">
        <f t="shared" si="6"/>
        <v>36890.4375</v>
      </c>
      <c r="I412" s="7">
        <f t="shared" si="7"/>
        <v>5902.47</v>
      </c>
      <c r="J412" s="7">
        <v>3934.98</v>
      </c>
    </row>
    <row r="413" spans="1:10">
      <c r="A413" s="150" t="s">
        <v>7544</v>
      </c>
      <c r="B413">
        <v>85</v>
      </c>
      <c r="F413" t="s">
        <v>4469</v>
      </c>
      <c r="G413" t="s">
        <v>7269</v>
      </c>
      <c r="H413" s="7">
        <f t="shared" si="6"/>
        <v>60.375</v>
      </c>
      <c r="I413" s="7">
        <f t="shared" si="7"/>
        <v>9.66</v>
      </c>
    </row>
    <row r="414" spans="1:10">
      <c r="A414" s="150" t="s">
        <v>7544</v>
      </c>
      <c r="B414">
        <v>85</v>
      </c>
      <c r="F414" s="19" t="s">
        <v>4932</v>
      </c>
      <c r="G414" t="s">
        <v>4476</v>
      </c>
      <c r="H414" s="7">
        <f t="shared" si="6"/>
        <v>3900</v>
      </c>
      <c r="I414" s="7">
        <f t="shared" si="7"/>
        <v>624</v>
      </c>
    </row>
    <row r="415" spans="1:10">
      <c r="A415" s="150" t="s">
        <v>7544</v>
      </c>
      <c r="B415">
        <v>85</v>
      </c>
      <c r="F415" t="s">
        <v>724</v>
      </c>
      <c r="G415" t="s">
        <v>4348</v>
      </c>
      <c r="H415" s="7">
        <f t="shared" si="6"/>
        <v>521313.5</v>
      </c>
      <c r="I415" s="7">
        <f t="shared" si="7"/>
        <v>83410.16</v>
      </c>
    </row>
    <row r="416" spans="1:10">
      <c r="A416" s="150" t="s">
        <v>7544</v>
      </c>
      <c r="B416">
        <v>85</v>
      </c>
      <c r="F416" s="19" t="s">
        <v>895</v>
      </c>
      <c r="G416" s="139" t="s">
        <v>896</v>
      </c>
      <c r="H416" s="7">
        <f t="shared" si="6"/>
        <v>94.8125</v>
      </c>
      <c r="I416" s="7">
        <f t="shared" si="7"/>
        <v>15.17</v>
      </c>
    </row>
    <row r="417" spans="1:9">
      <c r="A417" s="150" t="s">
        <v>7544</v>
      </c>
      <c r="B417">
        <v>85</v>
      </c>
      <c r="F417" t="s">
        <v>3220</v>
      </c>
      <c r="G417" t="s">
        <v>4489</v>
      </c>
      <c r="H417" s="7">
        <f t="shared" si="6"/>
        <v>1293</v>
      </c>
      <c r="I417" s="7">
        <f t="shared" si="7"/>
        <v>206.88</v>
      </c>
    </row>
    <row r="418" spans="1:9">
      <c r="A418" s="150" t="s">
        <v>7544</v>
      </c>
      <c r="B418">
        <v>85</v>
      </c>
      <c r="F418" s="139" t="s">
        <v>881</v>
      </c>
      <c r="G418" s="70" t="s">
        <v>882</v>
      </c>
      <c r="H418" s="7">
        <f t="shared" si="6"/>
        <v>9.4375</v>
      </c>
      <c r="I418" s="7">
        <f t="shared" si="7"/>
        <v>1.51</v>
      </c>
    </row>
    <row r="419" spans="1:9">
      <c r="A419" s="150" t="s">
        <v>7544</v>
      </c>
      <c r="B419">
        <v>85</v>
      </c>
      <c r="F419" t="s">
        <v>730</v>
      </c>
      <c r="G419" t="s">
        <v>476</v>
      </c>
      <c r="H419" s="7">
        <f t="shared" si="6"/>
        <v>7413.8125</v>
      </c>
      <c r="I419" s="7">
        <f t="shared" si="7"/>
        <v>1186.21</v>
      </c>
    </row>
    <row r="420" spans="1:9">
      <c r="A420" s="150" t="s">
        <v>7544</v>
      </c>
      <c r="B420">
        <v>85</v>
      </c>
      <c r="F420" t="s">
        <v>808</v>
      </c>
      <c r="G420" t="s">
        <v>489</v>
      </c>
      <c r="H420" s="7">
        <f t="shared" si="6"/>
        <v>17642.25</v>
      </c>
      <c r="I420" s="7">
        <f t="shared" si="7"/>
        <v>2822.76</v>
      </c>
    </row>
    <row r="421" spans="1:9">
      <c r="A421" s="150" t="s">
        <v>7544</v>
      </c>
      <c r="B421">
        <v>85</v>
      </c>
      <c r="F421" s="19" t="s">
        <v>2763</v>
      </c>
      <c r="G421" s="139" t="s">
        <v>2764</v>
      </c>
      <c r="H421" s="7">
        <f t="shared" si="6"/>
        <v>514.125</v>
      </c>
      <c r="I421" s="7">
        <f t="shared" si="7"/>
        <v>82.26</v>
      </c>
    </row>
    <row r="422" spans="1:9">
      <c r="A422" s="150" t="s">
        <v>7544</v>
      </c>
      <c r="B422">
        <v>85</v>
      </c>
      <c r="F422" s="19" t="s">
        <v>3945</v>
      </c>
      <c r="G422" s="139" t="s">
        <v>7438</v>
      </c>
      <c r="H422" s="7">
        <f t="shared" si="6"/>
        <v>539.375</v>
      </c>
      <c r="I422" s="7">
        <f t="shared" si="7"/>
        <v>86.3</v>
      </c>
    </row>
    <row r="423" spans="1:9">
      <c r="A423" s="150" t="s">
        <v>7544</v>
      </c>
      <c r="B423">
        <v>85</v>
      </c>
      <c r="F423" s="139" t="s">
        <v>7569</v>
      </c>
      <c r="G423" s="19" t="s">
        <v>7449</v>
      </c>
      <c r="H423" s="7">
        <f t="shared" si="6"/>
        <v>193965.5</v>
      </c>
      <c r="I423" s="7">
        <f t="shared" si="7"/>
        <v>31034.48</v>
      </c>
    </row>
    <row r="424" spans="1:9">
      <c r="A424" s="150" t="s">
        <v>7544</v>
      </c>
      <c r="B424">
        <v>85</v>
      </c>
      <c r="F424" s="19" t="s">
        <v>759</v>
      </c>
      <c r="G424" s="139" t="s">
        <v>3221</v>
      </c>
      <c r="H424" s="7">
        <f t="shared" si="6"/>
        <v>124.125</v>
      </c>
      <c r="I424" s="7">
        <f t="shared" si="7"/>
        <v>19.86</v>
      </c>
    </row>
    <row r="425" spans="1:9">
      <c r="A425" s="150" t="s">
        <v>7544</v>
      </c>
      <c r="B425">
        <v>85</v>
      </c>
      <c r="F425" s="19" t="s">
        <v>4396</v>
      </c>
      <c r="G425" s="139" t="s">
        <v>7458</v>
      </c>
      <c r="H425" s="7">
        <f t="shared" si="6"/>
        <v>748.9375</v>
      </c>
      <c r="I425" s="7">
        <f t="shared" si="7"/>
        <v>119.83</v>
      </c>
    </row>
    <row r="426" spans="1:9">
      <c r="A426" s="150" t="s">
        <v>7544</v>
      </c>
      <c r="B426">
        <v>85</v>
      </c>
      <c r="F426" t="s">
        <v>1551</v>
      </c>
      <c r="G426" t="s">
        <v>1436</v>
      </c>
      <c r="H426" s="7">
        <f t="shared" si="6"/>
        <v>1163.25</v>
      </c>
      <c r="I426" s="7">
        <f t="shared" si="7"/>
        <v>186.12</v>
      </c>
    </row>
    <row r="427" spans="1:9">
      <c r="A427" s="150" t="s">
        <v>7544</v>
      </c>
      <c r="B427">
        <v>85</v>
      </c>
      <c r="F427" s="19" t="s">
        <v>4933</v>
      </c>
      <c r="G427" s="139" t="s">
        <v>7462</v>
      </c>
      <c r="H427" s="7">
        <f t="shared" si="6"/>
        <v>164.625</v>
      </c>
      <c r="I427" s="7">
        <f t="shared" si="7"/>
        <v>26.34</v>
      </c>
    </row>
    <row r="428" spans="1:9">
      <c r="A428" s="150" t="s">
        <v>7544</v>
      </c>
      <c r="B428">
        <v>85</v>
      </c>
      <c r="F428" t="s">
        <v>727</v>
      </c>
      <c r="G428" t="s">
        <v>4304</v>
      </c>
      <c r="H428" s="7">
        <f t="shared" si="6"/>
        <v>554243.8125</v>
      </c>
      <c r="I428" s="7">
        <f t="shared" si="7"/>
        <v>88679.01</v>
      </c>
    </row>
    <row r="429" spans="1:9">
      <c r="A429" s="150" t="s">
        <v>7544</v>
      </c>
      <c r="B429">
        <v>85</v>
      </c>
      <c r="F429" t="s">
        <v>791</v>
      </c>
      <c r="G429" t="s">
        <v>4307</v>
      </c>
      <c r="H429" s="7">
        <f t="shared" si="6"/>
        <v>587432.1875</v>
      </c>
      <c r="I429" s="7">
        <f t="shared" si="7"/>
        <v>93989.15</v>
      </c>
    </row>
    <row r="430" spans="1:9">
      <c r="A430" s="150" t="s">
        <v>7544</v>
      </c>
      <c r="B430">
        <v>85</v>
      </c>
      <c r="F430" t="s">
        <v>797</v>
      </c>
      <c r="G430" t="s">
        <v>2326</v>
      </c>
      <c r="H430" s="7">
        <f t="shared" si="6"/>
        <v>214804.4375</v>
      </c>
      <c r="I430" s="7">
        <f t="shared" si="7"/>
        <v>34368.71</v>
      </c>
    </row>
    <row r="431" spans="1:9">
      <c r="A431" s="150" t="s">
        <v>7544</v>
      </c>
      <c r="B431">
        <v>85</v>
      </c>
      <c r="F431" t="s">
        <v>1559</v>
      </c>
      <c r="G431" s="19" t="s">
        <v>7447</v>
      </c>
      <c r="H431" s="7">
        <f t="shared" si="6"/>
        <v>16439</v>
      </c>
      <c r="I431" s="7">
        <f t="shared" si="7"/>
        <v>2630.24</v>
      </c>
    </row>
    <row r="432" spans="1:9">
      <c r="A432" s="150" t="s">
        <v>7544</v>
      </c>
      <c r="B432">
        <v>85</v>
      </c>
      <c r="F432" t="s">
        <v>4213</v>
      </c>
      <c r="G432" t="s">
        <v>4193</v>
      </c>
      <c r="H432" s="7">
        <f t="shared" si="6"/>
        <v>1320</v>
      </c>
      <c r="I432" s="7">
        <f t="shared" si="7"/>
        <v>211.2</v>
      </c>
    </row>
    <row r="433" spans="1:10">
      <c r="A433" s="150" t="s">
        <v>7544</v>
      </c>
      <c r="B433">
        <v>85</v>
      </c>
      <c r="F433" t="s">
        <v>795</v>
      </c>
      <c r="G433" t="s">
        <v>638</v>
      </c>
      <c r="H433" s="7">
        <f t="shared" si="6"/>
        <v>74069</v>
      </c>
      <c r="I433" s="7">
        <f t="shared" si="7"/>
        <v>11851.04</v>
      </c>
    </row>
    <row r="434" spans="1:10">
      <c r="A434" s="150" t="s">
        <v>7544</v>
      </c>
      <c r="B434">
        <v>85</v>
      </c>
      <c r="F434" s="19" t="s">
        <v>885</v>
      </c>
      <c r="G434" s="139" t="s">
        <v>7367</v>
      </c>
      <c r="H434" s="7">
        <f t="shared" si="6"/>
        <v>227.625</v>
      </c>
      <c r="I434" s="7">
        <f t="shared" si="7"/>
        <v>36.42</v>
      </c>
    </row>
    <row r="435" spans="1:10">
      <c r="A435" s="150" t="s">
        <v>7544</v>
      </c>
      <c r="B435">
        <v>85</v>
      </c>
      <c r="F435" s="19" t="s">
        <v>4402</v>
      </c>
      <c r="G435" s="139" t="s">
        <v>7460</v>
      </c>
      <c r="H435" s="7">
        <f t="shared" si="6"/>
        <v>671</v>
      </c>
      <c r="I435" s="7">
        <f t="shared" si="7"/>
        <v>107.36</v>
      </c>
    </row>
    <row r="436" spans="1:10">
      <c r="A436" s="150" t="s">
        <v>7544</v>
      </c>
      <c r="B436">
        <v>85</v>
      </c>
      <c r="F436" s="19" t="s">
        <v>1561</v>
      </c>
      <c r="G436" s="139" t="s">
        <v>7369</v>
      </c>
      <c r="H436" s="7">
        <f t="shared" si="6"/>
        <v>340.5</v>
      </c>
      <c r="I436" s="7">
        <f t="shared" si="7"/>
        <v>54.48</v>
      </c>
    </row>
    <row r="437" spans="1:10">
      <c r="A437" s="150" t="s">
        <v>7544</v>
      </c>
      <c r="B437">
        <v>85</v>
      </c>
      <c r="F437" s="19" t="s">
        <v>961</v>
      </c>
      <c r="G437" s="139" t="s">
        <v>7382</v>
      </c>
      <c r="H437" s="7">
        <f t="shared" si="6"/>
        <v>1065.25</v>
      </c>
      <c r="I437" s="7">
        <f t="shared" si="7"/>
        <v>170.44</v>
      </c>
    </row>
    <row r="438" spans="1:10">
      <c r="A438" s="150" t="s">
        <v>7544</v>
      </c>
      <c r="B438">
        <v>85</v>
      </c>
      <c r="F438" s="19" t="s">
        <v>905</v>
      </c>
      <c r="G438" s="139" t="s">
        <v>906</v>
      </c>
      <c r="H438" s="7">
        <f t="shared" si="6"/>
        <v>455.375</v>
      </c>
      <c r="I438" s="7">
        <f t="shared" si="7"/>
        <v>72.86</v>
      </c>
    </row>
    <row r="439" spans="1:10">
      <c r="A439" s="150" t="s">
        <v>7544</v>
      </c>
      <c r="B439">
        <v>85</v>
      </c>
      <c r="F439" s="19" t="s">
        <v>4934</v>
      </c>
      <c r="G439" s="139" t="s">
        <v>7463</v>
      </c>
      <c r="H439" s="7">
        <f t="shared" si="6"/>
        <v>1385.125</v>
      </c>
      <c r="I439" s="7">
        <f t="shared" si="7"/>
        <v>221.62</v>
      </c>
    </row>
    <row r="440" spans="1:10">
      <c r="A440" s="150" t="s">
        <v>7544</v>
      </c>
      <c r="B440">
        <v>85</v>
      </c>
      <c r="F440" s="70" t="s">
        <v>805</v>
      </c>
      <c r="G440" s="70" t="s">
        <v>2377</v>
      </c>
      <c r="H440" s="7">
        <f t="shared" si="6"/>
        <v>1601.6874999999998</v>
      </c>
      <c r="I440" s="7">
        <f t="shared" si="7"/>
        <v>256.27</v>
      </c>
      <c r="J440" s="7">
        <f>12.43*2+26.79+12.42</f>
        <v>64.069999999999993</v>
      </c>
    </row>
    <row r="441" spans="1:10">
      <c r="A441" s="150" t="s">
        <v>7544</v>
      </c>
      <c r="B441">
        <v>85</v>
      </c>
      <c r="F441" s="70" t="s">
        <v>804</v>
      </c>
      <c r="G441" s="139" t="s">
        <v>7385</v>
      </c>
      <c r="H441" s="7">
        <f t="shared" si="6"/>
        <v>421.25</v>
      </c>
      <c r="I441" s="7">
        <f t="shared" si="7"/>
        <v>67.400000000000006</v>
      </c>
    </row>
    <row r="442" spans="1:10">
      <c r="A442" s="150" t="s">
        <v>7544</v>
      </c>
      <c r="B442">
        <v>85</v>
      </c>
      <c r="F442" s="19" t="s">
        <v>703</v>
      </c>
      <c r="G442" s="143" t="s">
        <v>273</v>
      </c>
      <c r="H442" s="7">
        <f t="shared" si="6"/>
        <v>100.06250000000001</v>
      </c>
      <c r="I442" s="7">
        <f t="shared" si="7"/>
        <v>16.010000000000002</v>
      </c>
    </row>
    <row r="443" spans="1:10">
      <c r="A443" s="150" t="s">
        <v>7544</v>
      </c>
      <c r="B443">
        <v>85</v>
      </c>
      <c r="F443" t="s">
        <v>1570</v>
      </c>
      <c r="G443" t="s">
        <v>1476</v>
      </c>
      <c r="H443" s="7">
        <f t="shared" si="6"/>
        <v>2697</v>
      </c>
      <c r="I443" s="7">
        <f t="shared" si="7"/>
        <v>431.52</v>
      </c>
    </row>
    <row r="444" spans="1:10">
      <c r="A444" s="150" t="s">
        <v>7544</v>
      </c>
      <c r="B444">
        <v>85</v>
      </c>
      <c r="F444" s="19" t="s">
        <v>4434</v>
      </c>
      <c r="G444" s="139" t="s">
        <v>7461</v>
      </c>
      <c r="H444" s="7">
        <f t="shared" si="6"/>
        <v>1038.8125</v>
      </c>
      <c r="I444" s="7">
        <f t="shared" si="7"/>
        <v>166.21</v>
      </c>
    </row>
    <row r="445" spans="1:10">
      <c r="A445" s="150" t="s">
        <v>7544</v>
      </c>
      <c r="B445">
        <v>85</v>
      </c>
      <c r="F445" t="s">
        <v>815</v>
      </c>
      <c r="G445" t="s">
        <v>446</v>
      </c>
      <c r="H445" s="7">
        <f t="shared" si="6"/>
        <v>4856</v>
      </c>
      <c r="I445" s="7">
        <f t="shared" si="7"/>
        <v>776.96</v>
      </c>
    </row>
    <row r="446" spans="1:10">
      <c r="A446" s="150" t="s">
        <v>7544</v>
      </c>
      <c r="B446">
        <v>85</v>
      </c>
      <c r="F446" s="19" t="s">
        <v>3898</v>
      </c>
      <c r="G446" s="139" t="s">
        <v>7432</v>
      </c>
      <c r="H446" s="7">
        <f t="shared" si="6"/>
        <v>102.5625</v>
      </c>
      <c r="I446" s="7">
        <f t="shared" si="7"/>
        <v>16.41</v>
      </c>
    </row>
    <row r="447" spans="1:10">
      <c r="A447" s="150" t="s">
        <v>7544</v>
      </c>
      <c r="B447">
        <v>85</v>
      </c>
      <c r="F447" s="19" t="s">
        <v>4425</v>
      </c>
      <c r="G447" s="139" t="s">
        <v>5698</v>
      </c>
      <c r="H447" s="7">
        <f t="shared" si="6"/>
        <v>419.37499999999994</v>
      </c>
      <c r="I447" s="7">
        <f t="shared" si="7"/>
        <v>67.099999999999994</v>
      </c>
    </row>
    <row r="448" spans="1:10">
      <c r="A448" s="150" t="s">
        <v>7544</v>
      </c>
      <c r="B448">
        <v>85</v>
      </c>
      <c r="F448" s="19" t="s">
        <v>722</v>
      </c>
      <c r="G448" s="19" t="s">
        <v>722</v>
      </c>
      <c r="H448" s="7">
        <f t="shared" ref="H448:H511" si="8">+I448/0.16</f>
        <v>6126.3124999999991</v>
      </c>
      <c r="I448" s="7">
        <f t="shared" ref="I448:I511" si="9">+SUMIF($F$7:$F$371,F448,$I$7:$I$371)</f>
        <v>980.20999999999992</v>
      </c>
    </row>
    <row r="449" spans="1:12">
      <c r="A449" s="150" t="s">
        <v>7544</v>
      </c>
      <c r="B449">
        <v>85</v>
      </c>
      <c r="F449" s="19" t="s">
        <v>1626</v>
      </c>
      <c r="G449" s="139" t="s">
        <v>7372</v>
      </c>
      <c r="H449" s="7">
        <f t="shared" si="8"/>
        <v>167.75</v>
      </c>
      <c r="I449" s="7">
        <f t="shared" si="9"/>
        <v>26.84</v>
      </c>
    </row>
    <row r="450" spans="1:12">
      <c r="A450" s="150" t="s">
        <v>7544</v>
      </c>
      <c r="B450">
        <v>85</v>
      </c>
      <c r="F450" s="19" t="s">
        <v>7454</v>
      </c>
      <c r="G450" t="s">
        <v>7455</v>
      </c>
      <c r="H450" s="7">
        <f t="shared" si="8"/>
        <v>137586.1875</v>
      </c>
      <c r="I450" s="7">
        <f t="shared" si="9"/>
        <v>22013.79</v>
      </c>
    </row>
    <row r="451" spans="1:12">
      <c r="A451" s="150" t="s">
        <v>7544</v>
      </c>
      <c r="B451">
        <v>85</v>
      </c>
      <c r="F451" s="19" t="s">
        <v>820</v>
      </c>
      <c r="G451" s="139" t="s">
        <v>7431</v>
      </c>
      <c r="H451" s="7">
        <f t="shared" si="8"/>
        <v>111.25</v>
      </c>
      <c r="I451" s="7">
        <f t="shared" si="9"/>
        <v>17.8</v>
      </c>
    </row>
    <row r="452" spans="1:12">
      <c r="A452" s="150" t="s">
        <v>7544</v>
      </c>
      <c r="B452">
        <v>85</v>
      </c>
      <c r="F452" t="s">
        <v>823</v>
      </c>
      <c r="G452" t="s">
        <v>455</v>
      </c>
      <c r="H452" s="7">
        <f t="shared" si="8"/>
        <v>11102.0625</v>
      </c>
      <c r="I452" s="7">
        <f t="shared" si="9"/>
        <v>1776.33</v>
      </c>
    </row>
    <row r="453" spans="1:12">
      <c r="A453" s="150" t="s">
        <v>7544</v>
      </c>
      <c r="B453">
        <v>85</v>
      </c>
      <c r="F453" s="19" t="s">
        <v>2211</v>
      </c>
      <c r="G453" s="70" t="s">
        <v>2047</v>
      </c>
      <c r="H453" s="7">
        <f t="shared" si="8"/>
        <v>880.18750000000011</v>
      </c>
      <c r="I453" s="7">
        <f t="shared" si="9"/>
        <v>140.83000000000001</v>
      </c>
    </row>
    <row r="454" spans="1:12">
      <c r="A454" s="150" t="s">
        <v>7544</v>
      </c>
      <c r="B454">
        <v>85</v>
      </c>
      <c r="F454" s="19" t="s">
        <v>716</v>
      </c>
      <c r="G454" s="139" t="s">
        <v>7386</v>
      </c>
      <c r="H454" s="7">
        <f t="shared" si="8"/>
        <v>11011.4375</v>
      </c>
      <c r="I454" s="7">
        <f t="shared" si="9"/>
        <v>1761.8300000000002</v>
      </c>
    </row>
    <row r="455" spans="1:12">
      <c r="A455" s="150" t="s">
        <v>7544</v>
      </c>
      <c r="B455">
        <v>85</v>
      </c>
      <c r="F455" t="s">
        <v>822</v>
      </c>
      <c r="G455" t="s">
        <v>588</v>
      </c>
      <c r="H455" s="7">
        <f t="shared" si="8"/>
        <v>447.25</v>
      </c>
      <c r="I455" s="7">
        <f t="shared" si="9"/>
        <v>71.56</v>
      </c>
      <c r="J455" s="7">
        <f>3.92*2+10.05</f>
        <v>17.89</v>
      </c>
      <c r="K455" s="7">
        <f>+H455*0.04</f>
        <v>17.89</v>
      </c>
      <c r="L455" s="60"/>
    </row>
    <row r="456" spans="1:12">
      <c r="A456" s="150" t="s">
        <v>7544</v>
      </c>
      <c r="B456">
        <v>85</v>
      </c>
      <c r="F456" t="s">
        <v>827</v>
      </c>
      <c r="G456" t="s">
        <v>650</v>
      </c>
      <c r="H456" s="7">
        <f t="shared" si="8"/>
        <v>4249</v>
      </c>
      <c r="I456" s="7">
        <f t="shared" si="9"/>
        <v>679.84</v>
      </c>
    </row>
    <row r="457" spans="1:12">
      <c r="A457" s="150" t="s">
        <v>7544</v>
      </c>
      <c r="B457">
        <v>85</v>
      </c>
      <c r="F457" s="70" t="s">
        <v>828</v>
      </c>
      <c r="G457" s="139" t="s">
        <v>7387</v>
      </c>
      <c r="H457" s="7">
        <f t="shared" si="8"/>
        <v>67.5625</v>
      </c>
      <c r="I457" s="7">
        <f t="shared" si="9"/>
        <v>10.81</v>
      </c>
    </row>
    <row r="458" spans="1:12">
      <c r="A458" s="150" t="s">
        <v>7544</v>
      </c>
      <c r="B458">
        <v>85</v>
      </c>
      <c r="F458" t="s">
        <v>4472</v>
      </c>
      <c r="G458" t="s">
        <v>7316</v>
      </c>
      <c r="H458" s="7">
        <f t="shared" si="8"/>
        <v>300</v>
      </c>
      <c r="I458" s="7">
        <f t="shared" si="9"/>
        <v>48</v>
      </c>
    </row>
    <row r="459" spans="1:12">
      <c r="A459" s="150" t="s">
        <v>7544</v>
      </c>
      <c r="B459">
        <v>85</v>
      </c>
      <c r="F459" t="s">
        <v>830</v>
      </c>
      <c r="G459" t="s">
        <v>4290</v>
      </c>
      <c r="H459" s="7">
        <f t="shared" si="8"/>
        <v>245825.0625</v>
      </c>
      <c r="I459" s="7">
        <f t="shared" si="9"/>
        <v>39332.01</v>
      </c>
    </row>
    <row r="460" spans="1:12">
      <c r="A460" s="150" t="s">
        <v>7544</v>
      </c>
      <c r="B460">
        <v>85</v>
      </c>
      <c r="F460" t="s">
        <v>836</v>
      </c>
      <c r="G460" t="s">
        <v>472</v>
      </c>
      <c r="H460" s="7">
        <f t="shared" si="8"/>
        <v>6430</v>
      </c>
      <c r="I460" s="7">
        <f t="shared" si="9"/>
        <v>1028.8</v>
      </c>
    </row>
    <row r="461" spans="1:12">
      <c r="A461" s="150" t="s">
        <v>7544</v>
      </c>
      <c r="B461" s="150" t="s">
        <v>7566</v>
      </c>
      <c r="F461" t="s">
        <v>829</v>
      </c>
      <c r="G461" t="s">
        <v>529</v>
      </c>
      <c r="H461" s="7">
        <f t="shared" si="8"/>
        <v>107758.625</v>
      </c>
      <c r="I461" s="7">
        <f t="shared" si="9"/>
        <v>17241.38</v>
      </c>
      <c r="J461" s="7">
        <v>14285.71</v>
      </c>
    </row>
    <row r="462" spans="1:12">
      <c r="A462" s="150" t="s">
        <v>7544</v>
      </c>
      <c r="B462">
        <v>85</v>
      </c>
      <c r="F462" t="s">
        <v>2186</v>
      </c>
      <c r="G462" t="s">
        <v>2128</v>
      </c>
      <c r="H462" s="7">
        <f t="shared" si="8"/>
        <v>3800</v>
      </c>
      <c r="I462" s="7">
        <f t="shared" si="9"/>
        <v>608</v>
      </c>
    </row>
    <row r="463" spans="1:12">
      <c r="A463" s="150" t="s">
        <v>7544</v>
      </c>
      <c r="B463">
        <v>85</v>
      </c>
      <c r="F463" t="s">
        <v>834</v>
      </c>
      <c r="G463" t="s">
        <v>520</v>
      </c>
      <c r="H463" s="7">
        <f t="shared" si="8"/>
        <v>28275.875</v>
      </c>
      <c r="I463" s="7">
        <f t="shared" si="9"/>
        <v>4524.1400000000003</v>
      </c>
    </row>
    <row r="464" spans="1:12">
      <c r="A464" s="150" t="s">
        <v>7544</v>
      </c>
      <c r="B464">
        <v>85</v>
      </c>
      <c r="F464" s="19" t="s">
        <v>700</v>
      </c>
      <c r="G464" s="139" t="s">
        <v>301</v>
      </c>
      <c r="H464" s="7">
        <f t="shared" si="8"/>
        <v>342.1875</v>
      </c>
      <c r="I464" s="7">
        <f t="shared" si="9"/>
        <v>54.75</v>
      </c>
    </row>
    <row r="465" spans="1:10">
      <c r="A465" s="150" t="s">
        <v>7544</v>
      </c>
      <c r="B465">
        <v>85</v>
      </c>
      <c r="F465" t="s">
        <v>1589</v>
      </c>
      <c r="G465" t="s">
        <v>1341</v>
      </c>
      <c r="H465" s="7">
        <f t="shared" si="8"/>
        <v>1720</v>
      </c>
      <c r="I465" s="7">
        <f t="shared" si="9"/>
        <v>275.2</v>
      </c>
    </row>
    <row r="466" spans="1:10">
      <c r="A466" s="150" t="s">
        <v>7544</v>
      </c>
      <c r="B466">
        <v>85</v>
      </c>
      <c r="F466" t="s">
        <v>838</v>
      </c>
      <c r="G466" s="19" t="s">
        <v>467</v>
      </c>
      <c r="H466" s="7">
        <f t="shared" si="8"/>
        <v>4040.375</v>
      </c>
      <c r="I466" s="7">
        <f t="shared" si="9"/>
        <v>646.46</v>
      </c>
    </row>
    <row r="467" spans="1:10">
      <c r="A467" s="150" t="s">
        <v>7544</v>
      </c>
      <c r="B467">
        <v>85</v>
      </c>
      <c r="F467" t="s">
        <v>841</v>
      </c>
      <c r="G467" t="s">
        <v>544</v>
      </c>
      <c r="H467" s="7">
        <f t="shared" si="8"/>
        <v>3008.6875</v>
      </c>
      <c r="I467" s="7">
        <f t="shared" si="9"/>
        <v>481.39</v>
      </c>
    </row>
    <row r="468" spans="1:10">
      <c r="A468" s="150" t="s">
        <v>7544</v>
      </c>
      <c r="B468">
        <v>85</v>
      </c>
      <c r="F468" s="70" t="s">
        <v>837</v>
      </c>
      <c r="G468" s="139" t="s">
        <v>261</v>
      </c>
      <c r="H468" s="7">
        <f t="shared" si="8"/>
        <v>535.75</v>
      </c>
      <c r="I468" s="7">
        <f t="shared" si="9"/>
        <v>85.72</v>
      </c>
    </row>
    <row r="469" spans="1:10">
      <c r="A469" s="150" t="s">
        <v>7544</v>
      </c>
      <c r="B469">
        <v>85</v>
      </c>
      <c r="F469" s="19" t="s">
        <v>768</v>
      </c>
      <c r="G469" s="139" t="s">
        <v>7400</v>
      </c>
      <c r="H469" s="7">
        <f t="shared" si="8"/>
        <v>876.375</v>
      </c>
      <c r="I469" s="7">
        <f t="shared" si="9"/>
        <v>140.22</v>
      </c>
    </row>
    <row r="470" spans="1:10">
      <c r="A470" s="150" t="s">
        <v>7544</v>
      </c>
      <c r="B470">
        <v>85</v>
      </c>
      <c r="F470" t="s">
        <v>963</v>
      </c>
      <c r="G470" t="s">
        <v>4294</v>
      </c>
      <c r="H470" s="7">
        <f t="shared" si="8"/>
        <v>156874.5625</v>
      </c>
      <c r="I470" s="7">
        <f t="shared" si="9"/>
        <v>25099.93</v>
      </c>
    </row>
    <row r="471" spans="1:10">
      <c r="A471" s="150" t="s">
        <v>7544</v>
      </c>
      <c r="B471">
        <v>85</v>
      </c>
      <c r="F471" t="s">
        <v>1528</v>
      </c>
      <c r="G471" t="s">
        <v>1514</v>
      </c>
      <c r="H471" s="7">
        <f t="shared" si="8"/>
        <v>7350</v>
      </c>
      <c r="I471" s="7">
        <f t="shared" si="9"/>
        <v>1176</v>
      </c>
    </row>
    <row r="472" spans="1:10">
      <c r="A472" s="150" t="s">
        <v>7544</v>
      </c>
      <c r="B472">
        <v>85</v>
      </c>
      <c r="F472" t="s">
        <v>844</v>
      </c>
      <c r="G472" s="19" t="s">
        <v>665</v>
      </c>
      <c r="H472" s="7">
        <f t="shared" si="8"/>
        <v>6050</v>
      </c>
      <c r="I472" s="7">
        <f t="shared" si="9"/>
        <v>968</v>
      </c>
    </row>
    <row r="473" spans="1:10">
      <c r="A473" s="150" t="s">
        <v>7544</v>
      </c>
      <c r="B473">
        <v>85</v>
      </c>
      <c r="F473" s="70" t="s">
        <v>4265</v>
      </c>
      <c r="G473" s="139" t="s">
        <v>7465</v>
      </c>
      <c r="H473" s="7">
        <f t="shared" si="8"/>
        <v>362.0625</v>
      </c>
      <c r="I473" s="7">
        <f t="shared" si="9"/>
        <v>57.93</v>
      </c>
    </row>
    <row r="474" spans="1:10">
      <c r="A474" s="150" t="s">
        <v>7544</v>
      </c>
      <c r="B474" s="150" t="s">
        <v>7566</v>
      </c>
      <c r="F474" t="s">
        <v>845</v>
      </c>
      <c r="G474" t="s">
        <v>532</v>
      </c>
      <c r="H474" s="7">
        <f t="shared" si="8"/>
        <v>107758.625</v>
      </c>
      <c r="I474" s="7">
        <f t="shared" si="9"/>
        <v>17241.38</v>
      </c>
      <c r="J474" s="7">
        <v>14285.71</v>
      </c>
    </row>
    <row r="475" spans="1:10">
      <c r="A475" s="150" t="s">
        <v>7544</v>
      </c>
      <c r="B475">
        <v>85</v>
      </c>
      <c r="F475" s="19" t="s">
        <v>1534</v>
      </c>
      <c r="G475" s="139" t="s">
        <v>1535</v>
      </c>
      <c r="H475" s="7">
        <f t="shared" si="8"/>
        <v>369.87499999999994</v>
      </c>
      <c r="I475" s="7">
        <f t="shared" si="9"/>
        <v>59.179999999999993</v>
      </c>
    </row>
    <row r="476" spans="1:10">
      <c r="A476" s="150" t="s">
        <v>7544</v>
      </c>
      <c r="B476">
        <v>85</v>
      </c>
      <c r="F476" t="s">
        <v>3705</v>
      </c>
      <c r="G476" s="19" t="s">
        <v>3193</v>
      </c>
      <c r="H476" s="7">
        <f t="shared" si="8"/>
        <v>9700</v>
      </c>
      <c r="I476" s="7">
        <f t="shared" si="9"/>
        <v>1552</v>
      </c>
    </row>
    <row r="477" spans="1:10">
      <c r="A477" s="150" t="s">
        <v>7544</v>
      </c>
      <c r="B477">
        <v>85</v>
      </c>
      <c r="F477" s="19" t="s">
        <v>847</v>
      </c>
      <c r="G477" s="139" t="s">
        <v>7402</v>
      </c>
      <c r="H477" s="7">
        <f t="shared" si="8"/>
        <v>705.37500000000011</v>
      </c>
      <c r="I477" s="7">
        <f t="shared" si="9"/>
        <v>112.86000000000001</v>
      </c>
    </row>
    <row r="478" spans="1:10">
      <c r="A478" s="150" t="s">
        <v>7544</v>
      </c>
      <c r="B478">
        <v>85</v>
      </c>
      <c r="F478" t="s">
        <v>849</v>
      </c>
      <c r="G478" t="s">
        <v>74</v>
      </c>
      <c r="H478" s="7">
        <f t="shared" si="8"/>
        <v>178132.1875</v>
      </c>
      <c r="I478" s="7">
        <f t="shared" si="9"/>
        <v>28501.15</v>
      </c>
    </row>
    <row r="479" spans="1:10">
      <c r="A479" s="150" t="s">
        <v>7544</v>
      </c>
      <c r="B479">
        <v>85</v>
      </c>
      <c r="F479" s="19" t="s">
        <v>3689</v>
      </c>
      <c r="G479" s="19" t="s">
        <v>6294</v>
      </c>
      <c r="H479" s="7">
        <f t="shared" si="8"/>
        <v>98.25</v>
      </c>
      <c r="I479" s="7">
        <f t="shared" si="9"/>
        <v>15.72</v>
      </c>
    </row>
    <row r="480" spans="1:10">
      <c r="A480" s="150" t="s">
        <v>7544</v>
      </c>
      <c r="B480">
        <v>85</v>
      </c>
      <c r="F480" s="70" t="s">
        <v>769</v>
      </c>
      <c r="G480" t="s">
        <v>645</v>
      </c>
      <c r="H480" s="7">
        <f t="shared" si="8"/>
        <v>10116.1875</v>
      </c>
      <c r="I480" s="7">
        <f t="shared" si="9"/>
        <v>1618.5900000000001</v>
      </c>
    </row>
    <row r="481" spans="1:9">
      <c r="A481" s="150" t="s">
        <v>7544</v>
      </c>
      <c r="B481">
        <v>85</v>
      </c>
      <c r="F481" s="19" t="s">
        <v>4935</v>
      </c>
      <c r="G481" s="139" t="s">
        <v>7464</v>
      </c>
      <c r="H481" s="7">
        <f t="shared" si="8"/>
        <v>159.5</v>
      </c>
      <c r="I481" s="7">
        <f t="shared" si="9"/>
        <v>25.52</v>
      </c>
    </row>
    <row r="482" spans="1:9">
      <c r="A482" s="150" t="s">
        <v>7544</v>
      </c>
      <c r="B482">
        <v>85</v>
      </c>
      <c r="F482" s="19" t="s">
        <v>897</v>
      </c>
      <c r="G482" s="139" t="s">
        <v>7466</v>
      </c>
      <c r="H482" s="7">
        <f t="shared" si="8"/>
        <v>302.125</v>
      </c>
      <c r="I482" s="7">
        <f t="shared" si="9"/>
        <v>48.34</v>
      </c>
    </row>
    <row r="483" spans="1:9">
      <c r="A483" s="150" t="s">
        <v>7544</v>
      </c>
      <c r="B483">
        <v>85</v>
      </c>
      <c r="F483" t="s">
        <v>4936</v>
      </c>
      <c r="G483" s="139" t="s">
        <v>7467</v>
      </c>
      <c r="H483" s="7">
        <f t="shared" si="8"/>
        <v>2700</v>
      </c>
      <c r="I483" s="7">
        <f t="shared" si="9"/>
        <v>432</v>
      </c>
    </row>
    <row r="484" spans="1:9">
      <c r="A484" s="150" t="s">
        <v>7544</v>
      </c>
      <c r="B484">
        <v>85</v>
      </c>
      <c r="F484" s="19" t="s">
        <v>3690</v>
      </c>
      <c r="G484" s="139" t="s">
        <v>7390</v>
      </c>
      <c r="H484" s="7">
        <f t="shared" si="8"/>
        <v>443.87499999999994</v>
      </c>
      <c r="I484" s="7">
        <f t="shared" si="9"/>
        <v>71.02</v>
      </c>
    </row>
    <row r="485" spans="1:9">
      <c r="A485" s="150" t="s">
        <v>7544</v>
      </c>
      <c r="B485">
        <v>85</v>
      </c>
      <c r="F485" s="139" t="s">
        <v>7570</v>
      </c>
      <c r="G485" s="19" t="s">
        <v>7445</v>
      </c>
      <c r="H485" s="7">
        <f t="shared" si="8"/>
        <v>431034.5</v>
      </c>
      <c r="I485" s="7">
        <f t="shared" si="9"/>
        <v>68965.52</v>
      </c>
    </row>
    <row r="486" spans="1:9">
      <c r="A486" s="150" t="s">
        <v>7544</v>
      </c>
      <c r="B486">
        <v>85</v>
      </c>
      <c r="F486" s="19" t="s">
        <v>915</v>
      </c>
      <c r="G486" s="139" t="s">
        <v>7403</v>
      </c>
      <c r="H486" s="7">
        <f t="shared" si="8"/>
        <v>1435.3125</v>
      </c>
      <c r="I486" s="7">
        <f t="shared" si="9"/>
        <v>229.65</v>
      </c>
    </row>
    <row r="487" spans="1:9">
      <c r="A487" s="150" t="s">
        <v>7544</v>
      </c>
      <c r="B487">
        <v>85</v>
      </c>
      <c r="F487" t="s">
        <v>848</v>
      </c>
      <c r="G487" s="19" t="s">
        <v>449</v>
      </c>
      <c r="H487" s="7">
        <f t="shared" si="8"/>
        <v>18500</v>
      </c>
      <c r="I487" s="7">
        <f t="shared" si="9"/>
        <v>2960</v>
      </c>
    </row>
    <row r="488" spans="1:9">
      <c r="A488" s="150" t="s">
        <v>7544</v>
      </c>
      <c r="B488">
        <v>85</v>
      </c>
      <c r="F488" s="19" t="s">
        <v>2217</v>
      </c>
      <c r="G488" s="139" t="s">
        <v>1940</v>
      </c>
      <c r="H488" s="7">
        <f t="shared" si="8"/>
        <v>521.5625</v>
      </c>
      <c r="I488" s="7">
        <f t="shared" si="9"/>
        <v>83.45</v>
      </c>
    </row>
    <row r="489" spans="1:9">
      <c r="A489" s="150" t="s">
        <v>7544</v>
      </c>
      <c r="B489">
        <v>85</v>
      </c>
      <c r="F489" t="s">
        <v>4937</v>
      </c>
      <c r="G489" t="s">
        <v>4561</v>
      </c>
      <c r="H489" s="7">
        <f t="shared" si="8"/>
        <v>1507</v>
      </c>
      <c r="I489" s="7">
        <f t="shared" si="9"/>
        <v>241.12</v>
      </c>
    </row>
    <row r="490" spans="1:9">
      <c r="A490" s="150" t="s">
        <v>7544</v>
      </c>
      <c r="B490">
        <v>85</v>
      </c>
      <c r="F490" s="70" t="s">
        <v>1595</v>
      </c>
      <c r="G490" s="139" t="s">
        <v>7422</v>
      </c>
      <c r="H490" s="7">
        <f t="shared" si="8"/>
        <v>206.875</v>
      </c>
      <c r="I490" s="7">
        <f t="shared" si="9"/>
        <v>33.1</v>
      </c>
    </row>
    <row r="491" spans="1:9">
      <c r="A491" s="150" t="s">
        <v>7544</v>
      </c>
      <c r="B491">
        <v>85</v>
      </c>
      <c r="F491" t="s">
        <v>854</v>
      </c>
      <c r="G491" s="19" t="s">
        <v>2281</v>
      </c>
      <c r="H491" s="7">
        <f t="shared" si="8"/>
        <v>920259.625</v>
      </c>
      <c r="I491" s="7">
        <f t="shared" si="9"/>
        <v>147241.54</v>
      </c>
    </row>
    <row r="492" spans="1:9">
      <c r="A492" s="150" t="s">
        <v>7544</v>
      </c>
      <c r="B492">
        <v>85</v>
      </c>
      <c r="F492" s="19" t="s">
        <v>917</v>
      </c>
      <c r="G492" s="139" t="s">
        <v>918</v>
      </c>
      <c r="H492" s="7">
        <f t="shared" si="8"/>
        <v>108.62499999999999</v>
      </c>
      <c r="I492" s="7">
        <f t="shared" si="9"/>
        <v>17.38</v>
      </c>
    </row>
    <row r="493" spans="1:9">
      <c r="A493" s="150" t="s">
        <v>7544</v>
      </c>
      <c r="B493">
        <v>85</v>
      </c>
      <c r="F493" s="70" t="s">
        <v>852</v>
      </c>
      <c r="G493" s="139" t="s">
        <v>7468</v>
      </c>
      <c r="H493" s="7">
        <f t="shared" si="8"/>
        <v>235.4375</v>
      </c>
      <c r="I493" s="7">
        <f t="shared" si="9"/>
        <v>37.67</v>
      </c>
    </row>
    <row r="494" spans="1:9">
      <c r="A494" s="150" t="s">
        <v>7544</v>
      </c>
      <c r="B494">
        <v>85</v>
      </c>
      <c r="F494" s="19" t="s">
        <v>3234</v>
      </c>
      <c r="G494" s="143" t="s">
        <v>7469</v>
      </c>
      <c r="H494" s="7">
        <f t="shared" si="8"/>
        <v>570.25</v>
      </c>
      <c r="I494" s="7">
        <f t="shared" si="9"/>
        <v>91.24</v>
      </c>
    </row>
    <row r="495" spans="1:9">
      <c r="A495" s="150" t="s">
        <v>7544</v>
      </c>
      <c r="B495">
        <v>85</v>
      </c>
      <c r="F495" t="s">
        <v>860</v>
      </c>
      <c r="G495" t="s">
        <v>474</v>
      </c>
      <c r="H495" s="7">
        <f t="shared" si="8"/>
        <v>3900</v>
      </c>
      <c r="I495" s="7">
        <f t="shared" si="9"/>
        <v>624</v>
      </c>
    </row>
    <row r="496" spans="1:9">
      <c r="A496" s="150" t="s">
        <v>7544</v>
      </c>
      <c r="B496">
        <v>85</v>
      </c>
      <c r="F496" s="70" t="s">
        <v>857</v>
      </c>
      <c r="G496" s="139" t="s">
        <v>315</v>
      </c>
      <c r="H496" s="7">
        <f t="shared" si="8"/>
        <v>178.4375</v>
      </c>
      <c r="I496" s="7">
        <f t="shared" si="9"/>
        <v>28.55</v>
      </c>
    </row>
    <row r="497" spans="1:9">
      <c r="A497" s="150" t="s">
        <v>7544</v>
      </c>
      <c r="B497">
        <v>85</v>
      </c>
      <c r="F497" t="s">
        <v>858</v>
      </c>
      <c r="G497" s="19" t="s">
        <v>457</v>
      </c>
      <c r="H497" s="7">
        <f t="shared" si="8"/>
        <v>50150</v>
      </c>
      <c r="I497" s="7">
        <f t="shared" si="9"/>
        <v>8024</v>
      </c>
    </row>
    <row r="498" spans="1:9">
      <c r="A498" s="150" t="s">
        <v>7544</v>
      </c>
      <c r="B498">
        <v>85</v>
      </c>
      <c r="F498" s="19" t="s">
        <v>706</v>
      </c>
      <c r="G498" s="139" t="s">
        <v>299</v>
      </c>
      <c r="H498" s="7">
        <f t="shared" si="8"/>
        <v>81</v>
      </c>
      <c r="I498" s="7">
        <f t="shared" si="9"/>
        <v>12.96</v>
      </c>
    </row>
    <row r="499" spans="1:9">
      <c r="A499" s="150" t="s">
        <v>7544</v>
      </c>
      <c r="B499">
        <v>85</v>
      </c>
      <c r="F499" s="19" t="s">
        <v>929</v>
      </c>
      <c r="G499" s="139" t="s">
        <v>4038</v>
      </c>
      <c r="H499" s="7">
        <f t="shared" si="8"/>
        <v>241.43749999999997</v>
      </c>
      <c r="I499" s="7">
        <f t="shared" si="9"/>
        <v>38.629999999999995</v>
      </c>
    </row>
    <row r="500" spans="1:9">
      <c r="A500" s="150" t="s">
        <v>7544</v>
      </c>
      <c r="B500">
        <v>85</v>
      </c>
      <c r="F500" s="19" t="s">
        <v>4938</v>
      </c>
      <c r="G500" t="s">
        <v>4554</v>
      </c>
      <c r="H500" s="7">
        <f t="shared" si="8"/>
        <v>4374.125</v>
      </c>
      <c r="I500" s="7">
        <f t="shared" si="9"/>
        <v>699.86</v>
      </c>
    </row>
    <row r="501" spans="1:9">
      <c r="A501" s="150" t="s">
        <v>7544</v>
      </c>
      <c r="B501">
        <v>85</v>
      </c>
      <c r="F501" s="19" t="s">
        <v>788</v>
      </c>
      <c r="G501" s="19" t="s">
        <v>7246</v>
      </c>
      <c r="H501" s="7">
        <f t="shared" si="8"/>
        <v>202.56249999999997</v>
      </c>
      <c r="I501" s="7">
        <f t="shared" si="9"/>
        <v>32.409999999999997</v>
      </c>
    </row>
    <row r="502" spans="1:9">
      <c r="A502" s="150" t="s">
        <v>7544</v>
      </c>
      <c r="B502">
        <v>85</v>
      </c>
      <c r="F502" s="19" t="s">
        <v>4448</v>
      </c>
      <c r="G502" s="139" t="s">
        <v>7271</v>
      </c>
      <c r="H502" s="7">
        <f t="shared" si="8"/>
        <v>120</v>
      </c>
      <c r="I502" s="7">
        <f t="shared" si="9"/>
        <v>19.2</v>
      </c>
    </row>
    <row r="503" spans="1:9">
      <c r="A503" s="150" t="s">
        <v>7544</v>
      </c>
      <c r="B503">
        <v>85</v>
      </c>
      <c r="F503" t="s">
        <v>2222</v>
      </c>
      <c r="G503" t="s">
        <v>2105</v>
      </c>
      <c r="H503" s="7">
        <f t="shared" si="8"/>
        <v>6000</v>
      </c>
      <c r="I503" s="7">
        <f t="shared" si="9"/>
        <v>960</v>
      </c>
    </row>
    <row r="504" spans="1:9">
      <c r="A504" s="150" t="s">
        <v>7544</v>
      </c>
      <c r="B504">
        <v>85</v>
      </c>
      <c r="F504" t="s">
        <v>4474</v>
      </c>
      <c r="G504" t="s">
        <v>4474</v>
      </c>
      <c r="H504" s="7">
        <f t="shared" si="8"/>
        <v>200</v>
      </c>
      <c r="I504" s="7">
        <f t="shared" si="9"/>
        <v>32</v>
      </c>
    </row>
    <row r="505" spans="1:9">
      <c r="A505" s="150" t="s">
        <v>7544</v>
      </c>
      <c r="B505">
        <v>85</v>
      </c>
      <c r="F505" t="s">
        <v>1648</v>
      </c>
      <c r="G505" t="s">
        <v>1649</v>
      </c>
      <c r="H505" s="7">
        <f t="shared" si="8"/>
        <v>4327.5625</v>
      </c>
      <c r="I505" s="7">
        <f t="shared" si="9"/>
        <v>692.41000000000008</v>
      </c>
    </row>
    <row r="506" spans="1:9">
      <c r="A506" s="150" t="s">
        <v>7544</v>
      </c>
      <c r="B506">
        <v>85</v>
      </c>
      <c r="F506" t="s">
        <v>867</v>
      </c>
      <c r="G506" t="s">
        <v>517</v>
      </c>
      <c r="H506" s="7">
        <f t="shared" si="8"/>
        <v>81971.25</v>
      </c>
      <c r="I506" s="7">
        <f t="shared" si="9"/>
        <v>13115.4</v>
      </c>
    </row>
    <row r="507" spans="1:9">
      <c r="A507" s="150" t="s">
        <v>7544</v>
      </c>
      <c r="B507">
        <v>85</v>
      </c>
      <c r="F507" t="s">
        <v>2701</v>
      </c>
      <c r="G507" t="s">
        <v>2660</v>
      </c>
      <c r="H507" s="7">
        <f t="shared" si="8"/>
        <v>1832.9999999999998</v>
      </c>
      <c r="I507" s="7">
        <f t="shared" si="9"/>
        <v>293.27999999999997</v>
      </c>
    </row>
    <row r="508" spans="1:9">
      <c r="A508" s="150" t="s">
        <v>7544</v>
      </c>
      <c r="B508">
        <v>85</v>
      </c>
      <c r="F508" t="s">
        <v>863</v>
      </c>
      <c r="G508" t="s">
        <v>967</v>
      </c>
      <c r="H508" s="7">
        <f t="shared" si="8"/>
        <v>56721.875</v>
      </c>
      <c r="I508" s="7">
        <f t="shared" si="9"/>
        <v>9075.5</v>
      </c>
    </row>
    <row r="509" spans="1:9">
      <c r="A509" s="150" t="s">
        <v>7544</v>
      </c>
      <c r="B509">
        <v>85</v>
      </c>
      <c r="F509" s="19" t="s">
        <v>864</v>
      </c>
      <c r="G509" s="139" t="s">
        <v>7470</v>
      </c>
      <c r="H509" s="7">
        <f t="shared" si="8"/>
        <v>465.5</v>
      </c>
      <c r="I509" s="7">
        <f t="shared" si="9"/>
        <v>74.48</v>
      </c>
    </row>
    <row r="510" spans="1:9">
      <c r="A510" s="150" t="s">
        <v>7544</v>
      </c>
      <c r="B510">
        <v>85</v>
      </c>
      <c r="F510" s="19" t="s">
        <v>1617</v>
      </c>
      <c r="G510" s="139" t="s">
        <v>1618</v>
      </c>
      <c r="H510" s="7">
        <f t="shared" si="8"/>
        <v>293.5625</v>
      </c>
      <c r="I510" s="7">
        <f t="shared" si="9"/>
        <v>46.97</v>
      </c>
    </row>
    <row r="511" spans="1:9">
      <c r="A511" s="150" t="s">
        <v>7544</v>
      </c>
      <c r="B511">
        <v>85</v>
      </c>
      <c r="F511" s="19" t="s">
        <v>4419</v>
      </c>
      <c r="G511" s="139" t="s">
        <v>5657</v>
      </c>
      <c r="H511" s="7">
        <f t="shared" si="8"/>
        <v>503.24999999999994</v>
      </c>
      <c r="I511" s="7">
        <f t="shared" si="9"/>
        <v>80.52</v>
      </c>
    </row>
    <row r="512" spans="1:9">
      <c r="A512" s="150" t="s">
        <v>7544</v>
      </c>
      <c r="B512">
        <v>85</v>
      </c>
      <c r="F512" s="19" t="s">
        <v>4400</v>
      </c>
      <c r="G512" s="139" t="s">
        <v>7471</v>
      </c>
      <c r="H512" s="7">
        <f t="shared" ref="H512:H533" si="10">+I512/0.16</f>
        <v>455.31249999999994</v>
      </c>
      <c r="I512" s="7">
        <f t="shared" ref="I512:I533" si="11">+SUMIF($F$7:$F$371,F512,$I$7:$I$371)</f>
        <v>72.849999999999994</v>
      </c>
    </row>
    <row r="513" spans="1:9">
      <c r="A513" s="150" t="s">
        <v>7544</v>
      </c>
      <c r="B513">
        <v>85</v>
      </c>
      <c r="F513" s="19" t="s">
        <v>2724</v>
      </c>
      <c r="G513" s="139" t="s">
        <v>7472</v>
      </c>
      <c r="H513" s="7">
        <f t="shared" si="10"/>
        <v>293.5625</v>
      </c>
      <c r="I513" s="7">
        <f t="shared" si="11"/>
        <v>46.97</v>
      </c>
    </row>
    <row r="514" spans="1:9">
      <c r="A514" s="150" t="s">
        <v>7544</v>
      </c>
      <c r="B514">
        <v>85</v>
      </c>
      <c r="F514" s="19" t="s">
        <v>883</v>
      </c>
      <c r="G514" s="139" t="s">
        <v>884</v>
      </c>
      <c r="H514" s="7">
        <f t="shared" si="10"/>
        <v>1212.9999999999998</v>
      </c>
      <c r="I514" s="7">
        <f t="shared" si="11"/>
        <v>194.07999999999998</v>
      </c>
    </row>
    <row r="515" spans="1:9">
      <c r="A515" s="150" t="s">
        <v>7544</v>
      </c>
      <c r="B515">
        <v>85</v>
      </c>
      <c r="F515" s="19" t="s">
        <v>2233</v>
      </c>
      <c r="G515" s="139" t="s">
        <v>7473</v>
      </c>
      <c r="H515" s="7">
        <f t="shared" si="10"/>
        <v>1017</v>
      </c>
      <c r="I515" s="7">
        <f t="shared" si="11"/>
        <v>162.72</v>
      </c>
    </row>
    <row r="516" spans="1:9">
      <c r="A516" s="150" t="s">
        <v>7544</v>
      </c>
      <c r="B516">
        <v>85</v>
      </c>
      <c r="F516" t="s">
        <v>4939</v>
      </c>
      <c r="G516" t="s">
        <v>4346</v>
      </c>
      <c r="H516" s="7">
        <f t="shared" si="10"/>
        <v>318282.4375</v>
      </c>
      <c r="I516" s="7">
        <f t="shared" si="11"/>
        <v>50925.19</v>
      </c>
    </row>
    <row r="517" spans="1:9">
      <c r="A517" s="150" t="s">
        <v>7544</v>
      </c>
      <c r="B517">
        <v>85</v>
      </c>
      <c r="F517" s="70" t="s">
        <v>853</v>
      </c>
      <c r="G517" s="139" t="s">
        <v>297</v>
      </c>
      <c r="H517" s="7">
        <f t="shared" si="10"/>
        <v>240</v>
      </c>
      <c r="I517" s="7">
        <f t="shared" si="11"/>
        <v>38.4</v>
      </c>
    </row>
    <row r="518" spans="1:9">
      <c r="A518" s="150" t="s">
        <v>7544</v>
      </c>
      <c r="B518">
        <v>85</v>
      </c>
      <c r="F518" s="19" t="s">
        <v>778</v>
      </c>
      <c r="G518" s="139" t="s">
        <v>7474</v>
      </c>
      <c r="H518" s="7">
        <f t="shared" si="10"/>
        <v>251.75</v>
      </c>
      <c r="I518" s="7">
        <f t="shared" si="11"/>
        <v>40.28</v>
      </c>
    </row>
    <row r="519" spans="1:9">
      <c r="A519" s="150" t="s">
        <v>7544</v>
      </c>
      <c r="B519">
        <v>85</v>
      </c>
      <c r="F519" s="91" t="s">
        <v>5646</v>
      </c>
      <c r="G519" s="70" t="s">
        <v>5649</v>
      </c>
      <c r="H519" s="7">
        <f t="shared" si="10"/>
        <v>651.5625</v>
      </c>
      <c r="I519" s="7">
        <f t="shared" si="11"/>
        <v>104.25</v>
      </c>
    </row>
    <row r="520" spans="1:9">
      <c r="A520" s="150" t="s">
        <v>7544</v>
      </c>
      <c r="B520">
        <v>85</v>
      </c>
      <c r="F520" t="s">
        <v>799</v>
      </c>
      <c r="G520" t="s">
        <v>0</v>
      </c>
      <c r="H520" s="7">
        <f t="shared" si="10"/>
        <v>10269912.937500002</v>
      </c>
      <c r="I520" s="7">
        <f t="shared" si="11"/>
        <v>1643186.0700000003</v>
      </c>
    </row>
    <row r="521" spans="1:9">
      <c r="A521" s="150" t="s">
        <v>7544</v>
      </c>
      <c r="B521">
        <v>85</v>
      </c>
      <c r="F521" t="s">
        <v>868</v>
      </c>
      <c r="G521" t="s">
        <v>436</v>
      </c>
      <c r="H521" s="7">
        <f t="shared" si="10"/>
        <v>17376.3125</v>
      </c>
      <c r="I521" s="7">
        <f t="shared" si="11"/>
        <v>2780.21</v>
      </c>
    </row>
    <row r="522" spans="1:9">
      <c r="A522" s="150" t="s">
        <v>7544</v>
      </c>
      <c r="B522">
        <v>85</v>
      </c>
      <c r="F522" t="s">
        <v>3237</v>
      </c>
      <c r="G522" t="s">
        <v>4301</v>
      </c>
      <c r="H522" s="7">
        <f t="shared" si="10"/>
        <v>213644.4375</v>
      </c>
      <c r="I522" s="7">
        <f t="shared" si="11"/>
        <v>34183.11</v>
      </c>
    </row>
    <row r="523" spans="1:9">
      <c r="A523" s="150" t="s">
        <v>7544</v>
      </c>
      <c r="B523">
        <v>85</v>
      </c>
      <c r="F523" t="s">
        <v>875</v>
      </c>
      <c r="G523" t="s">
        <v>4335</v>
      </c>
      <c r="H523" s="7">
        <f t="shared" si="10"/>
        <v>157264.1875</v>
      </c>
      <c r="I523" s="7">
        <f t="shared" si="11"/>
        <v>25162.27</v>
      </c>
    </row>
    <row r="524" spans="1:9">
      <c r="A524" s="150" t="s">
        <v>7544</v>
      </c>
      <c r="B524">
        <v>85</v>
      </c>
      <c r="F524" s="25" t="s">
        <v>871</v>
      </c>
      <c r="G524" t="s">
        <v>4338</v>
      </c>
      <c r="H524" s="7">
        <f t="shared" si="10"/>
        <v>499651.6875</v>
      </c>
      <c r="I524" s="7">
        <f t="shared" si="11"/>
        <v>79944.27</v>
      </c>
    </row>
    <row r="525" spans="1:9">
      <c r="A525" s="150" t="s">
        <v>7544</v>
      </c>
      <c r="B525">
        <v>85</v>
      </c>
      <c r="F525" t="s">
        <v>1606</v>
      </c>
      <c r="G525" t="s">
        <v>1055</v>
      </c>
      <c r="H525" s="7">
        <f t="shared" si="10"/>
        <v>164790.0625</v>
      </c>
      <c r="I525" s="7">
        <f t="shared" si="11"/>
        <v>26366.41</v>
      </c>
    </row>
    <row r="526" spans="1:9">
      <c r="A526" s="150" t="s">
        <v>7544</v>
      </c>
      <c r="B526">
        <v>85</v>
      </c>
      <c r="F526" s="19" t="s">
        <v>878</v>
      </c>
      <c r="G526" s="139" t="s">
        <v>7410</v>
      </c>
      <c r="H526" s="7">
        <f t="shared" si="10"/>
        <v>760</v>
      </c>
      <c r="I526" s="7">
        <f t="shared" si="11"/>
        <v>121.6</v>
      </c>
    </row>
    <row r="527" spans="1:9">
      <c r="A527" s="150" t="s">
        <v>7544</v>
      </c>
      <c r="B527">
        <v>85</v>
      </c>
      <c r="F527" s="19" t="s">
        <v>935</v>
      </c>
      <c r="G527" s="139" t="s">
        <v>936</v>
      </c>
      <c r="H527" s="7">
        <f t="shared" si="10"/>
        <v>258.5625</v>
      </c>
      <c r="I527" s="7">
        <f t="shared" si="11"/>
        <v>41.37</v>
      </c>
    </row>
    <row r="528" spans="1:9">
      <c r="A528" s="150" t="s">
        <v>7544</v>
      </c>
      <c r="B528">
        <v>85</v>
      </c>
      <c r="F528" s="70" t="s">
        <v>4366</v>
      </c>
      <c r="G528" s="139" t="s">
        <v>7475</v>
      </c>
      <c r="H528" s="7">
        <f t="shared" si="10"/>
        <v>126.75</v>
      </c>
      <c r="I528" s="7">
        <f t="shared" si="11"/>
        <v>20.28</v>
      </c>
    </row>
    <row r="529" spans="1:11">
      <c r="A529" s="150" t="s">
        <v>7544</v>
      </c>
      <c r="B529">
        <v>85</v>
      </c>
      <c r="F529" t="s">
        <v>1643</v>
      </c>
      <c r="G529" t="s">
        <v>4309</v>
      </c>
      <c r="H529" s="7">
        <f t="shared" si="10"/>
        <v>275488.4375</v>
      </c>
      <c r="I529" s="7">
        <f t="shared" si="11"/>
        <v>44078.15</v>
      </c>
    </row>
    <row r="530" spans="1:11">
      <c r="A530" s="150" t="s">
        <v>7544</v>
      </c>
      <c r="B530">
        <v>85</v>
      </c>
      <c r="F530" s="19" t="s">
        <v>1632</v>
      </c>
      <c r="G530" s="139" t="s">
        <v>1633</v>
      </c>
      <c r="H530" s="7">
        <f t="shared" si="10"/>
        <v>754.24999999999989</v>
      </c>
      <c r="I530" s="7">
        <f t="shared" si="11"/>
        <v>120.67999999999999</v>
      </c>
    </row>
    <row r="531" spans="1:11">
      <c r="A531" s="150" t="s">
        <v>7544</v>
      </c>
      <c r="B531">
        <v>85</v>
      </c>
      <c r="F531" s="70" t="s">
        <v>2207</v>
      </c>
      <c r="G531" s="139" t="s">
        <v>1856</v>
      </c>
      <c r="H531" s="7">
        <f t="shared" si="10"/>
        <v>336.18750000000006</v>
      </c>
      <c r="I531" s="7">
        <f t="shared" si="11"/>
        <v>53.790000000000006</v>
      </c>
    </row>
    <row r="532" spans="1:11">
      <c r="A532" s="150" t="s">
        <v>7544</v>
      </c>
      <c r="B532">
        <v>85</v>
      </c>
      <c r="F532" s="70" t="s">
        <v>802</v>
      </c>
      <c r="G532" s="139" t="s">
        <v>275</v>
      </c>
      <c r="H532" s="7">
        <f t="shared" si="10"/>
        <v>1224.1874999999998</v>
      </c>
      <c r="I532" s="7">
        <f t="shared" si="11"/>
        <v>195.86999999999998</v>
      </c>
    </row>
    <row r="533" spans="1:11">
      <c r="A533" s="150" t="s">
        <v>7544</v>
      </c>
      <c r="B533">
        <v>85</v>
      </c>
      <c r="F533" s="19" t="s">
        <v>3695</v>
      </c>
      <c r="G533" s="139" t="s">
        <v>7398</v>
      </c>
      <c r="H533" s="7">
        <f t="shared" si="10"/>
        <v>225.875</v>
      </c>
      <c r="I533" s="7">
        <f t="shared" si="11"/>
        <v>36.14</v>
      </c>
    </row>
    <row r="534" spans="1:11">
      <c r="H534" s="8"/>
      <c r="I534" s="8"/>
    </row>
    <row r="535" spans="1:11">
      <c r="H535" s="9">
        <f>SUM(H384:H534)</f>
        <v>19534430.375</v>
      </c>
      <c r="I535" s="9">
        <f>SUM(I384:I534)</f>
        <v>3125508.8600000003</v>
      </c>
      <c r="J535" s="7">
        <f>SUM(J384:J533)</f>
        <v>32588.359999999997</v>
      </c>
    </row>
    <row r="536" spans="1:11">
      <c r="H536" s="151">
        <f>+H374</f>
        <v>19534430.375</v>
      </c>
      <c r="I536" s="151">
        <f>+I374</f>
        <v>3125508.859999998</v>
      </c>
    </row>
    <row r="537" spans="1:11">
      <c r="H537" s="10">
        <f>3627325.97-502298.5</f>
        <v>3125027.47</v>
      </c>
      <c r="I537" s="10">
        <f>+H537-I536</f>
        <v>-481.38999999780208</v>
      </c>
      <c r="J537" s="7" t="s">
        <v>960</v>
      </c>
    </row>
    <row r="538" spans="1:11">
      <c r="A538" s="84" t="s">
        <v>4115</v>
      </c>
      <c r="B538" s="147">
        <v>42226</v>
      </c>
      <c r="C538" s="84" t="s">
        <v>4150</v>
      </c>
      <c r="D538" s="84">
        <v>1</v>
      </c>
      <c r="E538" s="84" t="s">
        <v>4504</v>
      </c>
      <c r="F538" s="84" t="s">
        <v>4214</v>
      </c>
      <c r="G538" s="84" t="s">
        <v>7453</v>
      </c>
      <c r="H538" s="148">
        <f>+I538/0.16</f>
        <v>-3008.6875</v>
      </c>
      <c r="I538" s="148">
        <v>-481.39</v>
      </c>
      <c r="J538" s="148" t="s">
        <v>7555</v>
      </c>
      <c r="K538" s="148"/>
    </row>
    <row r="539" spans="1:11">
      <c r="I539" s="9">
        <f>+I538+I536</f>
        <v>3125027.4699999979</v>
      </c>
    </row>
  </sheetData>
  <autoFilter ref="A6:L371"/>
  <sortState ref="A1:N493">
    <sortCondition ref="E1:E493"/>
  </sortState>
  <conditionalFormatting sqref="F384:G533">
    <cfRule type="duplicateValues" dxfId="9" priority="30"/>
  </conditionalFormatting>
  <pageMargins left="0.70866141732283472" right="0.70866141732283472" top="0.74803149606299213" bottom="0.74803149606299213" header="0.31496062992125984" footer="0.31496062992125984"/>
  <pageSetup scale="26" fitToHeight="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536"/>
  <sheetViews>
    <sheetView topLeftCell="A513" zoomScaleNormal="100" workbookViewId="0">
      <selection activeCell="A381" sqref="A381:M537"/>
    </sheetView>
  </sheetViews>
  <sheetFormatPr baseColWidth="10" defaultRowHeight="15"/>
  <cols>
    <col min="1" max="1" width="9.85546875" customWidth="1"/>
    <col min="2" max="2" width="12.140625" customWidth="1"/>
    <col min="3" max="3" width="12" customWidth="1"/>
    <col min="4" max="4" width="2" bestFit="1" customWidth="1"/>
    <col min="5" max="5" width="39.7109375" bestFit="1" customWidth="1"/>
    <col min="6" max="6" width="16.28515625" customWidth="1"/>
    <col min="7" max="7" width="14.28515625" customWidth="1"/>
    <col min="8" max="8" width="15" style="7" customWidth="1"/>
    <col min="9" max="9" width="14.140625" style="7" bestFit="1" customWidth="1"/>
    <col min="10" max="11" width="14.140625" bestFit="1" customWidth="1"/>
  </cols>
  <sheetData>
    <row r="1" spans="1:11">
      <c r="A1" t="s">
        <v>684</v>
      </c>
    </row>
    <row r="2" spans="1:11">
      <c r="A2" t="s">
        <v>4931</v>
      </c>
      <c r="B2">
        <v>2015</v>
      </c>
    </row>
    <row r="3" spans="1:11">
      <c r="A3" t="s">
        <v>685</v>
      </c>
    </row>
    <row r="6" spans="1:11">
      <c r="A6" s="3" t="s">
        <v>687</v>
      </c>
      <c r="B6" s="3" t="s">
        <v>688</v>
      </c>
      <c r="C6" s="3" t="s">
        <v>689</v>
      </c>
      <c r="D6" s="3" t="s">
        <v>690</v>
      </c>
      <c r="E6" s="3" t="s">
        <v>691</v>
      </c>
      <c r="F6" s="4" t="s">
        <v>692</v>
      </c>
      <c r="G6" s="5" t="s">
        <v>693</v>
      </c>
      <c r="H6" s="6" t="s">
        <v>694</v>
      </c>
      <c r="I6" s="6" t="s">
        <v>695</v>
      </c>
    </row>
    <row r="7" spans="1:11">
      <c r="A7" t="s">
        <v>431</v>
      </c>
      <c r="B7" s="1">
        <v>42249</v>
      </c>
      <c r="C7" t="s">
        <v>4843</v>
      </c>
      <c r="D7">
        <v>1</v>
      </c>
      <c r="E7" t="s">
        <v>1514</v>
      </c>
      <c r="F7" s="71" t="s">
        <v>1528</v>
      </c>
      <c r="G7" t="s">
        <v>1514</v>
      </c>
      <c r="H7" s="7">
        <f>+I7/0.16</f>
        <v>7350</v>
      </c>
      <c r="I7" s="7">
        <v>1176</v>
      </c>
    </row>
    <row r="8" spans="1:11">
      <c r="A8" t="s">
        <v>1485</v>
      </c>
      <c r="B8" s="1">
        <v>42277</v>
      </c>
      <c r="C8" t="s">
        <v>4917</v>
      </c>
      <c r="D8">
        <v>1</v>
      </c>
      <c r="E8" t="s">
        <v>1514</v>
      </c>
      <c r="F8" s="71" t="s">
        <v>1528</v>
      </c>
      <c r="G8" t="s">
        <v>1514</v>
      </c>
      <c r="H8" s="7">
        <f t="shared" ref="H8:H68" si="0">+I8/0.16</f>
        <v>7350</v>
      </c>
      <c r="I8" s="7">
        <v>1176</v>
      </c>
    </row>
    <row r="9" spans="1:11">
      <c r="A9" t="s">
        <v>1392</v>
      </c>
      <c r="B9" s="1">
        <v>42264</v>
      </c>
      <c r="C9" t="s">
        <v>4884</v>
      </c>
      <c r="D9">
        <v>1</v>
      </c>
      <c r="E9" t="s">
        <v>2128</v>
      </c>
      <c r="F9" s="72" t="s">
        <v>2186</v>
      </c>
      <c r="G9" t="s">
        <v>2128</v>
      </c>
      <c r="H9" s="7">
        <f t="shared" si="0"/>
        <v>11400</v>
      </c>
      <c r="I9" s="7">
        <v>1824</v>
      </c>
    </row>
    <row r="10" spans="1:11">
      <c r="A10" t="s">
        <v>4080</v>
      </c>
      <c r="B10" s="1">
        <v>42271</v>
      </c>
      <c r="C10" t="s">
        <v>4760</v>
      </c>
      <c r="D10">
        <v>1</v>
      </c>
      <c r="E10" t="s">
        <v>4761</v>
      </c>
      <c r="F10" s="72" t="s">
        <v>7263</v>
      </c>
      <c r="G10" s="77" t="s">
        <v>7264</v>
      </c>
      <c r="H10" s="7">
        <f t="shared" si="0"/>
        <v>231.0625</v>
      </c>
      <c r="I10" s="7">
        <v>36.97</v>
      </c>
    </row>
    <row r="11" spans="1:11">
      <c r="A11" t="s">
        <v>2130</v>
      </c>
      <c r="B11" s="1">
        <v>42265</v>
      </c>
      <c r="C11" t="s">
        <v>4886</v>
      </c>
      <c r="D11">
        <v>1</v>
      </c>
      <c r="E11" t="s">
        <v>2682</v>
      </c>
      <c r="F11" s="73" t="s">
        <v>2688</v>
      </c>
      <c r="G11" t="s">
        <v>2682</v>
      </c>
      <c r="H11" s="7">
        <f t="shared" si="0"/>
        <v>12931.999999999998</v>
      </c>
      <c r="I11" s="7">
        <v>2069.12</v>
      </c>
      <c r="J11" s="60">
        <f>+H11-[1]SEP.2015!$H$217</f>
        <v>-3139.4375</v>
      </c>
      <c r="K11" s="60">
        <f>+I11-[1]SEP.2015!$I$217</f>
        <v>-502.30999999999995</v>
      </c>
    </row>
    <row r="12" spans="1:11">
      <c r="A12" t="s">
        <v>4597</v>
      </c>
      <c r="B12" s="1">
        <v>42254</v>
      </c>
      <c r="C12" t="s">
        <v>4598</v>
      </c>
      <c r="D12">
        <v>1</v>
      </c>
      <c r="E12" t="s">
        <v>4599</v>
      </c>
      <c r="F12" t="s">
        <v>698</v>
      </c>
      <c r="G12" t="s">
        <v>4599</v>
      </c>
      <c r="H12" s="7">
        <f t="shared" si="0"/>
        <v>302316.0625</v>
      </c>
      <c r="I12" s="7">
        <v>48370.57</v>
      </c>
    </row>
    <row r="13" spans="1:11">
      <c r="A13" t="s">
        <v>1735</v>
      </c>
      <c r="B13" s="1">
        <v>42269</v>
      </c>
      <c r="C13" t="s">
        <v>4668</v>
      </c>
      <c r="D13">
        <v>1</v>
      </c>
      <c r="E13" t="s">
        <v>4663</v>
      </c>
      <c r="F13" t="s">
        <v>698</v>
      </c>
      <c r="G13" t="s">
        <v>4663</v>
      </c>
      <c r="H13" s="7">
        <f t="shared" si="0"/>
        <v>243817.8125</v>
      </c>
      <c r="I13" s="7">
        <v>39010.85</v>
      </c>
    </row>
    <row r="14" spans="1:11">
      <c r="A14" t="s">
        <v>1079</v>
      </c>
      <c r="B14" s="1">
        <v>42269</v>
      </c>
      <c r="C14" t="s">
        <v>4662</v>
      </c>
      <c r="D14">
        <v>1</v>
      </c>
      <c r="E14" t="s">
        <v>4940</v>
      </c>
      <c r="F14" t="s">
        <v>698</v>
      </c>
      <c r="G14" t="s">
        <v>4940</v>
      </c>
      <c r="H14" s="7">
        <f t="shared" si="0"/>
        <v>243817.8125</v>
      </c>
      <c r="I14" s="7">
        <v>39010.85</v>
      </c>
    </row>
    <row r="15" spans="1:11">
      <c r="A15" t="s">
        <v>1359</v>
      </c>
      <c r="B15" s="1">
        <v>42254</v>
      </c>
      <c r="C15" t="s">
        <v>4855</v>
      </c>
      <c r="D15">
        <v>1</v>
      </c>
      <c r="E15" t="s">
        <v>541</v>
      </c>
      <c r="F15" s="72" t="s">
        <v>705</v>
      </c>
      <c r="G15" t="s">
        <v>541</v>
      </c>
      <c r="H15" s="7">
        <f t="shared" si="0"/>
        <v>12931</v>
      </c>
      <c r="I15" s="7">
        <v>2068.96</v>
      </c>
    </row>
    <row r="16" spans="1:11">
      <c r="A16" t="s">
        <v>258</v>
      </c>
      <c r="B16" s="1">
        <v>42271</v>
      </c>
      <c r="C16" t="s">
        <v>4759</v>
      </c>
      <c r="D16">
        <v>1</v>
      </c>
      <c r="E16" t="s">
        <v>4249</v>
      </c>
      <c r="F16" s="71" t="s">
        <v>700</v>
      </c>
      <c r="G16" s="77" t="s">
        <v>7265</v>
      </c>
      <c r="H16" s="7">
        <f t="shared" si="0"/>
        <v>333.5625</v>
      </c>
      <c r="I16" s="7">
        <v>53.37</v>
      </c>
    </row>
    <row r="17" spans="1:9">
      <c r="A17" t="s">
        <v>4762</v>
      </c>
      <c r="B17" s="1">
        <v>42271</v>
      </c>
      <c r="C17">
        <v>6043</v>
      </c>
      <c r="D17">
        <v>1</v>
      </c>
      <c r="E17" t="s">
        <v>4249</v>
      </c>
      <c r="F17" s="72" t="s">
        <v>878</v>
      </c>
      <c r="G17" s="77" t="s">
        <v>414</v>
      </c>
      <c r="H17" s="7">
        <f t="shared" si="0"/>
        <v>380</v>
      </c>
      <c r="I17" s="7">
        <v>60.8</v>
      </c>
    </row>
    <row r="18" spans="1:9">
      <c r="A18" t="s">
        <v>325</v>
      </c>
      <c r="B18" s="1">
        <v>42276</v>
      </c>
      <c r="C18">
        <v>63680</v>
      </c>
      <c r="D18">
        <v>1</v>
      </c>
      <c r="E18" t="s">
        <v>4249</v>
      </c>
      <c r="F18" s="72" t="s">
        <v>847</v>
      </c>
      <c r="G18" s="77" t="s">
        <v>5738</v>
      </c>
      <c r="H18" s="7">
        <f t="shared" si="0"/>
        <v>403.125</v>
      </c>
      <c r="I18" s="7">
        <v>64.5</v>
      </c>
    </row>
    <row r="19" spans="1:9">
      <c r="A19" t="s">
        <v>256</v>
      </c>
      <c r="B19" s="1">
        <v>42277</v>
      </c>
      <c r="C19">
        <v>1050</v>
      </c>
      <c r="D19">
        <v>1</v>
      </c>
      <c r="E19" t="s">
        <v>4758</v>
      </c>
      <c r="F19" s="72" t="s">
        <v>820</v>
      </c>
      <c r="G19" s="77" t="s">
        <v>7317</v>
      </c>
      <c r="H19" s="7">
        <f t="shared" si="0"/>
        <v>629.375</v>
      </c>
      <c r="I19" s="7">
        <v>100.7</v>
      </c>
    </row>
    <row r="20" spans="1:9">
      <c r="A20" t="s">
        <v>4090</v>
      </c>
      <c r="B20" s="1">
        <v>42277</v>
      </c>
      <c r="C20">
        <v>46400</v>
      </c>
      <c r="D20">
        <v>1</v>
      </c>
      <c r="E20" t="s">
        <v>4758</v>
      </c>
      <c r="F20" s="72" t="s">
        <v>711</v>
      </c>
      <c r="G20" s="77" t="s">
        <v>7318</v>
      </c>
      <c r="H20" s="7">
        <f t="shared" si="0"/>
        <v>94.6875</v>
      </c>
      <c r="I20" s="7">
        <v>15.15</v>
      </c>
    </row>
    <row r="21" spans="1:9">
      <c r="A21" t="s">
        <v>4092</v>
      </c>
      <c r="B21" s="1">
        <v>42277</v>
      </c>
      <c r="C21">
        <v>9477</v>
      </c>
      <c r="D21">
        <v>1</v>
      </c>
      <c r="E21" t="s">
        <v>4758</v>
      </c>
      <c r="F21" s="71" t="s">
        <v>1595</v>
      </c>
      <c r="G21" s="77" t="s">
        <v>1200</v>
      </c>
      <c r="H21" s="7">
        <f t="shared" si="0"/>
        <v>105.18749999999999</v>
      </c>
      <c r="I21" s="7">
        <v>16.829999999999998</v>
      </c>
    </row>
    <row r="22" spans="1:9">
      <c r="A22" t="s">
        <v>265</v>
      </c>
      <c r="B22" s="1">
        <v>42277</v>
      </c>
      <c r="C22">
        <v>64216</v>
      </c>
      <c r="D22">
        <v>1</v>
      </c>
      <c r="E22" t="s">
        <v>4758</v>
      </c>
      <c r="F22" s="71" t="s">
        <v>847</v>
      </c>
      <c r="G22" s="77" t="s">
        <v>5738</v>
      </c>
      <c r="H22" s="7">
        <f t="shared" si="0"/>
        <v>60.375</v>
      </c>
      <c r="I22" s="7">
        <v>9.66</v>
      </c>
    </row>
    <row r="23" spans="1:9">
      <c r="A23" t="s">
        <v>272</v>
      </c>
      <c r="B23" s="1">
        <v>42271</v>
      </c>
      <c r="C23">
        <v>156</v>
      </c>
      <c r="D23">
        <v>1</v>
      </c>
      <c r="E23" t="s">
        <v>4758</v>
      </c>
      <c r="F23" s="72" t="s">
        <v>5493</v>
      </c>
      <c r="G23" s="77" t="s">
        <v>5743</v>
      </c>
      <c r="H23" s="7">
        <f t="shared" si="0"/>
        <v>189.3125</v>
      </c>
      <c r="I23" s="7">
        <v>30.29</v>
      </c>
    </row>
    <row r="24" spans="1:9">
      <c r="A24" t="s">
        <v>300</v>
      </c>
      <c r="B24" s="1">
        <v>42275</v>
      </c>
      <c r="C24">
        <v>16597</v>
      </c>
      <c r="D24">
        <v>1</v>
      </c>
      <c r="E24" t="s">
        <v>4758</v>
      </c>
      <c r="F24" s="72" t="s">
        <v>802</v>
      </c>
      <c r="G24" s="72" t="s">
        <v>802</v>
      </c>
      <c r="H24" s="7">
        <f t="shared" si="0"/>
        <v>310.375</v>
      </c>
      <c r="I24" s="7">
        <v>49.66</v>
      </c>
    </row>
    <row r="25" spans="1:9">
      <c r="A25" t="s">
        <v>4772</v>
      </c>
      <c r="B25" s="1">
        <v>42275</v>
      </c>
      <c r="C25">
        <v>4349</v>
      </c>
      <c r="D25">
        <v>1</v>
      </c>
      <c r="E25" t="s">
        <v>4758</v>
      </c>
      <c r="F25" s="72" t="s">
        <v>2221</v>
      </c>
      <c r="G25" s="77" t="s">
        <v>7266</v>
      </c>
      <c r="H25" s="7">
        <f t="shared" si="0"/>
        <v>500</v>
      </c>
      <c r="I25" s="7">
        <v>80</v>
      </c>
    </row>
    <row r="26" spans="1:9">
      <c r="A26" t="s">
        <v>4773</v>
      </c>
      <c r="B26" s="1">
        <v>42275</v>
      </c>
      <c r="C26">
        <v>726</v>
      </c>
      <c r="D26">
        <v>1</v>
      </c>
      <c r="E26" t="s">
        <v>4758</v>
      </c>
      <c r="F26" s="72" t="s">
        <v>853</v>
      </c>
      <c r="G26" s="77" t="s">
        <v>297</v>
      </c>
      <c r="H26" s="7">
        <f t="shared" si="0"/>
        <v>231</v>
      </c>
      <c r="I26" s="7">
        <v>36.96</v>
      </c>
    </row>
    <row r="27" spans="1:9">
      <c r="A27" t="s">
        <v>328</v>
      </c>
      <c r="B27" s="1">
        <v>42276</v>
      </c>
      <c r="C27">
        <v>5909</v>
      </c>
      <c r="D27">
        <v>1</v>
      </c>
      <c r="E27" t="s">
        <v>4758</v>
      </c>
      <c r="F27" s="72" t="s">
        <v>878</v>
      </c>
      <c r="G27" s="77" t="s">
        <v>414</v>
      </c>
      <c r="H27" s="7">
        <f t="shared" si="0"/>
        <v>380</v>
      </c>
      <c r="I27" s="7">
        <v>60.8</v>
      </c>
    </row>
    <row r="28" spans="1:9">
      <c r="A28" t="s">
        <v>597</v>
      </c>
      <c r="B28" s="1">
        <v>42277</v>
      </c>
      <c r="C28" t="s">
        <v>4929</v>
      </c>
      <c r="D28">
        <v>1</v>
      </c>
      <c r="E28" t="s">
        <v>4930</v>
      </c>
      <c r="F28" s="72" t="s">
        <v>2191</v>
      </c>
      <c r="G28" t="s">
        <v>4930</v>
      </c>
      <c r="H28" s="7">
        <f t="shared" si="0"/>
        <v>405</v>
      </c>
      <c r="I28" s="7">
        <v>64.8</v>
      </c>
    </row>
    <row r="29" spans="1:9">
      <c r="A29" t="s">
        <v>224</v>
      </c>
      <c r="B29" s="1">
        <v>42277</v>
      </c>
      <c r="C29" t="s">
        <v>4710</v>
      </c>
      <c r="D29">
        <v>1</v>
      </c>
      <c r="E29" t="s">
        <v>4711</v>
      </c>
      <c r="F29" s="72" t="s">
        <v>5633</v>
      </c>
      <c r="G29" t="s">
        <v>4711</v>
      </c>
      <c r="H29" s="7">
        <f t="shared" si="0"/>
        <v>157264.1875</v>
      </c>
      <c r="I29" s="7">
        <v>25162.27</v>
      </c>
    </row>
    <row r="30" spans="1:9">
      <c r="A30" t="s">
        <v>4604</v>
      </c>
      <c r="B30" s="1">
        <v>42255</v>
      </c>
      <c r="C30" t="s">
        <v>4605</v>
      </c>
      <c r="D30">
        <v>1</v>
      </c>
      <c r="E30" t="s">
        <v>4606</v>
      </c>
      <c r="F30" t="s">
        <v>1530</v>
      </c>
      <c r="G30" t="s">
        <v>4606</v>
      </c>
      <c r="H30" s="7">
        <f t="shared" si="0"/>
        <v>243817.8125</v>
      </c>
      <c r="I30" s="7">
        <v>39010.85</v>
      </c>
    </row>
    <row r="31" spans="1:9">
      <c r="A31" t="s">
        <v>4683</v>
      </c>
      <c r="B31" s="1">
        <v>42272</v>
      </c>
      <c r="C31" t="s">
        <v>4684</v>
      </c>
      <c r="D31">
        <v>1</v>
      </c>
      <c r="E31" t="s">
        <v>4685</v>
      </c>
      <c r="F31" t="s">
        <v>1530</v>
      </c>
      <c r="G31" t="s">
        <v>4685</v>
      </c>
      <c r="H31" s="7">
        <f t="shared" si="0"/>
        <v>158063.6875</v>
      </c>
      <c r="I31" s="7">
        <v>25290.19</v>
      </c>
    </row>
    <row r="32" spans="1:9">
      <c r="A32" t="s">
        <v>4664</v>
      </c>
      <c r="B32" s="1">
        <v>42269</v>
      </c>
      <c r="C32" t="s">
        <v>4665</v>
      </c>
      <c r="D32">
        <v>1</v>
      </c>
      <c r="E32" t="s">
        <v>4666</v>
      </c>
      <c r="F32" t="s">
        <v>1530</v>
      </c>
      <c r="G32" t="s">
        <v>4666</v>
      </c>
      <c r="H32" s="7">
        <f t="shared" si="0"/>
        <v>243817.8125</v>
      </c>
      <c r="I32" s="7">
        <v>39010.85</v>
      </c>
    </row>
    <row r="33" spans="1:11">
      <c r="A33" t="s">
        <v>4226</v>
      </c>
      <c r="B33" s="1">
        <v>42255</v>
      </c>
      <c r="C33" t="s">
        <v>4607</v>
      </c>
      <c r="D33">
        <v>1</v>
      </c>
      <c r="E33" t="s">
        <v>4608</v>
      </c>
      <c r="F33" s="72" t="s">
        <v>5634</v>
      </c>
      <c r="G33" t="s">
        <v>4608</v>
      </c>
      <c r="H33" s="7">
        <f t="shared" si="0"/>
        <v>275488.4375</v>
      </c>
      <c r="I33" s="7">
        <v>44078.15</v>
      </c>
    </row>
    <row r="34" spans="1:11">
      <c r="A34" t="s">
        <v>4644</v>
      </c>
      <c r="B34" s="1">
        <v>42261</v>
      </c>
      <c r="C34" t="s">
        <v>4643</v>
      </c>
      <c r="D34">
        <v>1</v>
      </c>
      <c r="E34" t="s">
        <v>188</v>
      </c>
      <c r="F34" s="72" t="s">
        <v>5634</v>
      </c>
      <c r="G34" t="s">
        <v>188</v>
      </c>
      <c r="H34" s="7">
        <f t="shared" si="0"/>
        <v>149115.9375</v>
      </c>
      <c r="I34" s="7">
        <v>23858.55</v>
      </c>
    </row>
    <row r="35" spans="1:11">
      <c r="A35" t="s">
        <v>4718</v>
      </c>
      <c r="B35" s="1">
        <v>42277</v>
      </c>
      <c r="C35" t="s">
        <v>4719</v>
      </c>
      <c r="D35">
        <v>1</v>
      </c>
      <c r="E35" t="s">
        <v>4720</v>
      </c>
      <c r="F35" t="s">
        <v>2690</v>
      </c>
      <c r="G35" t="s">
        <v>4720</v>
      </c>
      <c r="H35" s="7">
        <f t="shared" si="0"/>
        <v>150355.875</v>
      </c>
      <c r="I35" s="7">
        <v>24056.94</v>
      </c>
    </row>
    <row r="36" spans="1:11">
      <c r="A36" t="s">
        <v>1370</v>
      </c>
      <c r="B36" s="1">
        <v>42256</v>
      </c>
      <c r="C36" t="s">
        <v>4866</v>
      </c>
      <c r="D36">
        <v>1</v>
      </c>
      <c r="E36" t="s">
        <v>2092</v>
      </c>
      <c r="F36" s="72" t="s">
        <v>2196</v>
      </c>
      <c r="G36" t="s">
        <v>2092</v>
      </c>
      <c r="H36" s="7">
        <f t="shared" si="0"/>
        <v>7500</v>
      </c>
      <c r="I36" s="7">
        <v>1200</v>
      </c>
    </row>
    <row r="37" spans="1:11">
      <c r="A37" t="s">
        <v>563</v>
      </c>
      <c r="B37" s="1">
        <v>42277</v>
      </c>
      <c r="C37" t="s">
        <v>4921</v>
      </c>
      <c r="D37">
        <v>1</v>
      </c>
      <c r="E37" t="s">
        <v>4922</v>
      </c>
      <c r="F37" s="71" t="s">
        <v>5635</v>
      </c>
      <c r="G37" t="s">
        <v>4922</v>
      </c>
      <c r="H37" s="7">
        <f t="shared" si="0"/>
        <v>11165</v>
      </c>
      <c r="I37" s="7">
        <v>1786.4</v>
      </c>
    </row>
    <row r="38" spans="1:11">
      <c r="A38" t="s">
        <v>2569</v>
      </c>
      <c r="B38" s="1">
        <v>42248</v>
      </c>
      <c r="C38" t="s">
        <v>4838</v>
      </c>
      <c r="D38">
        <v>1</v>
      </c>
      <c r="E38" t="s">
        <v>4839</v>
      </c>
      <c r="F38" s="72" t="s">
        <v>5636</v>
      </c>
      <c r="G38" t="s">
        <v>4839</v>
      </c>
      <c r="H38" s="7">
        <f t="shared" si="0"/>
        <v>9461.625</v>
      </c>
      <c r="I38" s="7">
        <v>1513.86</v>
      </c>
    </row>
    <row r="39" spans="1:11">
      <c r="A39" t="s">
        <v>4785</v>
      </c>
      <c r="B39" s="1">
        <v>42257</v>
      </c>
      <c r="C39">
        <v>1073</v>
      </c>
      <c r="D39">
        <v>1</v>
      </c>
      <c r="E39" t="s">
        <v>4786</v>
      </c>
      <c r="F39" s="72" t="s">
        <v>5637</v>
      </c>
      <c r="G39" t="s">
        <v>4786</v>
      </c>
      <c r="H39" s="7">
        <f t="shared" si="0"/>
        <v>68.9375</v>
      </c>
      <c r="I39" s="7">
        <v>11.03</v>
      </c>
    </row>
    <row r="40" spans="1:11">
      <c r="A40" t="s">
        <v>1477</v>
      </c>
      <c r="B40" s="1">
        <v>42277</v>
      </c>
      <c r="C40" t="s">
        <v>4914</v>
      </c>
      <c r="D40">
        <v>1</v>
      </c>
      <c r="E40" t="s">
        <v>1436</v>
      </c>
      <c r="F40" s="71" t="s">
        <v>1551</v>
      </c>
      <c r="G40" t="s">
        <v>1436</v>
      </c>
      <c r="H40" s="7">
        <f t="shared" si="0"/>
        <v>1163.25</v>
      </c>
      <c r="I40" s="7">
        <v>186.12</v>
      </c>
    </row>
    <row r="41" spans="1:11">
      <c r="A41" t="s">
        <v>2100</v>
      </c>
      <c r="B41" s="1">
        <v>42264</v>
      </c>
      <c r="C41" t="s">
        <v>3560</v>
      </c>
      <c r="D41">
        <v>2</v>
      </c>
      <c r="E41" t="s">
        <v>476</v>
      </c>
      <c r="F41" s="72" t="s">
        <v>730</v>
      </c>
      <c r="G41" t="s">
        <v>476</v>
      </c>
      <c r="H41" s="7">
        <f t="shared" si="0"/>
        <v>4655.1875</v>
      </c>
      <c r="I41" s="7">
        <v>744.83</v>
      </c>
    </row>
    <row r="42" spans="1:11">
      <c r="A42" t="s">
        <v>506</v>
      </c>
      <c r="B42" s="1">
        <v>42269</v>
      </c>
      <c r="C42" t="s">
        <v>3584</v>
      </c>
      <c r="D42">
        <v>2</v>
      </c>
      <c r="E42" t="s">
        <v>476</v>
      </c>
      <c r="F42" s="72" t="s">
        <v>730</v>
      </c>
      <c r="G42" t="s">
        <v>476</v>
      </c>
      <c r="H42" s="7">
        <f t="shared" si="0"/>
        <v>7000</v>
      </c>
      <c r="I42" s="7">
        <v>1120</v>
      </c>
    </row>
    <row r="43" spans="1:11">
      <c r="A43" t="s">
        <v>442</v>
      </c>
      <c r="B43" s="1">
        <v>42255</v>
      </c>
      <c r="C43" t="s">
        <v>4858</v>
      </c>
      <c r="D43">
        <v>1</v>
      </c>
      <c r="E43" t="s">
        <v>489</v>
      </c>
      <c r="F43" s="72" t="s">
        <v>808</v>
      </c>
      <c r="G43" t="s">
        <v>489</v>
      </c>
      <c r="H43" s="7">
        <f t="shared" si="0"/>
        <v>17181.0625</v>
      </c>
      <c r="I43" s="7">
        <v>2748.97</v>
      </c>
    </row>
    <row r="44" spans="1:11">
      <c r="A44" t="s">
        <v>583</v>
      </c>
      <c r="B44" s="1">
        <v>42277</v>
      </c>
      <c r="C44" t="s">
        <v>4927</v>
      </c>
      <c r="D44">
        <v>1</v>
      </c>
      <c r="E44" t="s">
        <v>4928</v>
      </c>
      <c r="F44" s="71" t="s">
        <v>5638</v>
      </c>
      <c r="G44" t="s">
        <v>4928</v>
      </c>
      <c r="H44" s="7">
        <f t="shared" si="0"/>
        <v>1263.875</v>
      </c>
      <c r="I44" s="7">
        <v>202.22</v>
      </c>
    </row>
    <row r="45" spans="1:11">
      <c r="A45" t="s">
        <v>4725</v>
      </c>
      <c r="B45" s="1">
        <v>42277</v>
      </c>
      <c r="C45" t="s">
        <v>4726</v>
      </c>
      <c r="D45">
        <v>1</v>
      </c>
      <c r="E45" t="s">
        <v>4727</v>
      </c>
      <c r="F45" s="72" t="s">
        <v>739</v>
      </c>
      <c r="G45" t="s">
        <v>4727</v>
      </c>
      <c r="H45" s="7">
        <f t="shared" si="0"/>
        <v>8990.75</v>
      </c>
      <c r="I45" s="7">
        <v>1438.52</v>
      </c>
    </row>
    <row r="46" spans="1:11">
      <c r="A46" t="s">
        <v>4728</v>
      </c>
      <c r="B46" s="1">
        <v>42277</v>
      </c>
      <c r="C46" t="s">
        <v>4204</v>
      </c>
      <c r="D46">
        <v>1</v>
      </c>
      <c r="E46" t="s">
        <v>4729</v>
      </c>
      <c r="F46" s="71" t="s">
        <v>743</v>
      </c>
      <c r="G46" t="s">
        <v>4729</v>
      </c>
      <c r="H46" s="7">
        <f t="shared" si="0"/>
        <v>39</v>
      </c>
      <c r="I46" s="7">
        <v>6.24</v>
      </c>
    </row>
    <row r="47" spans="1:11">
      <c r="A47" t="s">
        <v>2369</v>
      </c>
      <c r="B47" s="1">
        <v>42271</v>
      </c>
      <c r="C47" t="s">
        <v>3506</v>
      </c>
      <c r="D47">
        <v>1</v>
      </c>
      <c r="E47" t="s">
        <v>4676</v>
      </c>
      <c r="F47" s="72" t="s">
        <v>722</v>
      </c>
      <c r="G47" s="71" t="s">
        <v>722</v>
      </c>
      <c r="H47" s="7">
        <f t="shared" si="0"/>
        <v>2343.375</v>
      </c>
      <c r="I47" s="74">
        <v>374.94</v>
      </c>
      <c r="J47" s="7"/>
      <c r="K47" s="7"/>
    </row>
    <row r="48" spans="1:11">
      <c r="A48" t="s">
        <v>2369</v>
      </c>
      <c r="B48" s="1">
        <v>42271</v>
      </c>
      <c r="C48" t="s">
        <v>3506</v>
      </c>
      <c r="D48">
        <v>1</v>
      </c>
      <c r="E48" t="s">
        <v>4676</v>
      </c>
      <c r="F48" s="139" t="s">
        <v>955</v>
      </c>
      <c r="G48" s="77" t="s">
        <v>971</v>
      </c>
      <c r="H48" s="7">
        <f t="shared" si="0"/>
        <v>4675</v>
      </c>
      <c r="I48" s="74">
        <v>748</v>
      </c>
    </row>
    <row r="49" spans="1:11">
      <c r="A49" t="s">
        <v>2369</v>
      </c>
      <c r="B49" s="1">
        <v>42271</v>
      </c>
      <c r="C49" t="s">
        <v>3506</v>
      </c>
      <c r="D49">
        <v>1</v>
      </c>
      <c r="E49" t="s">
        <v>4676</v>
      </c>
      <c r="F49" s="75" t="s">
        <v>4216</v>
      </c>
      <c r="G49" s="78" t="s">
        <v>5639</v>
      </c>
      <c r="H49" s="7">
        <f t="shared" si="0"/>
        <v>536.875</v>
      </c>
      <c r="I49" s="76">
        <v>85.9</v>
      </c>
    </row>
    <row r="50" spans="1:11">
      <c r="A50" t="s">
        <v>2369</v>
      </c>
      <c r="B50" s="1">
        <v>42271</v>
      </c>
      <c r="C50" t="s">
        <v>3506</v>
      </c>
      <c r="D50">
        <v>1</v>
      </c>
      <c r="E50" t="s">
        <v>4676</v>
      </c>
      <c r="F50" s="72" t="s">
        <v>972</v>
      </c>
      <c r="G50" s="77" t="s">
        <v>5640</v>
      </c>
      <c r="H50" s="7">
        <f t="shared" si="0"/>
        <v>1593.9375</v>
      </c>
      <c r="I50" s="74">
        <v>255.03</v>
      </c>
      <c r="J50" s="60">
        <f>9149.19-H47-H48-H49-H50</f>
        <v>2.500000000509317E-3</v>
      </c>
      <c r="K50" s="60">
        <f>1463.87-I47-I48-I49-I50</f>
        <v>0</v>
      </c>
    </row>
    <row r="51" spans="1:11">
      <c r="A51" t="s">
        <v>4840</v>
      </c>
      <c r="B51" s="1">
        <v>42248</v>
      </c>
      <c r="C51" t="s">
        <v>4841</v>
      </c>
      <c r="D51">
        <v>1</v>
      </c>
      <c r="E51" t="s">
        <v>428</v>
      </c>
      <c r="F51" s="72" t="s">
        <v>790</v>
      </c>
      <c r="G51" t="s">
        <v>428</v>
      </c>
      <c r="H51" s="7">
        <f t="shared" si="0"/>
        <v>324.3125</v>
      </c>
      <c r="I51" s="7">
        <v>51.89</v>
      </c>
    </row>
    <row r="52" spans="1:11">
      <c r="A52" t="s">
        <v>2589</v>
      </c>
      <c r="B52" s="1">
        <v>42251</v>
      </c>
      <c r="C52" t="s">
        <v>4850</v>
      </c>
      <c r="D52">
        <v>1</v>
      </c>
      <c r="E52" t="s">
        <v>428</v>
      </c>
      <c r="F52" s="72" t="s">
        <v>790</v>
      </c>
      <c r="G52" t="s">
        <v>428</v>
      </c>
      <c r="H52" s="7">
        <f t="shared" si="0"/>
        <v>114922.875</v>
      </c>
      <c r="I52" s="7">
        <v>18387.66</v>
      </c>
    </row>
    <row r="53" spans="1:11">
      <c r="A53" t="s">
        <v>2058</v>
      </c>
      <c r="B53" s="1">
        <v>42254</v>
      </c>
      <c r="C53" t="s">
        <v>4854</v>
      </c>
      <c r="D53">
        <v>1</v>
      </c>
      <c r="E53" t="s">
        <v>428</v>
      </c>
      <c r="F53" s="72" t="s">
        <v>790</v>
      </c>
      <c r="G53" t="s">
        <v>428</v>
      </c>
      <c r="H53" s="7">
        <f t="shared" si="0"/>
        <v>170213.8125</v>
      </c>
      <c r="I53" s="7">
        <v>27234.21</v>
      </c>
    </row>
    <row r="54" spans="1:11">
      <c r="A54" t="s">
        <v>2613</v>
      </c>
      <c r="B54" s="1">
        <v>42255</v>
      </c>
      <c r="C54" t="s">
        <v>4856</v>
      </c>
      <c r="D54">
        <v>1</v>
      </c>
      <c r="E54" t="s">
        <v>428</v>
      </c>
      <c r="F54" s="72" t="s">
        <v>790</v>
      </c>
      <c r="G54" t="s">
        <v>428</v>
      </c>
      <c r="H54" s="7">
        <f t="shared" si="0"/>
        <v>4228.9375</v>
      </c>
      <c r="I54" s="7">
        <v>676.63</v>
      </c>
    </row>
    <row r="55" spans="1:11">
      <c r="A55" t="s">
        <v>2615</v>
      </c>
      <c r="B55" s="1">
        <v>42255</v>
      </c>
      <c r="C55" t="s">
        <v>4857</v>
      </c>
      <c r="D55">
        <v>1</v>
      </c>
      <c r="E55" t="s">
        <v>428</v>
      </c>
      <c r="F55" s="72" t="s">
        <v>790</v>
      </c>
      <c r="G55" t="s">
        <v>428</v>
      </c>
      <c r="H55" s="7">
        <f t="shared" si="0"/>
        <v>4318.0625</v>
      </c>
      <c r="I55" s="7">
        <v>690.89</v>
      </c>
    </row>
    <row r="56" spans="1:11">
      <c r="A56" t="s">
        <v>481</v>
      </c>
      <c r="B56" s="1">
        <v>42258</v>
      </c>
      <c r="C56" t="s">
        <v>4867</v>
      </c>
      <c r="D56">
        <v>1</v>
      </c>
      <c r="E56" t="s">
        <v>428</v>
      </c>
      <c r="F56" s="72" t="s">
        <v>790</v>
      </c>
      <c r="G56" t="s">
        <v>428</v>
      </c>
      <c r="H56" s="7">
        <f t="shared" si="0"/>
        <v>105094.1875</v>
      </c>
      <c r="I56" s="7">
        <v>16815.07</v>
      </c>
    </row>
    <row r="57" spans="1:11">
      <c r="A57" t="s">
        <v>2084</v>
      </c>
      <c r="B57" s="1">
        <v>42261</v>
      </c>
      <c r="C57" t="s">
        <v>4870</v>
      </c>
      <c r="D57">
        <v>1</v>
      </c>
      <c r="E57" t="s">
        <v>428</v>
      </c>
      <c r="F57" s="72" t="s">
        <v>790</v>
      </c>
      <c r="G57" t="s">
        <v>428</v>
      </c>
      <c r="H57" s="7">
        <f t="shared" si="0"/>
        <v>437150.625</v>
      </c>
      <c r="I57" s="7">
        <v>69944.100000000006</v>
      </c>
    </row>
    <row r="58" spans="1:11">
      <c r="A58" t="s">
        <v>2093</v>
      </c>
      <c r="B58" s="1">
        <v>42262</v>
      </c>
      <c r="C58" t="s">
        <v>4873</v>
      </c>
      <c r="D58">
        <v>1</v>
      </c>
      <c r="E58" t="s">
        <v>428</v>
      </c>
      <c r="F58" s="72" t="s">
        <v>790</v>
      </c>
      <c r="G58" t="s">
        <v>428</v>
      </c>
      <c r="H58" s="7">
        <f t="shared" si="0"/>
        <v>2108.6875</v>
      </c>
      <c r="I58" s="7">
        <v>337.39</v>
      </c>
    </row>
    <row r="59" spans="1:11">
      <c r="A59" t="s">
        <v>2123</v>
      </c>
      <c r="B59" s="1">
        <v>42264</v>
      </c>
      <c r="C59" t="s">
        <v>4880</v>
      </c>
      <c r="D59">
        <v>1</v>
      </c>
      <c r="E59" t="s">
        <v>428</v>
      </c>
      <c r="F59" s="72" t="s">
        <v>790</v>
      </c>
      <c r="G59" t="s">
        <v>428</v>
      </c>
      <c r="H59" s="7">
        <f t="shared" si="0"/>
        <v>73237.625</v>
      </c>
      <c r="I59" s="7">
        <v>11718.02</v>
      </c>
    </row>
    <row r="60" spans="1:11">
      <c r="A60" t="s">
        <v>3170</v>
      </c>
      <c r="B60" s="1">
        <v>42265</v>
      </c>
      <c r="C60" t="s">
        <v>4885</v>
      </c>
      <c r="D60">
        <v>1</v>
      </c>
      <c r="E60" t="s">
        <v>428</v>
      </c>
      <c r="F60" s="72" t="s">
        <v>790</v>
      </c>
      <c r="G60" t="s">
        <v>428</v>
      </c>
      <c r="H60" s="7">
        <f t="shared" si="0"/>
        <v>40836.1875</v>
      </c>
      <c r="I60" s="7">
        <v>6533.79</v>
      </c>
    </row>
    <row r="61" spans="1:11">
      <c r="A61" t="s">
        <v>1404</v>
      </c>
      <c r="B61" s="1">
        <v>42265</v>
      </c>
      <c r="C61" t="s">
        <v>4887</v>
      </c>
      <c r="D61">
        <v>1</v>
      </c>
      <c r="E61" t="s">
        <v>428</v>
      </c>
      <c r="F61" s="72" t="s">
        <v>790</v>
      </c>
      <c r="G61" t="s">
        <v>428</v>
      </c>
      <c r="H61" s="7">
        <f t="shared" si="0"/>
        <v>99430.6875</v>
      </c>
      <c r="I61" s="7">
        <v>15908.91</v>
      </c>
    </row>
    <row r="62" spans="1:11">
      <c r="A62" t="s">
        <v>1426</v>
      </c>
      <c r="B62" s="1">
        <v>42272</v>
      </c>
      <c r="C62" t="s">
        <v>4903</v>
      </c>
      <c r="D62">
        <v>1</v>
      </c>
      <c r="E62" t="s">
        <v>428</v>
      </c>
      <c r="F62" s="72" t="s">
        <v>790</v>
      </c>
      <c r="G62" t="s">
        <v>428</v>
      </c>
      <c r="H62" s="7">
        <f t="shared" si="0"/>
        <v>96878.25</v>
      </c>
      <c r="I62" s="7">
        <v>15500.52</v>
      </c>
    </row>
    <row r="63" spans="1:11">
      <c r="A63" t="s">
        <v>549</v>
      </c>
      <c r="B63" s="1">
        <v>42276</v>
      </c>
      <c r="C63" t="s">
        <v>4908</v>
      </c>
      <c r="D63">
        <v>1</v>
      </c>
      <c r="E63" t="s">
        <v>428</v>
      </c>
      <c r="F63" s="72" t="s">
        <v>790</v>
      </c>
      <c r="G63" t="s">
        <v>428</v>
      </c>
      <c r="H63" s="7">
        <f t="shared" si="0"/>
        <v>194020.4375</v>
      </c>
      <c r="I63" s="7">
        <v>31043.27</v>
      </c>
    </row>
    <row r="64" spans="1:11">
      <c r="A64" t="s">
        <v>550</v>
      </c>
      <c r="B64" s="1">
        <v>42276</v>
      </c>
      <c r="C64" t="s">
        <v>4909</v>
      </c>
      <c r="D64">
        <v>1</v>
      </c>
      <c r="E64" t="s">
        <v>428</v>
      </c>
      <c r="F64" s="72" t="s">
        <v>790</v>
      </c>
      <c r="G64" t="s">
        <v>428</v>
      </c>
      <c r="H64" s="7">
        <f t="shared" si="0"/>
        <v>4318.0625</v>
      </c>
      <c r="I64" s="7">
        <v>690.89</v>
      </c>
    </row>
    <row r="65" spans="1:9">
      <c r="A65" t="s">
        <v>552</v>
      </c>
      <c r="B65" s="1">
        <v>42276</v>
      </c>
      <c r="C65" t="s">
        <v>4910</v>
      </c>
      <c r="D65">
        <v>1</v>
      </c>
      <c r="E65" t="s">
        <v>428</v>
      </c>
      <c r="F65" s="72" t="s">
        <v>790</v>
      </c>
      <c r="G65" t="s">
        <v>428</v>
      </c>
      <c r="H65" s="7">
        <f t="shared" si="0"/>
        <v>2200</v>
      </c>
      <c r="I65" s="7">
        <v>352</v>
      </c>
    </row>
    <row r="66" spans="1:9">
      <c r="A66" t="s">
        <v>1462</v>
      </c>
      <c r="B66" s="1">
        <v>42276</v>
      </c>
      <c r="C66" t="s">
        <v>4911</v>
      </c>
      <c r="D66">
        <v>1</v>
      </c>
      <c r="E66" t="s">
        <v>428</v>
      </c>
      <c r="F66" s="72" t="s">
        <v>790</v>
      </c>
      <c r="G66" t="s">
        <v>428</v>
      </c>
      <c r="H66" s="7">
        <f t="shared" si="0"/>
        <v>1815.625</v>
      </c>
      <c r="I66" s="7">
        <v>290.5</v>
      </c>
    </row>
    <row r="67" spans="1:9">
      <c r="A67" t="s">
        <v>555</v>
      </c>
      <c r="B67" s="1">
        <v>42276</v>
      </c>
      <c r="C67" t="s">
        <v>4912</v>
      </c>
      <c r="D67">
        <v>1</v>
      </c>
      <c r="E67" t="s">
        <v>428</v>
      </c>
      <c r="F67" s="72" t="s">
        <v>790</v>
      </c>
      <c r="G67" t="s">
        <v>428</v>
      </c>
      <c r="H67" s="7">
        <f t="shared" si="0"/>
        <v>324.3125</v>
      </c>
      <c r="I67" s="7">
        <v>51.89</v>
      </c>
    </row>
    <row r="68" spans="1:9">
      <c r="A68" t="s">
        <v>4063</v>
      </c>
      <c r="B68" s="1">
        <v>42277</v>
      </c>
      <c r="C68">
        <v>9021</v>
      </c>
      <c r="D68">
        <v>1</v>
      </c>
      <c r="E68" t="s">
        <v>4748</v>
      </c>
      <c r="F68" s="71" t="s">
        <v>768</v>
      </c>
      <c r="G68" s="77" t="s">
        <v>283</v>
      </c>
      <c r="H68" s="7">
        <f t="shared" si="0"/>
        <v>498.125</v>
      </c>
      <c r="I68" s="7">
        <v>79.7</v>
      </c>
    </row>
    <row r="72" spans="1:9">
      <c r="A72" t="s">
        <v>4057</v>
      </c>
      <c r="B72" s="1">
        <v>42277</v>
      </c>
      <c r="C72" t="s">
        <v>4746</v>
      </c>
      <c r="D72">
        <v>1</v>
      </c>
      <c r="E72" t="s">
        <v>4745</v>
      </c>
      <c r="F72" s="71" t="s">
        <v>768</v>
      </c>
      <c r="G72" s="77" t="s">
        <v>283</v>
      </c>
      <c r="H72" s="7">
        <f t="shared" ref="H72:H135" si="1">+I72/0.16</f>
        <v>99.25</v>
      </c>
      <c r="I72" s="7">
        <v>15.88</v>
      </c>
    </row>
    <row r="73" spans="1:9">
      <c r="A73" t="s">
        <v>292</v>
      </c>
      <c r="B73" s="1">
        <v>42275</v>
      </c>
      <c r="C73">
        <v>70985</v>
      </c>
      <c r="D73">
        <v>1</v>
      </c>
      <c r="E73" t="s">
        <v>4745</v>
      </c>
      <c r="F73" s="72" t="s">
        <v>759</v>
      </c>
      <c r="G73" s="77" t="s">
        <v>7132</v>
      </c>
      <c r="H73" s="7">
        <f t="shared" si="1"/>
        <v>155.0625</v>
      </c>
      <c r="I73" s="7">
        <v>24.81</v>
      </c>
    </row>
    <row r="74" spans="1:9">
      <c r="A74" t="s">
        <v>303</v>
      </c>
      <c r="B74" s="1">
        <v>42275</v>
      </c>
      <c r="C74">
        <v>4329</v>
      </c>
      <c r="D74">
        <v>1</v>
      </c>
      <c r="E74" t="s">
        <v>4745</v>
      </c>
      <c r="F74" s="72" t="s">
        <v>2221</v>
      </c>
      <c r="G74" s="77" t="s">
        <v>7266</v>
      </c>
      <c r="H74" s="7">
        <f t="shared" si="1"/>
        <v>500</v>
      </c>
      <c r="I74" s="7">
        <v>80</v>
      </c>
    </row>
    <row r="75" spans="1:9">
      <c r="A75" t="s">
        <v>4326</v>
      </c>
      <c r="B75" s="1">
        <v>42276</v>
      </c>
      <c r="C75" t="s">
        <v>4700</v>
      </c>
      <c r="D75">
        <v>1</v>
      </c>
      <c r="E75" t="s">
        <v>4701</v>
      </c>
      <c r="F75" t="s">
        <v>791</v>
      </c>
      <c r="G75" t="s">
        <v>4701</v>
      </c>
      <c r="H75" s="7">
        <f t="shared" si="1"/>
        <v>278610.375</v>
      </c>
      <c r="I75" s="7">
        <v>44577.66</v>
      </c>
    </row>
    <row r="76" spans="1:9">
      <c r="A76" t="s">
        <v>4672</v>
      </c>
      <c r="B76" s="1">
        <v>42270</v>
      </c>
      <c r="C76" t="s">
        <v>4671</v>
      </c>
      <c r="D76">
        <v>1</v>
      </c>
      <c r="E76" t="s">
        <v>1098</v>
      </c>
      <c r="F76" t="s">
        <v>791</v>
      </c>
      <c r="G76" t="s">
        <v>1098</v>
      </c>
      <c r="H76" s="7">
        <f t="shared" si="1"/>
        <v>375072.375</v>
      </c>
      <c r="I76" s="7">
        <v>60011.58</v>
      </c>
    </row>
    <row r="77" spans="1:9">
      <c r="A77" t="s">
        <v>4224</v>
      </c>
      <c r="B77" s="1">
        <v>42255</v>
      </c>
      <c r="C77" t="s">
        <v>4602</v>
      </c>
      <c r="D77">
        <v>1</v>
      </c>
      <c r="E77" t="s">
        <v>4603</v>
      </c>
      <c r="F77" t="s">
        <v>791</v>
      </c>
      <c r="G77" t="s">
        <v>4603</v>
      </c>
      <c r="H77" s="7">
        <f t="shared" si="1"/>
        <v>318280.6875</v>
      </c>
      <c r="I77" s="7">
        <v>50924.91</v>
      </c>
    </row>
    <row r="78" spans="1:9">
      <c r="A78" t="s">
        <v>486</v>
      </c>
      <c r="B78" s="1">
        <v>42264</v>
      </c>
      <c r="C78" t="s">
        <v>4876</v>
      </c>
      <c r="D78">
        <v>1</v>
      </c>
      <c r="E78" t="s">
        <v>638</v>
      </c>
      <c r="F78" s="72" t="s">
        <v>795</v>
      </c>
      <c r="G78" t="s">
        <v>638</v>
      </c>
      <c r="H78" s="7">
        <f t="shared" si="1"/>
        <v>88069</v>
      </c>
      <c r="I78" s="7">
        <v>14091.04</v>
      </c>
    </row>
    <row r="79" spans="1:9">
      <c r="A79" t="s">
        <v>4787</v>
      </c>
      <c r="B79" s="1">
        <v>42262</v>
      </c>
      <c r="C79">
        <v>991</v>
      </c>
      <c r="D79">
        <v>1</v>
      </c>
      <c r="E79" t="s">
        <v>576</v>
      </c>
      <c r="F79" s="71" t="s">
        <v>704</v>
      </c>
      <c r="G79" t="s">
        <v>576</v>
      </c>
      <c r="H79" s="7">
        <f t="shared" si="1"/>
        <v>215.49999999999997</v>
      </c>
      <c r="I79" s="7">
        <v>34.479999999999997</v>
      </c>
    </row>
    <row r="80" spans="1:9">
      <c r="A80" t="s">
        <v>4788</v>
      </c>
      <c r="B80" s="1">
        <v>42251</v>
      </c>
      <c r="C80">
        <v>981</v>
      </c>
      <c r="D80">
        <v>1</v>
      </c>
      <c r="E80" t="s">
        <v>576</v>
      </c>
      <c r="F80" s="71" t="s">
        <v>704</v>
      </c>
      <c r="G80" t="s">
        <v>576</v>
      </c>
      <c r="H80" s="7">
        <f t="shared" si="1"/>
        <v>215.49999999999997</v>
      </c>
      <c r="I80" s="7">
        <v>34.479999999999997</v>
      </c>
    </row>
    <row r="81" spans="1:11">
      <c r="A81" t="s">
        <v>4789</v>
      </c>
      <c r="B81" s="1">
        <v>42265</v>
      </c>
      <c r="C81">
        <v>992</v>
      </c>
      <c r="D81">
        <v>1</v>
      </c>
      <c r="E81" t="s">
        <v>576</v>
      </c>
      <c r="F81" s="71" t="s">
        <v>704</v>
      </c>
      <c r="G81" t="s">
        <v>576</v>
      </c>
      <c r="H81" s="7">
        <f t="shared" si="1"/>
        <v>215.49999999999997</v>
      </c>
      <c r="I81" s="7">
        <v>34.479999999999997</v>
      </c>
    </row>
    <row r="82" spans="1:11">
      <c r="A82" t="s">
        <v>4791</v>
      </c>
      <c r="B82" s="1">
        <v>42277</v>
      </c>
      <c r="C82">
        <v>1006</v>
      </c>
      <c r="D82">
        <v>1</v>
      </c>
      <c r="E82" t="s">
        <v>576</v>
      </c>
      <c r="F82" s="71" t="s">
        <v>704</v>
      </c>
      <c r="G82" t="s">
        <v>576</v>
      </c>
      <c r="H82" s="7">
        <f t="shared" si="1"/>
        <v>215.49999999999997</v>
      </c>
      <c r="I82" s="7">
        <v>34.479999999999997</v>
      </c>
    </row>
    <row r="83" spans="1:11">
      <c r="A83" t="s">
        <v>1941</v>
      </c>
      <c r="B83" s="1">
        <v>42277</v>
      </c>
      <c r="C83" t="s">
        <v>4712</v>
      </c>
      <c r="D83">
        <v>1</v>
      </c>
      <c r="E83" t="s">
        <v>4713</v>
      </c>
      <c r="F83" s="72" t="s">
        <v>797</v>
      </c>
      <c r="G83" t="s">
        <v>4713</v>
      </c>
      <c r="H83" s="7">
        <f t="shared" si="1"/>
        <v>157264.1875</v>
      </c>
      <c r="I83" s="7">
        <v>25162.27</v>
      </c>
    </row>
    <row r="84" spans="1:11">
      <c r="A84" t="s">
        <v>510</v>
      </c>
      <c r="B84" s="1">
        <v>42269</v>
      </c>
      <c r="C84" t="s">
        <v>4890</v>
      </c>
      <c r="D84">
        <v>1</v>
      </c>
      <c r="E84" t="s">
        <v>4891</v>
      </c>
      <c r="F84" s="72" t="s">
        <v>5641</v>
      </c>
      <c r="G84" t="s">
        <v>4891</v>
      </c>
      <c r="H84" s="7">
        <f t="shared" si="1"/>
        <v>1724.125</v>
      </c>
      <c r="I84" s="7">
        <v>275.86</v>
      </c>
    </row>
    <row r="85" spans="1:11">
      <c r="A85" t="s">
        <v>4031</v>
      </c>
      <c r="B85" s="1">
        <v>42277</v>
      </c>
      <c r="C85">
        <v>6610</v>
      </c>
      <c r="D85">
        <v>1</v>
      </c>
      <c r="E85" t="s">
        <v>4732</v>
      </c>
      <c r="F85" s="71" t="s">
        <v>5726</v>
      </c>
      <c r="G85" s="77" t="s">
        <v>5727</v>
      </c>
      <c r="H85" s="7">
        <f t="shared" si="1"/>
        <v>226.75</v>
      </c>
      <c r="I85" s="7">
        <v>36.28</v>
      </c>
    </row>
    <row r="86" spans="1:11">
      <c r="A86" t="s">
        <v>4790</v>
      </c>
      <c r="B86" s="1">
        <v>42269</v>
      </c>
      <c r="C86">
        <v>156</v>
      </c>
      <c r="D86">
        <v>1</v>
      </c>
      <c r="E86" t="s">
        <v>2385</v>
      </c>
      <c r="F86" s="72" t="s">
        <v>805</v>
      </c>
      <c r="G86" t="s">
        <v>2385</v>
      </c>
      <c r="H86" s="7">
        <f t="shared" si="1"/>
        <v>350</v>
      </c>
      <c r="I86" s="7">
        <v>56</v>
      </c>
    </row>
    <row r="87" spans="1:11">
      <c r="A87" t="s">
        <v>473</v>
      </c>
      <c r="B87" s="1">
        <v>42256</v>
      </c>
      <c r="C87" t="s">
        <v>4863</v>
      </c>
      <c r="D87">
        <v>1</v>
      </c>
      <c r="E87" t="s">
        <v>4864</v>
      </c>
      <c r="F87" s="72" t="s">
        <v>5642</v>
      </c>
      <c r="G87" t="s">
        <v>4864</v>
      </c>
      <c r="H87" s="7">
        <f t="shared" si="1"/>
        <v>14462</v>
      </c>
      <c r="I87" s="7">
        <v>2313.92</v>
      </c>
    </row>
    <row r="88" spans="1:11">
      <c r="A88" t="s">
        <v>2595</v>
      </c>
      <c r="B88" s="1">
        <v>42254</v>
      </c>
      <c r="C88" t="s">
        <v>4852</v>
      </c>
      <c r="D88">
        <v>1</v>
      </c>
      <c r="E88" t="s">
        <v>4853</v>
      </c>
      <c r="F88" s="72" t="s">
        <v>806</v>
      </c>
      <c r="G88" t="s">
        <v>4853</v>
      </c>
      <c r="H88" s="7">
        <f t="shared" si="1"/>
        <v>11443.375</v>
      </c>
      <c r="I88" s="7">
        <v>1830.94</v>
      </c>
    </row>
    <row r="89" spans="1:11">
      <c r="A89" t="s">
        <v>1326</v>
      </c>
      <c r="B89" s="1">
        <v>42249</v>
      </c>
      <c r="C89" t="s">
        <v>4842</v>
      </c>
      <c r="D89">
        <v>1</v>
      </c>
      <c r="E89" t="s">
        <v>433</v>
      </c>
      <c r="F89" s="72" t="s">
        <v>5643</v>
      </c>
      <c r="G89" s="77" t="s">
        <v>5644</v>
      </c>
      <c r="H89" s="7">
        <f t="shared" si="1"/>
        <v>1937.9375</v>
      </c>
      <c r="I89" s="7">
        <v>310.07</v>
      </c>
    </row>
    <row r="90" spans="1:11">
      <c r="A90" t="s">
        <v>521</v>
      </c>
      <c r="B90" s="1">
        <v>42272</v>
      </c>
      <c r="C90" t="s">
        <v>4898</v>
      </c>
      <c r="D90">
        <v>1</v>
      </c>
      <c r="E90" t="s">
        <v>433</v>
      </c>
      <c r="F90" s="72" t="s">
        <v>5643</v>
      </c>
      <c r="G90" s="77" t="s">
        <v>5644</v>
      </c>
      <c r="H90" s="7">
        <f t="shared" si="1"/>
        <v>1339.6875</v>
      </c>
      <c r="I90" s="7">
        <v>214.35</v>
      </c>
    </row>
    <row r="91" spans="1:11">
      <c r="A91" t="s">
        <v>4774</v>
      </c>
      <c r="B91" s="1">
        <v>42276</v>
      </c>
      <c r="C91">
        <v>9623</v>
      </c>
      <c r="D91">
        <v>1</v>
      </c>
      <c r="E91" t="s">
        <v>4775</v>
      </c>
      <c r="F91" s="75" t="s">
        <v>2218</v>
      </c>
      <c r="G91" s="78" t="s">
        <v>1972</v>
      </c>
      <c r="H91" s="7">
        <f t="shared" si="1"/>
        <v>517.3125</v>
      </c>
      <c r="I91" s="7">
        <v>82.77</v>
      </c>
    </row>
    <row r="92" spans="1:11">
      <c r="A92" t="s">
        <v>245</v>
      </c>
      <c r="B92" s="1">
        <v>42271</v>
      </c>
      <c r="C92" t="s">
        <v>4752</v>
      </c>
      <c r="D92">
        <v>1</v>
      </c>
      <c r="E92" t="s">
        <v>4753</v>
      </c>
      <c r="F92" s="72" t="s">
        <v>807</v>
      </c>
      <c r="G92" s="77" t="s">
        <v>2493</v>
      </c>
      <c r="H92" s="7">
        <f t="shared" si="1"/>
        <v>1350</v>
      </c>
      <c r="I92" s="7">
        <v>216</v>
      </c>
    </row>
    <row r="93" spans="1:11">
      <c r="A93" t="s">
        <v>4088</v>
      </c>
      <c r="B93" s="1">
        <v>42277</v>
      </c>
      <c r="C93">
        <v>70632</v>
      </c>
      <c r="D93">
        <v>1</v>
      </c>
      <c r="E93" t="s">
        <v>4763</v>
      </c>
      <c r="F93" s="72" t="s">
        <v>804</v>
      </c>
      <c r="G93" s="77" t="s">
        <v>5691</v>
      </c>
      <c r="H93" s="7">
        <f t="shared" si="1"/>
        <v>143.5</v>
      </c>
      <c r="I93" s="7">
        <v>22.96</v>
      </c>
    </row>
    <row r="94" spans="1:11">
      <c r="A94" t="s">
        <v>4067</v>
      </c>
      <c r="B94" s="1">
        <v>42277</v>
      </c>
      <c r="C94">
        <v>12562</v>
      </c>
      <c r="D94">
        <v>1</v>
      </c>
      <c r="E94" t="s">
        <v>4749</v>
      </c>
      <c r="F94" s="72" t="s">
        <v>2767</v>
      </c>
      <c r="G94" s="77" t="s">
        <v>2768</v>
      </c>
      <c r="H94" s="7">
        <f t="shared" si="1"/>
        <v>775.875</v>
      </c>
      <c r="I94" s="7">
        <v>124.14</v>
      </c>
      <c r="J94" s="7"/>
      <c r="K94" s="7"/>
    </row>
    <row r="95" spans="1:11">
      <c r="A95" t="s">
        <v>4067</v>
      </c>
      <c r="B95" s="1">
        <v>42277</v>
      </c>
      <c r="C95">
        <v>12562</v>
      </c>
      <c r="D95">
        <v>1</v>
      </c>
      <c r="E95" t="s">
        <v>4749</v>
      </c>
      <c r="F95" s="72" t="s">
        <v>7482</v>
      </c>
      <c r="G95" s="77" t="s">
        <v>7483</v>
      </c>
      <c r="H95" s="7">
        <f t="shared" si="1"/>
        <v>95.562499999999986</v>
      </c>
      <c r="I95" s="7">
        <v>15.29</v>
      </c>
      <c r="J95" s="60">
        <f>871.44-H94-H95</f>
        <v>2.5000000000687805E-3</v>
      </c>
      <c r="K95" s="60">
        <f>139.43-I94-I95</f>
        <v>0</v>
      </c>
    </row>
    <row r="96" spans="1:11">
      <c r="A96" t="s">
        <v>4750</v>
      </c>
      <c r="B96" s="1">
        <v>42277</v>
      </c>
      <c r="C96">
        <v>9135</v>
      </c>
      <c r="D96">
        <v>1</v>
      </c>
      <c r="E96" t="s">
        <v>4749</v>
      </c>
      <c r="F96" s="72" t="s">
        <v>769</v>
      </c>
      <c r="G96" s="77" t="s">
        <v>645</v>
      </c>
      <c r="H96" s="7">
        <f t="shared" si="1"/>
        <v>387.0625</v>
      </c>
      <c r="I96" s="7">
        <v>61.93</v>
      </c>
    </row>
    <row r="97" spans="1:11">
      <c r="A97" t="s">
        <v>232</v>
      </c>
      <c r="B97" s="1">
        <v>42277</v>
      </c>
      <c r="C97">
        <v>9832</v>
      </c>
      <c r="D97">
        <v>1</v>
      </c>
      <c r="E97" t="s">
        <v>4749</v>
      </c>
      <c r="F97" s="72" t="s">
        <v>7484</v>
      </c>
      <c r="G97" s="77" t="s">
        <v>7485</v>
      </c>
      <c r="H97" s="7">
        <f t="shared" si="1"/>
        <v>133.8125</v>
      </c>
      <c r="I97" s="7">
        <v>21.41</v>
      </c>
    </row>
    <row r="98" spans="1:11">
      <c r="A98" t="s">
        <v>235</v>
      </c>
      <c r="B98" s="1">
        <v>42277</v>
      </c>
      <c r="C98">
        <v>8977</v>
      </c>
      <c r="D98">
        <v>1</v>
      </c>
      <c r="E98" t="s">
        <v>4749</v>
      </c>
      <c r="F98" s="72" t="s">
        <v>2695</v>
      </c>
      <c r="G98" s="77" t="s">
        <v>2455</v>
      </c>
      <c r="H98" s="7">
        <f t="shared" si="1"/>
        <v>147.375</v>
      </c>
      <c r="I98" s="7">
        <v>23.58</v>
      </c>
    </row>
    <row r="99" spans="1:11">
      <c r="A99" t="s">
        <v>238</v>
      </c>
      <c r="B99" s="1">
        <v>42277</v>
      </c>
      <c r="C99">
        <v>1617</v>
      </c>
      <c r="D99">
        <v>1</v>
      </c>
      <c r="E99" t="s">
        <v>4749</v>
      </c>
      <c r="F99" s="72" t="s">
        <v>6013</v>
      </c>
      <c r="G99" s="77" t="s">
        <v>7486</v>
      </c>
      <c r="H99" s="7">
        <f t="shared" si="1"/>
        <v>701.875</v>
      </c>
      <c r="I99" s="7">
        <v>112.3</v>
      </c>
    </row>
    <row r="100" spans="1:11">
      <c r="A100" t="s">
        <v>4084</v>
      </c>
      <c r="B100" s="1">
        <v>42277</v>
      </c>
      <c r="C100">
        <v>149</v>
      </c>
      <c r="D100">
        <v>1</v>
      </c>
      <c r="E100" t="s">
        <v>4749</v>
      </c>
      <c r="F100" s="72" t="s">
        <v>5493</v>
      </c>
      <c r="G100" s="77" t="s">
        <v>5743</v>
      </c>
      <c r="H100" s="7">
        <f t="shared" si="1"/>
        <v>277</v>
      </c>
      <c r="I100" s="7">
        <v>44.32</v>
      </c>
    </row>
    <row r="101" spans="1:11">
      <c r="A101" t="s">
        <v>260</v>
      </c>
      <c r="B101" s="1">
        <v>42277</v>
      </c>
      <c r="C101">
        <v>6398</v>
      </c>
      <c r="D101">
        <v>1</v>
      </c>
      <c r="E101" t="s">
        <v>4749</v>
      </c>
      <c r="F101" s="72" t="s">
        <v>711</v>
      </c>
      <c r="G101" s="77" t="s">
        <v>7318</v>
      </c>
      <c r="H101" s="7">
        <f t="shared" si="1"/>
        <v>447.625</v>
      </c>
      <c r="I101" s="7">
        <v>71.62</v>
      </c>
    </row>
    <row r="102" spans="1:11">
      <c r="A102" t="s">
        <v>262</v>
      </c>
      <c r="B102" s="1">
        <v>42277</v>
      </c>
      <c r="C102">
        <v>6941</v>
      </c>
      <c r="D102">
        <v>1</v>
      </c>
      <c r="E102" t="s">
        <v>4749</v>
      </c>
      <c r="F102" s="72" t="s">
        <v>820</v>
      </c>
      <c r="G102" s="77" t="s">
        <v>7317</v>
      </c>
      <c r="H102" s="7">
        <f t="shared" si="1"/>
        <v>116.75</v>
      </c>
      <c r="I102" s="7">
        <v>18.68</v>
      </c>
    </row>
    <row r="103" spans="1:11">
      <c r="A103" t="s">
        <v>267</v>
      </c>
      <c r="B103" s="1">
        <v>42277</v>
      </c>
      <c r="C103" t="s">
        <v>4765</v>
      </c>
      <c r="D103">
        <v>1</v>
      </c>
      <c r="E103" t="s">
        <v>4749</v>
      </c>
      <c r="F103" s="72" t="s">
        <v>714</v>
      </c>
      <c r="G103" s="77" t="s">
        <v>715</v>
      </c>
      <c r="H103" s="7">
        <f t="shared" si="1"/>
        <v>322.4375</v>
      </c>
      <c r="I103" s="7">
        <v>51.59</v>
      </c>
      <c r="J103" s="7"/>
      <c r="K103" s="7"/>
    </row>
    <row r="104" spans="1:11">
      <c r="A104" t="s">
        <v>267</v>
      </c>
      <c r="B104" s="1">
        <v>42277</v>
      </c>
      <c r="C104" t="s">
        <v>4765</v>
      </c>
      <c r="D104">
        <v>1</v>
      </c>
      <c r="E104" t="s">
        <v>4749</v>
      </c>
      <c r="F104" s="72" t="s">
        <v>935</v>
      </c>
      <c r="G104" s="77" t="s">
        <v>936</v>
      </c>
      <c r="H104" s="7">
        <f t="shared" si="1"/>
        <v>86.187499999999986</v>
      </c>
      <c r="I104" s="7">
        <v>13.79</v>
      </c>
      <c r="J104" s="7"/>
      <c r="K104" s="7"/>
    </row>
    <row r="105" spans="1:11">
      <c r="A105" t="s">
        <v>267</v>
      </c>
      <c r="B105" s="1">
        <v>42277</v>
      </c>
      <c r="C105" t="s">
        <v>4765</v>
      </c>
      <c r="D105">
        <v>1</v>
      </c>
      <c r="E105" t="s">
        <v>4749</v>
      </c>
      <c r="F105" s="72" t="s">
        <v>780</v>
      </c>
      <c r="G105" s="77" t="s">
        <v>781</v>
      </c>
      <c r="H105" s="7">
        <f t="shared" si="1"/>
        <v>398.375</v>
      </c>
      <c r="I105" s="7">
        <v>63.74</v>
      </c>
    </row>
    <row r="106" spans="1:11">
      <c r="A106" t="s">
        <v>267</v>
      </c>
      <c r="B106" s="1">
        <v>42277</v>
      </c>
      <c r="C106" t="s">
        <v>4765</v>
      </c>
      <c r="D106">
        <v>1</v>
      </c>
      <c r="E106" t="s">
        <v>4749</v>
      </c>
      <c r="F106" s="72" t="s">
        <v>722</v>
      </c>
      <c r="G106" s="77" t="s">
        <v>722</v>
      </c>
      <c r="H106" s="7">
        <f t="shared" si="1"/>
        <v>176.8125</v>
      </c>
      <c r="I106" s="7">
        <v>28.29</v>
      </c>
      <c r="J106" s="60">
        <f>983.81-H103-H104-H105-H106</f>
        <v>-2.5000000000545697E-3</v>
      </c>
      <c r="K106" s="60">
        <f>157.41-I103-I104-I105-I106</f>
        <v>0</v>
      </c>
    </row>
    <row r="107" spans="1:11">
      <c r="A107" t="s">
        <v>271</v>
      </c>
      <c r="B107" s="1">
        <v>42271</v>
      </c>
      <c r="C107">
        <v>598</v>
      </c>
      <c r="D107">
        <v>1</v>
      </c>
      <c r="E107" t="s">
        <v>4749</v>
      </c>
      <c r="F107" s="72" t="s">
        <v>2213</v>
      </c>
      <c r="G107" s="77" t="s">
        <v>1864</v>
      </c>
      <c r="H107" s="7">
        <f t="shared" si="1"/>
        <v>300</v>
      </c>
      <c r="I107" s="7">
        <v>48</v>
      </c>
    </row>
    <row r="108" spans="1:11">
      <c r="A108" t="s">
        <v>4766</v>
      </c>
      <c r="B108" s="1">
        <v>42271</v>
      </c>
      <c r="C108">
        <v>6736</v>
      </c>
      <c r="D108">
        <v>1</v>
      </c>
      <c r="E108" t="s">
        <v>4749</v>
      </c>
      <c r="F108" s="72" t="s">
        <v>759</v>
      </c>
      <c r="G108" s="77" t="s">
        <v>7490</v>
      </c>
      <c r="H108" s="7">
        <f t="shared" si="1"/>
        <v>185.375</v>
      </c>
      <c r="I108" s="7">
        <v>29.66</v>
      </c>
    </row>
    <row r="109" spans="1:11">
      <c r="A109" t="s">
        <v>276</v>
      </c>
      <c r="B109" s="1">
        <v>42271</v>
      </c>
      <c r="C109">
        <v>846</v>
      </c>
      <c r="D109">
        <v>1</v>
      </c>
      <c r="E109" t="s">
        <v>4749</v>
      </c>
      <c r="F109" s="72" t="s">
        <v>5246</v>
      </c>
      <c r="G109" s="77" t="s">
        <v>7489</v>
      </c>
      <c r="H109" s="7">
        <f t="shared" si="1"/>
        <v>575.875</v>
      </c>
      <c r="I109" s="7">
        <v>92.14</v>
      </c>
    </row>
    <row r="110" spans="1:11">
      <c r="A110" t="s">
        <v>278</v>
      </c>
      <c r="B110" s="1">
        <v>42271</v>
      </c>
      <c r="C110">
        <v>102</v>
      </c>
      <c r="D110">
        <v>1</v>
      </c>
      <c r="E110" t="s">
        <v>4749</v>
      </c>
      <c r="F110" t="s">
        <v>7487</v>
      </c>
      <c r="G110" t="s">
        <v>7488</v>
      </c>
      <c r="H110" s="7">
        <f t="shared" si="1"/>
        <v>88</v>
      </c>
      <c r="I110" s="7">
        <v>14.08</v>
      </c>
    </row>
    <row r="111" spans="1:11">
      <c r="A111" t="s">
        <v>279</v>
      </c>
      <c r="B111" s="1">
        <v>42271</v>
      </c>
      <c r="C111">
        <v>3421</v>
      </c>
      <c r="D111">
        <v>1</v>
      </c>
      <c r="E111" t="s">
        <v>4749</v>
      </c>
      <c r="F111" s="72" t="s">
        <v>935</v>
      </c>
      <c r="G111" s="77" t="s">
        <v>936</v>
      </c>
      <c r="H111" s="7">
        <f t="shared" si="1"/>
        <v>86.187499999999986</v>
      </c>
      <c r="I111" s="7">
        <v>13.79</v>
      </c>
    </row>
    <row r="112" spans="1:11">
      <c r="A112" t="s">
        <v>4770</v>
      </c>
      <c r="B112" s="1">
        <v>42271</v>
      </c>
      <c r="C112">
        <v>727</v>
      </c>
      <c r="D112">
        <v>1</v>
      </c>
      <c r="E112" t="s">
        <v>4749</v>
      </c>
      <c r="F112" t="s">
        <v>853</v>
      </c>
      <c r="G112" t="s">
        <v>297</v>
      </c>
      <c r="H112" s="7">
        <f t="shared" si="1"/>
        <v>180</v>
      </c>
      <c r="I112" s="7">
        <v>28.8</v>
      </c>
    </row>
    <row r="113" spans="1:10">
      <c r="A113" t="s">
        <v>280</v>
      </c>
      <c r="B113" s="1">
        <v>42271</v>
      </c>
      <c r="C113">
        <v>70081</v>
      </c>
      <c r="D113">
        <v>1</v>
      </c>
      <c r="E113" t="s">
        <v>4749</v>
      </c>
      <c r="F113" t="s">
        <v>804</v>
      </c>
      <c r="G113" t="s">
        <v>5691</v>
      </c>
      <c r="H113" s="7">
        <f t="shared" si="1"/>
        <v>127.1875</v>
      </c>
      <c r="I113" s="7">
        <v>20.350000000000001</v>
      </c>
    </row>
    <row r="114" spans="1:10">
      <c r="A114" t="s">
        <v>282</v>
      </c>
      <c r="B114" s="1">
        <v>42271</v>
      </c>
      <c r="C114">
        <v>70320</v>
      </c>
      <c r="D114">
        <v>1</v>
      </c>
      <c r="E114" t="s">
        <v>4749</v>
      </c>
      <c r="F114" t="s">
        <v>804</v>
      </c>
      <c r="G114" t="s">
        <v>5691</v>
      </c>
      <c r="H114" s="7">
        <f t="shared" si="1"/>
        <v>151.875</v>
      </c>
      <c r="I114" s="7">
        <v>24.3</v>
      </c>
    </row>
    <row r="115" spans="1:10">
      <c r="A115" t="s">
        <v>4771</v>
      </c>
      <c r="B115" s="1">
        <v>42271</v>
      </c>
      <c r="C115">
        <v>4</v>
      </c>
      <c r="D115">
        <v>1</v>
      </c>
      <c r="E115" t="s">
        <v>4749</v>
      </c>
      <c r="F115" s="72" t="s">
        <v>1595</v>
      </c>
      <c r="G115" s="77" t="s">
        <v>1200</v>
      </c>
      <c r="H115" s="7">
        <f t="shared" si="1"/>
        <v>68.5</v>
      </c>
      <c r="I115" s="7">
        <v>10.96</v>
      </c>
    </row>
    <row r="116" spans="1:10">
      <c r="A116" t="s">
        <v>290</v>
      </c>
      <c r="B116" s="1">
        <v>42275</v>
      </c>
      <c r="C116">
        <v>6992</v>
      </c>
      <c r="D116">
        <v>1</v>
      </c>
      <c r="E116" t="s">
        <v>4749</v>
      </c>
      <c r="F116" s="72" t="s">
        <v>7267</v>
      </c>
      <c r="G116" s="77" t="s">
        <v>7270</v>
      </c>
      <c r="H116" s="7">
        <f t="shared" si="1"/>
        <v>888.00000000000011</v>
      </c>
      <c r="I116" s="7">
        <v>142.08000000000001</v>
      </c>
    </row>
    <row r="117" spans="1:10">
      <c r="A117" t="s">
        <v>294</v>
      </c>
      <c r="B117" s="1">
        <v>42275</v>
      </c>
      <c r="C117">
        <v>1923</v>
      </c>
      <c r="D117">
        <v>1</v>
      </c>
      <c r="E117" t="s">
        <v>4749</v>
      </c>
      <c r="F117" s="72" t="s">
        <v>1561</v>
      </c>
      <c r="G117" s="77" t="s">
        <v>1188</v>
      </c>
      <c r="H117" s="7">
        <f t="shared" si="1"/>
        <v>343.125</v>
      </c>
      <c r="I117" s="7">
        <v>54.9</v>
      </c>
      <c r="J117" s="2"/>
    </row>
    <row r="118" spans="1:10">
      <c r="A118" t="s">
        <v>298</v>
      </c>
      <c r="B118" s="1">
        <v>42275</v>
      </c>
      <c r="C118">
        <v>70986</v>
      </c>
      <c r="D118">
        <v>1</v>
      </c>
      <c r="E118" t="s">
        <v>4749</v>
      </c>
      <c r="F118" s="72" t="s">
        <v>804</v>
      </c>
      <c r="G118" s="77" t="s">
        <v>5691</v>
      </c>
      <c r="H118" s="7">
        <f t="shared" si="1"/>
        <v>540</v>
      </c>
      <c r="I118" s="7">
        <v>86.4</v>
      </c>
    </row>
    <row r="119" spans="1:10">
      <c r="A119" t="s">
        <v>305</v>
      </c>
      <c r="B119" s="1">
        <v>42275</v>
      </c>
      <c r="C119">
        <v>8865</v>
      </c>
      <c r="D119">
        <v>1</v>
      </c>
      <c r="E119" t="s">
        <v>4749</v>
      </c>
      <c r="F119" s="72" t="s">
        <v>759</v>
      </c>
      <c r="G119" s="77" t="s">
        <v>7132</v>
      </c>
      <c r="H119" s="7">
        <f t="shared" si="1"/>
        <v>203.43749999999997</v>
      </c>
      <c r="I119" s="7">
        <v>32.549999999999997</v>
      </c>
    </row>
    <row r="120" spans="1:10">
      <c r="A120" t="s">
        <v>313</v>
      </c>
      <c r="B120" s="1">
        <v>42276</v>
      </c>
      <c r="C120">
        <v>14388</v>
      </c>
      <c r="D120">
        <v>1</v>
      </c>
      <c r="E120" t="s">
        <v>4749</v>
      </c>
      <c r="F120" s="72" t="s">
        <v>837</v>
      </c>
      <c r="G120" s="77" t="s">
        <v>261</v>
      </c>
      <c r="H120" s="7">
        <f t="shared" si="1"/>
        <v>208.5</v>
      </c>
      <c r="I120" s="7">
        <v>33.36</v>
      </c>
    </row>
    <row r="121" spans="1:10">
      <c r="A121" t="s">
        <v>318</v>
      </c>
      <c r="B121" s="1">
        <v>42276</v>
      </c>
      <c r="C121">
        <v>1639</v>
      </c>
      <c r="D121">
        <v>1</v>
      </c>
      <c r="E121" t="s">
        <v>4749</v>
      </c>
      <c r="F121" s="71" t="s">
        <v>4448</v>
      </c>
      <c r="G121" s="77" t="s">
        <v>7271</v>
      </c>
      <c r="H121" s="7">
        <f t="shared" si="1"/>
        <v>75</v>
      </c>
      <c r="I121" s="7">
        <v>12</v>
      </c>
    </row>
    <row r="122" spans="1:10">
      <c r="A122" t="s">
        <v>322</v>
      </c>
      <c r="B122" s="1">
        <v>42276</v>
      </c>
      <c r="C122">
        <v>14280</v>
      </c>
      <c r="D122">
        <v>1</v>
      </c>
      <c r="E122" t="s">
        <v>4749</v>
      </c>
      <c r="F122" s="72" t="s">
        <v>837</v>
      </c>
      <c r="G122" s="77" t="s">
        <v>261</v>
      </c>
      <c r="H122" s="7">
        <f t="shared" si="1"/>
        <v>146</v>
      </c>
      <c r="I122" s="7">
        <v>23.36</v>
      </c>
    </row>
    <row r="123" spans="1:10">
      <c r="A123" t="s">
        <v>327</v>
      </c>
      <c r="B123" s="1">
        <v>42276</v>
      </c>
      <c r="C123">
        <v>70699</v>
      </c>
      <c r="D123">
        <v>1</v>
      </c>
      <c r="E123" t="s">
        <v>4749</v>
      </c>
      <c r="F123" s="71" t="s">
        <v>804</v>
      </c>
      <c r="G123" s="77" t="s">
        <v>5691</v>
      </c>
      <c r="H123" s="7">
        <f t="shared" si="1"/>
        <v>35.625</v>
      </c>
      <c r="I123" s="7">
        <v>5.7</v>
      </c>
    </row>
    <row r="124" spans="1:10">
      <c r="A124" t="s">
        <v>4776</v>
      </c>
      <c r="B124" s="1">
        <v>42276</v>
      </c>
      <c r="C124">
        <v>1103</v>
      </c>
      <c r="D124">
        <v>1</v>
      </c>
      <c r="E124" t="s">
        <v>4749</v>
      </c>
      <c r="F124" s="72" t="s">
        <v>5637</v>
      </c>
      <c r="G124" s="77" t="s">
        <v>7269</v>
      </c>
      <c r="H124" s="7">
        <f t="shared" si="1"/>
        <v>68.9375</v>
      </c>
      <c r="I124" s="7">
        <v>11.03</v>
      </c>
    </row>
    <row r="125" spans="1:10">
      <c r="A125" t="s">
        <v>4777</v>
      </c>
      <c r="B125" s="1">
        <v>42276</v>
      </c>
      <c r="C125">
        <v>10561</v>
      </c>
      <c r="D125">
        <v>1</v>
      </c>
      <c r="E125" t="s">
        <v>4749</v>
      </c>
      <c r="F125" s="72" t="s">
        <v>840</v>
      </c>
      <c r="G125" s="77" t="s">
        <v>409</v>
      </c>
      <c r="H125" s="7">
        <f t="shared" si="1"/>
        <v>175.875</v>
      </c>
      <c r="I125" s="7">
        <v>28.14</v>
      </c>
    </row>
    <row r="126" spans="1:10">
      <c r="A126" t="s">
        <v>4778</v>
      </c>
      <c r="B126" s="1">
        <v>42277</v>
      </c>
      <c r="C126">
        <v>71112</v>
      </c>
      <c r="D126">
        <v>1</v>
      </c>
      <c r="E126" t="s">
        <v>4749</v>
      </c>
      <c r="F126" s="71" t="s">
        <v>804</v>
      </c>
      <c r="G126" s="77" t="s">
        <v>5691</v>
      </c>
      <c r="H126" s="7">
        <f t="shared" si="1"/>
        <v>45.625</v>
      </c>
      <c r="I126" s="7">
        <v>7.3</v>
      </c>
    </row>
    <row r="127" spans="1:10">
      <c r="A127" t="s">
        <v>254</v>
      </c>
      <c r="B127" s="1">
        <v>42271</v>
      </c>
      <c r="C127" t="s">
        <v>4756</v>
      </c>
      <c r="D127">
        <v>1</v>
      </c>
      <c r="E127" t="s">
        <v>4757</v>
      </c>
      <c r="F127" s="72" t="s">
        <v>5493</v>
      </c>
      <c r="G127" s="77" t="s">
        <v>5743</v>
      </c>
      <c r="H127" s="7">
        <f t="shared" si="1"/>
        <v>277</v>
      </c>
      <c r="I127" s="7">
        <v>44.32</v>
      </c>
    </row>
    <row r="128" spans="1:10">
      <c r="A128" t="s">
        <v>4086</v>
      </c>
      <c r="B128" s="1">
        <v>42271</v>
      </c>
      <c r="C128">
        <v>15544</v>
      </c>
      <c r="D128">
        <v>1</v>
      </c>
      <c r="E128" t="s">
        <v>4757</v>
      </c>
      <c r="F128" s="72" t="s">
        <v>7272</v>
      </c>
      <c r="G128" s="77" t="s">
        <v>7268</v>
      </c>
      <c r="H128" s="7">
        <f t="shared" si="1"/>
        <v>86.3125</v>
      </c>
      <c r="I128" s="7">
        <v>13.81</v>
      </c>
      <c r="J128" s="2"/>
    </row>
    <row r="129" spans="1:12">
      <c r="A129" t="s">
        <v>4767</v>
      </c>
      <c r="B129" s="1">
        <v>42271</v>
      </c>
      <c r="C129">
        <v>7626</v>
      </c>
      <c r="D129">
        <v>1</v>
      </c>
      <c r="E129" t="s">
        <v>4768</v>
      </c>
      <c r="F129" s="72" t="s">
        <v>821</v>
      </c>
      <c r="G129" s="77" t="s">
        <v>5707</v>
      </c>
      <c r="H129" s="7">
        <f t="shared" si="1"/>
        <v>689.625</v>
      </c>
      <c r="I129" s="7">
        <v>110.34</v>
      </c>
    </row>
    <row r="130" spans="1:12">
      <c r="A130" t="s">
        <v>497</v>
      </c>
      <c r="B130" s="1">
        <v>42264</v>
      </c>
      <c r="C130" t="s">
        <v>4883</v>
      </c>
      <c r="D130">
        <v>1</v>
      </c>
      <c r="E130" t="s">
        <v>1476</v>
      </c>
      <c r="F130" s="72" t="s">
        <v>1570</v>
      </c>
      <c r="G130" t="s">
        <v>1476</v>
      </c>
      <c r="H130" s="7">
        <f t="shared" si="1"/>
        <v>1984</v>
      </c>
      <c r="I130" s="7">
        <v>317.44</v>
      </c>
    </row>
    <row r="131" spans="1:12">
      <c r="A131" t="s">
        <v>2116</v>
      </c>
      <c r="B131" s="1">
        <v>42264</v>
      </c>
      <c r="C131" t="s">
        <v>4878</v>
      </c>
      <c r="D131">
        <v>1</v>
      </c>
      <c r="E131" t="s">
        <v>446</v>
      </c>
      <c r="F131" s="72" t="s">
        <v>815</v>
      </c>
      <c r="G131" t="s">
        <v>446</v>
      </c>
      <c r="H131" s="7">
        <f t="shared" si="1"/>
        <v>1354.875</v>
      </c>
      <c r="I131" s="7">
        <v>216.78</v>
      </c>
    </row>
    <row r="132" spans="1:12">
      <c r="A132" t="s">
        <v>1481</v>
      </c>
      <c r="B132" s="1">
        <v>42277</v>
      </c>
      <c r="C132" t="s">
        <v>4915</v>
      </c>
      <c r="D132">
        <v>1</v>
      </c>
      <c r="E132" t="s">
        <v>446</v>
      </c>
      <c r="F132" s="71" t="s">
        <v>815</v>
      </c>
      <c r="G132" t="s">
        <v>446</v>
      </c>
      <c r="H132" s="7">
        <f t="shared" si="1"/>
        <v>2244.1875</v>
      </c>
      <c r="I132" s="7">
        <v>359.07</v>
      </c>
    </row>
    <row r="133" spans="1:12">
      <c r="A133" t="s">
        <v>274</v>
      </c>
      <c r="B133" s="1">
        <v>42271</v>
      </c>
      <c r="C133">
        <v>70048</v>
      </c>
      <c r="D133">
        <v>1</v>
      </c>
      <c r="E133" t="s">
        <v>4769</v>
      </c>
      <c r="F133" s="72" t="s">
        <v>804</v>
      </c>
      <c r="G133" s="77" t="s">
        <v>5691</v>
      </c>
      <c r="H133" s="7">
        <f t="shared" si="1"/>
        <v>93.999999999999986</v>
      </c>
      <c r="I133" s="7">
        <v>15.04</v>
      </c>
    </row>
    <row r="134" spans="1:12">
      <c r="A134" t="s">
        <v>2079</v>
      </c>
      <c r="B134" s="1">
        <v>42261</v>
      </c>
      <c r="C134" t="s">
        <v>4868</v>
      </c>
      <c r="D134">
        <v>1</v>
      </c>
      <c r="E134" t="s">
        <v>4869</v>
      </c>
      <c r="F134" s="72" t="s">
        <v>7273</v>
      </c>
      <c r="G134" s="77" t="s">
        <v>4869</v>
      </c>
      <c r="H134" s="7">
        <f t="shared" si="1"/>
        <v>13566.6875</v>
      </c>
      <c r="I134" s="7">
        <v>2170.67</v>
      </c>
    </row>
    <row r="135" spans="1:12">
      <c r="A135" t="s">
        <v>437</v>
      </c>
      <c r="B135" s="1">
        <v>42249</v>
      </c>
      <c r="C135" t="s">
        <v>3198</v>
      </c>
      <c r="D135">
        <v>2</v>
      </c>
      <c r="E135" t="s">
        <v>455</v>
      </c>
      <c r="F135" s="72" t="s">
        <v>823</v>
      </c>
      <c r="G135" t="s">
        <v>455</v>
      </c>
      <c r="H135" s="7">
        <f t="shared" si="1"/>
        <v>4406.6875</v>
      </c>
      <c r="I135" s="7">
        <v>705.07</v>
      </c>
    </row>
    <row r="136" spans="1:12">
      <c r="A136" t="s">
        <v>1385</v>
      </c>
      <c r="B136" s="1">
        <v>42264</v>
      </c>
      <c r="C136" t="s">
        <v>3581</v>
      </c>
      <c r="D136">
        <v>2</v>
      </c>
      <c r="E136" t="s">
        <v>455</v>
      </c>
      <c r="F136" s="72" t="s">
        <v>823</v>
      </c>
      <c r="G136" t="s">
        <v>455</v>
      </c>
      <c r="H136" s="7">
        <f t="shared" ref="H136:H199" si="2">+I136/0.16</f>
        <v>3295.0625</v>
      </c>
      <c r="I136" s="7">
        <v>527.21</v>
      </c>
    </row>
    <row r="137" spans="1:12">
      <c r="A137" t="s">
        <v>566</v>
      </c>
      <c r="B137" s="1">
        <v>42277</v>
      </c>
      <c r="C137" t="s">
        <v>3589</v>
      </c>
      <c r="D137">
        <v>2</v>
      </c>
      <c r="E137" t="s">
        <v>455</v>
      </c>
      <c r="F137" s="71" t="s">
        <v>823</v>
      </c>
      <c r="G137" t="s">
        <v>455</v>
      </c>
      <c r="H137" s="7">
        <f t="shared" si="2"/>
        <v>13148.875</v>
      </c>
      <c r="I137" s="7">
        <v>2103.8200000000002</v>
      </c>
    </row>
    <row r="138" spans="1:12">
      <c r="A138" t="s">
        <v>1473</v>
      </c>
      <c r="B138" s="1">
        <v>42277</v>
      </c>
      <c r="C138" t="s">
        <v>4913</v>
      </c>
      <c r="D138">
        <v>1</v>
      </c>
      <c r="E138" t="s">
        <v>2097</v>
      </c>
      <c r="F138" s="71" t="s">
        <v>2212</v>
      </c>
      <c r="G138" t="s">
        <v>2097</v>
      </c>
      <c r="H138" s="7">
        <f t="shared" si="2"/>
        <v>3785.625</v>
      </c>
      <c r="I138" s="7">
        <v>605.70000000000005</v>
      </c>
    </row>
    <row r="139" spans="1:12">
      <c r="A139" t="s">
        <v>2040</v>
      </c>
      <c r="B139" s="1">
        <v>42249</v>
      </c>
      <c r="C139" t="s">
        <v>3195</v>
      </c>
      <c r="D139">
        <v>2</v>
      </c>
      <c r="E139" t="s">
        <v>650</v>
      </c>
      <c r="F139" s="72" t="s">
        <v>827</v>
      </c>
      <c r="G139" t="s">
        <v>650</v>
      </c>
      <c r="H139" s="7">
        <f t="shared" si="2"/>
        <v>1046.5</v>
      </c>
      <c r="I139" s="7">
        <v>167.44</v>
      </c>
    </row>
    <row r="140" spans="1:12">
      <c r="A140" t="s">
        <v>2108</v>
      </c>
      <c r="B140" s="1">
        <v>42264</v>
      </c>
      <c r="C140" t="s">
        <v>3562</v>
      </c>
      <c r="D140">
        <v>2</v>
      </c>
      <c r="E140" t="s">
        <v>650</v>
      </c>
      <c r="F140" s="72" t="s">
        <v>827</v>
      </c>
      <c r="G140" t="s">
        <v>650</v>
      </c>
      <c r="H140" s="7">
        <f t="shared" si="2"/>
        <v>1939</v>
      </c>
      <c r="I140" s="7">
        <v>310.24</v>
      </c>
    </row>
    <row r="141" spans="1:12">
      <c r="A141" t="s">
        <v>2169</v>
      </c>
      <c r="B141" s="1">
        <v>42277</v>
      </c>
      <c r="C141" t="s">
        <v>3586</v>
      </c>
      <c r="D141">
        <v>2</v>
      </c>
      <c r="E141" t="s">
        <v>650</v>
      </c>
      <c r="F141" s="71" t="s">
        <v>827</v>
      </c>
      <c r="G141" t="s">
        <v>650</v>
      </c>
      <c r="H141" s="7">
        <f t="shared" si="2"/>
        <v>1046.5</v>
      </c>
      <c r="I141" s="7">
        <v>167.44</v>
      </c>
    </row>
    <row r="142" spans="1:12">
      <c r="A142" t="s">
        <v>394</v>
      </c>
      <c r="B142" s="1">
        <v>42277</v>
      </c>
      <c r="C142" t="s">
        <v>4826</v>
      </c>
      <c r="D142">
        <v>1</v>
      </c>
      <c r="E142" t="s">
        <v>4827</v>
      </c>
      <c r="F142" s="71" t="s">
        <v>722</v>
      </c>
      <c r="G142" t="s">
        <v>722</v>
      </c>
      <c r="H142" s="7">
        <f t="shared" si="2"/>
        <v>-7687.5625</v>
      </c>
      <c r="I142" s="7">
        <v>-1230.01</v>
      </c>
    </row>
    <row r="143" spans="1:12">
      <c r="A143" t="s">
        <v>4833</v>
      </c>
      <c r="B143" s="1">
        <v>42277</v>
      </c>
      <c r="C143" t="s">
        <v>4834</v>
      </c>
      <c r="D143">
        <v>1</v>
      </c>
      <c r="E143" t="s">
        <v>4835</v>
      </c>
      <c r="F143" s="71" t="s">
        <v>722</v>
      </c>
      <c r="G143" t="s">
        <v>722</v>
      </c>
      <c r="H143" s="7">
        <f t="shared" si="2"/>
        <v>4851.5</v>
      </c>
      <c r="I143" s="7">
        <v>776.24</v>
      </c>
    </row>
    <row r="144" spans="1:12">
      <c r="A144" t="s">
        <v>1663</v>
      </c>
      <c r="B144" s="1">
        <v>42254</v>
      </c>
      <c r="C144" t="s">
        <v>4600</v>
      </c>
      <c r="D144">
        <v>1</v>
      </c>
      <c r="E144" t="s">
        <v>4601</v>
      </c>
      <c r="F144" t="s">
        <v>1530</v>
      </c>
      <c r="G144" s="71" t="s">
        <v>7476</v>
      </c>
      <c r="H144" s="7">
        <f t="shared" si="2"/>
        <v>149641.6875</v>
      </c>
      <c r="I144" s="7">
        <v>23942.67</v>
      </c>
      <c r="J144" s="60">
        <f>+H144-[1]SEP.2015!$H$83</f>
        <v>-663.375</v>
      </c>
      <c r="K144" s="60">
        <f>+I144-[1]SEP.2015!$I$83</f>
        <v>-106.14000000000306</v>
      </c>
      <c r="L144" t="s">
        <v>960</v>
      </c>
    </row>
    <row r="145" spans="1:12">
      <c r="A145" t="s">
        <v>4656</v>
      </c>
      <c r="B145" s="1">
        <v>42266</v>
      </c>
      <c r="C145" t="s">
        <v>4657</v>
      </c>
      <c r="D145">
        <v>1</v>
      </c>
      <c r="E145" t="s">
        <v>4658</v>
      </c>
      <c r="F145" s="72" t="s">
        <v>799</v>
      </c>
      <c r="G145" s="77" t="s">
        <v>0</v>
      </c>
      <c r="H145" s="7">
        <f t="shared" si="2"/>
        <v>183189.375</v>
      </c>
      <c r="I145" s="7">
        <v>29310.3</v>
      </c>
      <c r="J145" s="60">
        <f>+H145-[1]SEP.2015!$H$162</f>
        <v>-2604.3125</v>
      </c>
      <c r="K145" s="60">
        <f>+I145-[1]SEP.2015!$I$162</f>
        <v>-416.69000000000233</v>
      </c>
      <c r="L145" t="s">
        <v>960</v>
      </c>
    </row>
    <row r="146" spans="1:12">
      <c r="A146" t="s">
        <v>2125</v>
      </c>
      <c r="B146" s="1">
        <v>42264</v>
      </c>
      <c r="C146" t="s">
        <v>4881</v>
      </c>
      <c r="D146">
        <v>1</v>
      </c>
      <c r="E146" t="s">
        <v>557</v>
      </c>
      <c r="F146" s="73" t="s">
        <v>956</v>
      </c>
      <c r="G146" s="73" t="s">
        <v>957</v>
      </c>
      <c r="H146" s="7">
        <f t="shared" si="2"/>
        <v>36884.1875</v>
      </c>
      <c r="I146" s="7">
        <v>5901.47</v>
      </c>
    </row>
    <row r="147" spans="1:12">
      <c r="A147" t="s">
        <v>3936</v>
      </c>
      <c r="B147" s="1">
        <v>42277</v>
      </c>
      <c r="C147" t="s">
        <v>4723</v>
      </c>
      <c r="D147">
        <v>1</v>
      </c>
      <c r="E147" t="s">
        <v>4724</v>
      </c>
      <c r="F147" s="71" t="s">
        <v>737</v>
      </c>
      <c r="G147" t="s">
        <v>7477</v>
      </c>
      <c r="H147" s="7">
        <f t="shared" si="2"/>
        <v>14368</v>
      </c>
      <c r="I147" s="7">
        <v>2298.88</v>
      </c>
    </row>
    <row r="148" spans="1:12">
      <c r="A148" t="s">
        <v>523</v>
      </c>
      <c r="B148" s="1">
        <v>42272</v>
      </c>
      <c r="C148" t="s">
        <v>4899</v>
      </c>
      <c r="D148">
        <v>1</v>
      </c>
      <c r="E148" t="s">
        <v>4900</v>
      </c>
      <c r="F148" t="s">
        <v>7319</v>
      </c>
      <c r="G148" t="s">
        <v>7320</v>
      </c>
      <c r="H148" s="7">
        <f t="shared" si="2"/>
        <v>169827.5625</v>
      </c>
      <c r="I148" s="7">
        <v>27172.41</v>
      </c>
    </row>
    <row r="149" spans="1:12">
      <c r="A149" t="s">
        <v>447</v>
      </c>
      <c r="B149" s="1">
        <v>42255</v>
      </c>
      <c r="C149" t="s">
        <v>4861</v>
      </c>
      <c r="D149">
        <v>1</v>
      </c>
      <c r="E149" t="s">
        <v>3624</v>
      </c>
      <c r="F149" s="79" t="s">
        <v>845</v>
      </c>
      <c r="G149" t="s">
        <v>529</v>
      </c>
      <c r="H149" s="7">
        <f t="shared" si="2"/>
        <v>133928.625</v>
      </c>
      <c r="I149" s="7">
        <v>21428.58</v>
      </c>
    </row>
    <row r="150" spans="1:12">
      <c r="A150" t="s">
        <v>1407</v>
      </c>
      <c r="B150" s="1">
        <v>42268</v>
      </c>
      <c r="C150" t="s">
        <v>4888</v>
      </c>
      <c r="D150">
        <v>1</v>
      </c>
      <c r="E150" t="s">
        <v>4889</v>
      </c>
      <c r="F150" t="s">
        <v>7321</v>
      </c>
      <c r="G150" t="s">
        <v>7322</v>
      </c>
      <c r="H150" s="7">
        <f t="shared" si="2"/>
        <v>168103.4375</v>
      </c>
      <c r="I150" s="7">
        <v>26896.55</v>
      </c>
    </row>
    <row r="151" spans="1:12">
      <c r="A151" t="s">
        <v>1456</v>
      </c>
      <c r="B151" s="1">
        <v>42276</v>
      </c>
      <c r="C151" t="s">
        <v>4906</v>
      </c>
      <c r="D151">
        <v>1</v>
      </c>
      <c r="E151" t="s">
        <v>4907</v>
      </c>
      <c r="F151" t="s">
        <v>7323</v>
      </c>
      <c r="G151" t="s">
        <v>7324</v>
      </c>
      <c r="H151" s="7">
        <f t="shared" si="2"/>
        <v>228448.25</v>
      </c>
      <c r="I151" s="7">
        <v>36551.72</v>
      </c>
    </row>
    <row r="152" spans="1:12">
      <c r="A152" t="s">
        <v>4590</v>
      </c>
      <c r="B152" s="1">
        <v>42250</v>
      </c>
      <c r="C152" t="s">
        <v>4591</v>
      </c>
      <c r="D152">
        <v>1</v>
      </c>
      <c r="E152" t="s">
        <v>3717</v>
      </c>
      <c r="F152" t="s">
        <v>799</v>
      </c>
      <c r="G152" t="s">
        <v>0</v>
      </c>
      <c r="H152" s="7">
        <f t="shared" si="2"/>
        <v>208.31249999999997</v>
      </c>
      <c r="I152" s="7">
        <v>33.33</v>
      </c>
    </row>
    <row r="153" spans="1:12">
      <c r="A153" t="s">
        <v>3260</v>
      </c>
      <c r="B153" s="1">
        <v>42250</v>
      </c>
      <c r="C153" t="s">
        <v>4592</v>
      </c>
      <c r="D153">
        <v>1</v>
      </c>
      <c r="E153" t="s">
        <v>3720</v>
      </c>
      <c r="F153" t="s">
        <v>799</v>
      </c>
      <c r="G153" s="71" t="s">
        <v>0</v>
      </c>
      <c r="H153" s="7">
        <f t="shared" si="2"/>
        <v>1320.125</v>
      </c>
      <c r="I153" s="7">
        <v>211.22</v>
      </c>
    </row>
    <row r="154" spans="1:12">
      <c r="A154" t="s">
        <v>84</v>
      </c>
      <c r="B154" s="1">
        <v>42262</v>
      </c>
      <c r="C154">
        <v>1850975</v>
      </c>
      <c r="D154">
        <v>1</v>
      </c>
      <c r="E154" t="s">
        <v>3816</v>
      </c>
      <c r="F154" t="s">
        <v>799</v>
      </c>
      <c r="G154" t="s">
        <v>0</v>
      </c>
      <c r="H154" s="7">
        <f t="shared" si="2"/>
        <v>4366.75</v>
      </c>
      <c r="I154" s="7">
        <v>698.68</v>
      </c>
    </row>
    <row r="155" spans="1:12">
      <c r="A155" t="s">
        <v>4645</v>
      </c>
      <c r="B155" s="1">
        <v>42262</v>
      </c>
      <c r="C155" t="s">
        <v>4646</v>
      </c>
      <c r="D155">
        <v>1</v>
      </c>
      <c r="E155" t="s">
        <v>4647</v>
      </c>
      <c r="F155" t="s">
        <v>799</v>
      </c>
      <c r="G155" s="71" t="s">
        <v>0</v>
      </c>
      <c r="H155" s="7">
        <f t="shared" si="2"/>
        <v>14964.4375</v>
      </c>
      <c r="I155" s="7">
        <v>2394.31</v>
      </c>
    </row>
    <row r="156" spans="1:12">
      <c r="A156" t="s">
        <v>450</v>
      </c>
      <c r="B156" s="1">
        <v>42255</v>
      </c>
      <c r="C156" t="s">
        <v>4862</v>
      </c>
      <c r="D156">
        <v>1</v>
      </c>
      <c r="E156" t="s">
        <v>3621</v>
      </c>
      <c r="F156" s="79" t="s">
        <v>829</v>
      </c>
      <c r="G156" s="79" t="s">
        <v>532</v>
      </c>
      <c r="H156" s="7">
        <f t="shared" si="2"/>
        <v>133928.625</v>
      </c>
      <c r="I156" s="7">
        <v>21428.58</v>
      </c>
      <c r="J156" s="2"/>
    </row>
    <row r="157" spans="1:12">
      <c r="A157" t="s">
        <v>3631</v>
      </c>
      <c r="B157" s="1">
        <v>42269</v>
      </c>
      <c r="C157" t="s">
        <v>4895</v>
      </c>
      <c r="D157">
        <v>1</v>
      </c>
      <c r="E157" t="s">
        <v>4896</v>
      </c>
      <c r="F157" s="72" t="s">
        <v>799</v>
      </c>
      <c r="G157" s="71" t="s">
        <v>0</v>
      </c>
      <c r="H157" s="7">
        <f t="shared" si="2"/>
        <v>550233.625</v>
      </c>
      <c r="I157" s="7">
        <v>88037.38</v>
      </c>
    </row>
    <row r="158" spans="1:12">
      <c r="A158" t="s">
        <v>4738</v>
      </c>
      <c r="B158" s="1">
        <v>42277</v>
      </c>
      <c r="C158">
        <v>2545</v>
      </c>
      <c r="D158">
        <v>1</v>
      </c>
      <c r="E158" t="s">
        <v>4739</v>
      </c>
      <c r="F158" s="71" t="s">
        <v>769</v>
      </c>
      <c r="G158" s="77" t="s">
        <v>645</v>
      </c>
      <c r="H158" s="7">
        <f t="shared" si="2"/>
        <v>198.1875</v>
      </c>
      <c r="I158" s="7">
        <v>31.71</v>
      </c>
    </row>
    <row r="159" spans="1:12">
      <c r="A159" t="s">
        <v>4061</v>
      </c>
      <c r="B159" s="1">
        <v>42271</v>
      </c>
      <c r="C159" t="s">
        <v>4747</v>
      </c>
      <c r="D159">
        <v>1</v>
      </c>
      <c r="E159" t="s">
        <v>4739</v>
      </c>
      <c r="F159" s="72" t="s">
        <v>821</v>
      </c>
      <c r="G159" s="77" t="s">
        <v>5707</v>
      </c>
      <c r="H159" s="7">
        <f t="shared" si="2"/>
        <v>344.8125</v>
      </c>
      <c r="I159" s="7">
        <v>55.17</v>
      </c>
    </row>
    <row r="160" spans="1:12">
      <c r="A160" t="s">
        <v>3552</v>
      </c>
      <c r="B160" s="1">
        <v>42248</v>
      </c>
      <c r="C160" t="s">
        <v>4836</v>
      </c>
      <c r="D160">
        <v>1</v>
      </c>
      <c r="E160" t="s">
        <v>4837</v>
      </c>
      <c r="F160" s="72" t="s">
        <v>969</v>
      </c>
      <c r="G160" s="71" t="s">
        <v>7478</v>
      </c>
      <c r="H160" s="7">
        <f t="shared" si="2"/>
        <v>697</v>
      </c>
      <c r="I160" s="7">
        <v>111.52</v>
      </c>
    </row>
    <row r="161" spans="1:12">
      <c r="A161" t="s">
        <v>4616</v>
      </c>
      <c r="B161" s="1">
        <v>42258</v>
      </c>
      <c r="C161" t="s">
        <v>4617</v>
      </c>
      <c r="D161">
        <v>1</v>
      </c>
      <c r="E161" t="s">
        <v>4618</v>
      </c>
      <c r="F161" t="s">
        <v>4939</v>
      </c>
      <c r="G161" s="71" t="s">
        <v>7479</v>
      </c>
      <c r="H161" s="7">
        <f t="shared" si="2"/>
        <v>263223.6875</v>
      </c>
      <c r="I161" s="7">
        <v>42115.79</v>
      </c>
      <c r="J161" s="60">
        <f>+H161-[1]SEP.2015!$H$140</f>
        <v>2321.9375</v>
      </c>
      <c r="K161" s="60">
        <f>+I161-[1]SEP.2015!$I$140</f>
        <v>371.51000000000204</v>
      </c>
      <c r="L161" t="s">
        <v>960</v>
      </c>
    </row>
    <row r="162" spans="1:12">
      <c r="A162" t="s">
        <v>1201</v>
      </c>
      <c r="B162" s="1">
        <v>42275</v>
      </c>
      <c r="C162" t="s">
        <v>4698</v>
      </c>
      <c r="D162">
        <v>1</v>
      </c>
      <c r="E162" t="s">
        <v>4699</v>
      </c>
      <c r="F162" s="16" t="s">
        <v>873</v>
      </c>
      <c r="G162" s="71" t="s">
        <v>7480</v>
      </c>
      <c r="H162" s="7">
        <f t="shared" si="2"/>
        <v>275487.75</v>
      </c>
      <c r="I162" s="7">
        <v>44078.04</v>
      </c>
      <c r="J162" s="60">
        <f>+H162-[1]SEP.2015!$H$175</f>
        <v>-3122.625</v>
      </c>
      <c r="K162" s="60">
        <f>+I162-[1]SEP.2015!$I$175</f>
        <v>-499.62000000000262</v>
      </c>
      <c r="L162" t="s">
        <v>960</v>
      </c>
    </row>
    <row r="163" spans="1:12">
      <c r="A163" t="s">
        <v>4653</v>
      </c>
      <c r="B163" s="1">
        <v>42264</v>
      </c>
      <c r="C163" t="s">
        <v>4654</v>
      </c>
      <c r="D163">
        <v>1</v>
      </c>
      <c r="E163" t="s">
        <v>4655</v>
      </c>
      <c r="F163" t="s">
        <v>1606</v>
      </c>
      <c r="G163" t="s">
        <v>7481</v>
      </c>
      <c r="H163" s="7">
        <f t="shared" si="2"/>
        <v>245824.375</v>
      </c>
      <c r="I163" s="7">
        <v>39331.9</v>
      </c>
      <c r="J163" s="60">
        <f>+H163-[1]SEP.2015!$H$161</f>
        <v>-2286.0000000000291</v>
      </c>
      <c r="K163" s="60">
        <f>+I163-[1]SEP.2015!$I$161</f>
        <v>-365.76000000000204</v>
      </c>
      <c r="L163" t="s">
        <v>960</v>
      </c>
    </row>
    <row r="164" spans="1:12">
      <c r="A164" t="s">
        <v>4941</v>
      </c>
      <c r="B164" s="1">
        <v>42259</v>
      </c>
      <c r="C164" t="s">
        <v>4625</v>
      </c>
      <c r="D164">
        <v>1</v>
      </c>
      <c r="E164" t="s">
        <v>107</v>
      </c>
      <c r="F164" s="72" t="s">
        <v>799</v>
      </c>
      <c r="G164" s="71" t="s">
        <v>0</v>
      </c>
      <c r="H164" s="7">
        <f t="shared" si="2"/>
        <v>243507.4375</v>
      </c>
      <c r="I164" s="7">
        <v>38961.19</v>
      </c>
      <c r="J164" s="60">
        <f>+H164-[1]SEP.2015!$H$89</f>
        <v>-37302.9375</v>
      </c>
      <c r="K164" s="60">
        <f>-I164-[1]SEP.2015!$I$86</f>
        <v>-83890.85</v>
      </c>
      <c r="L164" t="s">
        <v>960</v>
      </c>
    </row>
    <row r="165" spans="1:12">
      <c r="A165" t="s">
        <v>4639</v>
      </c>
      <c r="B165" s="1">
        <v>42259</v>
      </c>
      <c r="C165" t="s">
        <v>4621</v>
      </c>
      <c r="D165">
        <v>1</v>
      </c>
      <c r="E165" t="s">
        <v>107</v>
      </c>
      <c r="F165" s="72" t="s">
        <v>799</v>
      </c>
      <c r="G165" s="71" t="s">
        <v>0</v>
      </c>
      <c r="H165" s="7">
        <f t="shared" si="2"/>
        <v>-281120.6875</v>
      </c>
      <c r="I165" s="7">
        <v>-44979.31</v>
      </c>
      <c r="J165" s="60">
        <f>+H165-[1]SEP.2015!$H$145</f>
        <v>-39614.937500000029</v>
      </c>
      <c r="K165" s="60">
        <f>+I165-[1]SEP.2015!$I$145</f>
        <v>-6338.3899999999994</v>
      </c>
      <c r="L165" t="s">
        <v>960</v>
      </c>
    </row>
    <row r="166" spans="1:12">
      <c r="A166" t="s">
        <v>4942</v>
      </c>
      <c r="B166" s="1">
        <v>42259</v>
      </c>
      <c r="C166" t="s">
        <v>4624</v>
      </c>
      <c r="D166">
        <v>1</v>
      </c>
      <c r="E166" t="s">
        <v>107</v>
      </c>
      <c r="F166" s="72" t="s">
        <v>799</v>
      </c>
      <c r="G166" s="71" t="s">
        <v>0</v>
      </c>
      <c r="H166" s="7">
        <f t="shared" si="2"/>
        <v>-280810.375</v>
      </c>
      <c r="I166" s="7">
        <v>-44929.66</v>
      </c>
      <c r="J166" s="60">
        <f>+H166-[1]SEP.2015!$H$87</f>
        <v>-39304.625000000029</v>
      </c>
      <c r="K166" s="60">
        <f>+I166-[1]SEP.2015!$I$87</f>
        <v>-6288.7400000000052</v>
      </c>
      <c r="L166" t="s">
        <v>960</v>
      </c>
    </row>
    <row r="167" spans="1:12" ht="15.75" customHeight="1">
      <c r="A167" t="s">
        <v>125</v>
      </c>
      <c r="B167" s="1">
        <v>42269</v>
      </c>
      <c r="C167" t="s">
        <v>4667</v>
      </c>
      <c r="D167">
        <v>1</v>
      </c>
      <c r="E167" t="s">
        <v>107</v>
      </c>
      <c r="F167" s="72" t="s">
        <v>799</v>
      </c>
      <c r="G167" s="71" t="s">
        <v>0</v>
      </c>
      <c r="H167" s="7">
        <f t="shared" si="2"/>
        <v>278300.0625</v>
      </c>
      <c r="I167" s="7">
        <v>44528.01</v>
      </c>
    </row>
    <row r="168" spans="1:12">
      <c r="A168" t="s">
        <v>4669</v>
      </c>
      <c r="B168" s="1">
        <v>42270</v>
      </c>
      <c r="C168" t="s">
        <v>4670</v>
      </c>
      <c r="D168">
        <v>1</v>
      </c>
      <c r="E168" t="s">
        <v>107</v>
      </c>
      <c r="F168" s="72" t="s">
        <v>799</v>
      </c>
      <c r="G168" s="71" t="s">
        <v>0</v>
      </c>
      <c r="H168" s="7">
        <f t="shared" si="2"/>
        <v>302774.125</v>
      </c>
      <c r="I168" s="7">
        <v>48443.86</v>
      </c>
      <c r="J168" s="60">
        <f>+H168-[1]SEP.2015!$H$166</f>
        <v>-2501.75</v>
      </c>
      <c r="K168" s="60">
        <f>+I168-[1]SEP.2015!$I$166</f>
        <v>-400.27999999999884</v>
      </c>
      <c r="L168" t="s">
        <v>960</v>
      </c>
    </row>
    <row r="169" spans="1:12">
      <c r="A169" t="s">
        <v>4803</v>
      </c>
      <c r="B169" s="1">
        <v>42277</v>
      </c>
      <c r="C169" t="s">
        <v>4804</v>
      </c>
      <c r="D169">
        <v>1</v>
      </c>
      <c r="E169" t="s">
        <v>4805</v>
      </c>
      <c r="F169" s="71" t="s">
        <v>722</v>
      </c>
      <c r="G169" s="71" t="s">
        <v>722</v>
      </c>
      <c r="H169" s="7">
        <f t="shared" si="2"/>
        <v>702.625</v>
      </c>
      <c r="I169" s="74">
        <v>112.42</v>
      </c>
      <c r="J169" s="7"/>
      <c r="K169" s="7"/>
    </row>
    <row r="170" spans="1:12">
      <c r="A170" t="s">
        <v>4803</v>
      </c>
      <c r="B170" s="1">
        <v>42277</v>
      </c>
      <c r="C170" t="s">
        <v>4804</v>
      </c>
      <c r="D170">
        <v>1</v>
      </c>
      <c r="E170" t="s">
        <v>4805</v>
      </c>
      <c r="F170" s="71" t="s">
        <v>3503</v>
      </c>
      <c r="G170" s="77" t="s">
        <v>950</v>
      </c>
      <c r="H170" s="7">
        <f t="shared" si="2"/>
        <v>75</v>
      </c>
      <c r="I170" s="74">
        <v>12</v>
      </c>
    </row>
    <row r="171" spans="1:12">
      <c r="A171" t="s">
        <v>4803</v>
      </c>
      <c r="B171" s="1">
        <v>42277</v>
      </c>
      <c r="C171" t="s">
        <v>4804</v>
      </c>
      <c r="D171">
        <v>1</v>
      </c>
      <c r="E171" t="s">
        <v>4805</v>
      </c>
      <c r="F171" s="71" t="s">
        <v>883</v>
      </c>
      <c r="G171" s="77" t="s">
        <v>884</v>
      </c>
      <c r="H171" s="7">
        <f t="shared" si="2"/>
        <v>671</v>
      </c>
      <c r="I171" s="74">
        <v>107.36</v>
      </c>
    </row>
    <row r="172" spans="1:12">
      <c r="A172" t="s">
        <v>4803</v>
      </c>
      <c r="B172" s="1">
        <v>42277</v>
      </c>
      <c r="C172" t="s">
        <v>4804</v>
      </c>
      <c r="D172">
        <v>1</v>
      </c>
      <c r="E172" t="s">
        <v>4805</v>
      </c>
      <c r="F172" s="75" t="s">
        <v>879</v>
      </c>
      <c r="G172" s="78" t="s">
        <v>5645</v>
      </c>
      <c r="H172" s="7">
        <f t="shared" si="2"/>
        <v>295.9375</v>
      </c>
      <c r="I172" s="76">
        <v>47.35</v>
      </c>
      <c r="J172" s="60">
        <f>1744.56-H169-H170-H171-H172</f>
        <v>-2.5000000000545697E-3</v>
      </c>
      <c r="K172" s="60">
        <f>279.13-I169-I170-I171-I172</f>
        <v>0</v>
      </c>
    </row>
    <row r="173" spans="1:12">
      <c r="A173" t="s">
        <v>4828</v>
      </c>
      <c r="B173" s="1">
        <v>42277</v>
      </c>
      <c r="C173" t="s">
        <v>1315</v>
      </c>
      <c r="D173">
        <v>1</v>
      </c>
      <c r="E173" t="s">
        <v>4829</v>
      </c>
      <c r="F173" s="71" t="s">
        <v>714</v>
      </c>
      <c r="G173" t="s">
        <v>715</v>
      </c>
      <c r="H173" s="7">
        <f t="shared" si="2"/>
        <v>309.5</v>
      </c>
      <c r="I173" s="7">
        <v>49.52</v>
      </c>
      <c r="J173" s="7"/>
      <c r="K173" s="7"/>
    </row>
    <row r="174" spans="1:12">
      <c r="A174" t="s">
        <v>4828</v>
      </c>
      <c r="B174" s="1">
        <v>42277</v>
      </c>
      <c r="C174" t="s">
        <v>1315</v>
      </c>
      <c r="D174">
        <v>1</v>
      </c>
      <c r="E174" t="s">
        <v>4829</v>
      </c>
      <c r="F174" s="71" t="s">
        <v>714</v>
      </c>
      <c r="G174" t="s">
        <v>715</v>
      </c>
      <c r="H174" s="7">
        <f t="shared" si="2"/>
        <v>309.5</v>
      </c>
      <c r="I174" s="7">
        <v>49.52</v>
      </c>
    </row>
    <row r="175" spans="1:12">
      <c r="A175" t="s">
        <v>4828</v>
      </c>
      <c r="B175" s="1">
        <v>42277</v>
      </c>
      <c r="C175" t="s">
        <v>1315</v>
      </c>
      <c r="D175">
        <v>1</v>
      </c>
      <c r="E175" t="s">
        <v>4829</v>
      </c>
      <c r="F175" s="71" t="s">
        <v>716</v>
      </c>
      <c r="G175" t="s">
        <v>717</v>
      </c>
      <c r="H175" s="7">
        <f t="shared" si="2"/>
        <v>2953.125</v>
      </c>
      <c r="I175" s="7">
        <v>472.5</v>
      </c>
    </row>
    <row r="176" spans="1:12">
      <c r="A176" t="s">
        <v>4828</v>
      </c>
      <c r="B176" s="1">
        <v>42277</v>
      </c>
      <c r="C176" t="s">
        <v>1315</v>
      </c>
      <c r="D176">
        <v>1</v>
      </c>
      <c r="E176" t="s">
        <v>4829</v>
      </c>
      <c r="F176" s="71" t="s">
        <v>716</v>
      </c>
      <c r="G176" t="s">
        <v>717</v>
      </c>
      <c r="H176" s="7">
        <f t="shared" si="2"/>
        <v>84.5</v>
      </c>
      <c r="I176" s="7">
        <v>13.52</v>
      </c>
    </row>
    <row r="177" spans="1:11">
      <c r="A177" t="s">
        <v>4828</v>
      </c>
      <c r="B177" s="1">
        <v>42277</v>
      </c>
      <c r="C177" t="s">
        <v>1315</v>
      </c>
      <c r="D177">
        <v>1</v>
      </c>
      <c r="E177" t="s">
        <v>4829</v>
      </c>
      <c r="F177" s="71" t="s">
        <v>2740</v>
      </c>
      <c r="G177" t="s">
        <v>2741</v>
      </c>
      <c r="H177" s="7">
        <f t="shared" si="2"/>
        <v>43.125</v>
      </c>
      <c r="I177" s="7">
        <v>6.9</v>
      </c>
    </row>
    <row r="178" spans="1:11">
      <c r="A178" t="s">
        <v>4828</v>
      </c>
      <c r="B178" s="1">
        <v>42277</v>
      </c>
      <c r="C178" t="s">
        <v>1315</v>
      </c>
      <c r="D178">
        <v>1</v>
      </c>
      <c r="E178" t="s">
        <v>4829</v>
      </c>
      <c r="F178" s="71" t="s">
        <v>7491</v>
      </c>
      <c r="G178" t="s">
        <v>7492</v>
      </c>
      <c r="H178" s="7">
        <f t="shared" si="2"/>
        <v>63.812500000000007</v>
      </c>
      <c r="I178" s="7">
        <v>10.210000000000001</v>
      </c>
    </row>
    <row r="179" spans="1:11">
      <c r="A179" t="s">
        <v>4828</v>
      </c>
      <c r="B179" s="1">
        <v>42277</v>
      </c>
      <c r="C179" t="s">
        <v>1315</v>
      </c>
      <c r="D179">
        <v>1</v>
      </c>
      <c r="E179" t="s">
        <v>4829</v>
      </c>
      <c r="F179" s="71" t="s">
        <v>7491</v>
      </c>
      <c r="G179" t="s">
        <v>7492</v>
      </c>
      <c r="H179" s="7">
        <f t="shared" si="2"/>
        <v>138.125</v>
      </c>
      <c r="I179" s="7">
        <v>22.1</v>
      </c>
    </row>
    <row r="180" spans="1:11">
      <c r="A180" t="s">
        <v>4828</v>
      </c>
      <c r="B180" s="1">
        <v>42277</v>
      </c>
      <c r="C180" t="s">
        <v>1315</v>
      </c>
      <c r="D180">
        <v>1</v>
      </c>
      <c r="E180" t="s">
        <v>4829</v>
      </c>
      <c r="F180" s="71" t="s">
        <v>722</v>
      </c>
      <c r="G180" t="s">
        <v>722</v>
      </c>
      <c r="H180" s="7">
        <f t="shared" si="2"/>
        <v>138.6875</v>
      </c>
      <c r="I180" s="7">
        <v>22.19</v>
      </c>
      <c r="J180" s="60">
        <f>4040.38-H173-H174-H175-H176-H177-H178-H179-H180</f>
        <v>5.0000000001091394E-3</v>
      </c>
      <c r="K180" s="60">
        <f>646.46-I173-I174-I175-I176-I177-I178-I179-I180</f>
        <v>7.460698725481052E-14</v>
      </c>
    </row>
    <row r="181" spans="1:11">
      <c r="A181" t="s">
        <v>4721</v>
      </c>
      <c r="B181" s="1">
        <v>42277</v>
      </c>
      <c r="C181" t="s">
        <v>1315</v>
      </c>
      <c r="D181">
        <v>1</v>
      </c>
      <c r="E181" t="s">
        <v>4722</v>
      </c>
      <c r="F181" s="71" t="s">
        <v>722</v>
      </c>
      <c r="G181" s="71" t="s">
        <v>722</v>
      </c>
      <c r="H181" s="7">
        <f t="shared" si="2"/>
        <v>7106.375</v>
      </c>
      <c r="I181" s="74">
        <v>1137.02</v>
      </c>
      <c r="J181" s="7"/>
      <c r="K181" s="7"/>
    </row>
    <row r="182" spans="1:11">
      <c r="A182" t="s">
        <v>4721</v>
      </c>
      <c r="B182" s="1">
        <v>42277</v>
      </c>
      <c r="C182" t="s">
        <v>1315</v>
      </c>
      <c r="D182">
        <v>1</v>
      </c>
      <c r="E182" t="s">
        <v>4722</v>
      </c>
      <c r="F182" s="75" t="s">
        <v>5646</v>
      </c>
      <c r="G182" s="78" t="s">
        <v>5649</v>
      </c>
      <c r="H182" s="7">
        <f t="shared" si="2"/>
        <v>668.25</v>
      </c>
      <c r="I182" s="76">
        <v>106.92</v>
      </c>
      <c r="J182" s="7"/>
      <c r="K182" s="7"/>
    </row>
    <row r="183" spans="1:11">
      <c r="A183" t="s">
        <v>4721</v>
      </c>
      <c r="B183" s="1">
        <v>42277</v>
      </c>
      <c r="C183" t="s">
        <v>1315</v>
      </c>
      <c r="D183">
        <v>1</v>
      </c>
      <c r="E183" t="s">
        <v>4722</v>
      </c>
      <c r="F183" s="71" t="s">
        <v>5647</v>
      </c>
      <c r="G183" s="80" t="s">
        <v>5650</v>
      </c>
      <c r="H183" s="7">
        <f t="shared" si="2"/>
        <v>1917.8125</v>
      </c>
      <c r="I183" s="74">
        <v>306.85000000000002</v>
      </c>
    </row>
    <row r="184" spans="1:11">
      <c r="A184" t="s">
        <v>4721</v>
      </c>
      <c r="B184" s="1">
        <v>42277</v>
      </c>
      <c r="C184" t="s">
        <v>1315</v>
      </c>
      <c r="D184">
        <v>1</v>
      </c>
      <c r="E184" t="s">
        <v>4722</v>
      </c>
      <c r="F184" s="71" t="s">
        <v>5648</v>
      </c>
      <c r="G184" s="77" t="s">
        <v>5651</v>
      </c>
      <c r="H184" s="7">
        <f t="shared" si="2"/>
        <v>218.9375</v>
      </c>
      <c r="I184" s="74">
        <v>35.03</v>
      </c>
    </row>
    <row r="185" spans="1:11">
      <c r="A185" t="s">
        <v>4721</v>
      </c>
      <c r="B185" s="1">
        <v>42277</v>
      </c>
      <c r="C185" t="s">
        <v>1315</v>
      </c>
      <c r="D185">
        <v>1</v>
      </c>
      <c r="E185" t="s">
        <v>4722</v>
      </c>
      <c r="F185" s="75" t="s">
        <v>5646</v>
      </c>
      <c r="G185" s="78" t="s">
        <v>5649</v>
      </c>
      <c r="H185" s="7">
        <f t="shared" si="2"/>
        <v>651.5625</v>
      </c>
      <c r="I185" s="76">
        <v>104.25</v>
      </c>
    </row>
    <row r="186" spans="1:11">
      <c r="A186" t="s">
        <v>4721</v>
      </c>
      <c r="B186" s="1">
        <v>42277</v>
      </c>
      <c r="C186" t="s">
        <v>1315</v>
      </c>
      <c r="D186">
        <v>1</v>
      </c>
      <c r="E186" t="s">
        <v>4722</v>
      </c>
      <c r="F186" s="71" t="s">
        <v>722</v>
      </c>
      <c r="G186" s="78" t="s">
        <v>722</v>
      </c>
      <c r="H186" s="7">
        <f t="shared" si="2"/>
        <v>584.90625000000023</v>
      </c>
      <c r="I186" s="74">
        <f>-303.215+396.8</f>
        <v>93.585000000000036</v>
      </c>
      <c r="J186" s="60">
        <f>11147.81-H181-H182-H183-H184-H185-H186</f>
        <v>-3.3750000000736691E-2</v>
      </c>
      <c r="K186" s="60">
        <f>1783.65-I181-I182-I183-I184-I185-I186</f>
        <v>-4.9999999999101874E-3</v>
      </c>
    </row>
    <row r="187" spans="1:11">
      <c r="A187" t="s">
        <v>3923</v>
      </c>
      <c r="B187" s="1">
        <v>42277</v>
      </c>
      <c r="C187" t="s">
        <v>1315</v>
      </c>
      <c r="D187">
        <v>1</v>
      </c>
      <c r="E187" t="s">
        <v>4722</v>
      </c>
      <c r="F187" s="71" t="s">
        <v>722</v>
      </c>
      <c r="G187" s="71" t="s">
        <v>722</v>
      </c>
      <c r="H187" s="7">
        <f t="shared" si="2"/>
        <v>331.8125</v>
      </c>
      <c r="I187" s="74">
        <v>53.09</v>
      </c>
      <c r="J187" s="7"/>
      <c r="K187" s="7"/>
    </row>
    <row r="188" spans="1:11">
      <c r="A188" t="s">
        <v>3923</v>
      </c>
      <c r="B188" s="1">
        <v>42277</v>
      </c>
      <c r="C188" t="s">
        <v>1315</v>
      </c>
      <c r="D188">
        <v>1</v>
      </c>
      <c r="E188" t="s">
        <v>4722</v>
      </c>
      <c r="F188" s="75" t="s">
        <v>5646</v>
      </c>
      <c r="G188" s="139" t="s">
        <v>5649</v>
      </c>
      <c r="H188" s="7">
        <f t="shared" si="2"/>
        <v>459.81249999999994</v>
      </c>
      <c r="I188" s="76">
        <v>73.569999999999993</v>
      </c>
      <c r="J188" s="7"/>
      <c r="K188" s="7"/>
    </row>
    <row r="189" spans="1:11">
      <c r="A189" t="s">
        <v>3923</v>
      </c>
      <c r="B189" s="1">
        <v>42277</v>
      </c>
      <c r="C189" t="s">
        <v>1315</v>
      </c>
      <c r="D189">
        <v>1</v>
      </c>
      <c r="E189" t="s">
        <v>4722</v>
      </c>
      <c r="F189" s="75" t="s">
        <v>5646</v>
      </c>
      <c r="G189" s="139" t="s">
        <v>5649</v>
      </c>
      <c r="H189" s="7">
        <f t="shared" si="2"/>
        <v>584.75</v>
      </c>
      <c r="I189" s="76">
        <v>93.56</v>
      </c>
      <c r="J189" s="60">
        <f>1376.38-H187-H188-H189</f>
        <v>5.0000000001091394E-3</v>
      </c>
      <c r="K189" s="60">
        <f>220.22-I187-I188-I189</f>
        <v>0</v>
      </c>
    </row>
    <row r="190" spans="1:11">
      <c r="A190" t="s">
        <v>2592</v>
      </c>
      <c r="B190" s="1">
        <v>42251</v>
      </c>
      <c r="C190" t="s">
        <v>4851</v>
      </c>
      <c r="D190">
        <v>1</v>
      </c>
      <c r="E190" t="s">
        <v>520</v>
      </c>
      <c r="F190" s="72" t="s">
        <v>834</v>
      </c>
      <c r="G190" t="s">
        <v>520</v>
      </c>
      <c r="H190" s="7">
        <f t="shared" si="2"/>
        <v>13750</v>
      </c>
      <c r="I190" s="7">
        <v>2200</v>
      </c>
    </row>
    <row r="191" spans="1:11">
      <c r="A191" t="s">
        <v>475</v>
      </c>
      <c r="B191" s="1">
        <v>42256</v>
      </c>
      <c r="C191" t="s">
        <v>4865</v>
      </c>
      <c r="D191">
        <v>1</v>
      </c>
      <c r="E191" t="s">
        <v>520</v>
      </c>
      <c r="F191" s="72" t="s">
        <v>834</v>
      </c>
      <c r="G191" t="s">
        <v>520</v>
      </c>
      <c r="H191" s="7">
        <f t="shared" si="2"/>
        <v>1000</v>
      </c>
      <c r="I191" s="7">
        <v>160</v>
      </c>
    </row>
    <row r="192" spans="1:11">
      <c r="A192" t="s">
        <v>530</v>
      </c>
      <c r="B192" s="1">
        <v>42272</v>
      </c>
      <c r="C192" t="s">
        <v>4901</v>
      </c>
      <c r="D192">
        <v>1</v>
      </c>
      <c r="E192" t="s">
        <v>520</v>
      </c>
      <c r="F192" s="72" t="s">
        <v>834</v>
      </c>
      <c r="G192" t="s">
        <v>520</v>
      </c>
      <c r="H192" s="7">
        <f t="shared" si="2"/>
        <v>9350</v>
      </c>
      <c r="I192" s="7">
        <v>1496</v>
      </c>
    </row>
    <row r="193" spans="1:11">
      <c r="A193" t="s">
        <v>1423</v>
      </c>
      <c r="B193" s="1">
        <v>42272</v>
      </c>
      <c r="C193" t="s">
        <v>4902</v>
      </c>
      <c r="D193">
        <v>1</v>
      </c>
      <c r="E193" t="s">
        <v>520</v>
      </c>
      <c r="F193" s="72" t="s">
        <v>834</v>
      </c>
      <c r="G193" t="s">
        <v>520</v>
      </c>
      <c r="H193" s="7">
        <f t="shared" si="2"/>
        <v>6896.5625</v>
      </c>
      <c r="I193" s="7">
        <v>1103.45</v>
      </c>
    </row>
    <row r="194" spans="1:11">
      <c r="A194" t="s">
        <v>483</v>
      </c>
      <c r="B194" s="1">
        <v>42264</v>
      </c>
      <c r="C194" t="s">
        <v>3559</v>
      </c>
      <c r="D194">
        <v>2</v>
      </c>
      <c r="E194" t="s">
        <v>472</v>
      </c>
      <c r="F194" s="72" t="s">
        <v>836</v>
      </c>
      <c r="G194" t="s">
        <v>472</v>
      </c>
      <c r="H194" s="7">
        <f t="shared" si="2"/>
        <v>6430</v>
      </c>
      <c r="I194" s="7">
        <v>1028.8</v>
      </c>
    </row>
    <row r="195" spans="1:11">
      <c r="A195" t="s">
        <v>229</v>
      </c>
      <c r="B195" s="1">
        <v>42277</v>
      </c>
      <c r="C195">
        <v>7704</v>
      </c>
      <c r="D195">
        <v>1</v>
      </c>
      <c r="E195" t="s">
        <v>4737</v>
      </c>
      <c r="F195" s="71" t="s">
        <v>864</v>
      </c>
      <c r="G195" s="77" t="s">
        <v>7274</v>
      </c>
      <c r="H195" s="7">
        <f t="shared" si="2"/>
        <v>953.4375</v>
      </c>
      <c r="I195" s="7">
        <v>152.55000000000001</v>
      </c>
    </row>
    <row r="196" spans="1:11">
      <c r="A196" t="s">
        <v>3115</v>
      </c>
      <c r="B196" s="1">
        <v>42250</v>
      </c>
      <c r="C196" t="s">
        <v>4846</v>
      </c>
      <c r="D196">
        <v>1</v>
      </c>
      <c r="E196" t="s">
        <v>2157</v>
      </c>
      <c r="F196" s="72" t="s">
        <v>2216</v>
      </c>
      <c r="G196" t="s">
        <v>2157</v>
      </c>
      <c r="H196" s="7">
        <f t="shared" si="2"/>
        <v>7890.125</v>
      </c>
      <c r="I196" s="7">
        <v>1262.42</v>
      </c>
    </row>
    <row r="197" spans="1:11">
      <c r="A197" t="s">
        <v>1488</v>
      </c>
      <c r="B197" s="1">
        <v>42277</v>
      </c>
      <c r="C197" t="s">
        <v>4919</v>
      </c>
      <c r="D197">
        <v>1</v>
      </c>
      <c r="E197" t="s">
        <v>467</v>
      </c>
      <c r="F197" s="139" t="s">
        <v>838</v>
      </c>
      <c r="G197" t="s">
        <v>467</v>
      </c>
      <c r="H197" s="7">
        <f t="shared" si="2"/>
        <v>4228.875</v>
      </c>
      <c r="I197" s="7">
        <v>676.62</v>
      </c>
    </row>
    <row r="198" spans="1:11">
      <c r="A198" t="s">
        <v>3117</v>
      </c>
      <c r="B198" s="1">
        <v>42250</v>
      </c>
      <c r="C198" t="s">
        <v>4847</v>
      </c>
      <c r="D198">
        <v>1</v>
      </c>
      <c r="E198" t="s">
        <v>2043</v>
      </c>
      <c r="F198" s="75" t="s">
        <v>961</v>
      </c>
      <c r="G198" s="78" t="s">
        <v>962</v>
      </c>
      <c r="H198" s="7">
        <f t="shared" si="2"/>
        <v>377.25</v>
      </c>
      <c r="I198" s="76">
        <f>20.12+20.12+20.12</f>
        <v>60.36</v>
      </c>
      <c r="J198" s="7"/>
      <c r="K198" s="7"/>
    </row>
    <row r="199" spans="1:11">
      <c r="A199" t="s">
        <v>3117</v>
      </c>
      <c r="B199" s="1">
        <v>42250</v>
      </c>
      <c r="C199" t="s">
        <v>4847</v>
      </c>
      <c r="D199">
        <v>1</v>
      </c>
      <c r="E199" t="s">
        <v>2043</v>
      </c>
      <c r="F199" s="72" t="s">
        <v>5330</v>
      </c>
      <c r="G199" s="77" t="s">
        <v>5693</v>
      </c>
      <c r="H199" s="7">
        <f t="shared" si="2"/>
        <v>56.0625</v>
      </c>
      <c r="I199" s="74">
        <v>8.9700000000000006</v>
      </c>
    </row>
    <row r="200" spans="1:11">
      <c r="A200" t="s">
        <v>3117</v>
      </c>
      <c r="B200" s="1">
        <v>42250</v>
      </c>
      <c r="C200" t="s">
        <v>4847</v>
      </c>
      <c r="D200">
        <v>1</v>
      </c>
      <c r="E200" t="s">
        <v>2043</v>
      </c>
      <c r="F200" s="72" t="s">
        <v>722</v>
      </c>
      <c r="G200" s="77" t="s">
        <v>722</v>
      </c>
      <c r="H200" s="7">
        <f t="shared" ref="H200:H263" si="3">+I200/0.16</f>
        <v>10.6875</v>
      </c>
      <c r="I200" s="74">
        <v>1.71</v>
      </c>
      <c r="J200" s="60">
        <f>444-H198-H199-H200</f>
        <v>0</v>
      </c>
      <c r="K200" s="60">
        <f>71.04-I198-I199-I200</f>
        <v>6.2172489379008766E-15</v>
      </c>
    </row>
    <row r="201" spans="1:11">
      <c r="A201" t="s">
        <v>4740</v>
      </c>
      <c r="B201" s="1">
        <v>42277</v>
      </c>
      <c r="C201">
        <v>2719</v>
      </c>
      <c r="D201">
        <v>1</v>
      </c>
      <c r="E201" t="s">
        <v>4741</v>
      </c>
      <c r="F201" s="71" t="s">
        <v>857</v>
      </c>
      <c r="G201" s="77" t="s">
        <v>7275</v>
      </c>
      <c r="H201" s="7">
        <f t="shared" si="3"/>
        <v>91.1875</v>
      </c>
      <c r="I201" s="7">
        <v>14.59</v>
      </c>
    </row>
    <row r="202" spans="1:11">
      <c r="A202" t="s">
        <v>512</v>
      </c>
      <c r="B202" s="1">
        <v>42269</v>
      </c>
      <c r="C202" t="s">
        <v>4892</v>
      </c>
      <c r="D202">
        <v>1</v>
      </c>
      <c r="E202" t="s">
        <v>1341</v>
      </c>
      <c r="F202" s="72" t="s">
        <v>1589</v>
      </c>
      <c r="G202" t="s">
        <v>1341</v>
      </c>
      <c r="H202" s="7">
        <f t="shared" si="3"/>
        <v>2580</v>
      </c>
      <c r="I202" s="7">
        <v>412.8</v>
      </c>
    </row>
    <row r="203" spans="1:11">
      <c r="A203" t="s">
        <v>494</v>
      </c>
      <c r="B203" s="1">
        <v>42264</v>
      </c>
      <c r="C203" t="s">
        <v>4882</v>
      </c>
      <c r="D203">
        <v>1</v>
      </c>
      <c r="E203" t="s">
        <v>470</v>
      </c>
      <c r="F203" s="72" t="s">
        <v>843</v>
      </c>
      <c r="G203" t="s">
        <v>470</v>
      </c>
      <c r="H203" s="7">
        <f t="shared" si="3"/>
        <v>1013.3749999999999</v>
      </c>
      <c r="I203" s="7">
        <v>162.13999999999999</v>
      </c>
    </row>
    <row r="204" spans="1:11">
      <c r="A204" t="s">
        <v>1483</v>
      </c>
      <c r="B204" s="1">
        <v>42277</v>
      </c>
      <c r="C204" t="s">
        <v>4916</v>
      </c>
      <c r="D204">
        <v>1</v>
      </c>
      <c r="E204" t="s">
        <v>470</v>
      </c>
      <c r="F204" s="72" t="s">
        <v>843</v>
      </c>
      <c r="G204" t="s">
        <v>470</v>
      </c>
      <c r="H204" s="7">
        <f t="shared" si="3"/>
        <v>5341</v>
      </c>
      <c r="I204" s="7">
        <v>854.56</v>
      </c>
    </row>
    <row r="205" spans="1:11">
      <c r="A205" t="s">
        <v>1328</v>
      </c>
      <c r="B205" s="1">
        <v>42249</v>
      </c>
      <c r="C205" t="s">
        <v>3196</v>
      </c>
      <c r="D205">
        <v>2</v>
      </c>
      <c r="E205" t="s">
        <v>665</v>
      </c>
      <c r="F205" s="72" t="s">
        <v>844</v>
      </c>
      <c r="G205" t="s">
        <v>665</v>
      </c>
      <c r="H205" s="7">
        <f t="shared" si="3"/>
        <v>800</v>
      </c>
      <c r="I205" s="7">
        <v>128</v>
      </c>
    </row>
    <row r="206" spans="1:11">
      <c r="A206" t="s">
        <v>1333</v>
      </c>
      <c r="B206" s="1">
        <v>42249</v>
      </c>
      <c r="C206" t="s">
        <v>3556</v>
      </c>
      <c r="D206">
        <v>2</v>
      </c>
      <c r="E206" t="s">
        <v>665</v>
      </c>
      <c r="F206" s="72" t="s">
        <v>844</v>
      </c>
      <c r="G206" t="s">
        <v>665</v>
      </c>
      <c r="H206" s="7">
        <f t="shared" si="3"/>
        <v>1609.4999999999998</v>
      </c>
      <c r="I206" s="7">
        <v>257.52</v>
      </c>
    </row>
    <row r="207" spans="1:11">
      <c r="A207" t="s">
        <v>2120</v>
      </c>
      <c r="B207" s="1">
        <v>42264</v>
      </c>
      <c r="C207" t="s">
        <v>3580</v>
      </c>
      <c r="D207">
        <v>2</v>
      </c>
      <c r="E207" t="s">
        <v>665</v>
      </c>
      <c r="F207" s="72" t="s">
        <v>844</v>
      </c>
      <c r="G207" t="s">
        <v>665</v>
      </c>
      <c r="H207" s="7">
        <f t="shared" si="3"/>
        <v>2100</v>
      </c>
      <c r="I207" s="7">
        <v>336</v>
      </c>
    </row>
    <row r="208" spans="1:11">
      <c r="A208" t="s">
        <v>1479</v>
      </c>
      <c r="B208" s="1">
        <v>42277</v>
      </c>
      <c r="C208" t="s">
        <v>3588</v>
      </c>
      <c r="D208">
        <v>2</v>
      </c>
      <c r="E208" t="s">
        <v>665</v>
      </c>
      <c r="F208" s="71" t="s">
        <v>844</v>
      </c>
      <c r="G208" t="s">
        <v>665</v>
      </c>
      <c r="H208" s="7">
        <f t="shared" si="3"/>
        <v>1000</v>
      </c>
      <c r="I208" s="7">
        <v>160</v>
      </c>
    </row>
    <row r="209" spans="1:9">
      <c r="A209" t="s">
        <v>1337</v>
      </c>
      <c r="B209" s="1">
        <v>42250</v>
      </c>
      <c r="C209" t="s">
        <v>4848</v>
      </c>
      <c r="D209">
        <v>1</v>
      </c>
      <c r="E209" t="s">
        <v>4849</v>
      </c>
      <c r="F209" s="72" t="s">
        <v>5652</v>
      </c>
      <c r="G209" t="s">
        <v>4849</v>
      </c>
      <c r="H209" s="7">
        <f t="shared" si="3"/>
        <v>8000</v>
      </c>
      <c r="I209" s="7">
        <v>1280</v>
      </c>
    </row>
    <row r="210" spans="1:9">
      <c r="A210" t="s">
        <v>434</v>
      </c>
      <c r="B210" s="1">
        <v>42249</v>
      </c>
      <c r="C210" t="s">
        <v>3197</v>
      </c>
      <c r="D210">
        <v>2</v>
      </c>
      <c r="E210" t="s">
        <v>449</v>
      </c>
      <c r="F210" s="72" t="s">
        <v>848</v>
      </c>
      <c r="G210" t="s">
        <v>449</v>
      </c>
      <c r="H210" s="7">
        <f t="shared" si="3"/>
        <v>11000</v>
      </c>
      <c r="I210" s="7">
        <v>1760</v>
      </c>
    </row>
    <row r="211" spans="1:9">
      <c r="A211" t="s">
        <v>490</v>
      </c>
      <c r="B211" s="1">
        <v>42264</v>
      </c>
      <c r="C211" t="s">
        <v>3579</v>
      </c>
      <c r="D211">
        <v>2</v>
      </c>
      <c r="E211" t="s">
        <v>449</v>
      </c>
      <c r="F211" s="72" t="s">
        <v>848</v>
      </c>
      <c r="G211" t="s">
        <v>449</v>
      </c>
      <c r="H211" s="7">
        <f t="shared" si="3"/>
        <v>900</v>
      </c>
      <c r="I211" s="7">
        <v>144</v>
      </c>
    </row>
    <row r="212" spans="1:9">
      <c r="A212" t="s">
        <v>492</v>
      </c>
      <c r="B212" s="1">
        <v>42264</v>
      </c>
      <c r="C212" t="s">
        <v>4877</v>
      </c>
      <c r="D212">
        <v>1</v>
      </c>
      <c r="E212" t="s">
        <v>449</v>
      </c>
      <c r="F212" s="72" t="s">
        <v>848</v>
      </c>
      <c r="G212" t="s">
        <v>449</v>
      </c>
      <c r="H212" s="7">
        <f t="shared" si="3"/>
        <v>19300</v>
      </c>
      <c r="I212" s="7">
        <v>3088</v>
      </c>
    </row>
    <row r="213" spans="1:9">
      <c r="A213" t="s">
        <v>1493</v>
      </c>
      <c r="B213" s="1">
        <v>42277</v>
      </c>
      <c r="C213" t="s">
        <v>4925</v>
      </c>
      <c r="D213">
        <v>1</v>
      </c>
      <c r="E213" t="s">
        <v>449</v>
      </c>
      <c r="F213" s="71" t="s">
        <v>848</v>
      </c>
      <c r="G213" t="s">
        <v>449</v>
      </c>
      <c r="H213" s="7">
        <f t="shared" si="3"/>
        <v>11300</v>
      </c>
      <c r="I213" s="7">
        <v>1808</v>
      </c>
    </row>
    <row r="214" spans="1:9">
      <c r="A214" t="s">
        <v>1495</v>
      </c>
      <c r="B214" s="1">
        <v>42277</v>
      </c>
      <c r="C214" t="s">
        <v>3590</v>
      </c>
      <c r="D214">
        <v>2</v>
      </c>
      <c r="E214" t="s">
        <v>449</v>
      </c>
      <c r="F214" s="71" t="s">
        <v>848</v>
      </c>
      <c r="G214" t="s">
        <v>449</v>
      </c>
      <c r="H214" s="7">
        <f t="shared" si="3"/>
        <v>7700</v>
      </c>
      <c r="I214" s="7">
        <v>1232</v>
      </c>
    </row>
    <row r="215" spans="1:9">
      <c r="A215" t="s">
        <v>2118</v>
      </c>
      <c r="B215" s="1">
        <v>42264</v>
      </c>
      <c r="C215" t="s">
        <v>4879</v>
      </c>
      <c r="D215">
        <v>1</v>
      </c>
      <c r="E215" t="s">
        <v>645</v>
      </c>
      <c r="F215" s="72" t="s">
        <v>769</v>
      </c>
      <c r="G215" t="s">
        <v>645</v>
      </c>
      <c r="H215" s="7">
        <f t="shared" si="3"/>
        <v>988.8125</v>
      </c>
      <c r="I215" s="7">
        <v>158.21</v>
      </c>
    </row>
    <row r="216" spans="1:9">
      <c r="A216" t="s">
        <v>2180</v>
      </c>
      <c r="B216" s="1">
        <v>42277</v>
      </c>
      <c r="C216" t="s">
        <v>4924</v>
      </c>
      <c r="D216">
        <v>1</v>
      </c>
      <c r="E216" t="s">
        <v>645</v>
      </c>
      <c r="F216" s="71" t="s">
        <v>769</v>
      </c>
      <c r="G216" t="s">
        <v>645</v>
      </c>
      <c r="H216" s="7">
        <f t="shared" si="3"/>
        <v>2962.125</v>
      </c>
      <c r="I216" s="7">
        <v>473.94</v>
      </c>
    </row>
    <row r="217" spans="1:9">
      <c r="A217" t="s">
        <v>4611</v>
      </c>
      <c r="B217" s="1">
        <v>42256</v>
      </c>
      <c r="C217" t="s">
        <v>4612</v>
      </c>
      <c r="D217">
        <v>1</v>
      </c>
      <c r="E217" t="s">
        <v>4613</v>
      </c>
      <c r="F217" t="s">
        <v>849</v>
      </c>
      <c r="G217" t="s">
        <v>4613</v>
      </c>
      <c r="H217" s="7">
        <f t="shared" si="3"/>
        <v>233308.125</v>
      </c>
      <c r="I217" s="7">
        <v>37329.300000000003</v>
      </c>
    </row>
    <row r="218" spans="1:9">
      <c r="A218" t="s">
        <v>4733</v>
      </c>
      <c r="B218" s="1">
        <v>42277</v>
      </c>
      <c r="C218">
        <v>2413</v>
      </c>
      <c r="D218">
        <v>1</v>
      </c>
      <c r="E218" t="s">
        <v>4734</v>
      </c>
      <c r="F218" s="71" t="s">
        <v>7276</v>
      </c>
      <c r="G218" s="77" t="s">
        <v>7277</v>
      </c>
      <c r="H218" s="7">
        <f t="shared" si="3"/>
        <v>120</v>
      </c>
      <c r="I218" s="7">
        <v>19.2</v>
      </c>
    </row>
    <row r="219" spans="1:9">
      <c r="A219" t="s">
        <v>4046</v>
      </c>
      <c r="B219" s="1">
        <v>42277</v>
      </c>
      <c r="C219">
        <v>4080</v>
      </c>
      <c r="D219">
        <v>1</v>
      </c>
      <c r="E219" t="s">
        <v>4744</v>
      </c>
      <c r="F219" s="71" t="s">
        <v>7278</v>
      </c>
      <c r="G219" s="77" t="s">
        <v>7279</v>
      </c>
      <c r="H219" s="7">
        <f t="shared" si="3"/>
        <v>745.25</v>
      </c>
      <c r="I219" s="7">
        <v>119.24</v>
      </c>
    </row>
    <row r="220" spans="1:9">
      <c r="A220" t="s">
        <v>4065</v>
      </c>
      <c r="B220" s="1">
        <v>42277</v>
      </c>
      <c r="C220">
        <v>1062</v>
      </c>
      <c r="D220">
        <v>1</v>
      </c>
      <c r="E220" t="s">
        <v>4744</v>
      </c>
      <c r="F220" s="71" t="s">
        <v>1570</v>
      </c>
      <c r="G220" s="77" t="s">
        <v>3672</v>
      </c>
      <c r="H220" s="7">
        <f t="shared" si="3"/>
        <v>1284</v>
      </c>
      <c r="I220" s="7">
        <v>205.44</v>
      </c>
    </row>
    <row r="221" spans="1:9">
      <c r="A221" t="s">
        <v>264</v>
      </c>
      <c r="B221" s="1">
        <v>42277</v>
      </c>
      <c r="C221">
        <v>84405</v>
      </c>
      <c r="D221">
        <v>1</v>
      </c>
      <c r="E221" t="s">
        <v>4744</v>
      </c>
      <c r="F221" s="71" t="s">
        <v>769</v>
      </c>
      <c r="G221" s="77" t="s">
        <v>645</v>
      </c>
      <c r="H221" s="7">
        <f t="shared" si="3"/>
        <v>121.875</v>
      </c>
      <c r="I221" s="7">
        <v>19.5</v>
      </c>
    </row>
    <row r="222" spans="1:9">
      <c r="A222" t="s">
        <v>4764</v>
      </c>
      <c r="B222" s="1">
        <v>42277</v>
      </c>
      <c r="C222">
        <v>31733</v>
      </c>
      <c r="D222">
        <v>1</v>
      </c>
      <c r="E222" t="s">
        <v>4744</v>
      </c>
      <c r="F222" s="71" t="s">
        <v>769</v>
      </c>
      <c r="G222" s="77" t="s">
        <v>645</v>
      </c>
      <c r="H222" s="7">
        <f t="shared" si="3"/>
        <v>237.5</v>
      </c>
      <c r="I222" s="7">
        <v>38</v>
      </c>
    </row>
    <row r="223" spans="1:9">
      <c r="A223" t="s">
        <v>311</v>
      </c>
      <c r="B223" s="1">
        <v>42276</v>
      </c>
      <c r="C223">
        <v>14457</v>
      </c>
      <c r="D223">
        <v>1</v>
      </c>
      <c r="E223" t="s">
        <v>4744</v>
      </c>
      <c r="F223" s="72" t="s">
        <v>837</v>
      </c>
      <c r="G223" s="77" t="s">
        <v>261</v>
      </c>
      <c r="H223" s="7">
        <f t="shared" si="3"/>
        <v>161.625</v>
      </c>
      <c r="I223" s="7">
        <v>25.86</v>
      </c>
    </row>
    <row r="224" spans="1:9">
      <c r="A224" t="s">
        <v>323</v>
      </c>
      <c r="B224" s="1">
        <v>42276</v>
      </c>
      <c r="C224">
        <v>14268</v>
      </c>
      <c r="D224">
        <v>1</v>
      </c>
      <c r="E224" t="s">
        <v>4744</v>
      </c>
      <c r="F224" s="72" t="s">
        <v>837</v>
      </c>
      <c r="G224" s="77" t="s">
        <v>261</v>
      </c>
      <c r="H224" s="7">
        <f t="shared" si="3"/>
        <v>307.5625</v>
      </c>
      <c r="I224" s="7">
        <v>49.21</v>
      </c>
    </row>
    <row r="225" spans="1:9">
      <c r="A225" t="s">
        <v>226</v>
      </c>
      <c r="B225" s="1">
        <v>42277</v>
      </c>
      <c r="C225">
        <v>1640</v>
      </c>
      <c r="D225">
        <v>1</v>
      </c>
      <c r="E225" t="s">
        <v>4736</v>
      </c>
      <c r="F225" s="71" t="s">
        <v>4448</v>
      </c>
      <c r="G225" s="77" t="s">
        <v>7271</v>
      </c>
      <c r="H225" s="7">
        <f t="shared" si="3"/>
        <v>75</v>
      </c>
      <c r="I225" s="7">
        <v>12</v>
      </c>
    </row>
    <row r="226" spans="1:9">
      <c r="A226" t="s">
        <v>4742</v>
      </c>
      <c r="B226" s="1">
        <v>42277</v>
      </c>
      <c r="C226" t="s">
        <v>4743</v>
      </c>
      <c r="D226">
        <v>1</v>
      </c>
      <c r="E226" t="s">
        <v>4736</v>
      </c>
      <c r="F226" s="71" t="s">
        <v>7280</v>
      </c>
      <c r="G226" s="77" t="s">
        <v>7281</v>
      </c>
      <c r="H226" s="7">
        <f t="shared" si="3"/>
        <v>43.125</v>
      </c>
      <c r="I226" s="7">
        <v>6.9</v>
      </c>
    </row>
    <row r="227" spans="1:9">
      <c r="A227" t="s">
        <v>240</v>
      </c>
      <c r="B227" s="1">
        <v>42271</v>
      </c>
      <c r="C227" t="s">
        <v>4751</v>
      </c>
      <c r="D227">
        <v>1</v>
      </c>
      <c r="E227" t="s">
        <v>4736</v>
      </c>
      <c r="F227" s="72" t="s">
        <v>821</v>
      </c>
      <c r="G227" s="77" t="s">
        <v>5707</v>
      </c>
      <c r="H227" s="7">
        <f t="shared" si="3"/>
        <v>344.8125</v>
      </c>
      <c r="I227" s="7">
        <v>55.17</v>
      </c>
    </row>
    <row r="228" spans="1:9">
      <c r="A228" t="s">
        <v>249</v>
      </c>
      <c r="B228" s="1">
        <v>42271</v>
      </c>
      <c r="C228" t="s">
        <v>4754</v>
      </c>
      <c r="D228">
        <v>1</v>
      </c>
      <c r="E228" t="s">
        <v>4736</v>
      </c>
      <c r="F228" s="72" t="s">
        <v>821</v>
      </c>
      <c r="G228" s="77" t="s">
        <v>5707</v>
      </c>
      <c r="H228" s="7">
        <f t="shared" si="3"/>
        <v>689.625</v>
      </c>
      <c r="I228" s="7">
        <v>110.34</v>
      </c>
    </row>
    <row r="229" spans="1:9">
      <c r="A229" t="s">
        <v>4041</v>
      </c>
      <c r="B229" s="1">
        <v>42277</v>
      </c>
      <c r="C229">
        <v>4405</v>
      </c>
      <c r="D229">
        <v>1</v>
      </c>
      <c r="E229" t="s">
        <v>4735</v>
      </c>
      <c r="F229" s="71" t="s">
        <v>769</v>
      </c>
      <c r="G229" s="77" t="s">
        <v>645</v>
      </c>
      <c r="H229" s="7">
        <f t="shared" si="3"/>
        <v>121.875</v>
      </c>
      <c r="I229" s="7">
        <v>19.5</v>
      </c>
    </row>
    <row r="230" spans="1:9">
      <c r="A230" t="s">
        <v>488</v>
      </c>
      <c r="B230" s="1">
        <v>42264</v>
      </c>
      <c r="C230" t="s">
        <v>3577</v>
      </c>
      <c r="D230">
        <v>2</v>
      </c>
      <c r="E230" t="s">
        <v>457</v>
      </c>
      <c r="F230" s="72" t="s">
        <v>858</v>
      </c>
      <c r="G230" t="s">
        <v>457</v>
      </c>
      <c r="H230" s="7">
        <f t="shared" si="3"/>
        <v>14800</v>
      </c>
      <c r="I230" s="7">
        <v>2368</v>
      </c>
    </row>
    <row r="231" spans="1:9">
      <c r="A231" t="s">
        <v>2664</v>
      </c>
      <c r="B231" s="1">
        <v>42269</v>
      </c>
      <c r="C231" t="s">
        <v>3585</v>
      </c>
      <c r="D231">
        <v>2</v>
      </c>
      <c r="E231" t="s">
        <v>457</v>
      </c>
      <c r="F231" s="72" t="s">
        <v>858</v>
      </c>
      <c r="G231" t="s">
        <v>457</v>
      </c>
      <c r="H231" s="7">
        <f t="shared" si="3"/>
        <v>8000</v>
      </c>
      <c r="I231" s="7">
        <v>1280</v>
      </c>
    </row>
    <row r="232" spans="1:9">
      <c r="A232" t="s">
        <v>1496</v>
      </c>
      <c r="B232" s="1">
        <v>42277</v>
      </c>
      <c r="C232" t="s">
        <v>4926</v>
      </c>
      <c r="D232">
        <v>2</v>
      </c>
      <c r="E232" t="s">
        <v>457</v>
      </c>
      <c r="F232" s="71" t="s">
        <v>858</v>
      </c>
      <c r="G232" t="s">
        <v>457</v>
      </c>
      <c r="H232" s="7">
        <f t="shared" si="3"/>
        <v>28200</v>
      </c>
      <c r="I232" s="7">
        <v>4512</v>
      </c>
    </row>
    <row r="233" spans="1:9">
      <c r="A233" t="s">
        <v>514</v>
      </c>
      <c r="B233" s="1">
        <v>42269</v>
      </c>
      <c r="C233" t="s">
        <v>4893</v>
      </c>
      <c r="D233">
        <v>1</v>
      </c>
      <c r="E233" t="s">
        <v>4894</v>
      </c>
      <c r="F233" s="72" t="s">
        <v>5653</v>
      </c>
      <c r="G233" t="s">
        <v>4894</v>
      </c>
      <c r="H233" s="7">
        <f t="shared" si="3"/>
        <v>11500</v>
      </c>
      <c r="I233" s="7">
        <v>1840</v>
      </c>
    </row>
    <row r="234" spans="1:9">
      <c r="A234" t="s">
        <v>2106</v>
      </c>
      <c r="B234" s="1">
        <v>42264</v>
      </c>
      <c r="C234" t="s">
        <v>3561</v>
      </c>
      <c r="D234">
        <v>2</v>
      </c>
      <c r="E234" t="s">
        <v>474</v>
      </c>
      <c r="F234" s="72" t="s">
        <v>860</v>
      </c>
      <c r="G234" t="s">
        <v>474</v>
      </c>
      <c r="H234" s="7">
        <f t="shared" si="3"/>
        <v>900</v>
      </c>
      <c r="I234" s="7">
        <v>144</v>
      </c>
    </row>
    <row r="235" spans="1:9">
      <c r="A235" t="s">
        <v>505</v>
      </c>
      <c r="B235" s="1">
        <v>42269</v>
      </c>
      <c r="C235" t="s">
        <v>3583</v>
      </c>
      <c r="D235">
        <v>2</v>
      </c>
      <c r="E235" t="s">
        <v>474</v>
      </c>
      <c r="F235" s="72" t="s">
        <v>860</v>
      </c>
      <c r="G235" t="s">
        <v>474</v>
      </c>
      <c r="H235" s="7">
        <f t="shared" si="3"/>
        <v>300</v>
      </c>
      <c r="I235" s="7">
        <v>48</v>
      </c>
    </row>
    <row r="236" spans="1:9">
      <c r="A236" t="s">
        <v>1474</v>
      </c>
      <c r="B236" s="1">
        <v>42277</v>
      </c>
      <c r="C236" t="s">
        <v>3587</v>
      </c>
      <c r="D236">
        <v>2</v>
      </c>
      <c r="E236" t="s">
        <v>474</v>
      </c>
      <c r="F236" s="71" t="s">
        <v>860</v>
      </c>
      <c r="G236" t="s">
        <v>474</v>
      </c>
      <c r="H236" s="7">
        <f t="shared" si="3"/>
        <v>3000</v>
      </c>
      <c r="I236" s="7">
        <v>480</v>
      </c>
    </row>
    <row r="237" spans="1:9">
      <c r="A237" t="s">
        <v>1490</v>
      </c>
      <c r="B237" s="1">
        <v>42277</v>
      </c>
      <c r="C237" t="s">
        <v>4920</v>
      </c>
      <c r="D237">
        <v>1</v>
      </c>
      <c r="E237" t="s">
        <v>2660</v>
      </c>
      <c r="F237" s="139" t="s">
        <v>2701</v>
      </c>
      <c r="G237" t="s">
        <v>2660</v>
      </c>
      <c r="H237" s="7">
        <f t="shared" si="3"/>
        <v>2380</v>
      </c>
      <c r="I237" s="7">
        <v>380.8</v>
      </c>
    </row>
    <row r="238" spans="1:9">
      <c r="A238" t="s">
        <v>2110</v>
      </c>
      <c r="B238" s="1">
        <v>42264</v>
      </c>
      <c r="C238" t="s">
        <v>4874</v>
      </c>
      <c r="D238">
        <v>1</v>
      </c>
      <c r="E238" t="s">
        <v>1649</v>
      </c>
      <c r="F238" s="75" t="s">
        <v>1648</v>
      </c>
      <c r="G238" t="s">
        <v>1649</v>
      </c>
      <c r="H238" s="7">
        <f t="shared" si="3"/>
        <v>761.37499999999989</v>
      </c>
      <c r="I238" s="7">
        <v>121.82</v>
      </c>
    </row>
    <row r="239" spans="1:9">
      <c r="A239" t="s">
        <v>1487</v>
      </c>
      <c r="B239" s="1">
        <v>42277</v>
      </c>
      <c r="C239" t="s">
        <v>4918</v>
      </c>
      <c r="D239">
        <v>1</v>
      </c>
      <c r="E239" t="s">
        <v>1649</v>
      </c>
      <c r="F239" s="75" t="s">
        <v>1648</v>
      </c>
      <c r="G239" t="s">
        <v>1649</v>
      </c>
      <c r="H239" s="7">
        <f t="shared" si="3"/>
        <v>1120.75</v>
      </c>
      <c r="I239" s="7">
        <v>179.32</v>
      </c>
    </row>
    <row r="240" spans="1:9">
      <c r="A240" t="s">
        <v>2112</v>
      </c>
      <c r="B240" s="1">
        <v>42264</v>
      </c>
      <c r="C240" t="s">
        <v>4875</v>
      </c>
      <c r="D240">
        <v>1</v>
      </c>
      <c r="E240" t="s">
        <v>967</v>
      </c>
      <c r="F240" s="75" t="s">
        <v>863</v>
      </c>
      <c r="G240" t="s">
        <v>967</v>
      </c>
      <c r="H240" s="7">
        <f t="shared" si="3"/>
        <v>23751.125</v>
      </c>
      <c r="I240" s="7">
        <v>3800.18</v>
      </c>
    </row>
    <row r="241" spans="1:9">
      <c r="A241" t="s">
        <v>565</v>
      </c>
      <c r="B241" s="1">
        <v>42277</v>
      </c>
      <c r="C241" t="s">
        <v>4923</v>
      </c>
      <c r="D241">
        <v>1</v>
      </c>
      <c r="E241" t="s">
        <v>967</v>
      </c>
      <c r="F241" s="75" t="s">
        <v>863</v>
      </c>
      <c r="G241" t="s">
        <v>967</v>
      </c>
      <c r="H241" s="7">
        <f t="shared" si="3"/>
        <v>45589.6875</v>
      </c>
      <c r="I241" s="7">
        <v>7294.35</v>
      </c>
    </row>
    <row r="242" spans="1:9">
      <c r="A242" t="s">
        <v>4029</v>
      </c>
      <c r="B242" s="1">
        <v>42277</v>
      </c>
      <c r="C242" t="s">
        <v>4730</v>
      </c>
      <c r="D242">
        <v>1</v>
      </c>
      <c r="E242" t="s">
        <v>4731</v>
      </c>
      <c r="F242" s="71" t="s">
        <v>700</v>
      </c>
      <c r="G242" s="77" t="s">
        <v>7265</v>
      </c>
      <c r="H242" s="7">
        <f t="shared" si="3"/>
        <v>67.8125</v>
      </c>
      <c r="I242" s="7">
        <v>10.85</v>
      </c>
    </row>
    <row r="243" spans="1:9">
      <c r="A243" t="s">
        <v>1388</v>
      </c>
      <c r="B243" s="1">
        <v>42264</v>
      </c>
      <c r="C243" t="s">
        <v>3582</v>
      </c>
      <c r="D243">
        <v>2</v>
      </c>
      <c r="E243" t="s">
        <v>1501</v>
      </c>
      <c r="F243" s="71" t="s">
        <v>1604</v>
      </c>
      <c r="G243" t="s">
        <v>1501</v>
      </c>
      <c r="H243" s="7">
        <f t="shared" si="3"/>
        <v>3100</v>
      </c>
      <c r="I243" s="7">
        <v>496</v>
      </c>
    </row>
    <row r="244" spans="1:9">
      <c r="A244" t="s">
        <v>1498</v>
      </c>
      <c r="B244" s="1">
        <v>42277</v>
      </c>
      <c r="C244" t="s">
        <v>3605</v>
      </c>
      <c r="D244">
        <v>2</v>
      </c>
      <c r="E244" t="s">
        <v>1501</v>
      </c>
      <c r="F244" s="71" t="s">
        <v>1604</v>
      </c>
      <c r="G244" t="s">
        <v>1501</v>
      </c>
      <c r="H244" s="7">
        <f t="shared" si="3"/>
        <v>3400</v>
      </c>
      <c r="I244" s="7">
        <v>544</v>
      </c>
    </row>
    <row r="245" spans="1:9">
      <c r="A245" t="s">
        <v>3633</v>
      </c>
      <c r="B245" s="1">
        <v>42272</v>
      </c>
      <c r="C245" t="s">
        <v>4897</v>
      </c>
      <c r="D245">
        <v>1</v>
      </c>
      <c r="E245" t="s">
        <v>517</v>
      </c>
      <c r="F245" s="139" t="s">
        <v>867</v>
      </c>
      <c r="G245" s="80" t="s">
        <v>517</v>
      </c>
      <c r="H245" s="7">
        <f t="shared" si="3"/>
        <v>172413.8125</v>
      </c>
      <c r="I245" s="7">
        <v>27586.21</v>
      </c>
    </row>
    <row r="246" spans="1:9">
      <c r="A246" t="s">
        <v>2063</v>
      </c>
      <c r="B246" s="1">
        <v>42255</v>
      </c>
      <c r="C246" t="s">
        <v>4859</v>
      </c>
      <c r="D246">
        <v>1</v>
      </c>
      <c r="E246" t="s">
        <v>436</v>
      </c>
      <c r="F246" s="72" t="s">
        <v>868</v>
      </c>
      <c r="G246" t="s">
        <v>436</v>
      </c>
      <c r="H246" s="7">
        <f t="shared" si="3"/>
        <v>10890.375</v>
      </c>
      <c r="I246" s="7">
        <v>1742.46</v>
      </c>
    </row>
    <row r="247" spans="1:9">
      <c r="A247" t="s">
        <v>444</v>
      </c>
      <c r="B247" s="1">
        <v>42255</v>
      </c>
      <c r="C247" t="s">
        <v>4860</v>
      </c>
      <c r="D247">
        <v>1</v>
      </c>
      <c r="E247" t="s">
        <v>436</v>
      </c>
      <c r="F247" s="72" t="s">
        <v>868</v>
      </c>
      <c r="G247" t="s">
        <v>436</v>
      </c>
      <c r="H247" s="7">
        <f t="shared" si="3"/>
        <v>6445</v>
      </c>
      <c r="I247" s="7">
        <v>1031.2</v>
      </c>
    </row>
    <row r="248" spans="1:9">
      <c r="A248" t="s">
        <v>4234</v>
      </c>
      <c r="B248" s="1">
        <v>42272</v>
      </c>
      <c r="C248" t="s">
        <v>4686</v>
      </c>
      <c r="D248">
        <v>1</v>
      </c>
      <c r="E248" t="s">
        <v>101</v>
      </c>
      <c r="F248" s="16" t="s">
        <v>873</v>
      </c>
      <c r="G248" t="s">
        <v>101</v>
      </c>
      <c r="H248" s="7">
        <f t="shared" si="3"/>
        <v>164788.375</v>
      </c>
      <c r="I248" s="7">
        <v>26366.14</v>
      </c>
    </row>
    <row r="249" spans="1:9">
      <c r="A249" t="s">
        <v>4587</v>
      </c>
      <c r="B249" s="1">
        <v>42248</v>
      </c>
      <c r="C249" t="s">
        <v>4586</v>
      </c>
      <c r="D249">
        <v>1</v>
      </c>
      <c r="E249" t="s">
        <v>0</v>
      </c>
      <c r="F249" s="72" t="s">
        <v>799</v>
      </c>
      <c r="G249" t="s">
        <v>0</v>
      </c>
      <c r="H249" s="7">
        <f t="shared" si="3"/>
        <v>195364.5625</v>
      </c>
      <c r="I249" s="7">
        <v>31258.33</v>
      </c>
    </row>
    <row r="250" spans="1:9">
      <c r="A250" t="s">
        <v>4588</v>
      </c>
      <c r="B250" s="1">
        <v>42248</v>
      </c>
      <c r="C250" t="s">
        <v>4589</v>
      </c>
      <c r="D250">
        <v>1</v>
      </c>
      <c r="E250" t="s">
        <v>0</v>
      </c>
      <c r="F250" s="72" t="s">
        <v>799</v>
      </c>
      <c r="G250" t="s">
        <v>0</v>
      </c>
      <c r="H250" s="7">
        <f t="shared" si="3"/>
        <v>482093.5625</v>
      </c>
      <c r="I250" s="7">
        <v>77134.97</v>
      </c>
    </row>
    <row r="251" spans="1:9">
      <c r="A251" t="s">
        <v>4593</v>
      </c>
      <c r="B251" s="1">
        <v>42251</v>
      </c>
      <c r="C251" t="s">
        <v>4594</v>
      </c>
      <c r="D251">
        <v>1</v>
      </c>
      <c r="E251" t="s">
        <v>0</v>
      </c>
      <c r="F251" s="72" t="s">
        <v>799</v>
      </c>
      <c r="G251" t="s">
        <v>0</v>
      </c>
      <c r="H251" s="7">
        <f t="shared" si="3"/>
        <v>149115.9375</v>
      </c>
      <c r="I251" s="7">
        <v>23858.55</v>
      </c>
    </row>
    <row r="252" spans="1:9">
      <c r="A252" t="s">
        <v>4595</v>
      </c>
      <c r="B252" s="1">
        <v>42251</v>
      </c>
      <c r="C252" t="s">
        <v>4596</v>
      </c>
      <c r="D252">
        <v>1</v>
      </c>
      <c r="E252" t="s">
        <v>0</v>
      </c>
      <c r="F252" s="72" t="s">
        <v>799</v>
      </c>
      <c r="G252" t="s">
        <v>0</v>
      </c>
      <c r="H252" s="7">
        <f t="shared" si="3"/>
        <v>149303.375</v>
      </c>
      <c r="I252" s="7">
        <v>23888.54</v>
      </c>
    </row>
    <row r="253" spans="1:9">
      <c r="A253" t="s">
        <v>4609</v>
      </c>
      <c r="B253" s="1">
        <v>42256</v>
      </c>
      <c r="C253" t="s">
        <v>4610</v>
      </c>
      <c r="D253">
        <v>1</v>
      </c>
      <c r="E253" t="s">
        <v>0</v>
      </c>
      <c r="F253" s="72" t="s">
        <v>799</v>
      </c>
      <c r="G253" t="s">
        <v>0</v>
      </c>
      <c r="H253" s="7">
        <f t="shared" si="3"/>
        <v>247798.31250000003</v>
      </c>
      <c r="I253" s="7">
        <v>39647.730000000003</v>
      </c>
    </row>
    <row r="254" spans="1:9">
      <c r="A254" t="s">
        <v>4614</v>
      </c>
      <c r="B254" s="1">
        <v>42257</v>
      </c>
      <c r="C254" t="s">
        <v>4615</v>
      </c>
      <c r="D254">
        <v>1</v>
      </c>
      <c r="E254" t="s">
        <v>0</v>
      </c>
      <c r="F254" s="72" t="s">
        <v>799</v>
      </c>
      <c r="G254" t="s">
        <v>0</v>
      </c>
      <c r="H254" s="7">
        <f t="shared" si="3"/>
        <v>488490.3125</v>
      </c>
      <c r="I254" s="7">
        <v>78158.45</v>
      </c>
    </row>
    <row r="255" spans="1:9">
      <c r="A255" t="s">
        <v>4619</v>
      </c>
      <c r="B255" s="1">
        <v>42258</v>
      </c>
      <c r="C255" t="s">
        <v>4620</v>
      </c>
      <c r="D255">
        <v>1</v>
      </c>
      <c r="E255" t="s">
        <v>0</v>
      </c>
      <c r="F255" s="72" t="s">
        <v>799</v>
      </c>
      <c r="G255" t="s">
        <v>0</v>
      </c>
      <c r="H255" s="7">
        <f t="shared" si="3"/>
        <v>303992.375</v>
      </c>
      <c r="I255" s="7">
        <v>48638.78</v>
      </c>
    </row>
    <row r="256" spans="1:9">
      <c r="A256" t="s">
        <v>2813</v>
      </c>
      <c r="B256" s="1">
        <v>42259</v>
      </c>
      <c r="C256" t="s">
        <v>4621</v>
      </c>
      <c r="D256">
        <v>1</v>
      </c>
      <c r="E256" t="s">
        <v>0</v>
      </c>
      <c r="F256" s="72" t="s">
        <v>799</v>
      </c>
      <c r="G256" t="s">
        <v>0</v>
      </c>
      <c r="H256" s="7">
        <f t="shared" si="3"/>
        <v>280810.375</v>
      </c>
      <c r="I256" s="7">
        <v>44929.66</v>
      </c>
    </row>
    <row r="257" spans="1:9">
      <c r="A257" t="s">
        <v>4622</v>
      </c>
      <c r="B257" s="1">
        <v>42259</v>
      </c>
      <c r="C257" t="s">
        <v>4623</v>
      </c>
      <c r="D257">
        <v>1</v>
      </c>
      <c r="E257" t="s">
        <v>0</v>
      </c>
      <c r="F257" s="72" t="s">
        <v>799</v>
      </c>
      <c r="G257" t="s">
        <v>0</v>
      </c>
      <c r="H257" s="7">
        <f t="shared" si="3"/>
        <v>277798.3125</v>
      </c>
      <c r="I257" s="7">
        <v>44447.73</v>
      </c>
    </row>
    <row r="258" spans="1:9">
      <c r="A258" t="s">
        <v>4943</v>
      </c>
      <c r="B258" s="1">
        <v>42259</v>
      </c>
      <c r="C258" t="s">
        <v>4624</v>
      </c>
      <c r="D258">
        <v>1</v>
      </c>
      <c r="E258" t="s">
        <v>0</v>
      </c>
      <c r="F258" s="72" t="s">
        <v>799</v>
      </c>
      <c r="G258" t="s">
        <v>0</v>
      </c>
      <c r="H258" s="7">
        <f t="shared" si="3"/>
        <v>280810.375</v>
      </c>
      <c r="I258" s="7">
        <v>44929.66</v>
      </c>
    </row>
    <row r="259" spans="1:9">
      <c r="A259" t="s">
        <v>1690</v>
      </c>
      <c r="B259" s="1">
        <v>42259</v>
      </c>
      <c r="C259" t="s">
        <v>4626</v>
      </c>
      <c r="D259">
        <v>1</v>
      </c>
      <c r="E259" t="s">
        <v>0</v>
      </c>
      <c r="F259" s="72" t="s">
        <v>799</v>
      </c>
      <c r="G259" t="s">
        <v>0</v>
      </c>
      <c r="H259" s="7">
        <f t="shared" si="3"/>
        <v>277798.3125</v>
      </c>
      <c r="I259" s="7">
        <v>44447.73</v>
      </c>
    </row>
    <row r="260" spans="1:9">
      <c r="A260" t="s">
        <v>4627</v>
      </c>
      <c r="B260" s="1">
        <v>42259</v>
      </c>
      <c r="C260" t="s">
        <v>4628</v>
      </c>
      <c r="D260">
        <v>1</v>
      </c>
      <c r="E260" t="s">
        <v>0</v>
      </c>
      <c r="F260" s="72" t="s">
        <v>799</v>
      </c>
      <c r="G260" t="s">
        <v>0</v>
      </c>
      <c r="H260" s="7">
        <f t="shared" si="3"/>
        <v>374762.0625</v>
      </c>
      <c r="I260" s="7">
        <v>59961.93</v>
      </c>
    </row>
    <row r="261" spans="1:9">
      <c r="A261" t="s">
        <v>4629</v>
      </c>
      <c r="B261" s="1">
        <v>42259</v>
      </c>
      <c r="C261" t="s">
        <v>4630</v>
      </c>
      <c r="D261">
        <v>1</v>
      </c>
      <c r="E261" t="s">
        <v>0</v>
      </c>
      <c r="F261" s="72" t="s">
        <v>799</v>
      </c>
      <c r="G261" t="s">
        <v>0</v>
      </c>
      <c r="H261" s="7">
        <f t="shared" si="3"/>
        <v>393176.4375</v>
      </c>
      <c r="I261" s="7">
        <v>62908.23</v>
      </c>
    </row>
    <row r="262" spans="1:9">
      <c r="A262" t="s">
        <v>4631</v>
      </c>
      <c r="B262" s="1">
        <v>42259</v>
      </c>
      <c r="C262" t="s">
        <v>4632</v>
      </c>
      <c r="D262">
        <v>1</v>
      </c>
      <c r="E262" t="s">
        <v>0</v>
      </c>
      <c r="F262" s="72" t="s">
        <v>799</v>
      </c>
      <c r="G262" t="s">
        <v>0</v>
      </c>
      <c r="H262" s="7">
        <f t="shared" si="3"/>
        <v>277798.3125</v>
      </c>
      <c r="I262" s="7">
        <v>44447.73</v>
      </c>
    </row>
    <row r="263" spans="1:9">
      <c r="A263" t="s">
        <v>4633</v>
      </c>
      <c r="B263" s="1">
        <v>42259</v>
      </c>
      <c r="C263" t="s">
        <v>4634</v>
      </c>
      <c r="D263">
        <v>1</v>
      </c>
      <c r="E263" t="s">
        <v>0</v>
      </c>
      <c r="F263" s="72" t="s">
        <v>799</v>
      </c>
      <c r="G263" t="s">
        <v>0</v>
      </c>
      <c r="H263" s="7">
        <f t="shared" si="3"/>
        <v>488490.3125</v>
      </c>
      <c r="I263" s="7">
        <v>78158.45</v>
      </c>
    </row>
    <row r="264" spans="1:9">
      <c r="A264" t="s">
        <v>4635</v>
      </c>
      <c r="B264" s="1">
        <v>42259</v>
      </c>
      <c r="C264" t="s">
        <v>4636</v>
      </c>
      <c r="D264">
        <v>1</v>
      </c>
      <c r="E264" t="s">
        <v>0</v>
      </c>
      <c r="F264" s="72" t="s">
        <v>799</v>
      </c>
      <c r="G264" t="s">
        <v>0</v>
      </c>
      <c r="H264" s="7">
        <f t="shared" ref="H264:H327" si="4">+I264/0.16</f>
        <v>488490.3125</v>
      </c>
      <c r="I264" s="7">
        <v>78158.45</v>
      </c>
    </row>
    <row r="265" spans="1:9">
      <c r="A265" t="s">
        <v>4637</v>
      </c>
      <c r="B265" s="1">
        <v>42259</v>
      </c>
      <c r="C265" t="s">
        <v>4638</v>
      </c>
      <c r="D265">
        <v>1</v>
      </c>
      <c r="E265" t="s">
        <v>0</v>
      </c>
      <c r="F265" s="72" t="s">
        <v>799</v>
      </c>
      <c r="G265" t="s">
        <v>0</v>
      </c>
      <c r="H265" s="7">
        <f t="shared" si="4"/>
        <v>393176.4375</v>
      </c>
      <c r="I265" s="7">
        <v>62908.23</v>
      </c>
    </row>
    <row r="266" spans="1:9">
      <c r="A266" t="s">
        <v>4640</v>
      </c>
      <c r="B266" s="1">
        <v>42259</v>
      </c>
      <c r="C266" t="s">
        <v>4624</v>
      </c>
      <c r="D266">
        <v>1</v>
      </c>
      <c r="E266" t="s">
        <v>0</v>
      </c>
      <c r="F266" s="72" t="s">
        <v>799</v>
      </c>
      <c r="G266" t="s">
        <v>0</v>
      </c>
      <c r="H266" s="7">
        <f t="shared" si="4"/>
        <v>243507.4375</v>
      </c>
      <c r="I266" s="7">
        <v>38961.19</v>
      </c>
    </row>
    <row r="267" spans="1:9">
      <c r="A267" t="s">
        <v>4641</v>
      </c>
      <c r="B267" s="1">
        <v>42261</v>
      </c>
      <c r="C267" t="s">
        <v>4642</v>
      </c>
      <c r="D267">
        <v>1</v>
      </c>
      <c r="E267" t="s">
        <v>0</v>
      </c>
      <c r="F267" s="72" t="s">
        <v>799</v>
      </c>
      <c r="G267" t="s">
        <v>0</v>
      </c>
      <c r="H267" s="7">
        <f t="shared" si="4"/>
        <v>243507.4375</v>
      </c>
      <c r="I267" s="7">
        <v>38961.19</v>
      </c>
    </row>
    <row r="268" spans="1:9">
      <c r="A268" t="s">
        <v>3752</v>
      </c>
      <c r="B268" s="1">
        <v>42262</v>
      </c>
      <c r="C268" t="s">
        <v>4648</v>
      </c>
      <c r="D268">
        <v>1</v>
      </c>
      <c r="E268" t="s">
        <v>0</v>
      </c>
      <c r="F268" s="72" t="s">
        <v>799</v>
      </c>
      <c r="G268" t="s">
        <v>0</v>
      </c>
      <c r="H268" s="7">
        <f t="shared" si="4"/>
        <v>393176.375</v>
      </c>
      <c r="I268" s="7">
        <v>62908.22</v>
      </c>
    </row>
    <row r="269" spans="1:9">
      <c r="A269" t="s">
        <v>4649</v>
      </c>
      <c r="B269" s="1">
        <v>42262</v>
      </c>
      <c r="C269" t="s">
        <v>4650</v>
      </c>
      <c r="D269">
        <v>1</v>
      </c>
      <c r="E269" t="s">
        <v>0</v>
      </c>
      <c r="F269" s="72" t="s">
        <v>799</v>
      </c>
      <c r="G269" t="s">
        <v>0</v>
      </c>
      <c r="H269" s="7">
        <f t="shared" si="4"/>
        <v>149994.75</v>
      </c>
      <c r="I269" s="7">
        <v>23999.16</v>
      </c>
    </row>
    <row r="270" spans="1:9">
      <c r="A270" t="s">
        <v>4651</v>
      </c>
      <c r="B270" s="1">
        <v>42262</v>
      </c>
      <c r="C270" t="s">
        <v>4652</v>
      </c>
      <c r="D270">
        <v>1</v>
      </c>
      <c r="E270" t="s">
        <v>0</v>
      </c>
      <c r="F270" s="72" t="s">
        <v>799</v>
      </c>
      <c r="G270" t="s">
        <v>0</v>
      </c>
      <c r="H270" s="7">
        <f t="shared" si="4"/>
        <v>317972.0625</v>
      </c>
      <c r="I270" s="7">
        <v>50875.53</v>
      </c>
    </row>
    <row r="271" spans="1:9">
      <c r="A271" t="s">
        <v>1725</v>
      </c>
      <c r="B271" s="1">
        <v>42268</v>
      </c>
      <c r="C271" t="s">
        <v>4659</v>
      </c>
      <c r="D271">
        <v>1</v>
      </c>
      <c r="E271" t="s">
        <v>0</v>
      </c>
      <c r="F271" s="72" t="s">
        <v>799</v>
      </c>
      <c r="G271" t="s">
        <v>0</v>
      </c>
      <c r="H271" s="7">
        <f t="shared" si="4"/>
        <v>217499.3125</v>
      </c>
      <c r="I271" s="7">
        <v>34799.89</v>
      </c>
    </row>
    <row r="272" spans="1:9">
      <c r="A272" t="s">
        <v>4660</v>
      </c>
      <c r="B272" s="1">
        <v>42268</v>
      </c>
      <c r="C272" t="s">
        <v>4661</v>
      </c>
      <c r="D272">
        <v>1</v>
      </c>
      <c r="E272" t="s">
        <v>0</v>
      </c>
      <c r="F272" s="72" t="s">
        <v>799</v>
      </c>
      <c r="G272" t="s">
        <v>0</v>
      </c>
      <c r="H272" s="7">
        <f t="shared" si="4"/>
        <v>266517.9375</v>
      </c>
      <c r="I272" s="7">
        <v>42642.87</v>
      </c>
    </row>
    <row r="273" spans="1:9">
      <c r="A273" t="s">
        <v>4673</v>
      </c>
      <c r="B273" s="1">
        <v>42270</v>
      </c>
      <c r="C273" t="s">
        <v>4674</v>
      </c>
      <c r="D273">
        <v>1</v>
      </c>
      <c r="E273" t="s">
        <v>0</v>
      </c>
      <c r="F273" s="72" t="s">
        <v>799</v>
      </c>
      <c r="G273" t="s">
        <v>0</v>
      </c>
      <c r="H273" s="7">
        <f t="shared" si="4"/>
        <v>158063.6875</v>
      </c>
      <c r="I273" s="7">
        <v>25290.19</v>
      </c>
    </row>
    <row r="274" spans="1:9">
      <c r="A274" t="s">
        <v>1745</v>
      </c>
      <c r="B274" s="1">
        <v>42270</v>
      </c>
      <c r="C274" t="s">
        <v>4675</v>
      </c>
      <c r="D274">
        <v>1</v>
      </c>
      <c r="E274" t="s">
        <v>0</v>
      </c>
      <c r="F274" s="72" t="s">
        <v>799</v>
      </c>
      <c r="G274" t="s">
        <v>0</v>
      </c>
      <c r="H274" s="7">
        <f t="shared" si="4"/>
        <v>212994.25</v>
      </c>
      <c r="I274" s="7">
        <v>34079.08</v>
      </c>
    </row>
    <row r="275" spans="1:9">
      <c r="A275" t="s">
        <v>4677</v>
      </c>
      <c r="B275" s="1">
        <v>42271</v>
      </c>
      <c r="C275" t="s">
        <v>4678</v>
      </c>
      <c r="D275">
        <v>1</v>
      </c>
      <c r="E275" t="s">
        <v>0</v>
      </c>
      <c r="F275" s="72" t="s">
        <v>799</v>
      </c>
      <c r="G275" t="s">
        <v>0</v>
      </c>
      <c r="H275" s="7">
        <f t="shared" si="4"/>
        <v>243817.8125</v>
      </c>
      <c r="I275" s="7">
        <v>39010.85</v>
      </c>
    </row>
    <row r="276" spans="1:9">
      <c r="A276" t="s">
        <v>4679</v>
      </c>
      <c r="B276" s="1">
        <v>42271</v>
      </c>
      <c r="C276" t="s">
        <v>4680</v>
      </c>
      <c r="D276">
        <v>1</v>
      </c>
      <c r="E276" t="s">
        <v>0</v>
      </c>
      <c r="F276" s="72" t="s">
        <v>799</v>
      </c>
      <c r="G276" t="s">
        <v>0</v>
      </c>
      <c r="H276" s="7">
        <f t="shared" si="4"/>
        <v>195674.875</v>
      </c>
      <c r="I276" s="7">
        <v>31307.98</v>
      </c>
    </row>
    <row r="277" spans="1:9">
      <c r="A277" t="s">
        <v>4681</v>
      </c>
      <c r="B277" s="1">
        <v>42272</v>
      </c>
      <c r="C277" t="s">
        <v>4682</v>
      </c>
      <c r="D277">
        <v>1</v>
      </c>
      <c r="E277" t="s">
        <v>0</v>
      </c>
      <c r="F277" s="72" t="s">
        <v>799</v>
      </c>
      <c r="G277" t="s">
        <v>0</v>
      </c>
      <c r="H277" s="7">
        <f t="shared" si="4"/>
        <v>157061.9375</v>
      </c>
      <c r="I277" s="7">
        <v>25129.91</v>
      </c>
    </row>
    <row r="278" spans="1:9">
      <c r="A278" t="s">
        <v>2394</v>
      </c>
      <c r="B278" s="1">
        <v>42272</v>
      </c>
      <c r="C278" t="s">
        <v>4687</v>
      </c>
      <c r="D278">
        <v>1</v>
      </c>
      <c r="E278" t="s">
        <v>0</v>
      </c>
      <c r="F278" s="72" t="s">
        <v>799</v>
      </c>
      <c r="G278" t="s">
        <v>0</v>
      </c>
      <c r="H278" s="7">
        <f t="shared" si="4"/>
        <v>149303.375</v>
      </c>
      <c r="I278" s="7">
        <v>23888.54</v>
      </c>
    </row>
    <row r="279" spans="1:9">
      <c r="A279" t="s">
        <v>2397</v>
      </c>
      <c r="B279" s="1">
        <v>42272</v>
      </c>
      <c r="C279" t="s">
        <v>4688</v>
      </c>
      <c r="D279">
        <v>1</v>
      </c>
      <c r="E279" t="s">
        <v>0</v>
      </c>
      <c r="F279" s="72" t="s">
        <v>799</v>
      </c>
      <c r="G279" t="s">
        <v>0</v>
      </c>
      <c r="H279" s="7">
        <f t="shared" si="4"/>
        <v>149303.375</v>
      </c>
      <c r="I279" s="7">
        <v>23888.54</v>
      </c>
    </row>
    <row r="280" spans="1:9">
      <c r="A280" t="s">
        <v>2412</v>
      </c>
      <c r="B280" s="1">
        <v>42272</v>
      </c>
      <c r="C280" t="s">
        <v>4689</v>
      </c>
      <c r="D280">
        <v>1</v>
      </c>
      <c r="E280" t="s">
        <v>0</v>
      </c>
      <c r="F280" s="72" t="s">
        <v>799</v>
      </c>
      <c r="G280" t="s">
        <v>0</v>
      </c>
      <c r="H280" s="7">
        <f t="shared" si="4"/>
        <v>226976.5625</v>
      </c>
      <c r="I280" s="7">
        <v>36316.25</v>
      </c>
    </row>
    <row r="281" spans="1:9">
      <c r="A281" t="s">
        <v>2457</v>
      </c>
      <c r="B281" s="1">
        <v>42273</v>
      </c>
      <c r="C281" t="s">
        <v>4690</v>
      </c>
      <c r="D281">
        <v>1</v>
      </c>
      <c r="E281" t="s">
        <v>0</v>
      </c>
      <c r="F281" s="72" t="s">
        <v>799</v>
      </c>
      <c r="G281" t="s">
        <v>0</v>
      </c>
      <c r="H281" s="7">
        <f t="shared" si="4"/>
        <v>278610.375</v>
      </c>
      <c r="I281" s="7">
        <v>44577.66</v>
      </c>
    </row>
    <row r="282" spans="1:9">
      <c r="A282" t="s">
        <v>3356</v>
      </c>
      <c r="B282" s="1">
        <v>42273</v>
      </c>
      <c r="C282" t="s">
        <v>4691</v>
      </c>
      <c r="D282">
        <v>1</v>
      </c>
      <c r="E282" t="s">
        <v>0</v>
      </c>
      <c r="F282" s="72" t="s">
        <v>799</v>
      </c>
      <c r="G282" t="s">
        <v>0</v>
      </c>
      <c r="H282" s="7">
        <f t="shared" si="4"/>
        <v>217188.99999999997</v>
      </c>
      <c r="I282" s="7">
        <v>34750.239999999998</v>
      </c>
    </row>
    <row r="283" spans="1:9">
      <c r="A283" t="s">
        <v>2563</v>
      </c>
      <c r="B283" s="1">
        <v>42273</v>
      </c>
      <c r="C283" t="s">
        <v>4692</v>
      </c>
      <c r="D283">
        <v>1</v>
      </c>
      <c r="E283" t="s">
        <v>0</v>
      </c>
      <c r="F283" s="72" t="s">
        <v>799</v>
      </c>
      <c r="G283" t="s">
        <v>0</v>
      </c>
      <c r="H283" s="7">
        <f t="shared" si="4"/>
        <v>243507.4375</v>
      </c>
      <c r="I283" s="7">
        <v>38961.19</v>
      </c>
    </row>
    <row r="284" spans="1:9">
      <c r="A284" t="s">
        <v>3379</v>
      </c>
      <c r="B284" s="1">
        <v>42273</v>
      </c>
      <c r="C284" t="s">
        <v>4693</v>
      </c>
      <c r="D284">
        <v>1</v>
      </c>
      <c r="E284" t="s">
        <v>0</v>
      </c>
      <c r="F284" s="72" t="s">
        <v>799</v>
      </c>
      <c r="G284" t="s">
        <v>0</v>
      </c>
      <c r="H284" s="7">
        <f t="shared" si="4"/>
        <v>243507.4375</v>
      </c>
      <c r="I284" s="7">
        <v>38961.19</v>
      </c>
    </row>
    <row r="285" spans="1:9">
      <c r="A285" t="s">
        <v>2914</v>
      </c>
      <c r="B285" s="1">
        <v>42273</v>
      </c>
      <c r="C285" t="s">
        <v>4694</v>
      </c>
      <c r="D285">
        <v>1</v>
      </c>
      <c r="E285" t="s">
        <v>0</v>
      </c>
      <c r="F285" s="72" t="s">
        <v>799</v>
      </c>
      <c r="G285" t="s">
        <v>0</v>
      </c>
      <c r="H285" s="7">
        <f t="shared" si="4"/>
        <v>352513.1875</v>
      </c>
      <c r="I285" s="7">
        <v>56402.11</v>
      </c>
    </row>
    <row r="286" spans="1:9">
      <c r="A286" t="s">
        <v>1179</v>
      </c>
      <c r="B286" s="1">
        <v>42275</v>
      </c>
      <c r="C286" t="s">
        <v>4695</v>
      </c>
      <c r="D286">
        <v>1</v>
      </c>
      <c r="E286" t="s">
        <v>0</v>
      </c>
      <c r="F286" s="72" t="s">
        <v>799</v>
      </c>
      <c r="G286" t="s">
        <v>0</v>
      </c>
      <c r="H286" s="7">
        <f t="shared" si="4"/>
        <v>278300.0625</v>
      </c>
      <c r="I286" s="7">
        <v>44528.01</v>
      </c>
    </row>
    <row r="287" spans="1:9">
      <c r="A287" t="s">
        <v>1180</v>
      </c>
      <c r="B287" s="1">
        <v>42275</v>
      </c>
      <c r="C287" t="s">
        <v>4696</v>
      </c>
      <c r="D287">
        <v>1</v>
      </c>
      <c r="E287" t="s">
        <v>0</v>
      </c>
      <c r="F287" s="72" t="s">
        <v>799</v>
      </c>
      <c r="G287" t="s">
        <v>0</v>
      </c>
      <c r="H287" s="7">
        <f t="shared" si="4"/>
        <v>243507.4375</v>
      </c>
      <c r="I287" s="7">
        <v>38961.19</v>
      </c>
    </row>
    <row r="288" spans="1:9">
      <c r="A288" t="s">
        <v>1184</v>
      </c>
      <c r="B288" s="1">
        <v>42275</v>
      </c>
      <c r="C288" t="s">
        <v>4697</v>
      </c>
      <c r="D288">
        <v>1</v>
      </c>
      <c r="E288" t="s">
        <v>0</v>
      </c>
      <c r="F288" s="72" t="s">
        <v>799</v>
      </c>
      <c r="G288" t="s">
        <v>0</v>
      </c>
      <c r="H288" s="7">
        <f t="shared" si="4"/>
        <v>232997.75</v>
      </c>
      <c r="I288" s="7">
        <v>37279.64</v>
      </c>
    </row>
    <row r="289" spans="1:11">
      <c r="A289" t="s">
        <v>1195</v>
      </c>
      <c r="B289" s="1">
        <v>42275</v>
      </c>
      <c r="C289" t="s">
        <v>3841</v>
      </c>
      <c r="D289">
        <v>1</v>
      </c>
      <c r="E289" t="s">
        <v>0</v>
      </c>
      <c r="F289" s="72" t="s">
        <v>799</v>
      </c>
      <c r="G289" t="s">
        <v>0</v>
      </c>
      <c r="H289" s="7">
        <f t="shared" si="4"/>
        <v>-209521.625</v>
      </c>
      <c r="I289" s="7">
        <v>-33523.46</v>
      </c>
    </row>
    <row r="290" spans="1:11">
      <c r="A290" t="s">
        <v>1199</v>
      </c>
      <c r="B290" s="1">
        <v>42275</v>
      </c>
      <c r="C290" t="s">
        <v>3841</v>
      </c>
      <c r="D290">
        <v>1</v>
      </c>
      <c r="E290" t="s">
        <v>0</v>
      </c>
      <c r="F290" s="72" t="s">
        <v>799</v>
      </c>
      <c r="G290" t="s">
        <v>0</v>
      </c>
      <c r="H290" s="7">
        <f t="shared" si="4"/>
        <v>209211.31249999997</v>
      </c>
      <c r="I290" s="7">
        <v>33473.81</v>
      </c>
    </row>
    <row r="291" spans="1:11">
      <c r="A291" t="s">
        <v>4702</v>
      </c>
      <c r="B291" s="1">
        <v>42276</v>
      </c>
      <c r="C291" t="s">
        <v>4703</v>
      </c>
      <c r="D291">
        <v>1</v>
      </c>
      <c r="E291" t="s">
        <v>0</v>
      </c>
      <c r="F291" s="72" t="s">
        <v>799</v>
      </c>
      <c r="G291" t="s">
        <v>0</v>
      </c>
      <c r="H291" s="7">
        <f t="shared" si="4"/>
        <v>157753.375</v>
      </c>
      <c r="I291" s="7">
        <v>25240.54</v>
      </c>
    </row>
    <row r="292" spans="1:11">
      <c r="A292" t="s">
        <v>4704</v>
      </c>
      <c r="B292" s="1">
        <v>42276</v>
      </c>
      <c r="C292" t="s">
        <v>4705</v>
      </c>
      <c r="D292">
        <v>1</v>
      </c>
      <c r="E292" t="s">
        <v>0</v>
      </c>
      <c r="F292" s="72" t="s">
        <v>799</v>
      </c>
      <c r="G292" t="s">
        <v>0</v>
      </c>
      <c r="H292" s="7">
        <f t="shared" si="4"/>
        <v>149994.75</v>
      </c>
      <c r="I292" s="7">
        <v>23999.16</v>
      </c>
    </row>
    <row r="293" spans="1:11">
      <c r="A293" t="s">
        <v>4706</v>
      </c>
      <c r="B293" s="1">
        <v>42276</v>
      </c>
      <c r="C293" t="s">
        <v>4707</v>
      </c>
      <c r="D293">
        <v>1</v>
      </c>
      <c r="E293" t="s">
        <v>0</v>
      </c>
      <c r="F293" s="72" t="s">
        <v>799</v>
      </c>
      <c r="G293" t="s">
        <v>0</v>
      </c>
      <c r="H293" s="7">
        <f t="shared" si="4"/>
        <v>156751.625</v>
      </c>
      <c r="I293" s="7">
        <v>25080.26</v>
      </c>
    </row>
    <row r="294" spans="1:11">
      <c r="A294" t="s">
        <v>4708</v>
      </c>
      <c r="B294" s="1">
        <v>42276</v>
      </c>
      <c r="C294" t="s">
        <v>4709</v>
      </c>
      <c r="D294">
        <v>1</v>
      </c>
      <c r="E294" t="s">
        <v>0</v>
      </c>
      <c r="F294" s="72" t="s">
        <v>799</v>
      </c>
      <c r="G294" t="s">
        <v>0</v>
      </c>
      <c r="H294" s="7">
        <f t="shared" si="4"/>
        <v>157061.9375</v>
      </c>
      <c r="I294" s="7">
        <v>25129.91</v>
      </c>
    </row>
    <row r="295" spans="1:11">
      <c r="A295" t="s">
        <v>2009</v>
      </c>
      <c r="B295" s="1">
        <v>42277</v>
      </c>
      <c r="C295" t="s">
        <v>4714</v>
      </c>
      <c r="D295">
        <v>1</v>
      </c>
      <c r="E295" t="s">
        <v>0</v>
      </c>
      <c r="F295" s="72" t="s">
        <v>799</v>
      </c>
      <c r="G295" t="s">
        <v>0</v>
      </c>
      <c r="H295" s="7">
        <f t="shared" si="4"/>
        <v>217499.3125</v>
      </c>
      <c r="I295" s="7">
        <v>34799.89</v>
      </c>
    </row>
    <row r="296" spans="1:11">
      <c r="A296" t="s">
        <v>3518</v>
      </c>
      <c r="B296" s="1">
        <v>42277</v>
      </c>
      <c r="C296" t="s">
        <v>4715</v>
      </c>
      <c r="D296">
        <v>1</v>
      </c>
      <c r="E296" t="s">
        <v>0</v>
      </c>
      <c r="F296" s="72" t="s">
        <v>799</v>
      </c>
      <c r="G296" t="s">
        <v>0</v>
      </c>
      <c r="H296" s="7">
        <f t="shared" si="4"/>
        <v>285737.4375</v>
      </c>
      <c r="I296" s="7">
        <v>45717.99</v>
      </c>
    </row>
    <row r="297" spans="1:11">
      <c r="A297" t="s">
        <v>4716</v>
      </c>
      <c r="B297" s="1">
        <v>42277</v>
      </c>
      <c r="C297" t="s">
        <v>4717</v>
      </c>
      <c r="D297">
        <v>1</v>
      </c>
      <c r="E297" t="s">
        <v>0</v>
      </c>
      <c r="F297" s="72" t="s">
        <v>799</v>
      </c>
      <c r="G297" t="s">
        <v>0</v>
      </c>
      <c r="H297" s="7">
        <f t="shared" si="4"/>
        <v>217188.99999999997</v>
      </c>
      <c r="I297" s="7">
        <v>34750.239999999998</v>
      </c>
    </row>
    <row r="298" spans="1:11">
      <c r="A298" t="s">
        <v>1335</v>
      </c>
      <c r="B298" s="1">
        <v>42250</v>
      </c>
      <c r="C298" t="s">
        <v>4844</v>
      </c>
      <c r="D298">
        <v>1</v>
      </c>
      <c r="E298" t="s">
        <v>1361</v>
      </c>
      <c r="F298" s="72" t="s">
        <v>799</v>
      </c>
      <c r="G298" t="s">
        <v>0</v>
      </c>
      <c r="H298" s="7">
        <f t="shared" si="4"/>
        <v>4321.3125</v>
      </c>
      <c r="I298" s="7">
        <v>691.41</v>
      </c>
    </row>
    <row r="299" spans="1:11">
      <c r="A299" t="s">
        <v>2578</v>
      </c>
      <c r="B299" s="1">
        <v>42250</v>
      </c>
      <c r="C299" t="s">
        <v>4845</v>
      </c>
      <c r="D299">
        <v>1</v>
      </c>
      <c r="E299" t="s">
        <v>1361</v>
      </c>
      <c r="F299" s="72" t="s">
        <v>799</v>
      </c>
      <c r="G299" t="s">
        <v>0</v>
      </c>
      <c r="H299" s="7">
        <f t="shared" si="4"/>
        <v>6500</v>
      </c>
      <c r="I299" s="7">
        <v>1040</v>
      </c>
    </row>
    <row r="300" spans="1:11">
      <c r="A300" t="s">
        <v>1377</v>
      </c>
      <c r="B300" s="1">
        <v>42262</v>
      </c>
      <c r="C300" t="s">
        <v>4871</v>
      </c>
      <c r="D300">
        <v>1</v>
      </c>
      <c r="E300" t="s">
        <v>1361</v>
      </c>
      <c r="F300" s="72" t="s">
        <v>799</v>
      </c>
      <c r="G300" t="s">
        <v>0</v>
      </c>
      <c r="H300" s="7">
        <f t="shared" si="4"/>
        <v>14964.125000000002</v>
      </c>
      <c r="I300" s="7">
        <v>2394.2600000000002</v>
      </c>
    </row>
    <row r="301" spans="1:11">
      <c r="A301" t="s">
        <v>2090</v>
      </c>
      <c r="B301" s="1">
        <v>42262</v>
      </c>
      <c r="C301" t="s">
        <v>4872</v>
      </c>
      <c r="D301">
        <v>1</v>
      </c>
      <c r="E301" t="s">
        <v>1361</v>
      </c>
      <c r="F301" s="72" t="s">
        <v>799</v>
      </c>
      <c r="G301" t="s">
        <v>0</v>
      </c>
      <c r="H301" s="7">
        <f t="shared" si="4"/>
        <v>4410</v>
      </c>
      <c r="I301" s="7">
        <v>705.6</v>
      </c>
    </row>
    <row r="302" spans="1:11">
      <c r="A302" t="s">
        <v>1449</v>
      </c>
      <c r="B302" s="1">
        <v>42276</v>
      </c>
      <c r="C302" t="s">
        <v>4904</v>
      </c>
      <c r="D302">
        <v>1</v>
      </c>
      <c r="E302" t="s">
        <v>1361</v>
      </c>
      <c r="F302" s="72" t="s">
        <v>799</v>
      </c>
      <c r="G302" t="s">
        <v>0</v>
      </c>
      <c r="H302" s="7">
        <f t="shared" si="4"/>
        <v>392631.3125</v>
      </c>
      <c r="I302" s="7">
        <v>62821.01</v>
      </c>
    </row>
    <row r="303" spans="1:11">
      <c r="A303" t="s">
        <v>1451</v>
      </c>
      <c r="B303" s="1">
        <v>42276</v>
      </c>
      <c r="C303" t="s">
        <v>4905</v>
      </c>
      <c r="D303">
        <v>1</v>
      </c>
      <c r="E303" t="s">
        <v>1361</v>
      </c>
      <c r="F303" s="72" t="s">
        <v>799</v>
      </c>
      <c r="G303" t="s">
        <v>0</v>
      </c>
      <c r="H303" s="7">
        <f t="shared" si="4"/>
        <v>247430.125</v>
      </c>
      <c r="I303" s="7">
        <v>39588.82</v>
      </c>
    </row>
    <row r="304" spans="1:11">
      <c r="A304" t="s">
        <v>4821</v>
      </c>
      <c r="B304" s="1">
        <v>42277</v>
      </c>
      <c r="C304" t="s">
        <v>4822</v>
      </c>
      <c r="D304">
        <v>1</v>
      </c>
      <c r="E304" t="s">
        <v>4823</v>
      </c>
      <c r="F304" s="71" t="s">
        <v>722</v>
      </c>
      <c r="G304" s="71" t="s">
        <v>722</v>
      </c>
      <c r="H304" s="7">
        <f t="shared" si="4"/>
        <v>186</v>
      </c>
      <c r="I304" s="74">
        <v>29.76</v>
      </c>
      <c r="J304" s="7"/>
      <c r="K304" s="7"/>
    </row>
    <row r="305" spans="1:11">
      <c r="A305" t="s">
        <v>4821</v>
      </c>
      <c r="B305" s="1">
        <v>42277</v>
      </c>
      <c r="C305" t="s">
        <v>4822</v>
      </c>
      <c r="D305">
        <v>1</v>
      </c>
      <c r="E305" t="s">
        <v>4823</v>
      </c>
      <c r="F305" s="71" t="s">
        <v>714</v>
      </c>
      <c r="G305" s="77" t="s">
        <v>715</v>
      </c>
      <c r="H305" s="7">
        <f t="shared" si="4"/>
        <v>322.4375</v>
      </c>
      <c r="I305" s="74">
        <v>51.59</v>
      </c>
    </row>
    <row r="306" spans="1:11">
      <c r="A306" t="s">
        <v>4821</v>
      </c>
      <c r="B306" s="1">
        <v>42277</v>
      </c>
      <c r="C306" t="s">
        <v>4822</v>
      </c>
      <c r="D306">
        <v>1</v>
      </c>
      <c r="E306" t="s">
        <v>4823</v>
      </c>
      <c r="F306" s="71" t="s">
        <v>935</v>
      </c>
      <c r="G306" s="77" t="s">
        <v>5654</v>
      </c>
      <c r="H306" s="7">
        <f t="shared" si="4"/>
        <v>94.8125</v>
      </c>
      <c r="I306" s="74">
        <v>15.17</v>
      </c>
    </row>
    <row r="307" spans="1:11">
      <c r="A307" t="s">
        <v>4821</v>
      </c>
      <c r="B307" s="1">
        <v>42277</v>
      </c>
      <c r="C307" t="s">
        <v>4822</v>
      </c>
      <c r="D307">
        <v>1</v>
      </c>
      <c r="E307" t="s">
        <v>4823</v>
      </c>
      <c r="F307" s="75" t="s">
        <v>780</v>
      </c>
      <c r="G307" s="78" t="s">
        <v>781</v>
      </c>
      <c r="H307" s="7">
        <f t="shared" si="4"/>
        <v>335.5625</v>
      </c>
      <c r="I307" s="76">
        <v>53.69</v>
      </c>
      <c r="J307" s="60">
        <f>938.81-H304-H305-H306-H307</f>
        <v>-2.5000000000545697E-3</v>
      </c>
      <c r="K307" s="60">
        <f>150.21-I304-I305-I306-I307</f>
        <v>0</v>
      </c>
    </row>
    <row r="308" spans="1:11">
      <c r="A308" t="s">
        <v>4782</v>
      </c>
      <c r="B308" s="1">
        <v>42277</v>
      </c>
      <c r="C308" t="s">
        <v>4783</v>
      </c>
      <c r="D308">
        <v>1</v>
      </c>
      <c r="E308" t="s">
        <v>4784</v>
      </c>
      <c r="F308" s="71" t="s">
        <v>722</v>
      </c>
      <c r="G308" s="71" t="s">
        <v>722</v>
      </c>
      <c r="H308" s="7">
        <f t="shared" si="4"/>
        <v>370.3125</v>
      </c>
      <c r="I308" s="74">
        <v>59.25</v>
      </c>
      <c r="J308" s="7"/>
      <c r="K308" s="7"/>
    </row>
    <row r="309" spans="1:11">
      <c r="A309" t="s">
        <v>4782</v>
      </c>
      <c r="B309" s="1">
        <v>42277</v>
      </c>
      <c r="C309" t="s">
        <v>4783</v>
      </c>
      <c r="D309">
        <v>1</v>
      </c>
      <c r="E309" t="s">
        <v>4784</v>
      </c>
      <c r="F309" s="71" t="s">
        <v>915</v>
      </c>
      <c r="G309" s="77" t="s">
        <v>916</v>
      </c>
      <c r="H309" s="7">
        <f t="shared" si="4"/>
        <v>844.81249999999989</v>
      </c>
      <c r="I309" s="74">
        <v>135.16999999999999</v>
      </c>
    </row>
    <row r="310" spans="1:11">
      <c r="A310" t="s">
        <v>4782</v>
      </c>
      <c r="B310" s="1">
        <v>42277</v>
      </c>
      <c r="C310" t="s">
        <v>4783</v>
      </c>
      <c r="D310">
        <v>1</v>
      </c>
      <c r="E310" t="s">
        <v>4784</v>
      </c>
      <c r="F310" s="71" t="s">
        <v>915</v>
      </c>
      <c r="G310" s="77" t="s">
        <v>916</v>
      </c>
      <c r="H310" s="7">
        <f t="shared" si="4"/>
        <v>245.6875</v>
      </c>
      <c r="I310" s="74">
        <v>39.31</v>
      </c>
    </row>
    <row r="311" spans="1:11">
      <c r="A311" t="s">
        <v>4782</v>
      </c>
      <c r="B311" s="1">
        <v>42277</v>
      </c>
      <c r="C311" t="s">
        <v>4783</v>
      </c>
      <c r="D311">
        <v>1</v>
      </c>
      <c r="E311" t="s">
        <v>4784</v>
      </c>
      <c r="F311" s="71" t="s">
        <v>749</v>
      </c>
      <c r="G311" s="77" t="s">
        <v>750</v>
      </c>
      <c r="H311" s="7">
        <f t="shared" si="4"/>
        <v>98.25</v>
      </c>
      <c r="I311" s="74">
        <v>15.72</v>
      </c>
    </row>
    <row r="312" spans="1:11">
      <c r="A312" t="s">
        <v>4782</v>
      </c>
      <c r="B312" s="1">
        <v>42277</v>
      </c>
      <c r="C312" t="s">
        <v>4783</v>
      </c>
      <c r="D312">
        <v>1</v>
      </c>
      <c r="E312" t="s">
        <v>4784</v>
      </c>
      <c r="F312" s="71" t="s">
        <v>5655</v>
      </c>
      <c r="G312" s="77" t="s">
        <v>5656</v>
      </c>
      <c r="H312" s="7">
        <f t="shared" si="4"/>
        <v>503.24999999999994</v>
      </c>
      <c r="I312" s="74">
        <v>80.52</v>
      </c>
    </row>
    <row r="313" spans="1:11">
      <c r="A313" t="s">
        <v>4782</v>
      </c>
      <c r="B313" s="1">
        <v>42277</v>
      </c>
      <c r="C313" t="s">
        <v>4783</v>
      </c>
      <c r="D313">
        <v>1</v>
      </c>
      <c r="E313" t="s">
        <v>4784</v>
      </c>
      <c r="F313" s="75" t="s">
        <v>947</v>
      </c>
      <c r="G313" s="78" t="s">
        <v>948</v>
      </c>
      <c r="H313" s="7">
        <f t="shared" si="4"/>
        <v>335.5</v>
      </c>
      <c r="I313" s="76">
        <v>53.68</v>
      </c>
      <c r="J313" s="60">
        <f>2397.81-H308-H309-H310-H311-H312-H313</f>
        <v>-2.4999999999977263E-3</v>
      </c>
      <c r="K313" s="60">
        <f>383.65-I308-I309-I310-I311-I312-I313</f>
        <v>0</v>
      </c>
    </row>
    <row r="314" spans="1:11">
      <c r="A314" t="s">
        <v>4817</v>
      </c>
      <c r="B314" s="1">
        <v>42277</v>
      </c>
      <c r="C314" t="s">
        <v>4818</v>
      </c>
      <c r="D314">
        <v>1</v>
      </c>
      <c r="E314" t="s">
        <v>4784</v>
      </c>
      <c r="F314" s="71" t="s">
        <v>722</v>
      </c>
      <c r="G314" s="71" t="s">
        <v>722</v>
      </c>
      <c r="H314" s="7">
        <f t="shared" si="4"/>
        <v>249.43749999999997</v>
      </c>
      <c r="I314" s="74">
        <v>39.909999999999997</v>
      </c>
      <c r="J314" s="7"/>
      <c r="K314" s="7"/>
    </row>
    <row r="315" spans="1:11">
      <c r="A315" t="s">
        <v>4817</v>
      </c>
      <c r="B315" s="1">
        <v>42277</v>
      </c>
      <c r="C315" t="s">
        <v>4818</v>
      </c>
      <c r="D315">
        <v>1</v>
      </c>
      <c r="E315" t="s">
        <v>4784</v>
      </c>
      <c r="F315" s="71" t="s">
        <v>714</v>
      </c>
      <c r="G315" s="77" t="s">
        <v>715</v>
      </c>
      <c r="H315" s="7">
        <f t="shared" si="4"/>
        <v>322.4375</v>
      </c>
      <c r="I315" s="74">
        <v>51.59</v>
      </c>
    </row>
    <row r="316" spans="1:11">
      <c r="A316" t="s">
        <v>4817</v>
      </c>
      <c r="B316" s="1">
        <v>42277</v>
      </c>
      <c r="C316" t="s">
        <v>4818</v>
      </c>
      <c r="D316">
        <v>1</v>
      </c>
      <c r="E316" t="s">
        <v>4784</v>
      </c>
      <c r="F316" s="75" t="s">
        <v>4419</v>
      </c>
      <c r="G316" s="78" t="s">
        <v>5657</v>
      </c>
      <c r="H316" s="7">
        <f t="shared" si="4"/>
        <v>444.625</v>
      </c>
      <c r="I316" s="76">
        <v>71.14</v>
      </c>
    </row>
    <row r="317" spans="1:11">
      <c r="A317" t="s">
        <v>4817</v>
      </c>
      <c r="B317" s="1">
        <v>42277</v>
      </c>
      <c r="C317" t="s">
        <v>4818</v>
      </c>
      <c r="D317">
        <v>1</v>
      </c>
      <c r="E317" t="s">
        <v>4784</v>
      </c>
      <c r="F317" s="71" t="s">
        <v>4418</v>
      </c>
      <c r="G317" s="77" t="s">
        <v>5658</v>
      </c>
      <c r="H317" s="7">
        <f t="shared" si="4"/>
        <v>99.125</v>
      </c>
      <c r="I317" s="74">
        <v>15.86</v>
      </c>
    </row>
    <row r="318" spans="1:11">
      <c r="A318" t="s">
        <v>4817</v>
      </c>
      <c r="B318" s="1">
        <v>42277</v>
      </c>
      <c r="C318" t="s">
        <v>4818</v>
      </c>
      <c r="D318">
        <v>1</v>
      </c>
      <c r="E318" t="s">
        <v>4784</v>
      </c>
      <c r="F318" s="71" t="s">
        <v>935</v>
      </c>
      <c r="G318" s="77" t="s">
        <v>5654</v>
      </c>
      <c r="H318" s="7">
        <f t="shared" si="4"/>
        <v>86.187499999999986</v>
      </c>
      <c r="I318" s="74">
        <v>13.79</v>
      </c>
      <c r="J318" s="60">
        <f>1201.81-H314-H315-H316-H317-H318</f>
        <v>-2.5000000000403588E-3</v>
      </c>
      <c r="K318" s="60">
        <f>192.29-I314-I315-I316-I317-I318</f>
        <v>0</v>
      </c>
    </row>
    <row r="319" spans="1:11">
      <c r="A319" t="s">
        <v>4824</v>
      </c>
      <c r="B319" s="1">
        <v>42277</v>
      </c>
      <c r="C319" t="s">
        <v>4825</v>
      </c>
      <c r="D319">
        <v>1</v>
      </c>
      <c r="E319" t="s">
        <v>4784</v>
      </c>
      <c r="F319" s="71" t="s">
        <v>722</v>
      </c>
      <c r="G319" s="71" t="s">
        <v>722</v>
      </c>
      <c r="H319" s="7">
        <f t="shared" si="4"/>
        <v>125.125</v>
      </c>
      <c r="I319" s="81">
        <v>20.02</v>
      </c>
      <c r="J319" s="7"/>
      <c r="K319" s="7"/>
    </row>
    <row r="320" spans="1:11">
      <c r="A320" t="s">
        <v>4824</v>
      </c>
      <c r="B320" s="1">
        <v>42277</v>
      </c>
      <c r="C320" t="s">
        <v>4825</v>
      </c>
      <c r="D320">
        <v>1</v>
      </c>
      <c r="E320" t="s">
        <v>4784</v>
      </c>
      <c r="F320" s="71" t="s">
        <v>745</v>
      </c>
      <c r="G320" s="82" t="s">
        <v>746</v>
      </c>
      <c r="H320" s="7">
        <f t="shared" si="4"/>
        <v>69</v>
      </c>
      <c r="I320" s="81">
        <v>11.04</v>
      </c>
    </row>
    <row r="321" spans="1:11">
      <c r="A321" t="s">
        <v>4824</v>
      </c>
      <c r="B321" s="1">
        <v>42277</v>
      </c>
      <c r="C321" t="s">
        <v>4825</v>
      </c>
      <c r="D321">
        <v>1</v>
      </c>
      <c r="E321" t="s">
        <v>4784</v>
      </c>
      <c r="F321" s="75" t="s">
        <v>961</v>
      </c>
      <c r="G321" s="78" t="s">
        <v>962</v>
      </c>
      <c r="H321" s="7">
        <f t="shared" si="4"/>
        <v>251.5625</v>
      </c>
      <c r="I321" s="76">
        <v>40.25</v>
      </c>
      <c r="J321" s="60">
        <f>445.69-H319-H320-H321</f>
        <v>2.4999999999977263E-3</v>
      </c>
      <c r="K321" s="60">
        <f>71.31-I319-I320-I321</f>
        <v>0</v>
      </c>
    </row>
    <row r="322" spans="1:11">
      <c r="A322" t="s">
        <v>4814</v>
      </c>
      <c r="B322" s="1">
        <v>42277</v>
      </c>
      <c r="C322" t="s">
        <v>4815</v>
      </c>
      <c r="D322">
        <v>1</v>
      </c>
      <c r="E322" t="s">
        <v>4816</v>
      </c>
      <c r="F322" s="71" t="s">
        <v>722</v>
      </c>
      <c r="G322" s="71" t="s">
        <v>722</v>
      </c>
      <c r="H322" s="7">
        <f t="shared" si="4"/>
        <v>516.625</v>
      </c>
      <c r="I322" s="74">
        <v>82.66</v>
      </c>
      <c r="J322" s="7"/>
      <c r="K322" s="7"/>
    </row>
    <row r="323" spans="1:11">
      <c r="A323" t="s">
        <v>4814</v>
      </c>
      <c r="B323" s="1">
        <v>42277</v>
      </c>
      <c r="C323" t="s">
        <v>4815</v>
      </c>
      <c r="D323">
        <v>1</v>
      </c>
      <c r="E323" t="s">
        <v>4816</v>
      </c>
      <c r="F323" s="71" t="s">
        <v>714</v>
      </c>
      <c r="G323" s="77" t="s">
        <v>715</v>
      </c>
      <c r="H323" s="7">
        <f t="shared" si="4"/>
        <v>388.8125</v>
      </c>
      <c r="I323" s="74">
        <v>62.21</v>
      </c>
    </row>
    <row r="324" spans="1:11">
      <c r="A324" t="s">
        <v>4814</v>
      </c>
      <c r="B324" s="1">
        <v>42277</v>
      </c>
      <c r="C324" t="s">
        <v>4815</v>
      </c>
      <c r="D324">
        <v>1</v>
      </c>
      <c r="E324" t="s">
        <v>4816</v>
      </c>
      <c r="F324" s="75" t="s">
        <v>879</v>
      </c>
      <c r="G324" s="78" t="s">
        <v>880</v>
      </c>
      <c r="H324" s="7">
        <f t="shared" si="4"/>
        <v>546.3125</v>
      </c>
      <c r="I324" s="76">
        <v>87.41</v>
      </c>
    </row>
    <row r="325" spans="1:11">
      <c r="A325" t="s">
        <v>4814</v>
      </c>
      <c r="B325" s="1">
        <v>42277</v>
      </c>
      <c r="C325" t="s">
        <v>4815</v>
      </c>
      <c r="D325">
        <v>1</v>
      </c>
      <c r="E325" t="s">
        <v>4816</v>
      </c>
      <c r="F325" s="71" t="s">
        <v>5659</v>
      </c>
      <c r="G325" s="77" t="s">
        <v>5660</v>
      </c>
      <c r="H325" s="7">
        <f t="shared" si="4"/>
        <v>73.25</v>
      </c>
      <c r="I325" s="74">
        <v>11.72</v>
      </c>
      <c r="J325" s="60">
        <f>1525-H322-H323-H324-H325</f>
        <v>0</v>
      </c>
      <c r="K325" s="60">
        <f>244-I322-I323-I324-I325</f>
        <v>0</v>
      </c>
    </row>
    <row r="326" spans="1:11">
      <c r="A326" t="s">
        <v>4809</v>
      </c>
      <c r="B326" s="1">
        <v>42277</v>
      </c>
      <c r="C326" t="s">
        <v>4810</v>
      </c>
      <c r="D326">
        <v>1</v>
      </c>
      <c r="E326" t="s">
        <v>4811</v>
      </c>
      <c r="F326" s="71" t="s">
        <v>722</v>
      </c>
      <c r="G326" s="71" t="s">
        <v>722</v>
      </c>
      <c r="H326" s="7">
        <f t="shared" si="4"/>
        <v>186.25</v>
      </c>
      <c r="I326" s="74">
        <v>29.8</v>
      </c>
      <c r="J326" s="7"/>
      <c r="K326" s="7"/>
    </row>
    <row r="327" spans="1:11">
      <c r="A327" t="s">
        <v>4809</v>
      </c>
      <c r="B327" s="1">
        <v>42277</v>
      </c>
      <c r="C327" t="s">
        <v>4810</v>
      </c>
      <c r="D327">
        <v>1</v>
      </c>
      <c r="E327" t="s">
        <v>4811</v>
      </c>
      <c r="F327" s="71" t="s">
        <v>714</v>
      </c>
      <c r="G327" s="77" t="s">
        <v>715</v>
      </c>
      <c r="H327" s="7">
        <f t="shared" si="4"/>
        <v>206.875</v>
      </c>
      <c r="I327" s="74">
        <v>33.1</v>
      </c>
    </row>
    <row r="328" spans="1:11">
      <c r="A328" t="s">
        <v>4809</v>
      </c>
      <c r="B328" s="1">
        <v>42277</v>
      </c>
      <c r="C328" t="s">
        <v>4810</v>
      </c>
      <c r="D328">
        <v>1</v>
      </c>
      <c r="E328" t="s">
        <v>4811</v>
      </c>
      <c r="F328" s="71" t="s">
        <v>745</v>
      </c>
      <c r="G328" s="77" t="s">
        <v>746</v>
      </c>
      <c r="H328" s="7">
        <f t="shared" ref="H328:H370" si="5">+I328/0.16</f>
        <v>90.5</v>
      </c>
      <c r="I328" s="74">
        <v>14.48</v>
      </c>
    </row>
    <row r="329" spans="1:11">
      <c r="A329" t="s">
        <v>4809</v>
      </c>
      <c r="B329" s="1">
        <v>42277</v>
      </c>
      <c r="C329" t="s">
        <v>4810</v>
      </c>
      <c r="D329">
        <v>1</v>
      </c>
      <c r="E329" t="s">
        <v>4811</v>
      </c>
      <c r="F329" s="75" t="s">
        <v>780</v>
      </c>
      <c r="G329" s="78" t="s">
        <v>781</v>
      </c>
      <c r="H329" s="7">
        <f t="shared" si="5"/>
        <v>341.4375</v>
      </c>
      <c r="I329" s="76">
        <v>54.63</v>
      </c>
      <c r="J329" s="60">
        <f>825.06-H326-H327-H328-H329</f>
        <v>-2.5000000000545697E-3</v>
      </c>
      <c r="K329" s="60">
        <f>132.01-I326-I327-I328-I329</f>
        <v>0</v>
      </c>
    </row>
    <row r="330" spans="1:11">
      <c r="A330" t="s">
        <v>4812</v>
      </c>
      <c r="B330" s="1">
        <v>42277</v>
      </c>
      <c r="C330" t="s">
        <v>4813</v>
      </c>
      <c r="D330">
        <v>1</v>
      </c>
      <c r="E330" t="s">
        <v>4811</v>
      </c>
      <c r="F330" s="71" t="s">
        <v>722</v>
      </c>
      <c r="G330" s="71" t="s">
        <v>722</v>
      </c>
      <c r="H330" s="7">
        <f t="shared" si="5"/>
        <v>422.87499999999994</v>
      </c>
      <c r="I330" s="74">
        <v>67.66</v>
      </c>
      <c r="J330" s="7"/>
      <c r="K330" s="7"/>
    </row>
    <row r="331" spans="1:11">
      <c r="A331" t="s">
        <v>4812</v>
      </c>
      <c r="B331" s="1">
        <v>42277</v>
      </c>
      <c r="C331" t="s">
        <v>4813</v>
      </c>
      <c r="D331">
        <v>1</v>
      </c>
      <c r="E331" t="s">
        <v>4811</v>
      </c>
      <c r="F331" s="71" t="s">
        <v>714</v>
      </c>
      <c r="G331" s="77" t="s">
        <v>715</v>
      </c>
      <c r="H331" s="7">
        <f t="shared" si="5"/>
        <v>46.5625</v>
      </c>
      <c r="I331" s="74">
        <v>7.45</v>
      </c>
    </row>
    <row r="332" spans="1:11">
      <c r="A332" t="s">
        <v>4812</v>
      </c>
      <c r="B332" s="1">
        <v>42277</v>
      </c>
      <c r="C332" t="s">
        <v>4813</v>
      </c>
      <c r="D332">
        <v>1</v>
      </c>
      <c r="E332" t="s">
        <v>4811</v>
      </c>
      <c r="F332" s="71" t="s">
        <v>762</v>
      </c>
      <c r="G332" s="77" t="s">
        <v>763</v>
      </c>
      <c r="H332" s="7">
        <f t="shared" si="5"/>
        <v>73.25</v>
      </c>
      <c r="I332" s="74">
        <v>11.72</v>
      </c>
    </row>
    <row r="333" spans="1:11">
      <c r="A333" t="s">
        <v>4812</v>
      </c>
      <c r="B333" s="1">
        <v>42277</v>
      </c>
      <c r="C333" t="s">
        <v>4813</v>
      </c>
      <c r="D333">
        <v>1</v>
      </c>
      <c r="E333" t="s">
        <v>4811</v>
      </c>
      <c r="F333" s="75" t="s">
        <v>1628</v>
      </c>
      <c r="G333" s="78" t="s">
        <v>1629</v>
      </c>
      <c r="H333" s="7">
        <f t="shared" si="5"/>
        <v>545.375</v>
      </c>
      <c r="I333" s="76">
        <v>87.26</v>
      </c>
      <c r="J333" s="60"/>
      <c r="K333" s="60"/>
    </row>
    <row r="334" spans="1:11">
      <c r="A334" t="s">
        <v>4812</v>
      </c>
      <c r="B334" s="1">
        <v>42277</v>
      </c>
      <c r="C334" t="s">
        <v>4813</v>
      </c>
      <c r="D334">
        <v>1</v>
      </c>
      <c r="E334" t="s">
        <v>4811</v>
      </c>
      <c r="F334" s="71" t="s">
        <v>923</v>
      </c>
      <c r="G334" s="77" t="s">
        <v>924</v>
      </c>
      <c r="H334" s="7">
        <f t="shared" si="5"/>
        <v>435.37499999999994</v>
      </c>
      <c r="I334" s="74">
        <v>69.66</v>
      </c>
      <c r="J334" s="60">
        <f>1523.44-H330-H331-H332-H333-H334</f>
        <v>2.5000000001114131E-3</v>
      </c>
      <c r="K334" s="60">
        <f>243.75-I330-I331-I332-I333-I334</f>
        <v>0</v>
      </c>
    </row>
    <row r="335" spans="1:11">
      <c r="A335" t="s">
        <v>4819</v>
      </c>
      <c r="B335" s="1">
        <v>42277</v>
      </c>
      <c r="C335" t="s">
        <v>4820</v>
      </c>
      <c r="D335">
        <v>1</v>
      </c>
      <c r="E335" t="s">
        <v>4811</v>
      </c>
      <c r="F335" s="71" t="s">
        <v>722</v>
      </c>
      <c r="G335" s="71" t="s">
        <v>722</v>
      </c>
      <c r="H335" s="7">
        <f t="shared" si="5"/>
        <v>186.375</v>
      </c>
      <c r="I335" s="74">
        <v>29.82</v>
      </c>
      <c r="J335" s="7"/>
      <c r="K335" s="7"/>
    </row>
    <row r="336" spans="1:11">
      <c r="A336" t="s">
        <v>4819</v>
      </c>
      <c r="B336" s="1">
        <v>42277</v>
      </c>
      <c r="C336" t="s">
        <v>4820</v>
      </c>
      <c r="D336">
        <v>1</v>
      </c>
      <c r="E336" t="s">
        <v>4811</v>
      </c>
      <c r="F336" s="71" t="s">
        <v>714</v>
      </c>
      <c r="G336" s="77" t="s">
        <v>715</v>
      </c>
      <c r="H336" s="7">
        <f t="shared" si="5"/>
        <v>206.875</v>
      </c>
      <c r="I336" s="74">
        <v>33.1</v>
      </c>
    </row>
    <row r="337" spans="1:11">
      <c r="A337" t="s">
        <v>4819</v>
      </c>
      <c r="B337" s="1">
        <v>42277</v>
      </c>
      <c r="C337" t="s">
        <v>4820</v>
      </c>
      <c r="D337">
        <v>1</v>
      </c>
      <c r="E337" t="s">
        <v>4811</v>
      </c>
      <c r="F337" s="71" t="s">
        <v>911</v>
      </c>
      <c r="G337" s="77" t="s">
        <v>912</v>
      </c>
      <c r="H337" s="7">
        <f t="shared" si="5"/>
        <v>51.749999999999993</v>
      </c>
      <c r="I337" s="74">
        <v>8.2799999999999994</v>
      </c>
    </row>
    <row r="338" spans="1:11">
      <c r="A338" t="s">
        <v>4819</v>
      </c>
      <c r="B338" s="1">
        <v>42277</v>
      </c>
      <c r="C338" t="s">
        <v>4820</v>
      </c>
      <c r="D338">
        <v>1</v>
      </c>
      <c r="E338" t="s">
        <v>4811</v>
      </c>
      <c r="F338" s="75" t="s">
        <v>780</v>
      </c>
      <c r="G338" s="78" t="s">
        <v>781</v>
      </c>
      <c r="H338" s="7">
        <f t="shared" si="5"/>
        <v>349.3125</v>
      </c>
      <c r="I338" s="76">
        <v>55.89</v>
      </c>
      <c r="J338" s="60">
        <f>794.31-H335-H336-H337-H338</f>
        <v>-2.5000000000545697E-3</v>
      </c>
      <c r="K338" s="60">
        <f>127.09-I335-I336-I337-I338</f>
        <v>0</v>
      </c>
    </row>
    <row r="339" spans="1:11">
      <c r="A339" t="s">
        <v>4779</v>
      </c>
      <c r="B339" s="1">
        <v>42277</v>
      </c>
      <c r="C339" t="s">
        <v>4780</v>
      </c>
      <c r="D339">
        <v>1</v>
      </c>
      <c r="E339" t="s">
        <v>4781</v>
      </c>
      <c r="F339" s="71" t="s">
        <v>722</v>
      </c>
      <c r="G339" s="71" t="s">
        <v>722</v>
      </c>
      <c r="H339" s="7">
        <f t="shared" si="5"/>
        <v>399.125</v>
      </c>
      <c r="I339" s="74">
        <v>63.86</v>
      </c>
      <c r="J339" s="7"/>
      <c r="K339" s="7"/>
    </row>
    <row r="340" spans="1:11">
      <c r="A340" t="s">
        <v>4779</v>
      </c>
      <c r="B340" s="1">
        <v>42277</v>
      </c>
      <c r="C340" t="s">
        <v>4780</v>
      </c>
      <c r="D340">
        <v>1</v>
      </c>
      <c r="E340" t="s">
        <v>4781</v>
      </c>
      <c r="F340" s="71" t="s">
        <v>714</v>
      </c>
      <c r="G340" s="77" t="s">
        <v>715</v>
      </c>
      <c r="H340" s="7">
        <f t="shared" si="5"/>
        <v>388.8125</v>
      </c>
      <c r="I340" s="74">
        <v>62.21</v>
      </c>
    </row>
    <row r="341" spans="1:11">
      <c r="A341" t="s">
        <v>4779</v>
      </c>
      <c r="B341" s="1">
        <v>42277</v>
      </c>
      <c r="C341" t="s">
        <v>4780</v>
      </c>
      <c r="D341">
        <v>1</v>
      </c>
      <c r="E341" t="s">
        <v>4781</v>
      </c>
      <c r="F341" s="139" t="s">
        <v>7571</v>
      </c>
      <c r="G341" s="78" t="s">
        <v>5661</v>
      </c>
      <c r="H341" s="7">
        <f t="shared" si="5"/>
        <v>335.5</v>
      </c>
      <c r="I341" s="76">
        <v>53.68</v>
      </c>
    </row>
    <row r="342" spans="1:11">
      <c r="A342" t="s">
        <v>4779</v>
      </c>
      <c r="B342" s="1">
        <v>42277</v>
      </c>
      <c r="C342" t="s">
        <v>4780</v>
      </c>
      <c r="D342">
        <v>1</v>
      </c>
      <c r="E342" t="s">
        <v>4781</v>
      </c>
      <c r="F342" s="71" t="s">
        <v>749</v>
      </c>
      <c r="G342" s="77" t="s">
        <v>750</v>
      </c>
      <c r="H342" s="7">
        <f t="shared" si="5"/>
        <v>75</v>
      </c>
      <c r="I342" s="74">
        <v>12</v>
      </c>
      <c r="J342" s="60">
        <f>1198.44-H339-H340-H341-H342</f>
        <v>2.5000000000545697E-3</v>
      </c>
      <c r="K342" s="60">
        <f>191.75-I339-I340-I341-I342</f>
        <v>0</v>
      </c>
    </row>
    <row r="343" spans="1:11">
      <c r="A343" t="s">
        <v>4797</v>
      </c>
      <c r="B343" s="1">
        <v>42277</v>
      </c>
      <c r="C343" t="s">
        <v>4798</v>
      </c>
      <c r="D343">
        <v>1</v>
      </c>
      <c r="E343" t="s">
        <v>4799</v>
      </c>
      <c r="F343" s="71" t="s">
        <v>714</v>
      </c>
      <c r="G343" s="77" t="s">
        <v>715</v>
      </c>
      <c r="H343" s="7">
        <f t="shared" si="5"/>
        <v>206.875</v>
      </c>
      <c r="I343" s="74">
        <v>33.1</v>
      </c>
      <c r="J343" s="7"/>
      <c r="K343" s="7"/>
    </row>
    <row r="344" spans="1:11">
      <c r="A344" t="s">
        <v>4797</v>
      </c>
      <c r="B344" s="1">
        <v>42277</v>
      </c>
      <c r="C344" t="s">
        <v>4798</v>
      </c>
      <c r="D344">
        <v>1</v>
      </c>
      <c r="E344" t="s">
        <v>4799</v>
      </c>
      <c r="F344" s="71" t="s">
        <v>745</v>
      </c>
      <c r="G344" s="77" t="s">
        <v>746</v>
      </c>
      <c r="H344" s="7">
        <f t="shared" si="5"/>
        <v>94.8125</v>
      </c>
      <c r="I344" s="74">
        <v>15.17</v>
      </c>
    </row>
    <row r="345" spans="1:11">
      <c r="A345" t="s">
        <v>4797</v>
      </c>
      <c r="B345" s="1">
        <v>42277</v>
      </c>
      <c r="C345" t="s">
        <v>4798</v>
      </c>
      <c r="D345">
        <v>1</v>
      </c>
      <c r="E345" t="s">
        <v>4799</v>
      </c>
      <c r="F345" s="75" t="s">
        <v>780</v>
      </c>
      <c r="G345" s="78" t="s">
        <v>781</v>
      </c>
      <c r="H345" s="7">
        <f t="shared" si="5"/>
        <v>416</v>
      </c>
      <c r="I345" s="76">
        <v>66.56</v>
      </c>
      <c r="J345" s="60">
        <f>717.69-H343-H344-H345</f>
        <v>2.5000000000545697E-3</v>
      </c>
      <c r="K345" s="60">
        <f>114.83-I343-I344-I345</f>
        <v>0</v>
      </c>
    </row>
    <row r="346" spans="1:11">
      <c r="A346" t="s">
        <v>4800</v>
      </c>
      <c r="B346" s="1">
        <v>42277</v>
      </c>
      <c r="C346" t="s">
        <v>4801</v>
      </c>
      <c r="D346">
        <v>1</v>
      </c>
      <c r="E346" t="s">
        <v>4802</v>
      </c>
      <c r="F346" s="71" t="s">
        <v>714</v>
      </c>
      <c r="G346" s="77" t="s">
        <v>715</v>
      </c>
      <c r="H346" s="7">
        <f t="shared" si="5"/>
        <v>322.4375</v>
      </c>
      <c r="I346" s="74">
        <v>51.59</v>
      </c>
      <c r="J346" s="7"/>
      <c r="K346" s="7"/>
    </row>
    <row r="347" spans="1:11">
      <c r="A347" t="s">
        <v>4800</v>
      </c>
      <c r="B347" s="1">
        <v>42277</v>
      </c>
      <c r="C347" t="s">
        <v>4801</v>
      </c>
      <c r="D347">
        <v>1</v>
      </c>
      <c r="E347" t="s">
        <v>4802</v>
      </c>
      <c r="F347" s="71" t="s">
        <v>911</v>
      </c>
      <c r="G347" s="77" t="s">
        <v>912</v>
      </c>
      <c r="H347" s="7">
        <f t="shared" si="5"/>
        <v>68.9375</v>
      </c>
      <c r="I347" s="74">
        <v>11.03</v>
      </c>
    </row>
    <row r="348" spans="1:11">
      <c r="A348" t="s">
        <v>4800</v>
      </c>
      <c r="B348" s="1">
        <v>42277</v>
      </c>
      <c r="C348" t="s">
        <v>4801</v>
      </c>
      <c r="D348">
        <v>1</v>
      </c>
      <c r="E348" t="s">
        <v>4802</v>
      </c>
      <c r="F348" s="75" t="s">
        <v>780</v>
      </c>
      <c r="G348" s="78" t="s">
        <v>781</v>
      </c>
      <c r="H348" s="7">
        <f t="shared" si="5"/>
        <v>412</v>
      </c>
      <c r="I348" s="76">
        <v>65.92</v>
      </c>
      <c r="J348" s="60">
        <f>803.38-H346-H347-H348</f>
        <v>4.9999999999954525E-3</v>
      </c>
      <c r="K348" s="60">
        <f>128.54-I346-I347-I348</f>
        <v>0</v>
      </c>
    </row>
    <row r="349" spans="1:11">
      <c r="A349" t="s">
        <v>4806</v>
      </c>
      <c r="B349" s="1">
        <v>42277</v>
      </c>
      <c r="C349" t="s">
        <v>4807</v>
      </c>
      <c r="D349">
        <v>1</v>
      </c>
      <c r="E349" t="s">
        <v>4808</v>
      </c>
      <c r="F349" s="71" t="s">
        <v>722</v>
      </c>
      <c r="G349" s="71" t="s">
        <v>722</v>
      </c>
      <c r="H349" s="7">
        <f t="shared" si="5"/>
        <v>266.4375</v>
      </c>
      <c r="I349" s="74">
        <v>42.63</v>
      </c>
      <c r="J349" s="7"/>
      <c r="K349" s="7"/>
    </row>
    <row r="350" spans="1:11">
      <c r="A350" t="s">
        <v>4806</v>
      </c>
      <c r="B350" s="1">
        <v>42277</v>
      </c>
      <c r="C350" t="s">
        <v>4807</v>
      </c>
      <c r="D350">
        <v>1</v>
      </c>
      <c r="E350" t="s">
        <v>4808</v>
      </c>
      <c r="F350" s="71" t="s">
        <v>714</v>
      </c>
      <c r="G350" s="77" t="s">
        <v>715</v>
      </c>
      <c r="H350" s="7">
        <f t="shared" si="5"/>
        <v>322.4375</v>
      </c>
      <c r="I350" s="74">
        <v>51.59</v>
      </c>
    </row>
    <row r="351" spans="1:11">
      <c r="A351" t="s">
        <v>4806</v>
      </c>
      <c r="B351" s="1">
        <v>42277</v>
      </c>
      <c r="C351" t="s">
        <v>4807</v>
      </c>
      <c r="D351">
        <v>1</v>
      </c>
      <c r="E351" t="s">
        <v>4808</v>
      </c>
      <c r="F351" s="75" t="s">
        <v>5662</v>
      </c>
      <c r="G351" s="78" t="s">
        <v>5663</v>
      </c>
      <c r="H351" s="7">
        <f t="shared" si="5"/>
        <v>341.4375</v>
      </c>
      <c r="I351" s="76">
        <v>54.63</v>
      </c>
    </row>
    <row r="352" spans="1:11">
      <c r="A352" t="s">
        <v>4806</v>
      </c>
      <c r="B352" s="1">
        <v>42277</v>
      </c>
      <c r="C352" t="s">
        <v>4807</v>
      </c>
      <c r="D352">
        <v>1</v>
      </c>
      <c r="E352" t="s">
        <v>4808</v>
      </c>
      <c r="F352" s="71" t="s">
        <v>935</v>
      </c>
      <c r="G352" s="77" t="s">
        <v>5654</v>
      </c>
      <c r="H352" s="7">
        <f t="shared" si="5"/>
        <v>86.187499999999986</v>
      </c>
      <c r="I352" s="74">
        <v>13.79</v>
      </c>
      <c r="J352" s="60">
        <f>1016.5-H349-H350-H351-H352</f>
        <v>0</v>
      </c>
      <c r="K352" s="60">
        <f>162.64-I349-I350-I351-I352</f>
        <v>-1.4210854715202004E-14</v>
      </c>
    </row>
    <row r="353" spans="1:11">
      <c r="A353" t="s">
        <v>4792</v>
      </c>
      <c r="B353" s="1">
        <v>42277</v>
      </c>
      <c r="C353" t="s">
        <v>4793</v>
      </c>
      <c r="D353">
        <v>1</v>
      </c>
      <c r="E353" t="s">
        <v>4794</v>
      </c>
      <c r="F353" s="71" t="s">
        <v>722</v>
      </c>
      <c r="G353" s="71" t="s">
        <v>722</v>
      </c>
      <c r="H353" s="7">
        <f t="shared" si="5"/>
        <v>445.6875</v>
      </c>
      <c r="I353" s="74">
        <v>71.31</v>
      </c>
      <c r="J353" s="7"/>
      <c r="K353" s="7"/>
    </row>
    <row r="354" spans="1:11">
      <c r="A354" t="s">
        <v>4792</v>
      </c>
      <c r="B354" s="1">
        <v>42277</v>
      </c>
      <c r="C354" t="s">
        <v>4793</v>
      </c>
      <c r="D354">
        <v>1</v>
      </c>
      <c r="E354" t="s">
        <v>4794</v>
      </c>
      <c r="F354" s="71" t="s">
        <v>714</v>
      </c>
      <c r="G354" s="77" t="s">
        <v>715</v>
      </c>
      <c r="H354" s="7">
        <f t="shared" si="5"/>
        <v>388.8125</v>
      </c>
      <c r="I354" s="74">
        <v>62.21</v>
      </c>
    </row>
    <row r="355" spans="1:11">
      <c r="A355" t="s">
        <v>4792</v>
      </c>
      <c r="B355" s="1">
        <v>42277</v>
      </c>
      <c r="C355" t="s">
        <v>4793</v>
      </c>
      <c r="D355">
        <v>1</v>
      </c>
      <c r="E355" t="s">
        <v>4794</v>
      </c>
      <c r="F355" s="71" t="s">
        <v>5417</v>
      </c>
      <c r="G355" s="77" t="s">
        <v>5664</v>
      </c>
      <c r="H355" s="7">
        <f t="shared" si="5"/>
        <v>111.18749999999999</v>
      </c>
      <c r="I355" s="74">
        <v>17.79</v>
      </c>
    </row>
    <row r="356" spans="1:11">
      <c r="A356" t="s">
        <v>4792</v>
      </c>
      <c r="B356" s="1">
        <v>42277</v>
      </c>
      <c r="C356" t="s">
        <v>4793</v>
      </c>
      <c r="D356">
        <v>1</v>
      </c>
      <c r="E356" t="s">
        <v>4794</v>
      </c>
      <c r="F356" s="75" t="s">
        <v>879</v>
      </c>
      <c r="G356" s="78" t="s">
        <v>880</v>
      </c>
      <c r="H356" s="7">
        <f t="shared" si="5"/>
        <v>419.37499999999994</v>
      </c>
      <c r="I356" s="76">
        <v>67.099999999999994</v>
      </c>
      <c r="J356" s="60">
        <f>1365.06-H353-H354-H355-H356</f>
        <v>-2.4999999999977263E-3</v>
      </c>
      <c r="K356" s="60">
        <f>218.41-I353-I354-I355-I356</f>
        <v>0</v>
      </c>
    </row>
    <row r="357" spans="1:11">
      <c r="A357" t="s">
        <v>4795</v>
      </c>
      <c r="B357" s="1">
        <v>42277</v>
      </c>
      <c r="C357" t="s">
        <v>4796</v>
      </c>
      <c r="D357">
        <v>1</v>
      </c>
      <c r="E357" t="s">
        <v>4794</v>
      </c>
      <c r="F357" s="71" t="s">
        <v>722</v>
      </c>
      <c r="G357" s="71" t="s">
        <v>722</v>
      </c>
      <c r="H357" s="7">
        <f t="shared" si="5"/>
        <v>389</v>
      </c>
      <c r="I357" s="74">
        <v>62.24</v>
      </c>
      <c r="J357" s="7"/>
      <c r="K357" s="7"/>
    </row>
    <row r="358" spans="1:11">
      <c r="A358" t="s">
        <v>4795</v>
      </c>
      <c r="B358" s="1">
        <v>42277</v>
      </c>
      <c r="C358" t="s">
        <v>4796</v>
      </c>
      <c r="D358">
        <v>1</v>
      </c>
      <c r="E358" t="s">
        <v>4794</v>
      </c>
      <c r="F358" s="71" t="s">
        <v>714</v>
      </c>
      <c r="G358" s="77" t="s">
        <v>715</v>
      </c>
      <c r="H358" s="7">
        <f t="shared" si="5"/>
        <v>388.8125</v>
      </c>
      <c r="I358" s="74">
        <v>62.21</v>
      </c>
    </row>
    <row r="359" spans="1:11">
      <c r="A359" t="s">
        <v>4795</v>
      </c>
      <c r="B359" s="1">
        <v>42277</v>
      </c>
      <c r="C359" t="s">
        <v>4796</v>
      </c>
      <c r="D359">
        <v>1</v>
      </c>
      <c r="E359" t="s">
        <v>4794</v>
      </c>
      <c r="F359" s="75" t="s">
        <v>879</v>
      </c>
      <c r="G359" s="78" t="s">
        <v>880</v>
      </c>
      <c r="H359" s="7">
        <f t="shared" si="5"/>
        <v>419.37499999999994</v>
      </c>
      <c r="I359" s="76">
        <v>67.099999999999994</v>
      </c>
    </row>
    <row r="360" spans="1:11">
      <c r="A360" t="s">
        <v>4795</v>
      </c>
      <c r="B360" s="1">
        <v>42277</v>
      </c>
      <c r="C360" t="s">
        <v>4796</v>
      </c>
      <c r="D360">
        <v>1</v>
      </c>
      <c r="E360" t="s">
        <v>4794</v>
      </c>
      <c r="F360" s="71" t="s">
        <v>929</v>
      </c>
      <c r="G360" s="77" t="s">
        <v>2709</v>
      </c>
      <c r="H360" s="7">
        <f t="shared" si="5"/>
        <v>69.625</v>
      </c>
      <c r="I360" s="74">
        <v>11.14</v>
      </c>
      <c r="J360" s="60">
        <f>1266.81-H357-H358-H359-H360</f>
        <v>-2.4999999999977263E-3</v>
      </c>
      <c r="K360" s="60">
        <f>202.69-I357-I358-I359-I360</f>
        <v>-1.4210854715202004E-14</v>
      </c>
    </row>
    <row r="361" spans="1:11">
      <c r="A361" t="s">
        <v>4830</v>
      </c>
      <c r="B361" s="1">
        <v>42277</v>
      </c>
      <c r="C361" t="s">
        <v>1315</v>
      </c>
      <c r="D361">
        <v>1</v>
      </c>
      <c r="E361" t="s">
        <v>4831</v>
      </c>
      <c r="F361" s="71" t="s">
        <v>714</v>
      </c>
      <c r="G361" t="s">
        <v>715</v>
      </c>
      <c r="H361" s="7">
        <f t="shared" si="5"/>
        <v>309.5</v>
      </c>
      <c r="I361" s="7">
        <v>49.52</v>
      </c>
      <c r="J361" s="7"/>
      <c r="K361" s="7"/>
    </row>
    <row r="362" spans="1:11">
      <c r="A362" t="s">
        <v>4830</v>
      </c>
      <c r="B362" s="1">
        <v>42277</v>
      </c>
      <c r="C362" t="s">
        <v>1315</v>
      </c>
      <c r="D362">
        <v>1</v>
      </c>
      <c r="E362" t="s">
        <v>4831</v>
      </c>
      <c r="F362" s="71" t="s">
        <v>716</v>
      </c>
      <c r="G362" t="s">
        <v>717</v>
      </c>
      <c r="H362" s="7">
        <f t="shared" si="5"/>
        <v>100</v>
      </c>
      <c r="I362" s="7">
        <v>16</v>
      </c>
      <c r="J362" s="7"/>
      <c r="K362" s="7"/>
    </row>
    <row r="363" spans="1:11">
      <c r="A363" t="s">
        <v>4830</v>
      </c>
      <c r="B363" s="1">
        <v>42277</v>
      </c>
      <c r="C363" t="s">
        <v>1315</v>
      </c>
      <c r="D363">
        <v>1</v>
      </c>
      <c r="E363" t="s">
        <v>4831</v>
      </c>
      <c r="F363" s="71" t="s">
        <v>788</v>
      </c>
      <c r="G363" t="s">
        <v>7493</v>
      </c>
      <c r="H363" s="7">
        <f t="shared" si="5"/>
        <v>100</v>
      </c>
      <c r="I363" s="7">
        <v>16</v>
      </c>
    </row>
    <row r="364" spans="1:11">
      <c r="A364" t="s">
        <v>4830</v>
      </c>
      <c r="B364" s="1">
        <v>42277</v>
      </c>
      <c r="C364" t="s">
        <v>1315</v>
      </c>
      <c r="D364">
        <v>1</v>
      </c>
      <c r="E364" t="s">
        <v>4831</v>
      </c>
      <c r="F364" s="71" t="s">
        <v>716</v>
      </c>
      <c r="G364" t="s">
        <v>717</v>
      </c>
      <c r="H364" s="7">
        <f t="shared" si="5"/>
        <v>1181.25</v>
      </c>
      <c r="I364" s="7">
        <v>189</v>
      </c>
    </row>
    <row r="365" spans="1:11">
      <c r="A365" t="s">
        <v>4830</v>
      </c>
      <c r="B365" s="1">
        <v>42277</v>
      </c>
      <c r="C365" t="s">
        <v>1315</v>
      </c>
      <c r="D365">
        <v>1</v>
      </c>
      <c r="E365" t="s">
        <v>4831</v>
      </c>
      <c r="F365" s="71" t="s">
        <v>722</v>
      </c>
      <c r="G365" t="s">
        <v>722</v>
      </c>
      <c r="H365" s="7">
        <f t="shared" si="5"/>
        <v>361.1875</v>
      </c>
      <c r="I365" s="7">
        <v>57.79</v>
      </c>
      <c r="J365" s="60">
        <f>2051.94-H361-H362-H363-H364-H365</f>
        <v>2.5000000000545697E-3</v>
      </c>
      <c r="K365" s="60">
        <f>328.31-I361-I362-I363-I364-I365</f>
        <v>0</v>
      </c>
    </row>
    <row r="366" spans="1:11">
      <c r="A366" t="s">
        <v>4832</v>
      </c>
      <c r="B366" s="1">
        <v>42277</v>
      </c>
      <c r="C366" t="s">
        <v>1315</v>
      </c>
      <c r="D366">
        <v>1</v>
      </c>
      <c r="E366" t="s">
        <v>4465</v>
      </c>
      <c r="F366" s="71" t="s">
        <v>5646</v>
      </c>
      <c r="G366" t="s">
        <v>5649</v>
      </c>
      <c r="H366" s="7">
        <f t="shared" si="5"/>
        <v>584.875</v>
      </c>
      <c r="I366" s="7">
        <v>93.58</v>
      </c>
      <c r="J366" s="7"/>
      <c r="K366" s="7"/>
    </row>
    <row r="367" spans="1:11">
      <c r="A367" t="s">
        <v>4832</v>
      </c>
      <c r="B367" s="1">
        <v>42277</v>
      </c>
      <c r="C367" t="s">
        <v>1315</v>
      </c>
      <c r="D367">
        <v>1</v>
      </c>
      <c r="E367" t="s">
        <v>4465</v>
      </c>
      <c r="F367" s="71" t="s">
        <v>722</v>
      </c>
      <c r="G367" t="s">
        <v>722</v>
      </c>
      <c r="H367" s="7">
        <f t="shared" si="5"/>
        <v>306.0625</v>
      </c>
      <c r="I367" s="7">
        <f>18.9+10.21+10.21+11.2-1.55</f>
        <v>48.97</v>
      </c>
      <c r="J367" s="7">
        <f>890.94-H366-H367</f>
        <v>2.5000000000545697E-3</v>
      </c>
      <c r="K367" s="7">
        <f>142.55-I366-I367</f>
        <v>0</v>
      </c>
    </row>
    <row r="368" spans="1:11">
      <c r="A368" t="s">
        <v>405</v>
      </c>
      <c r="B368" s="1">
        <v>42277</v>
      </c>
      <c r="C368" t="s">
        <v>1315</v>
      </c>
      <c r="D368">
        <v>1</v>
      </c>
      <c r="E368" t="s">
        <v>4465</v>
      </c>
      <c r="F368" s="71" t="s">
        <v>5648</v>
      </c>
      <c r="G368" t="s">
        <v>5651</v>
      </c>
      <c r="H368" s="7">
        <f t="shared" si="5"/>
        <v>218.9375</v>
      </c>
      <c r="I368" s="7">
        <v>35.03</v>
      </c>
      <c r="J368" s="7"/>
      <c r="K368" s="7"/>
    </row>
    <row r="369" spans="1:11">
      <c r="A369" t="s">
        <v>405</v>
      </c>
      <c r="B369" s="1">
        <v>42277</v>
      </c>
      <c r="C369" t="s">
        <v>1315</v>
      </c>
      <c r="D369">
        <v>1</v>
      </c>
      <c r="E369" t="s">
        <v>4465</v>
      </c>
      <c r="F369" s="71" t="s">
        <v>5646</v>
      </c>
      <c r="G369" t="s">
        <v>5649</v>
      </c>
      <c r="H369" s="7">
        <f t="shared" si="5"/>
        <v>668.1875</v>
      </c>
      <c r="I369" s="7">
        <v>106.91</v>
      </c>
    </row>
    <row r="370" spans="1:11">
      <c r="A370" t="s">
        <v>405</v>
      </c>
      <c r="B370" s="1">
        <v>42277</v>
      </c>
      <c r="C370" t="s">
        <v>1315</v>
      </c>
      <c r="D370">
        <v>1</v>
      </c>
      <c r="E370" t="s">
        <v>4465</v>
      </c>
      <c r="F370" s="71" t="s">
        <v>722</v>
      </c>
      <c r="G370" t="s">
        <v>722</v>
      </c>
      <c r="H370" s="7">
        <f t="shared" si="5"/>
        <v>127.5625</v>
      </c>
      <c r="I370" s="7">
        <v>20.41</v>
      </c>
      <c r="J370" s="60"/>
      <c r="K370" s="60"/>
    </row>
    <row r="371" spans="1:11">
      <c r="B371" s="1"/>
    </row>
    <row r="372" spans="1:11">
      <c r="H372" s="8"/>
      <c r="I372" s="8"/>
    </row>
    <row r="373" spans="1:11">
      <c r="H373" s="69">
        <f>SUM(H7:H372)</f>
        <v>21680177.71875</v>
      </c>
      <c r="I373" s="69">
        <f>SUM(I7:I372)</f>
        <v>3468828.4350000024</v>
      </c>
      <c r="J373" s="7"/>
      <c r="K373" s="60"/>
    </row>
    <row r="374" spans="1:11">
      <c r="H374" s="10">
        <f>4114483.42-645452.34</f>
        <v>3469031.08</v>
      </c>
      <c r="I374" s="10">
        <f>+H374-I373</f>
        <v>202.64499999769032</v>
      </c>
      <c r="J374" t="s">
        <v>7562</v>
      </c>
      <c r="K374" s="60">
        <f>+K200+K186+K106+K180</f>
        <v>-4.9999999998293632E-3</v>
      </c>
    </row>
    <row r="375" spans="1:11" s="84" customFormat="1">
      <c r="A375" s="84" t="s">
        <v>251</v>
      </c>
      <c r="B375" s="147">
        <v>42271</v>
      </c>
      <c r="C375" s="84" t="s">
        <v>4755</v>
      </c>
      <c r="D375" s="84">
        <v>1</v>
      </c>
      <c r="E375" s="84" t="s">
        <v>4249</v>
      </c>
      <c r="F375" s="169" t="s">
        <v>853</v>
      </c>
      <c r="G375" s="170" t="s">
        <v>297</v>
      </c>
      <c r="H375" s="148">
        <f>+I375/0.16</f>
        <v>231</v>
      </c>
      <c r="I375" s="148">
        <v>36.96</v>
      </c>
      <c r="J375" s="84" t="s">
        <v>7563</v>
      </c>
    </row>
    <row r="376" spans="1:11">
      <c r="A376" s="84" t="s">
        <v>247</v>
      </c>
      <c r="B376" s="147">
        <v>42277</v>
      </c>
      <c r="C376" s="84">
        <v>2234</v>
      </c>
      <c r="D376" s="84">
        <v>1</v>
      </c>
      <c r="E376" s="84" t="s">
        <v>4748</v>
      </c>
      <c r="F376" s="169" t="s">
        <v>768</v>
      </c>
      <c r="G376" s="170" t="s">
        <v>283</v>
      </c>
      <c r="H376" s="148">
        <f>+I376/0.16</f>
        <v>378.25</v>
      </c>
      <c r="I376" s="148">
        <v>60.52</v>
      </c>
      <c r="J376" t="s">
        <v>7565</v>
      </c>
    </row>
    <row r="377" spans="1:11">
      <c r="A377" s="84" t="s">
        <v>4055</v>
      </c>
      <c r="B377" s="147">
        <v>42277</v>
      </c>
      <c r="C377" s="84">
        <v>5684</v>
      </c>
      <c r="D377" s="84">
        <v>1</v>
      </c>
      <c r="E377" s="84" t="s">
        <v>4745</v>
      </c>
      <c r="F377" s="169" t="s">
        <v>768</v>
      </c>
      <c r="G377" s="170" t="s">
        <v>283</v>
      </c>
      <c r="H377" s="148">
        <f>+I377/0.16</f>
        <v>378.25</v>
      </c>
      <c r="I377" s="148">
        <v>60.52</v>
      </c>
      <c r="J377" t="s">
        <v>7565</v>
      </c>
      <c r="K377" s="60"/>
    </row>
    <row r="378" spans="1:11" s="84" customFormat="1">
      <c r="A378" s="84" t="s">
        <v>4057</v>
      </c>
      <c r="B378" s="147">
        <v>42277</v>
      </c>
      <c r="C378" s="84" t="s">
        <v>4746</v>
      </c>
      <c r="D378" s="84">
        <v>1</v>
      </c>
      <c r="E378" s="84" t="s">
        <v>4745</v>
      </c>
      <c r="F378" s="169" t="s">
        <v>768</v>
      </c>
      <c r="G378" s="170" t="s">
        <v>283</v>
      </c>
      <c r="H378" s="148">
        <f>+I378/0.16</f>
        <v>279</v>
      </c>
      <c r="I378" s="148">
        <f>60.52-15.88</f>
        <v>44.64</v>
      </c>
      <c r="J378" t="s">
        <v>7565</v>
      </c>
    </row>
    <row r="379" spans="1:11" s="19" customFormat="1">
      <c r="B379" s="171"/>
      <c r="F379" s="71"/>
      <c r="G379" s="82"/>
      <c r="H379" s="100"/>
      <c r="I379" s="177">
        <f>+I378+I377+I376+I375+I373</f>
        <v>3469031.0750000025</v>
      </c>
      <c r="J379" s="100">
        <f>+I378+I377+I376+I375</f>
        <v>202.64000000000001</v>
      </c>
    </row>
    <row r="380" spans="1:11" s="19" customFormat="1">
      <c r="B380" s="171"/>
      <c r="F380" s="71"/>
      <c r="G380" s="82"/>
      <c r="H380" s="100"/>
      <c r="I380" s="100"/>
      <c r="J380" s="176"/>
    </row>
    <row r="381" spans="1:11" s="19" customFormat="1">
      <c r="B381" s="171"/>
      <c r="F381" s="71"/>
      <c r="G381" s="82"/>
      <c r="H381" s="100"/>
      <c r="I381" s="100"/>
      <c r="J381" s="176"/>
    </row>
    <row r="382" spans="1:11" s="19" customFormat="1">
      <c r="B382" s="171"/>
      <c r="F382" s="71"/>
      <c r="G382" s="82"/>
      <c r="H382" s="100"/>
      <c r="I382" s="100"/>
      <c r="J382" s="176"/>
    </row>
    <row r="383" spans="1:11" s="19" customFormat="1">
      <c r="B383" s="171"/>
      <c r="F383" s="71"/>
      <c r="G383" s="82"/>
      <c r="H383" s="100"/>
      <c r="I383" s="100"/>
      <c r="J383" s="176"/>
    </row>
    <row r="384" spans="1:11">
      <c r="F384" s="12" t="s">
        <v>696</v>
      </c>
    </row>
    <row r="385" spans="1:10">
      <c r="F385" s="13" t="s">
        <v>7293</v>
      </c>
    </row>
    <row r="386" spans="1:10">
      <c r="F386" s="11"/>
    </row>
    <row r="387" spans="1:10">
      <c r="A387" s="14"/>
      <c r="B387" s="14"/>
      <c r="C387" s="14"/>
      <c r="D387" s="14"/>
      <c r="E387" s="14"/>
      <c r="F387" s="14" t="s">
        <v>692</v>
      </c>
      <c r="G387" s="14" t="s">
        <v>693</v>
      </c>
      <c r="H387" s="15" t="s">
        <v>694</v>
      </c>
      <c r="I387" s="14" t="s">
        <v>695</v>
      </c>
      <c r="J387" s="14" t="s">
        <v>697</v>
      </c>
    </row>
    <row r="388" spans="1:10">
      <c r="A388" s="150" t="s">
        <v>7544</v>
      </c>
      <c r="B388">
        <v>85</v>
      </c>
      <c r="F388" s="71" t="s">
        <v>1604</v>
      </c>
      <c r="G388" t="s">
        <v>1501</v>
      </c>
      <c r="H388" s="7">
        <f>+I388/0.16</f>
        <v>6500</v>
      </c>
      <c r="I388" s="7">
        <f t="shared" ref="I388:I419" si="6">+SUMIF($F$7:$F$370,F388,$I$7:$I$370)</f>
        <v>1040</v>
      </c>
    </row>
    <row r="389" spans="1:10">
      <c r="A389" s="150" t="s">
        <v>7544</v>
      </c>
      <c r="B389">
        <v>85</v>
      </c>
      <c r="F389" s="71" t="s">
        <v>5638</v>
      </c>
      <c r="G389" t="s">
        <v>4928</v>
      </c>
      <c r="H389" s="7">
        <f t="shared" ref="H389:H452" si="7">+I389/0.16</f>
        <v>1263.875</v>
      </c>
      <c r="I389" s="7">
        <f t="shared" si="6"/>
        <v>202.22</v>
      </c>
    </row>
    <row r="390" spans="1:10">
      <c r="A390" s="150" t="s">
        <v>7544</v>
      </c>
      <c r="B390">
        <v>85</v>
      </c>
      <c r="F390" s="71" t="s">
        <v>5648</v>
      </c>
      <c r="G390" s="77" t="s">
        <v>5651</v>
      </c>
      <c r="H390" s="7">
        <f t="shared" si="7"/>
        <v>437.875</v>
      </c>
      <c r="I390" s="7">
        <f t="shared" si="6"/>
        <v>70.06</v>
      </c>
    </row>
    <row r="391" spans="1:10">
      <c r="A391" s="150" t="s">
        <v>7544</v>
      </c>
      <c r="B391">
        <v>85</v>
      </c>
      <c r="F391" s="72" t="s">
        <v>5634</v>
      </c>
      <c r="G391" t="s">
        <v>4608</v>
      </c>
      <c r="H391" s="7">
        <f t="shared" si="7"/>
        <v>424604.375</v>
      </c>
      <c r="I391" s="7">
        <f t="shared" si="6"/>
        <v>67936.7</v>
      </c>
    </row>
    <row r="392" spans="1:10">
      <c r="A392" s="150" t="s">
        <v>7544</v>
      </c>
      <c r="B392">
        <v>85</v>
      </c>
      <c r="F392" s="72" t="s">
        <v>705</v>
      </c>
      <c r="G392" t="s">
        <v>541</v>
      </c>
      <c r="H392" s="7">
        <f t="shared" si="7"/>
        <v>12931</v>
      </c>
      <c r="I392" s="7">
        <f t="shared" si="6"/>
        <v>2068.96</v>
      </c>
    </row>
    <row r="393" spans="1:10">
      <c r="A393" s="150" t="s">
        <v>7544</v>
      </c>
      <c r="B393">
        <v>85</v>
      </c>
      <c r="F393" s="71" t="s">
        <v>923</v>
      </c>
      <c r="G393" s="77" t="s">
        <v>924</v>
      </c>
      <c r="H393" s="7">
        <f t="shared" si="7"/>
        <v>435.37499999999994</v>
      </c>
      <c r="I393" s="7">
        <f t="shared" si="6"/>
        <v>69.66</v>
      </c>
    </row>
    <row r="394" spans="1:10">
      <c r="A394" s="150" t="s">
        <v>7544</v>
      </c>
      <c r="B394">
        <v>85</v>
      </c>
      <c r="F394" s="75" t="s">
        <v>879</v>
      </c>
      <c r="G394" s="78" t="s">
        <v>880</v>
      </c>
      <c r="H394" s="7">
        <f t="shared" si="7"/>
        <v>1680.9999999999998</v>
      </c>
      <c r="I394" s="7">
        <f t="shared" si="6"/>
        <v>268.95999999999998</v>
      </c>
    </row>
    <row r="395" spans="1:10">
      <c r="A395" s="150" t="s">
        <v>7544</v>
      </c>
      <c r="B395">
        <v>85</v>
      </c>
      <c r="F395" s="72" t="s">
        <v>5633</v>
      </c>
      <c r="G395" t="s">
        <v>4711</v>
      </c>
      <c r="H395" s="7">
        <f t="shared" si="7"/>
        <v>157264.1875</v>
      </c>
      <c r="I395" s="7">
        <f t="shared" si="6"/>
        <v>25162.27</v>
      </c>
    </row>
    <row r="396" spans="1:10">
      <c r="A396" s="150" t="s">
        <v>7544</v>
      </c>
      <c r="B396">
        <v>85</v>
      </c>
      <c r="F396" s="72" t="s">
        <v>2191</v>
      </c>
      <c r="G396" t="s">
        <v>4930</v>
      </c>
      <c r="H396" s="7">
        <f t="shared" si="7"/>
        <v>405</v>
      </c>
      <c r="I396" s="7">
        <f t="shared" si="6"/>
        <v>64.8</v>
      </c>
    </row>
    <row r="397" spans="1:10">
      <c r="A397" s="150" t="s">
        <v>7544</v>
      </c>
      <c r="B397">
        <v>85</v>
      </c>
      <c r="F397" s="72" t="s">
        <v>711</v>
      </c>
      <c r="G397" s="77" t="s">
        <v>7318</v>
      </c>
      <c r="H397" s="7">
        <f t="shared" si="7"/>
        <v>542.3125</v>
      </c>
      <c r="I397" s="7">
        <f t="shared" si="6"/>
        <v>86.77000000000001</v>
      </c>
    </row>
    <row r="398" spans="1:10">
      <c r="A398" s="150" t="s">
        <v>7544</v>
      </c>
      <c r="B398">
        <v>85</v>
      </c>
      <c r="F398" s="71" t="s">
        <v>745</v>
      </c>
      <c r="G398" s="77" t="s">
        <v>746</v>
      </c>
      <c r="H398" s="7">
        <f t="shared" si="7"/>
        <v>254.31249999999997</v>
      </c>
      <c r="I398" s="7">
        <f t="shared" si="6"/>
        <v>40.69</v>
      </c>
    </row>
    <row r="399" spans="1:10">
      <c r="A399" s="150" t="s">
        <v>7544</v>
      </c>
      <c r="B399">
        <v>85</v>
      </c>
      <c r="F399" t="s">
        <v>1530</v>
      </c>
      <c r="G399" t="s">
        <v>4606</v>
      </c>
      <c r="H399" s="7">
        <f t="shared" si="7"/>
        <v>795340.99999999988</v>
      </c>
      <c r="I399" s="7">
        <f t="shared" si="6"/>
        <v>127254.55999999998</v>
      </c>
    </row>
    <row r="400" spans="1:10">
      <c r="A400" s="150" t="s">
        <v>7544</v>
      </c>
      <c r="B400">
        <v>85</v>
      </c>
      <c r="F400" s="71" t="s">
        <v>4418</v>
      </c>
      <c r="G400" s="77" t="s">
        <v>5658</v>
      </c>
      <c r="H400" s="7">
        <f t="shared" si="7"/>
        <v>99.125</v>
      </c>
      <c r="I400" s="7">
        <f t="shared" si="6"/>
        <v>15.86</v>
      </c>
    </row>
    <row r="401" spans="1:10">
      <c r="A401" s="150" t="s">
        <v>7544</v>
      </c>
      <c r="B401">
        <v>85</v>
      </c>
      <c r="F401" s="72" t="s">
        <v>714</v>
      </c>
      <c r="G401" s="77" t="s">
        <v>715</v>
      </c>
      <c r="H401" s="7">
        <f t="shared" si="7"/>
        <v>4763.1250000000009</v>
      </c>
      <c r="I401" s="7">
        <f t="shared" si="6"/>
        <v>762.10000000000014</v>
      </c>
    </row>
    <row r="402" spans="1:10">
      <c r="A402" s="150" t="s">
        <v>7544</v>
      </c>
      <c r="B402">
        <v>85</v>
      </c>
      <c r="F402" t="s">
        <v>698</v>
      </c>
      <c r="G402" t="s">
        <v>4599</v>
      </c>
      <c r="H402" s="7">
        <f t="shared" si="7"/>
        <v>789951.68749999988</v>
      </c>
      <c r="I402" s="7">
        <f t="shared" si="6"/>
        <v>126392.26999999999</v>
      </c>
    </row>
    <row r="403" spans="1:10">
      <c r="A403" s="150" t="s">
        <v>7544</v>
      </c>
      <c r="B403">
        <v>85</v>
      </c>
      <c r="F403" s="75" t="s">
        <v>1628</v>
      </c>
      <c r="G403" s="78" t="s">
        <v>1629</v>
      </c>
      <c r="H403" s="7">
        <f t="shared" si="7"/>
        <v>545.375</v>
      </c>
      <c r="I403" s="7">
        <f t="shared" si="6"/>
        <v>87.26</v>
      </c>
    </row>
    <row r="404" spans="1:10">
      <c r="A404" s="150" t="s">
        <v>7544</v>
      </c>
      <c r="B404">
        <v>85</v>
      </c>
      <c r="F404" s="71" t="s">
        <v>749</v>
      </c>
      <c r="G404" s="77" t="s">
        <v>750</v>
      </c>
      <c r="H404" s="7">
        <f t="shared" si="7"/>
        <v>173.25</v>
      </c>
      <c r="I404" s="7">
        <f t="shared" si="6"/>
        <v>27.72</v>
      </c>
    </row>
    <row r="405" spans="1:10">
      <c r="A405" s="150" t="s">
        <v>7544</v>
      </c>
      <c r="B405" s="150" t="s">
        <v>7567</v>
      </c>
      <c r="F405" s="73" t="s">
        <v>2688</v>
      </c>
      <c r="G405" t="s">
        <v>2682</v>
      </c>
      <c r="H405" s="7">
        <f t="shared" si="7"/>
        <v>12931.999999999998</v>
      </c>
      <c r="I405" s="7">
        <f t="shared" si="6"/>
        <v>2069.12</v>
      </c>
      <c r="J405">
        <v>1713.22</v>
      </c>
    </row>
    <row r="406" spans="1:10">
      <c r="A406" s="150" t="s">
        <v>7544</v>
      </c>
      <c r="B406">
        <v>85</v>
      </c>
      <c r="F406" t="s">
        <v>2690</v>
      </c>
      <c r="G406" t="s">
        <v>4720</v>
      </c>
      <c r="H406" s="7">
        <f t="shared" si="7"/>
        <v>150355.875</v>
      </c>
      <c r="I406" s="7">
        <f t="shared" si="6"/>
        <v>24056.94</v>
      </c>
    </row>
    <row r="407" spans="1:10">
      <c r="A407" s="150" t="s">
        <v>7544</v>
      </c>
      <c r="B407">
        <v>85</v>
      </c>
      <c r="F407" t="s">
        <v>7487</v>
      </c>
      <c r="G407" t="s">
        <v>7488</v>
      </c>
      <c r="H407" s="7">
        <f t="shared" si="7"/>
        <v>88</v>
      </c>
      <c r="I407" s="7">
        <f t="shared" si="6"/>
        <v>14.08</v>
      </c>
    </row>
    <row r="408" spans="1:10">
      <c r="A408" s="150" t="s">
        <v>7544</v>
      </c>
      <c r="B408">
        <v>85</v>
      </c>
      <c r="F408" s="71" t="s">
        <v>737</v>
      </c>
      <c r="G408" t="s">
        <v>7477</v>
      </c>
      <c r="H408" s="7">
        <f t="shared" si="7"/>
        <v>14368</v>
      </c>
      <c r="I408" s="7">
        <f t="shared" si="6"/>
        <v>2298.88</v>
      </c>
    </row>
    <row r="409" spans="1:10">
      <c r="A409" s="150" t="s">
        <v>7544</v>
      </c>
      <c r="B409">
        <v>85</v>
      </c>
      <c r="F409" s="72" t="s">
        <v>2196</v>
      </c>
      <c r="G409" t="s">
        <v>2092</v>
      </c>
      <c r="H409" s="7">
        <f t="shared" si="7"/>
        <v>7500</v>
      </c>
      <c r="I409" s="7">
        <f t="shared" si="6"/>
        <v>1200</v>
      </c>
    </row>
    <row r="410" spans="1:10">
      <c r="A410" s="150" t="s">
        <v>7544</v>
      </c>
      <c r="B410">
        <v>85</v>
      </c>
      <c r="F410" s="71" t="s">
        <v>2212</v>
      </c>
      <c r="G410" t="s">
        <v>2097</v>
      </c>
      <c r="H410" s="7">
        <f t="shared" si="7"/>
        <v>3785.625</v>
      </c>
      <c r="I410" s="7">
        <f t="shared" si="6"/>
        <v>605.70000000000005</v>
      </c>
    </row>
    <row r="411" spans="1:10">
      <c r="A411" s="150" t="s">
        <v>7544</v>
      </c>
      <c r="B411">
        <v>85</v>
      </c>
      <c r="F411" s="72" t="s">
        <v>739</v>
      </c>
      <c r="G411" t="s">
        <v>4727</v>
      </c>
      <c r="H411" s="7">
        <f t="shared" si="7"/>
        <v>8990.75</v>
      </c>
      <c r="I411" s="7">
        <f t="shared" si="6"/>
        <v>1438.52</v>
      </c>
    </row>
    <row r="412" spans="1:10">
      <c r="A412" s="150" t="s">
        <v>7544</v>
      </c>
      <c r="B412">
        <v>85</v>
      </c>
      <c r="F412" s="71" t="s">
        <v>743</v>
      </c>
      <c r="G412" t="s">
        <v>4729</v>
      </c>
      <c r="H412" s="7">
        <f t="shared" si="7"/>
        <v>39</v>
      </c>
      <c r="I412" s="7">
        <f t="shared" si="6"/>
        <v>6.24</v>
      </c>
    </row>
    <row r="413" spans="1:10">
      <c r="A413" s="150" t="s">
        <v>7544</v>
      </c>
      <c r="B413">
        <v>85</v>
      </c>
      <c r="F413" s="72" t="s">
        <v>790</v>
      </c>
      <c r="G413" t="s">
        <v>428</v>
      </c>
      <c r="H413" s="7">
        <f t="shared" si="7"/>
        <v>1351422.6875000002</v>
      </c>
      <c r="I413" s="7">
        <f t="shared" si="6"/>
        <v>216227.63000000003</v>
      </c>
    </row>
    <row r="414" spans="1:10">
      <c r="A414" s="150" t="s">
        <v>7544</v>
      </c>
      <c r="B414" s="150" t="s">
        <v>7566</v>
      </c>
      <c r="F414" s="73" t="s">
        <v>956</v>
      </c>
      <c r="G414" s="73" t="s">
        <v>957</v>
      </c>
      <c r="H414" s="7">
        <f t="shared" si="7"/>
        <v>36884.1875</v>
      </c>
      <c r="I414" s="7">
        <f t="shared" si="6"/>
        <v>5901.47</v>
      </c>
      <c r="J414">
        <v>3934.98</v>
      </c>
    </row>
    <row r="415" spans="1:10">
      <c r="A415" s="150" t="s">
        <v>7544</v>
      </c>
      <c r="B415">
        <v>85</v>
      </c>
      <c r="F415" s="72" t="s">
        <v>5637</v>
      </c>
      <c r="G415" t="s">
        <v>4786</v>
      </c>
      <c r="H415" s="7">
        <f t="shared" si="7"/>
        <v>137.875</v>
      </c>
      <c r="I415" s="7">
        <f t="shared" si="6"/>
        <v>22.06</v>
      </c>
    </row>
    <row r="416" spans="1:10">
      <c r="A416" s="150" t="s">
        <v>7544</v>
      </c>
      <c r="B416">
        <v>85</v>
      </c>
      <c r="F416" s="72" t="s">
        <v>2221</v>
      </c>
      <c r="G416" s="77" t="s">
        <v>7266</v>
      </c>
      <c r="H416" s="7">
        <f t="shared" si="7"/>
        <v>1000</v>
      </c>
      <c r="I416" s="7">
        <f t="shared" si="6"/>
        <v>160</v>
      </c>
      <c r="J416">
        <v>40</v>
      </c>
    </row>
    <row r="417" spans="1:10">
      <c r="A417" s="150" t="s">
        <v>7544</v>
      </c>
      <c r="B417">
        <v>85</v>
      </c>
      <c r="F417" s="72" t="s">
        <v>5636</v>
      </c>
      <c r="G417" t="s">
        <v>4839</v>
      </c>
      <c r="H417" s="7">
        <f t="shared" si="7"/>
        <v>9461.625</v>
      </c>
      <c r="I417" s="7">
        <f t="shared" si="6"/>
        <v>1513.86</v>
      </c>
    </row>
    <row r="418" spans="1:10">
      <c r="A418" s="150" t="s">
        <v>7544</v>
      </c>
      <c r="B418">
        <v>85</v>
      </c>
      <c r="F418" s="72" t="s">
        <v>7482</v>
      </c>
      <c r="G418" s="77" t="s">
        <v>7483</v>
      </c>
      <c r="H418" s="7">
        <f t="shared" si="7"/>
        <v>95.562499999999986</v>
      </c>
      <c r="I418" s="7">
        <f t="shared" si="6"/>
        <v>15.29</v>
      </c>
    </row>
    <row r="419" spans="1:10">
      <c r="A419" s="150" t="s">
        <v>7544</v>
      </c>
      <c r="B419">
        <v>85</v>
      </c>
      <c r="F419" s="72" t="s">
        <v>730</v>
      </c>
      <c r="G419" t="s">
        <v>476</v>
      </c>
      <c r="H419" s="7">
        <f t="shared" si="7"/>
        <v>11655.1875</v>
      </c>
      <c r="I419" s="7">
        <f t="shared" si="6"/>
        <v>1864.83</v>
      </c>
    </row>
    <row r="420" spans="1:10">
      <c r="A420" s="150" t="s">
        <v>7544</v>
      </c>
      <c r="B420">
        <v>85</v>
      </c>
      <c r="F420" s="72" t="s">
        <v>808</v>
      </c>
      <c r="G420" t="s">
        <v>489</v>
      </c>
      <c r="H420" s="7">
        <f t="shared" si="7"/>
        <v>17181.0625</v>
      </c>
      <c r="I420" s="7">
        <f t="shared" ref="I420:I451" si="8">+SUMIF($F$7:$F$370,F420,$I$7:$I$370)</f>
        <v>2748.97</v>
      </c>
    </row>
    <row r="421" spans="1:10">
      <c r="A421" s="150" t="s">
        <v>7544</v>
      </c>
      <c r="B421">
        <v>85</v>
      </c>
      <c r="F421" s="71" t="s">
        <v>3503</v>
      </c>
      <c r="G421" s="77" t="s">
        <v>950</v>
      </c>
      <c r="H421" s="7">
        <f t="shared" si="7"/>
        <v>75</v>
      </c>
      <c r="I421" s="7">
        <f t="shared" si="8"/>
        <v>12</v>
      </c>
    </row>
    <row r="422" spans="1:10">
      <c r="A422" s="150" t="s">
        <v>7544</v>
      </c>
      <c r="B422">
        <v>85</v>
      </c>
      <c r="F422" s="72" t="s">
        <v>759</v>
      </c>
      <c r="G422" s="77" t="s">
        <v>7132</v>
      </c>
      <c r="H422" s="7">
        <f t="shared" si="7"/>
        <v>543.875</v>
      </c>
      <c r="I422" s="7">
        <f t="shared" si="8"/>
        <v>87.02</v>
      </c>
    </row>
    <row r="423" spans="1:10">
      <c r="A423" s="150" t="s">
        <v>7544</v>
      </c>
      <c r="B423">
        <v>85</v>
      </c>
      <c r="F423" s="71" t="s">
        <v>1551</v>
      </c>
      <c r="G423" t="s">
        <v>1436</v>
      </c>
      <c r="H423" s="7">
        <f t="shared" si="7"/>
        <v>1163.25</v>
      </c>
      <c r="I423" s="7">
        <f t="shared" si="8"/>
        <v>186.12</v>
      </c>
    </row>
    <row r="424" spans="1:10">
      <c r="A424" s="150" t="s">
        <v>7544</v>
      </c>
      <c r="B424">
        <v>85</v>
      </c>
      <c r="F424" s="71" t="s">
        <v>5417</v>
      </c>
      <c r="G424" s="77" t="s">
        <v>5664</v>
      </c>
      <c r="H424" s="7">
        <f t="shared" si="7"/>
        <v>111.18749999999999</v>
      </c>
      <c r="I424" s="7">
        <f t="shared" si="8"/>
        <v>17.79</v>
      </c>
    </row>
    <row r="425" spans="1:10">
      <c r="A425" s="150" t="s">
        <v>7544</v>
      </c>
      <c r="B425">
        <v>85</v>
      </c>
      <c r="F425" s="75" t="s">
        <v>4216</v>
      </c>
      <c r="G425" s="78" t="s">
        <v>5639</v>
      </c>
      <c r="H425" s="7">
        <f t="shared" si="7"/>
        <v>536.875</v>
      </c>
      <c r="I425" s="7">
        <f t="shared" si="8"/>
        <v>85.9</v>
      </c>
    </row>
    <row r="426" spans="1:10">
      <c r="A426" s="150" t="s">
        <v>7544</v>
      </c>
      <c r="B426">
        <v>85</v>
      </c>
      <c r="F426" t="s">
        <v>791</v>
      </c>
      <c r="G426" t="s">
        <v>1098</v>
      </c>
      <c r="H426" s="7">
        <f t="shared" si="7"/>
        <v>971963.43750000012</v>
      </c>
      <c r="I426" s="7">
        <f t="shared" si="8"/>
        <v>155514.15000000002</v>
      </c>
    </row>
    <row r="427" spans="1:10">
      <c r="A427" s="150" t="s">
        <v>7544</v>
      </c>
      <c r="B427">
        <v>85</v>
      </c>
      <c r="F427" s="72" t="s">
        <v>797</v>
      </c>
      <c r="G427" t="s">
        <v>4713</v>
      </c>
      <c r="H427" s="7">
        <f t="shared" si="7"/>
        <v>157264.1875</v>
      </c>
      <c r="I427" s="7">
        <f t="shared" si="8"/>
        <v>25162.27</v>
      </c>
    </row>
    <row r="428" spans="1:10">
      <c r="A428" s="150" t="s">
        <v>7544</v>
      </c>
      <c r="B428">
        <v>85</v>
      </c>
      <c r="F428" s="71" t="s">
        <v>7280</v>
      </c>
      <c r="G428" s="77" t="s">
        <v>7281</v>
      </c>
      <c r="H428" s="7">
        <f t="shared" si="7"/>
        <v>43.125</v>
      </c>
      <c r="I428" s="7">
        <f t="shared" si="8"/>
        <v>6.9</v>
      </c>
    </row>
    <row r="429" spans="1:10">
      <c r="A429" s="150" t="s">
        <v>7544</v>
      </c>
      <c r="B429">
        <v>85</v>
      </c>
      <c r="F429" s="72" t="s">
        <v>795</v>
      </c>
      <c r="G429" t="s">
        <v>638</v>
      </c>
      <c r="H429" s="7">
        <f t="shared" si="7"/>
        <v>88069</v>
      </c>
      <c r="I429" s="7">
        <f t="shared" si="8"/>
        <v>14091.04</v>
      </c>
    </row>
    <row r="430" spans="1:10">
      <c r="A430" s="150" t="s">
        <v>7544</v>
      </c>
      <c r="B430">
        <v>85</v>
      </c>
      <c r="F430" s="71" t="s">
        <v>704</v>
      </c>
      <c r="G430" t="s">
        <v>576</v>
      </c>
      <c r="H430" s="7">
        <f t="shared" si="7"/>
        <v>861.99999999999989</v>
      </c>
      <c r="I430" s="7">
        <f t="shared" si="8"/>
        <v>137.91999999999999</v>
      </c>
    </row>
    <row r="431" spans="1:10">
      <c r="A431" s="150" t="s">
        <v>7544</v>
      </c>
      <c r="B431">
        <v>85</v>
      </c>
      <c r="F431" t="s">
        <v>7319</v>
      </c>
      <c r="G431" t="s">
        <v>7320</v>
      </c>
      <c r="H431" s="7">
        <f t="shared" si="7"/>
        <v>169827.5625</v>
      </c>
      <c r="I431" s="7">
        <f t="shared" si="8"/>
        <v>27172.41</v>
      </c>
    </row>
    <row r="432" spans="1:10">
      <c r="A432" s="150" t="s">
        <v>7544</v>
      </c>
      <c r="B432" s="150" t="s">
        <v>7567</v>
      </c>
      <c r="F432" s="72" t="s">
        <v>5641</v>
      </c>
      <c r="G432" t="s">
        <v>4891</v>
      </c>
      <c r="H432" s="7">
        <f t="shared" si="7"/>
        <v>1724.125</v>
      </c>
      <c r="I432" s="7">
        <f t="shared" si="8"/>
        <v>275.86</v>
      </c>
      <c r="J432">
        <v>223.85</v>
      </c>
    </row>
    <row r="433" spans="1:9">
      <c r="A433" s="150" t="s">
        <v>7544</v>
      </c>
      <c r="B433">
        <v>85</v>
      </c>
      <c r="F433" s="72" t="s">
        <v>1561</v>
      </c>
      <c r="G433" s="77" t="s">
        <v>1188</v>
      </c>
      <c r="H433" s="7">
        <f t="shared" si="7"/>
        <v>343.125</v>
      </c>
      <c r="I433" s="7">
        <f t="shared" si="8"/>
        <v>54.9</v>
      </c>
    </row>
    <row r="434" spans="1:9">
      <c r="A434" s="150" t="s">
        <v>7544</v>
      </c>
      <c r="B434">
        <v>85</v>
      </c>
      <c r="F434" s="72" t="s">
        <v>2695</v>
      </c>
      <c r="G434" s="77" t="s">
        <v>2455</v>
      </c>
      <c r="H434" s="7">
        <f t="shared" si="7"/>
        <v>147.375</v>
      </c>
      <c r="I434" s="7">
        <f t="shared" si="8"/>
        <v>23.58</v>
      </c>
    </row>
    <row r="435" spans="1:9">
      <c r="A435" s="150" t="s">
        <v>7544</v>
      </c>
      <c r="B435">
        <v>85</v>
      </c>
      <c r="F435" s="72" t="s">
        <v>7263</v>
      </c>
      <c r="G435" s="77" t="s">
        <v>7264</v>
      </c>
      <c r="H435" s="7">
        <f t="shared" si="7"/>
        <v>231.0625</v>
      </c>
      <c r="I435" s="7">
        <f t="shared" si="8"/>
        <v>36.97</v>
      </c>
    </row>
    <row r="436" spans="1:9">
      <c r="A436" s="150" t="s">
        <v>7544</v>
      </c>
      <c r="B436">
        <v>85</v>
      </c>
      <c r="F436" s="75" t="s">
        <v>961</v>
      </c>
      <c r="G436" s="78" t="s">
        <v>962</v>
      </c>
      <c r="H436" s="7">
        <f t="shared" si="7"/>
        <v>628.8125</v>
      </c>
      <c r="I436" s="7">
        <f t="shared" si="8"/>
        <v>100.61</v>
      </c>
    </row>
    <row r="437" spans="1:9">
      <c r="A437" s="150" t="s">
        <v>7544</v>
      </c>
      <c r="B437">
        <v>85</v>
      </c>
      <c r="F437" s="71" t="s">
        <v>7276</v>
      </c>
      <c r="G437" s="77" t="s">
        <v>7277</v>
      </c>
      <c r="H437" s="7">
        <f t="shared" si="7"/>
        <v>120</v>
      </c>
      <c r="I437" s="7">
        <f t="shared" si="8"/>
        <v>19.2</v>
      </c>
    </row>
    <row r="438" spans="1:9">
      <c r="A438" s="150" t="s">
        <v>7544</v>
      </c>
      <c r="B438">
        <v>85</v>
      </c>
      <c r="F438" s="72" t="s">
        <v>5246</v>
      </c>
      <c r="G438" s="77" t="s">
        <v>7489</v>
      </c>
      <c r="H438" s="7">
        <f t="shared" si="7"/>
        <v>575.875</v>
      </c>
      <c r="I438" s="7">
        <f t="shared" si="8"/>
        <v>92.14</v>
      </c>
    </row>
    <row r="439" spans="1:9">
      <c r="A439" s="150" t="s">
        <v>7544</v>
      </c>
      <c r="B439">
        <v>85</v>
      </c>
      <c r="F439" s="71" t="s">
        <v>2740</v>
      </c>
      <c r="G439" t="s">
        <v>2741</v>
      </c>
      <c r="H439" s="7">
        <f t="shared" si="7"/>
        <v>43.125</v>
      </c>
      <c r="I439" s="7">
        <f t="shared" si="8"/>
        <v>6.9</v>
      </c>
    </row>
    <row r="440" spans="1:9">
      <c r="A440" s="150" t="s">
        <v>7544</v>
      </c>
      <c r="B440">
        <v>85</v>
      </c>
      <c r="F440" s="72" t="s">
        <v>805</v>
      </c>
      <c r="G440" t="s">
        <v>2385</v>
      </c>
      <c r="H440" s="7">
        <f t="shared" si="7"/>
        <v>350</v>
      </c>
      <c r="I440" s="7">
        <f t="shared" si="8"/>
        <v>56</v>
      </c>
    </row>
    <row r="441" spans="1:9">
      <c r="A441" s="150" t="s">
        <v>7544</v>
      </c>
      <c r="B441">
        <v>85</v>
      </c>
      <c r="F441" t="s">
        <v>804</v>
      </c>
      <c r="G441" t="s">
        <v>5691</v>
      </c>
      <c r="H441" s="7">
        <f t="shared" si="7"/>
        <v>1137.8124999999998</v>
      </c>
      <c r="I441" s="7">
        <f t="shared" si="8"/>
        <v>182.04999999999998</v>
      </c>
    </row>
    <row r="442" spans="1:9">
      <c r="A442" s="150" t="s">
        <v>7544</v>
      </c>
      <c r="B442">
        <v>85</v>
      </c>
      <c r="F442" s="72" t="s">
        <v>5330</v>
      </c>
      <c r="G442" s="77" t="s">
        <v>5693</v>
      </c>
      <c r="H442" s="7">
        <f t="shared" si="7"/>
        <v>56.0625</v>
      </c>
      <c r="I442" s="7">
        <f t="shared" si="8"/>
        <v>8.9700000000000006</v>
      </c>
    </row>
    <row r="443" spans="1:9">
      <c r="A443" s="150" t="s">
        <v>7544</v>
      </c>
      <c r="B443">
        <v>85</v>
      </c>
      <c r="F443" s="72" t="s">
        <v>5642</v>
      </c>
      <c r="G443" t="s">
        <v>4864</v>
      </c>
      <c r="H443" s="7">
        <f t="shared" si="7"/>
        <v>14462</v>
      </c>
      <c r="I443" s="7">
        <f t="shared" si="8"/>
        <v>2313.92</v>
      </c>
    </row>
    <row r="444" spans="1:9">
      <c r="A444" s="150" t="s">
        <v>7544</v>
      </c>
      <c r="B444">
        <v>85</v>
      </c>
      <c r="F444" s="72" t="s">
        <v>807</v>
      </c>
      <c r="G444" s="77" t="s">
        <v>2493</v>
      </c>
      <c r="H444" s="7">
        <f t="shared" si="7"/>
        <v>1350</v>
      </c>
      <c r="I444" s="7">
        <f t="shared" si="8"/>
        <v>216</v>
      </c>
    </row>
    <row r="445" spans="1:9">
      <c r="A445" s="150" t="s">
        <v>7544</v>
      </c>
      <c r="B445">
        <v>85</v>
      </c>
      <c r="F445" s="72" t="s">
        <v>1570</v>
      </c>
      <c r="G445" t="s">
        <v>1476</v>
      </c>
      <c r="H445" s="7">
        <f t="shared" si="7"/>
        <v>3268</v>
      </c>
      <c r="I445" s="7">
        <f t="shared" si="8"/>
        <v>522.88</v>
      </c>
    </row>
    <row r="446" spans="1:9">
      <c r="A446" s="150" t="s">
        <v>7544</v>
      </c>
      <c r="B446">
        <v>85</v>
      </c>
      <c r="F446" s="75" t="s">
        <v>5662</v>
      </c>
      <c r="G446" s="78" t="s">
        <v>5663</v>
      </c>
      <c r="H446" s="7">
        <f t="shared" si="7"/>
        <v>341.4375</v>
      </c>
      <c r="I446" s="7">
        <f t="shared" si="8"/>
        <v>54.63</v>
      </c>
    </row>
    <row r="447" spans="1:9">
      <c r="A447" s="150" t="s">
        <v>7544</v>
      </c>
      <c r="B447">
        <v>85</v>
      </c>
      <c r="F447" s="71" t="s">
        <v>7491</v>
      </c>
      <c r="G447" t="s">
        <v>7492</v>
      </c>
      <c r="H447" s="7">
        <f t="shared" si="7"/>
        <v>201.9375</v>
      </c>
      <c r="I447" s="7">
        <f t="shared" si="8"/>
        <v>32.31</v>
      </c>
    </row>
    <row r="448" spans="1:9">
      <c r="A448" s="150" t="s">
        <v>7544</v>
      </c>
      <c r="B448">
        <v>85</v>
      </c>
      <c r="F448" s="71" t="s">
        <v>762</v>
      </c>
      <c r="G448" s="77" t="s">
        <v>763</v>
      </c>
      <c r="H448" s="7">
        <f t="shared" si="7"/>
        <v>73.25</v>
      </c>
      <c r="I448" s="7">
        <f t="shared" si="8"/>
        <v>11.72</v>
      </c>
    </row>
    <row r="449" spans="1:10">
      <c r="A449" s="150" t="s">
        <v>7544</v>
      </c>
      <c r="B449">
        <v>85</v>
      </c>
      <c r="F449" s="72" t="s">
        <v>815</v>
      </c>
      <c r="G449" t="s">
        <v>446</v>
      </c>
      <c r="H449" s="7">
        <f t="shared" si="7"/>
        <v>3599.0625</v>
      </c>
      <c r="I449" s="7">
        <f t="shared" si="8"/>
        <v>575.85</v>
      </c>
    </row>
    <row r="450" spans="1:10">
      <c r="A450" s="150" t="s">
        <v>7544</v>
      </c>
      <c r="B450">
        <v>85</v>
      </c>
      <c r="F450" s="72" t="s">
        <v>722</v>
      </c>
      <c r="G450" s="71" t="s">
        <v>722</v>
      </c>
      <c r="H450" s="7">
        <f t="shared" si="7"/>
        <v>13097.281249999996</v>
      </c>
      <c r="I450" s="7">
        <f t="shared" si="8"/>
        <v>2095.5649999999996</v>
      </c>
    </row>
    <row r="451" spans="1:10">
      <c r="A451" s="150" t="s">
        <v>7544</v>
      </c>
      <c r="B451">
        <v>85</v>
      </c>
      <c r="F451" s="71" t="s">
        <v>5659</v>
      </c>
      <c r="G451" s="77" t="s">
        <v>5660</v>
      </c>
      <c r="H451" s="7">
        <f t="shared" si="7"/>
        <v>73.25</v>
      </c>
      <c r="I451" s="7">
        <f t="shared" si="8"/>
        <v>11.72</v>
      </c>
    </row>
    <row r="452" spans="1:10">
      <c r="A452" s="150" t="s">
        <v>7544</v>
      </c>
      <c r="B452">
        <v>85</v>
      </c>
      <c r="F452" s="72" t="s">
        <v>806</v>
      </c>
      <c r="G452" t="s">
        <v>4853</v>
      </c>
      <c r="H452" s="7">
        <f t="shared" si="7"/>
        <v>11443.375</v>
      </c>
      <c r="I452" s="7">
        <f t="shared" ref="I452:I483" si="9">+SUMIF($F$7:$F$370,F452,$I$7:$I$370)</f>
        <v>1830.94</v>
      </c>
    </row>
    <row r="453" spans="1:10">
      <c r="A453" s="150" t="s">
        <v>7544</v>
      </c>
      <c r="B453">
        <v>85</v>
      </c>
      <c r="F453" s="72" t="s">
        <v>7273</v>
      </c>
      <c r="G453" s="77" t="s">
        <v>4869</v>
      </c>
      <c r="H453" s="7">
        <f t="shared" ref="H453:H516" si="10">+I453/0.16</f>
        <v>13566.6875</v>
      </c>
      <c r="I453" s="7">
        <f t="shared" si="9"/>
        <v>2170.67</v>
      </c>
    </row>
    <row r="454" spans="1:10">
      <c r="A454" s="150" t="s">
        <v>7544</v>
      </c>
      <c r="B454">
        <v>85</v>
      </c>
      <c r="F454" s="72" t="s">
        <v>820</v>
      </c>
      <c r="G454" s="77" t="s">
        <v>7317</v>
      </c>
      <c r="H454" s="7">
        <f t="shared" si="10"/>
        <v>746.125</v>
      </c>
      <c r="I454" s="7">
        <f t="shared" si="9"/>
        <v>119.38</v>
      </c>
    </row>
    <row r="455" spans="1:10">
      <c r="A455" s="150" t="s">
        <v>7544</v>
      </c>
      <c r="B455">
        <v>85</v>
      </c>
      <c r="F455" s="72" t="s">
        <v>840</v>
      </c>
      <c r="G455" s="77" t="s">
        <v>409</v>
      </c>
      <c r="H455" s="7">
        <f t="shared" si="10"/>
        <v>175.875</v>
      </c>
      <c r="I455" s="7">
        <f t="shared" si="9"/>
        <v>28.14</v>
      </c>
    </row>
    <row r="456" spans="1:10">
      <c r="A456" s="150" t="s">
        <v>7544</v>
      </c>
      <c r="B456">
        <v>85</v>
      </c>
      <c r="F456" s="71" t="s">
        <v>911</v>
      </c>
      <c r="G456" s="77" t="s">
        <v>912</v>
      </c>
      <c r="H456" s="7">
        <f t="shared" si="10"/>
        <v>120.68749999999999</v>
      </c>
      <c r="I456" s="7">
        <f t="shared" si="9"/>
        <v>19.309999999999999</v>
      </c>
    </row>
    <row r="457" spans="1:10">
      <c r="A457" s="150" t="s">
        <v>7544</v>
      </c>
      <c r="B457">
        <v>85</v>
      </c>
      <c r="F457" s="139" t="s">
        <v>955</v>
      </c>
      <c r="G457" s="77" t="s">
        <v>971</v>
      </c>
      <c r="H457" s="7">
        <f t="shared" si="10"/>
        <v>4675</v>
      </c>
      <c r="I457" s="7">
        <f t="shared" si="9"/>
        <v>748</v>
      </c>
    </row>
    <row r="458" spans="1:10">
      <c r="A458" s="150" t="s">
        <v>7544</v>
      </c>
      <c r="B458">
        <v>85</v>
      </c>
      <c r="F458" s="72" t="s">
        <v>823</v>
      </c>
      <c r="G458" t="s">
        <v>455</v>
      </c>
      <c r="H458" s="7">
        <f t="shared" si="10"/>
        <v>20850.625000000004</v>
      </c>
      <c r="I458" s="7">
        <f t="shared" si="9"/>
        <v>3336.1000000000004</v>
      </c>
    </row>
    <row r="459" spans="1:10">
      <c r="A459" s="150" t="s">
        <v>7544</v>
      </c>
      <c r="B459">
        <v>85</v>
      </c>
      <c r="F459" s="72" t="s">
        <v>821</v>
      </c>
      <c r="G459" s="77" t="s">
        <v>5707</v>
      </c>
      <c r="H459" s="7">
        <f t="shared" si="10"/>
        <v>2068.875</v>
      </c>
      <c r="I459" s="7">
        <f t="shared" si="9"/>
        <v>331.02</v>
      </c>
    </row>
    <row r="460" spans="1:10">
      <c r="A460" s="150" t="s">
        <v>7544</v>
      </c>
      <c r="B460">
        <v>85</v>
      </c>
      <c r="F460" s="71" t="s">
        <v>716</v>
      </c>
      <c r="G460" t="s">
        <v>717</v>
      </c>
      <c r="H460" s="7">
        <f t="shared" si="10"/>
        <v>4318.875</v>
      </c>
      <c r="I460" s="7">
        <f t="shared" si="9"/>
        <v>691.02</v>
      </c>
    </row>
    <row r="461" spans="1:10">
      <c r="A461" s="150" t="s">
        <v>7544</v>
      </c>
      <c r="B461">
        <v>85</v>
      </c>
      <c r="F461" s="72" t="s">
        <v>827</v>
      </c>
      <c r="G461" t="s">
        <v>650</v>
      </c>
      <c r="H461" s="7">
        <f t="shared" si="10"/>
        <v>4032</v>
      </c>
      <c r="I461" s="7">
        <f t="shared" si="9"/>
        <v>645.12</v>
      </c>
    </row>
    <row r="462" spans="1:10">
      <c r="A462" s="150" t="s">
        <v>7544</v>
      </c>
      <c r="B462">
        <v>85</v>
      </c>
      <c r="F462" s="71" t="s">
        <v>7278</v>
      </c>
      <c r="G462" s="77" t="s">
        <v>7279</v>
      </c>
      <c r="H462" s="7">
        <f t="shared" si="10"/>
        <v>745.25</v>
      </c>
      <c r="I462" s="7">
        <f t="shared" si="9"/>
        <v>119.24</v>
      </c>
    </row>
    <row r="463" spans="1:10">
      <c r="A463" s="150" t="s">
        <v>7544</v>
      </c>
      <c r="B463">
        <v>85</v>
      </c>
      <c r="F463" s="72" t="s">
        <v>836</v>
      </c>
      <c r="G463" t="s">
        <v>472</v>
      </c>
      <c r="H463" s="7">
        <f t="shared" si="10"/>
        <v>6430</v>
      </c>
      <c r="I463" s="7">
        <f t="shared" si="9"/>
        <v>1028.8</v>
      </c>
    </row>
    <row r="464" spans="1:10">
      <c r="A464" s="150" t="s">
        <v>7544</v>
      </c>
      <c r="B464" s="150" t="s">
        <v>7566</v>
      </c>
      <c r="F464" s="79" t="s">
        <v>829</v>
      </c>
      <c r="G464" t="s">
        <v>529</v>
      </c>
      <c r="H464" s="7">
        <f t="shared" si="10"/>
        <v>133928.625</v>
      </c>
      <c r="I464" s="7">
        <f t="shared" si="9"/>
        <v>21428.58</v>
      </c>
      <c r="J464">
        <v>14285.71</v>
      </c>
    </row>
    <row r="465" spans="1:10">
      <c r="A465" s="150" t="s">
        <v>7544</v>
      </c>
      <c r="B465">
        <v>85</v>
      </c>
      <c r="F465" s="72" t="s">
        <v>2186</v>
      </c>
      <c r="G465" t="s">
        <v>2128</v>
      </c>
      <c r="H465" s="7">
        <f t="shared" si="10"/>
        <v>11400</v>
      </c>
      <c r="I465" s="7">
        <f t="shared" si="9"/>
        <v>1824</v>
      </c>
    </row>
    <row r="466" spans="1:10">
      <c r="A466" s="150" t="s">
        <v>7544</v>
      </c>
      <c r="B466">
        <v>85</v>
      </c>
      <c r="F466" s="72" t="s">
        <v>834</v>
      </c>
      <c r="G466" t="s">
        <v>520</v>
      </c>
      <c r="H466" s="7">
        <f t="shared" si="10"/>
        <v>30996.5625</v>
      </c>
      <c r="I466" s="7">
        <f t="shared" si="9"/>
        <v>4959.45</v>
      </c>
    </row>
    <row r="467" spans="1:10">
      <c r="A467" s="150" t="s">
        <v>7544</v>
      </c>
      <c r="B467">
        <v>85</v>
      </c>
      <c r="F467" s="71" t="s">
        <v>700</v>
      </c>
      <c r="G467" s="77" t="s">
        <v>7265</v>
      </c>
      <c r="H467" s="7">
        <f t="shared" si="10"/>
        <v>401.375</v>
      </c>
      <c r="I467" s="7">
        <f t="shared" si="9"/>
        <v>64.22</v>
      </c>
    </row>
    <row r="468" spans="1:10">
      <c r="A468" s="150" t="s">
        <v>7544</v>
      </c>
      <c r="B468">
        <v>85</v>
      </c>
      <c r="F468" s="72" t="s">
        <v>1589</v>
      </c>
      <c r="G468" t="s">
        <v>1341</v>
      </c>
      <c r="H468" s="7">
        <f t="shared" si="10"/>
        <v>2580</v>
      </c>
      <c r="I468" s="7">
        <f t="shared" si="9"/>
        <v>412.8</v>
      </c>
    </row>
    <row r="469" spans="1:10">
      <c r="A469" s="150" t="s">
        <v>7544</v>
      </c>
      <c r="B469">
        <v>85</v>
      </c>
      <c r="F469" t="s">
        <v>7321</v>
      </c>
      <c r="G469" t="s">
        <v>7322</v>
      </c>
      <c r="H469" s="7">
        <f t="shared" si="10"/>
        <v>168103.4375</v>
      </c>
      <c r="I469" s="7">
        <f t="shared" si="9"/>
        <v>26896.55</v>
      </c>
    </row>
    <row r="470" spans="1:10">
      <c r="A470" s="150" t="s">
        <v>7544</v>
      </c>
      <c r="B470">
        <v>85</v>
      </c>
      <c r="F470" s="139" t="s">
        <v>838</v>
      </c>
      <c r="G470" t="s">
        <v>467</v>
      </c>
      <c r="H470" s="7">
        <f t="shared" si="10"/>
        <v>4228.875</v>
      </c>
      <c r="I470" s="7">
        <f t="shared" si="9"/>
        <v>676.62</v>
      </c>
    </row>
    <row r="471" spans="1:10">
      <c r="A471" s="150" t="s">
        <v>7544</v>
      </c>
      <c r="B471">
        <v>85</v>
      </c>
      <c r="F471" t="s">
        <v>7323</v>
      </c>
      <c r="G471" t="s">
        <v>7324</v>
      </c>
      <c r="H471" s="7">
        <f t="shared" si="10"/>
        <v>228448.25</v>
      </c>
      <c r="I471" s="7">
        <f t="shared" si="9"/>
        <v>36551.72</v>
      </c>
    </row>
    <row r="472" spans="1:10">
      <c r="A472" s="150" t="s">
        <v>7544</v>
      </c>
      <c r="B472">
        <v>85</v>
      </c>
      <c r="F472" s="72" t="s">
        <v>837</v>
      </c>
      <c r="G472" s="77" t="s">
        <v>261</v>
      </c>
      <c r="H472" s="7">
        <f t="shared" si="10"/>
        <v>823.68749999999989</v>
      </c>
      <c r="I472" s="7">
        <f t="shared" si="9"/>
        <v>131.79</v>
      </c>
    </row>
    <row r="473" spans="1:10">
      <c r="A473" s="150" t="s">
        <v>7544</v>
      </c>
      <c r="B473">
        <v>85</v>
      </c>
      <c r="F473" s="71" t="s">
        <v>768</v>
      </c>
      <c r="G473" s="77" t="s">
        <v>283</v>
      </c>
      <c r="H473" s="7">
        <f t="shared" si="10"/>
        <v>597.375</v>
      </c>
      <c r="I473" s="7">
        <f t="shared" si="9"/>
        <v>95.58</v>
      </c>
    </row>
    <row r="474" spans="1:10">
      <c r="A474" s="150" t="s">
        <v>7544</v>
      </c>
      <c r="B474">
        <v>85</v>
      </c>
      <c r="F474" s="71" t="s">
        <v>1528</v>
      </c>
      <c r="G474" t="s">
        <v>1514</v>
      </c>
      <c r="H474" s="7">
        <f t="shared" si="10"/>
        <v>14700</v>
      </c>
      <c r="I474" s="7">
        <f t="shared" si="9"/>
        <v>2352</v>
      </c>
    </row>
    <row r="475" spans="1:10">
      <c r="A475" s="150" t="s">
        <v>7544</v>
      </c>
      <c r="B475">
        <v>85</v>
      </c>
      <c r="F475" s="72" t="s">
        <v>843</v>
      </c>
      <c r="G475" t="s">
        <v>470</v>
      </c>
      <c r="H475" s="7">
        <f t="shared" si="10"/>
        <v>6354.3749999999991</v>
      </c>
      <c r="I475" s="7">
        <f t="shared" si="9"/>
        <v>1016.6999999999999</v>
      </c>
    </row>
    <row r="476" spans="1:10">
      <c r="A476" s="150" t="s">
        <v>7544</v>
      </c>
      <c r="B476">
        <v>85</v>
      </c>
      <c r="F476" s="72" t="s">
        <v>7267</v>
      </c>
      <c r="G476" s="77" t="s">
        <v>7270</v>
      </c>
      <c r="H476" s="7">
        <f t="shared" si="10"/>
        <v>888.00000000000011</v>
      </c>
      <c r="I476" s="7">
        <f t="shared" si="9"/>
        <v>142.08000000000001</v>
      </c>
    </row>
    <row r="477" spans="1:10">
      <c r="A477" s="150" t="s">
        <v>7544</v>
      </c>
      <c r="B477">
        <v>85</v>
      </c>
      <c r="F477" s="72" t="s">
        <v>844</v>
      </c>
      <c r="G477" t="s">
        <v>665</v>
      </c>
      <c r="H477" s="7">
        <f t="shared" si="10"/>
        <v>5509.5</v>
      </c>
      <c r="I477" s="7">
        <f t="shared" si="9"/>
        <v>881.52</v>
      </c>
    </row>
    <row r="478" spans="1:10">
      <c r="A478" s="150" t="s">
        <v>7544</v>
      </c>
      <c r="B478">
        <v>85</v>
      </c>
      <c r="F478" s="72" t="s">
        <v>2216</v>
      </c>
      <c r="G478" t="s">
        <v>2157</v>
      </c>
      <c r="H478" s="7">
        <f t="shared" si="10"/>
        <v>7890.125</v>
      </c>
      <c r="I478" s="7">
        <f t="shared" si="9"/>
        <v>1262.42</v>
      </c>
    </row>
    <row r="479" spans="1:10">
      <c r="A479" s="150" t="s">
        <v>7544</v>
      </c>
      <c r="B479" s="150" t="s">
        <v>7566</v>
      </c>
      <c r="F479" s="79" t="s">
        <v>845</v>
      </c>
      <c r="G479" s="79" t="s">
        <v>532</v>
      </c>
      <c r="H479" s="7">
        <f t="shared" si="10"/>
        <v>133928.625</v>
      </c>
      <c r="I479" s="7">
        <f t="shared" si="9"/>
        <v>21428.58</v>
      </c>
      <c r="J479">
        <v>14285.71</v>
      </c>
    </row>
    <row r="480" spans="1:10">
      <c r="A480" s="150" t="s">
        <v>7544</v>
      </c>
      <c r="B480">
        <v>85</v>
      </c>
      <c r="F480" s="72" t="s">
        <v>5652</v>
      </c>
      <c r="G480" t="s">
        <v>4849</v>
      </c>
      <c r="H480" s="7">
        <f t="shared" si="10"/>
        <v>8000</v>
      </c>
      <c r="I480" s="7">
        <f t="shared" si="9"/>
        <v>1280</v>
      </c>
    </row>
    <row r="481" spans="1:9">
      <c r="A481" s="150" t="s">
        <v>7544</v>
      </c>
      <c r="B481">
        <v>85</v>
      </c>
      <c r="F481" s="72" t="s">
        <v>847</v>
      </c>
      <c r="G481" s="77" t="s">
        <v>5738</v>
      </c>
      <c r="H481" s="7">
        <f t="shared" si="10"/>
        <v>463.49999999999994</v>
      </c>
      <c r="I481" s="7">
        <f t="shared" si="9"/>
        <v>74.16</v>
      </c>
    </row>
    <row r="482" spans="1:9">
      <c r="A482" s="150" t="s">
        <v>7544</v>
      </c>
      <c r="B482">
        <v>85</v>
      </c>
      <c r="F482" t="s">
        <v>849</v>
      </c>
      <c r="G482" t="s">
        <v>4613</v>
      </c>
      <c r="H482" s="7">
        <f t="shared" si="10"/>
        <v>233308.125</v>
      </c>
      <c r="I482" s="7">
        <f t="shared" si="9"/>
        <v>37329.300000000003</v>
      </c>
    </row>
    <row r="483" spans="1:9">
      <c r="A483" s="150" t="s">
        <v>7544</v>
      </c>
      <c r="B483">
        <v>85</v>
      </c>
      <c r="F483" s="72" t="s">
        <v>769</v>
      </c>
      <c r="G483" s="77" t="s">
        <v>645</v>
      </c>
      <c r="H483" s="7">
        <f t="shared" si="10"/>
        <v>5017.4375</v>
      </c>
      <c r="I483" s="7">
        <f t="shared" si="9"/>
        <v>802.79</v>
      </c>
    </row>
    <row r="484" spans="1:9">
      <c r="A484" s="150" t="s">
        <v>7544</v>
      </c>
      <c r="B484">
        <v>85</v>
      </c>
      <c r="F484" s="71" t="s">
        <v>915</v>
      </c>
      <c r="G484" s="77" t="s">
        <v>916</v>
      </c>
      <c r="H484" s="7">
        <f t="shared" si="10"/>
        <v>1090.5</v>
      </c>
      <c r="I484" s="7">
        <f t="shared" ref="I484:I515" si="11">+SUMIF($F$7:$F$370,F484,$I$7:$I$370)</f>
        <v>174.48</v>
      </c>
    </row>
    <row r="485" spans="1:9">
      <c r="A485" s="150" t="s">
        <v>7544</v>
      </c>
      <c r="B485">
        <v>85</v>
      </c>
      <c r="F485" s="72" t="s">
        <v>7484</v>
      </c>
      <c r="G485" s="77" t="s">
        <v>7485</v>
      </c>
      <c r="H485" s="7">
        <f t="shared" si="10"/>
        <v>133.8125</v>
      </c>
      <c r="I485" s="7">
        <f t="shared" si="11"/>
        <v>21.41</v>
      </c>
    </row>
    <row r="486" spans="1:9">
      <c r="A486" s="150" t="s">
        <v>7544</v>
      </c>
      <c r="B486">
        <v>85</v>
      </c>
      <c r="F486" s="72" t="s">
        <v>848</v>
      </c>
      <c r="G486" t="s">
        <v>449</v>
      </c>
      <c r="H486" s="7">
        <f t="shared" si="10"/>
        <v>50200</v>
      </c>
      <c r="I486" s="7">
        <f t="shared" si="11"/>
        <v>8032</v>
      </c>
    </row>
    <row r="487" spans="1:9">
      <c r="A487" s="150" t="s">
        <v>7544</v>
      </c>
      <c r="B487">
        <v>85</v>
      </c>
      <c r="F487" s="75" t="s">
        <v>2218</v>
      </c>
      <c r="G487" s="78" t="s">
        <v>1972</v>
      </c>
      <c r="H487" s="7">
        <f t="shared" si="10"/>
        <v>517.3125</v>
      </c>
      <c r="I487" s="7">
        <f t="shared" si="11"/>
        <v>82.77</v>
      </c>
    </row>
    <row r="488" spans="1:9">
      <c r="A488" s="150" t="s">
        <v>7544</v>
      </c>
      <c r="B488">
        <v>85</v>
      </c>
      <c r="F488" s="72" t="s">
        <v>5493</v>
      </c>
      <c r="G488" s="77" t="s">
        <v>5743</v>
      </c>
      <c r="H488" s="7">
        <f t="shared" si="10"/>
        <v>743.3125</v>
      </c>
      <c r="I488" s="7">
        <f t="shared" si="11"/>
        <v>118.93</v>
      </c>
    </row>
    <row r="489" spans="1:9">
      <c r="A489" s="150" t="s">
        <v>7544</v>
      </c>
      <c r="B489">
        <v>85</v>
      </c>
      <c r="F489" s="72" t="s">
        <v>1595</v>
      </c>
      <c r="G489" s="77" t="s">
        <v>1200</v>
      </c>
      <c r="H489" s="7">
        <f t="shared" si="10"/>
        <v>173.6875</v>
      </c>
      <c r="I489" s="7">
        <f t="shared" si="11"/>
        <v>27.79</v>
      </c>
    </row>
    <row r="490" spans="1:9">
      <c r="A490" s="150" t="s">
        <v>7544</v>
      </c>
      <c r="B490">
        <v>85</v>
      </c>
      <c r="F490" s="72" t="s">
        <v>969</v>
      </c>
      <c r="G490" s="71" t="s">
        <v>7478</v>
      </c>
      <c r="H490" s="7">
        <f t="shared" si="10"/>
        <v>697</v>
      </c>
      <c r="I490" s="7">
        <f t="shared" si="11"/>
        <v>111.52</v>
      </c>
    </row>
    <row r="491" spans="1:9">
      <c r="A491" s="150" t="s">
        <v>7544</v>
      </c>
      <c r="B491">
        <v>85</v>
      </c>
      <c r="F491" s="72" t="s">
        <v>5643</v>
      </c>
      <c r="G491" s="77" t="s">
        <v>5644</v>
      </c>
      <c r="H491" s="7">
        <f t="shared" si="10"/>
        <v>3277.6249999999995</v>
      </c>
      <c r="I491" s="7">
        <f t="shared" si="11"/>
        <v>524.41999999999996</v>
      </c>
    </row>
    <row r="492" spans="1:9">
      <c r="A492" s="150" t="s">
        <v>7544</v>
      </c>
      <c r="B492">
        <v>85</v>
      </c>
      <c r="F492" s="72" t="s">
        <v>7272</v>
      </c>
      <c r="G492" s="77" t="s">
        <v>7268</v>
      </c>
      <c r="H492" s="7">
        <f t="shared" si="10"/>
        <v>86.3125</v>
      </c>
      <c r="I492" s="7">
        <f t="shared" si="11"/>
        <v>13.81</v>
      </c>
    </row>
    <row r="493" spans="1:9">
      <c r="A493" s="150" t="s">
        <v>7544</v>
      </c>
      <c r="B493">
        <v>85</v>
      </c>
      <c r="F493" s="139" t="s">
        <v>7571</v>
      </c>
      <c r="G493" s="78" t="s">
        <v>5661</v>
      </c>
      <c r="H493" s="7">
        <f t="shared" si="10"/>
        <v>335.5</v>
      </c>
      <c r="I493" s="7">
        <f t="shared" si="11"/>
        <v>53.68</v>
      </c>
    </row>
    <row r="494" spans="1:9">
      <c r="A494" s="150" t="s">
        <v>7544</v>
      </c>
      <c r="B494">
        <v>85</v>
      </c>
      <c r="F494" s="72" t="s">
        <v>860</v>
      </c>
      <c r="G494" t="s">
        <v>474</v>
      </c>
      <c r="H494" s="7">
        <f t="shared" si="10"/>
        <v>4200</v>
      </c>
      <c r="I494" s="7">
        <f t="shared" si="11"/>
        <v>672</v>
      </c>
    </row>
    <row r="495" spans="1:9">
      <c r="A495" s="150" t="s">
        <v>7544</v>
      </c>
      <c r="B495">
        <v>85</v>
      </c>
      <c r="F495" s="71" t="s">
        <v>857</v>
      </c>
      <c r="G495" s="77" t="s">
        <v>7275</v>
      </c>
      <c r="H495" s="7">
        <f t="shared" si="10"/>
        <v>91.1875</v>
      </c>
      <c r="I495" s="7">
        <f t="shared" si="11"/>
        <v>14.59</v>
      </c>
    </row>
    <row r="496" spans="1:9">
      <c r="A496" s="150" t="s">
        <v>7544</v>
      </c>
      <c r="B496">
        <v>85</v>
      </c>
      <c r="F496" s="72" t="s">
        <v>858</v>
      </c>
      <c r="G496" t="s">
        <v>457</v>
      </c>
      <c r="H496" s="7">
        <f t="shared" si="10"/>
        <v>51000</v>
      </c>
      <c r="I496" s="7">
        <f t="shared" si="11"/>
        <v>8160</v>
      </c>
    </row>
    <row r="497" spans="1:9">
      <c r="A497" s="150" t="s">
        <v>7544</v>
      </c>
      <c r="B497">
        <v>85</v>
      </c>
      <c r="F497" s="71" t="s">
        <v>929</v>
      </c>
      <c r="G497" s="77" t="s">
        <v>2709</v>
      </c>
      <c r="H497" s="7">
        <f t="shared" si="10"/>
        <v>69.625</v>
      </c>
      <c r="I497" s="7">
        <f t="shared" si="11"/>
        <v>11.14</v>
      </c>
    </row>
    <row r="498" spans="1:9">
      <c r="A498" s="150" t="s">
        <v>7544</v>
      </c>
      <c r="B498">
        <v>85</v>
      </c>
      <c r="F498" s="72" t="s">
        <v>2213</v>
      </c>
      <c r="G498" s="77" t="s">
        <v>1864</v>
      </c>
      <c r="H498" s="7">
        <f t="shared" si="10"/>
        <v>300</v>
      </c>
      <c r="I498" s="7">
        <f t="shared" si="11"/>
        <v>48</v>
      </c>
    </row>
    <row r="499" spans="1:9">
      <c r="A499" s="150" t="s">
        <v>7544</v>
      </c>
      <c r="B499">
        <v>85</v>
      </c>
      <c r="F499" s="72" t="s">
        <v>5653</v>
      </c>
      <c r="G499" t="s">
        <v>4894</v>
      </c>
      <c r="H499" s="7">
        <f t="shared" si="10"/>
        <v>11500</v>
      </c>
      <c r="I499" s="7">
        <f t="shared" si="11"/>
        <v>1840</v>
      </c>
    </row>
    <row r="500" spans="1:9">
      <c r="A500" s="150" t="s">
        <v>7544</v>
      </c>
      <c r="B500">
        <v>85</v>
      </c>
      <c r="F500" s="71" t="s">
        <v>788</v>
      </c>
      <c r="G500" t="s">
        <v>7493</v>
      </c>
      <c r="H500" s="7">
        <f t="shared" si="10"/>
        <v>100</v>
      </c>
      <c r="I500" s="7">
        <f t="shared" si="11"/>
        <v>16</v>
      </c>
    </row>
    <row r="501" spans="1:9">
      <c r="A501" s="150" t="s">
        <v>7544</v>
      </c>
      <c r="B501">
        <v>85</v>
      </c>
      <c r="F501" s="72" t="s">
        <v>972</v>
      </c>
      <c r="G501" s="77" t="s">
        <v>5640</v>
      </c>
      <c r="H501" s="7">
        <f t="shared" si="10"/>
        <v>1593.9375</v>
      </c>
      <c r="I501" s="7">
        <f t="shared" si="11"/>
        <v>255.03</v>
      </c>
    </row>
    <row r="502" spans="1:9">
      <c r="A502" s="150" t="s">
        <v>7544</v>
      </c>
      <c r="B502">
        <v>85</v>
      </c>
      <c r="F502" s="71" t="s">
        <v>4448</v>
      </c>
      <c r="G502" s="77" t="s">
        <v>7271</v>
      </c>
      <c r="H502" s="7">
        <f t="shared" si="10"/>
        <v>150</v>
      </c>
      <c r="I502" s="7">
        <f t="shared" si="11"/>
        <v>24</v>
      </c>
    </row>
    <row r="503" spans="1:9">
      <c r="A503" s="150" t="s">
        <v>7544</v>
      </c>
      <c r="B503">
        <v>85</v>
      </c>
      <c r="F503" s="75" t="s">
        <v>1648</v>
      </c>
      <c r="G503" t="s">
        <v>1649</v>
      </c>
      <c r="H503" s="7">
        <f t="shared" si="10"/>
        <v>1882.1249999999998</v>
      </c>
      <c r="I503" s="7">
        <f t="shared" si="11"/>
        <v>301.14</v>
      </c>
    </row>
    <row r="504" spans="1:9">
      <c r="A504" s="150" t="s">
        <v>7544</v>
      </c>
      <c r="B504">
        <v>85</v>
      </c>
      <c r="F504" s="71" t="s">
        <v>5655</v>
      </c>
      <c r="G504" s="77" t="s">
        <v>5656</v>
      </c>
      <c r="H504" s="7">
        <f t="shared" si="10"/>
        <v>503.24999999999994</v>
      </c>
      <c r="I504" s="7">
        <f t="shared" si="11"/>
        <v>80.52</v>
      </c>
    </row>
    <row r="505" spans="1:9">
      <c r="A505" s="150" t="s">
        <v>7544</v>
      </c>
      <c r="B505">
        <v>85</v>
      </c>
      <c r="F505" s="139" t="s">
        <v>867</v>
      </c>
      <c r="G505" s="80" t="s">
        <v>517</v>
      </c>
      <c r="H505" s="7">
        <f t="shared" si="10"/>
        <v>172413.8125</v>
      </c>
      <c r="I505" s="7">
        <f t="shared" si="11"/>
        <v>27586.21</v>
      </c>
    </row>
    <row r="506" spans="1:9">
      <c r="A506" s="150" t="s">
        <v>7544</v>
      </c>
      <c r="B506">
        <v>85</v>
      </c>
      <c r="F506" s="139" t="s">
        <v>2701</v>
      </c>
      <c r="G506" s="77" t="s">
        <v>2660</v>
      </c>
      <c r="H506" s="7">
        <f t="shared" si="10"/>
        <v>2380</v>
      </c>
      <c r="I506" s="7">
        <f t="shared" si="11"/>
        <v>380.8</v>
      </c>
    </row>
    <row r="507" spans="1:9">
      <c r="A507" s="150" t="s">
        <v>7544</v>
      </c>
      <c r="B507">
        <v>85</v>
      </c>
      <c r="F507" s="75" t="s">
        <v>863</v>
      </c>
      <c r="G507" t="s">
        <v>967</v>
      </c>
      <c r="H507" s="7">
        <f t="shared" si="10"/>
        <v>69340.8125</v>
      </c>
      <c r="I507" s="7">
        <f t="shared" si="11"/>
        <v>11094.53</v>
      </c>
    </row>
    <row r="508" spans="1:9">
      <c r="A508" s="150" t="s">
        <v>7544</v>
      </c>
      <c r="B508">
        <v>85</v>
      </c>
      <c r="F508" s="72" t="s">
        <v>6013</v>
      </c>
      <c r="G508" s="77" t="s">
        <v>7486</v>
      </c>
      <c r="H508" s="7">
        <f t="shared" si="10"/>
        <v>701.875</v>
      </c>
      <c r="I508" s="7">
        <f t="shared" si="11"/>
        <v>112.3</v>
      </c>
    </row>
    <row r="509" spans="1:9">
      <c r="A509" s="150" t="s">
        <v>7544</v>
      </c>
      <c r="B509">
        <v>85</v>
      </c>
      <c r="F509" s="71" t="s">
        <v>864</v>
      </c>
      <c r="G509" s="77" t="s">
        <v>7274</v>
      </c>
      <c r="H509" s="7">
        <f t="shared" si="10"/>
        <v>953.4375</v>
      </c>
      <c r="I509" s="7">
        <f t="shared" si="11"/>
        <v>152.55000000000001</v>
      </c>
    </row>
    <row r="510" spans="1:9">
      <c r="A510" s="150" t="s">
        <v>7544</v>
      </c>
      <c r="B510">
        <v>85</v>
      </c>
      <c r="F510" s="75" t="s">
        <v>4419</v>
      </c>
      <c r="G510" s="78" t="s">
        <v>5657</v>
      </c>
      <c r="H510" s="7">
        <f t="shared" si="10"/>
        <v>444.625</v>
      </c>
      <c r="I510" s="7">
        <f t="shared" si="11"/>
        <v>71.14</v>
      </c>
    </row>
    <row r="511" spans="1:9">
      <c r="A511" s="150" t="s">
        <v>7544</v>
      </c>
      <c r="B511">
        <v>85</v>
      </c>
      <c r="F511" s="71" t="s">
        <v>5647</v>
      </c>
      <c r="G511" s="80" t="s">
        <v>5650</v>
      </c>
      <c r="H511" s="7">
        <f t="shared" si="10"/>
        <v>1917.8125</v>
      </c>
      <c r="I511" s="7">
        <f t="shared" si="11"/>
        <v>306.85000000000002</v>
      </c>
    </row>
    <row r="512" spans="1:9">
      <c r="A512" s="150" t="s">
        <v>7544</v>
      </c>
      <c r="B512">
        <v>85</v>
      </c>
      <c r="F512" s="71" t="s">
        <v>883</v>
      </c>
      <c r="G512" s="77" t="s">
        <v>884</v>
      </c>
      <c r="H512" s="7">
        <f t="shared" si="10"/>
        <v>671</v>
      </c>
      <c r="I512" s="7">
        <f t="shared" si="11"/>
        <v>107.36</v>
      </c>
    </row>
    <row r="513" spans="1:9">
      <c r="A513" s="150" t="s">
        <v>7544</v>
      </c>
      <c r="B513">
        <v>85</v>
      </c>
      <c r="F513" s="71" t="s">
        <v>5635</v>
      </c>
      <c r="G513" t="s">
        <v>4922</v>
      </c>
      <c r="H513" s="7">
        <f t="shared" si="10"/>
        <v>11165</v>
      </c>
      <c r="I513" s="7">
        <f t="shared" si="11"/>
        <v>1786.4</v>
      </c>
    </row>
    <row r="514" spans="1:9">
      <c r="A514" s="150" t="s">
        <v>7544</v>
      </c>
      <c r="B514">
        <v>85</v>
      </c>
      <c r="F514" t="s">
        <v>4939</v>
      </c>
      <c r="G514" s="71" t="s">
        <v>7479</v>
      </c>
      <c r="H514" s="7">
        <f t="shared" si="10"/>
        <v>263223.6875</v>
      </c>
      <c r="I514" s="7">
        <f t="shared" si="11"/>
        <v>42115.79</v>
      </c>
    </row>
    <row r="515" spans="1:9">
      <c r="A515" s="150" t="s">
        <v>7544</v>
      </c>
      <c r="B515">
        <v>85</v>
      </c>
      <c r="F515" s="72" t="s">
        <v>853</v>
      </c>
      <c r="G515" s="77" t="s">
        <v>297</v>
      </c>
      <c r="H515" s="7">
        <f t="shared" si="10"/>
        <v>411</v>
      </c>
      <c r="I515" s="7">
        <f t="shared" si="11"/>
        <v>65.760000000000005</v>
      </c>
    </row>
    <row r="516" spans="1:9">
      <c r="A516" s="150" t="s">
        <v>7544</v>
      </c>
      <c r="B516">
        <v>85</v>
      </c>
      <c r="F516" s="71" t="s">
        <v>5726</v>
      </c>
      <c r="G516" s="77" t="s">
        <v>5727</v>
      </c>
      <c r="H516" s="7">
        <f t="shared" si="10"/>
        <v>226.75</v>
      </c>
      <c r="I516" s="7">
        <f t="shared" ref="I516:I527" si="12">+SUMIF($F$7:$F$370,F516,$I$7:$I$370)</f>
        <v>36.28</v>
      </c>
    </row>
    <row r="517" spans="1:9">
      <c r="A517" s="150" t="s">
        <v>7544</v>
      </c>
      <c r="B517">
        <v>85</v>
      </c>
      <c r="F517" s="72" t="s">
        <v>780</v>
      </c>
      <c r="G517" s="77" t="s">
        <v>781</v>
      </c>
      <c r="H517" s="7">
        <f t="shared" ref="H517:H527" si="13">+I517/0.16</f>
        <v>2252.6875</v>
      </c>
      <c r="I517" s="7">
        <f t="shared" si="12"/>
        <v>360.43</v>
      </c>
    </row>
    <row r="518" spans="1:9">
      <c r="A518" s="150" t="s">
        <v>7544</v>
      </c>
      <c r="B518">
        <v>85</v>
      </c>
      <c r="F518" s="75" t="s">
        <v>5646</v>
      </c>
      <c r="G518" s="78" t="s">
        <v>5649</v>
      </c>
      <c r="H518" s="7">
        <f t="shared" si="13"/>
        <v>3617.4374999999995</v>
      </c>
      <c r="I518" s="7">
        <f t="shared" si="12"/>
        <v>578.79</v>
      </c>
    </row>
    <row r="519" spans="1:9">
      <c r="A519" s="150" t="s">
        <v>7544</v>
      </c>
      <c r="B519">
        <v>85</v>
      </c>
      <c r="F519" s="72" t="s">
        <v>799</v>
      </c>
      <c r="G519" s="77" t="s">
        <v>0</v>
      </c>
      <c r="H519" s="7">
        <f t="shared" si="13"/>
        <v>13993640.749999994</v>
      </c>
      <c r="I519" s="7">
        <f t="shared" si="12"/>
        <v>2238982.5199999991</v>
      </c>
    </row>
    <row r="520" spans="1:9">
      <c r="A520" s="150" t="s">
        <v>7544</v>
      </c>
      <c r="B520">
        <v>85</v>
      </c>
      <c r="F520" s="75" t="s">
        <v>947</v>
      </c>
      <c r="G520" s="78" t="s">
        <v>948</v>
      </c>
      <c r="H520" s="7">
        <f t="shared" si="13"/>
        <v>335.5</v>
      </c>
      <c r="I520" s="7">
        <f t="shared" si="12"/>
        <v>53.68</v>
      </c>
    </row>
    <row r="521" spans="1:9">
      <c r="A521" s="150" t="s">
        <v>7544</v>
      </c>
      <c r="B521">
        <v>85</v>
      </c>
      <c r="F521" s="16" t="s">
        <v>873</v>
      </c>
      <c r="G521" t="s">
        <v>101</v>
      </c>
      <c r="H521" s="7">
        <f t="shared" si="13"/>
        <v>440276.12499999994</v>
      </c>
      <c r="I521" s="7">
        <f t="shared" si="12"/>
        <v>70444.179999999993</v>
      </c>
    </row>
    <row r="522" spans="1:9">
      <c r="A522" s="150" t="s">
        <v>7544</v>
      </c>
      <c r="B522">
        <v>85</v>
      </c>
      <c r="F522" s="72" t="s">
        <v>2767</v>
      </c>
      <c r="G522" s="77" t="s">
        <v>2768</v>
      </c>
      <c r="H522" s="7">
        <f t="shared" si="13"/>
        <v>775.875</v>
      </c>
      <c r="I522" s="7">
        <f t="shared" si="12"/>
        <v>124.14</v>
      </c>
    </row>
    <row r="523" spans="1:9">
      <c r="A523" s="150" t="s">
        <v>7544</v>
      </c>
      <c r="B523">
        <v>85</v>
      </c>
      <c r="F523" s="72" t="s">
        <v>868</v>
      </c>
      <c r="G523" t="s">
        <v>436</v>
      </c>
      <c r="H523" s="7">
        <f t="shared" si="13"/>
        <v>17335.375</v>
      </c>
      <c r="I523" s="7">
        <f t="shared" si="12"/>
        <v>2773.66</v>
      </c>
    </row>
    <row r="524" spans="1:9">
      <c r="A524" s="150" t="s">
        <v>7544</v>
      </c>
      <c r="B524">
        <v>85</v>
      </c>
      <c r="F524" t="s">
        <v>1606</v>
      </c>
      <c r="G524" t="s">
        <v>7481</v>
      </c>
      <c r="H524" s="7">
        <f t="shared" si="13"/>
        <v>245824.375</v>
      </c>
      <c r="I524" s="7">
        <f t="shared" si="12"/>
        <v>39331.9</v>
      </c>
    </row>
    <row r="525" spans="1:9">
      <c r="A525" s="150" t="s">
        <v>7544</v>
      </c>
      <c r="B525">
        <v>85</v>
      </c>
      <c r="F525" s="72" t="s">
        <v>878</v>
      </c>
      <c r="G525" s="77" t="s">
        <v>414</v>
      </c>
      <c r="H525" s="7">
        <f t="shared" si="13"/>
        <v>760</v>
      </c>
      <c r="I525" s="7">
        <f t="shared" si="12"/>
        <v>121.6</v>
      </c>
    </row>
    <row r="526" spans="1:9">
      <c r="A526" s="150" t="s">
        <v>7544</v>
      </c>
      <c r="B526">
        <v>85</v>
      </c>
      <c r="F526" s="72" t="s">
        <v>935</v>
      </c>
      <c r="G526" s="77" t="s">
        <v>936</v>
      </c>
      <c r="H526" s="7">
        <f t="shared" si="13"/>
        <v>439.5625</v>
      </c>
      <c r="I526" s="7">
        <f t="shared" si="12"/>
        <v>70.33</v>
      </c>
    </row>
    <row r="527" spans="1:9">
      <c r="A527" s="150" t="s">
        <v>7544</v>
      </c>
      <c r="B527">
        <v>85</v>
      </c>
      <c r="F527" s="72" t="s">
        <v>802</v>
      </c>
      <c r="G527" s="72" t="s">
        <v>802</v>
      </c>
      <c r="H527" s="7">
        <f t="shared" si="13"/>
        <v>310.375</v>
      </c>
      <c r="I527" s="7">
        <f t="shared" si="12"/>
        <v>49.66</v>
      </c>
    </row>
    <row r="528" spans="1:9">
      <c r="H528" s="8"/>
      <c r="I528" s="8"/>
    </row>
    <row r="529" spans="1:11">
      <c r="H529" s="9">
        <f>SUM(H388:H528)</f>
        <v>21680177.718749993</v>
      </c>
      <c r="I529" s="9">
        <f>SUM(I388:I528)</f>
        <v>3468828.435000001</v>
      </c>
      <c r="J529">
        <f>SUM(J388:J527)</f>
        <v>34483.47</v>
      </c>
    </row>
    <row r="530" spans="1:11">
      <c r="H530" s="151">
        <f>+H373</f>
        <v>21680177.71875</v>
      </c>
      <c r="I530" s="151">
        <f>+I373</f>
        <v>3468828.4350000024</v>
      </c>
    </row>
    <row r="531" spans="1:11">
      <c r="H531" s="10">
        <f>4114483.42-645452.34</f>
        <v>3469031.08</v>
      </c>
      <c r="I531" s="10">
        <f>+H531-I530</f>
        <v>202.64499999769032</v>
      </c>
      <c r="J531" t="s">
        <v>7562</v>
      </c>
      <c r="K531" s="60">
        <f>+K357+K343+K263+K337</f>
        <v>0</v>
      </c>
    </row>
    <row r="532" spans="1:11" s="84" customFormat="1">
      <c r="A532" s="84" t="s">
        <v>251</v>
      </c>
      <c r="B532" s="147">
        <v>42271</v>
      </c>
      <c r="C532" s="84" t="s">
        <v>4755</v>
      </c>
      <c r="D532" s="84">
        <v>1</v>
      </c>
      <c r="E532" s="84" t="s">
        <v>4249</v>
      </c>
      <c r="F532" s="169" t="s">
        <v>853</v>
      </c>
      <c r="G532" s="170" t="s">
        <v>297</v>
      </c>
      <c r="H532" s="148">
        <f>+I532/0.16</f>
        <v>231</v>
      </c>
      <c r="I532" s="148">
        <v>36.96</v>
      </c>
      <c r="J532" s="84" t="s">
        <v>7563</v>
      </c>
    </row>
    <row r="533" spans="1:11">
      <c r="A533" s="84" t="s">
        <v>247</v>
      </c>
      <c r="B533" s="147">
        <v>42277</v>
      </c>
      <c r="C533" s="84">
        <v>2234</v>
      </c>
      <c r="D533" s="84">
        <v>1</v>
      </c>
      <c r="E533" s="84" t="s">
        <v>4748</v>
      </c>
      <c r="F533" s="169" t="s">
        <v>768</v>
      </c>
      <c r="G533" s="170" t="s">
        <v>283</v>
      </c>
      <c r="H533" s="148">
        <f>+I533/0.16</f>
        <v>378.25</v>
      </c>
      <c r="I533" s="148">
        <v>60.52</v>
      </c>
      <c r="J533" t="s">
        <v>7565</v>
      </c>
    </row>
    <row r="534" spans="1:11">
      <c r="A534" s="84" t="s">
        <v>4055</v>
      </c>
      <c r="B534" s="147">
        <v>42277</v>
      </c>
      <c r="C534" s="84">
        <v>5684</v>
      </c>
      <c r="D534" s="84">
        <v>1</v>
      </c>
      <c r="E534" s="84" t="s">
        <v>4745</v>
      </c>
      <c r="F534" s="169" t="s">
        <v>768</v>
      </c>
      <c r="G534" s="170" t="s">
        <v>283</v>
      </c>
      <c r="H534" s="148">
        <f>+I534/0.16</f>
        <v>378.25</v>
      </c>
      <c r="I534" s="148">
        <v>60.52</v>
      </c>
      <c r="J534" t="s">
        <v>7565</v>
      </c>
      <c r="K534" s="60"/>
    </row>
    <row r="535" spans="1:11" s="84" customFormat="1">
      <c r="A535" s="84" t="s">
        <v>4057</v>
      </c>
      <c r="B535" s="147">
        <v>42277</v>
      </c>
      <c r="C535" s="84" t="s">
        <v>4746</v>
      </c>
      <c r="D535" s="84">
        <v>1</v>
      </c>
      <c r="E535" s="84" t="s">
        <v>4745</v>
      </c>
      <c r="F535" s="169" t="s">
        <v>768</v>
      </c>
      <c r="G535" s="170" t="s">
        <v>283</v>
      </c>
      <c r="H535" s="148">
        <f>+I535/0.16</f>
        <v>279</v>
      </c>
      <c r="I535" s="148">
        <f>60.52-15.88</f>
        <v>44.64</v>
      </c>
      <c r="J535" t="s">
        <v>7565</v>
      </c>
    </row>
    <row r="536" spans="1:11" s="19" customFormat="1">
      <c r="B536" s="171"/>
      <c r="F536" s="71"/>
      <c r="G536" s="82"/>
      <c r="H536" s="100"/>
      <c r="I536" s="177">
        <f>+I535+I534+I533+I532+I530</f>
        <v>3469031.0750000025</v>
      </c>
      <c r="J536" s="100">
        <f>+I535+I534+I533+I532</f>
        <v>202.64000000000001</v>
      </c>
    </row>
  </sheetData>
  <sortState ref="A1:K415">
    <sortCondition ref="C1:C415"/>
  </sortState>
  <conditionalFormatting sqref="F388:G527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28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2016-09-28T18:54:45Z</cp:lastPrinted>
  <dcterms:created xsi:type="dcterms:W3CDTF">2016-09-13T15:11:20Z</dcterms:created>
  <dcterms:modified xsi:type="dcterms:W3CDTF">2016-09-28T21:09:42Z</dcterms:modified>
</cp:coreProperties>
</file>