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31.107.8.54\g$\Grupo LMJS\CELAYA\Conciliacion de cuentas contables Celaya\CELAYA 2015\"/>
    </mc:Choice>
  </mc:AlternateContent>
  <bookViews>
    <workbookView xWindow="0" yWindow="0" windowWidth="28800" windowHeight="12045" tabRatio="445" activeTab="1"/>
  </bookViews>
  <sheets>
    <sheet name="Hoja1" sheetId="1" r:id="rId1"/>
    <sheet name="calculo" sheetId="4" r:id="rId2"/>
    <sheet name="INDICES" sheetId="2" r:id="rId3"/>
    <sheet name="Hoja3" sheetId="3" r:id="rId4"/>
  </sheets>
  <externalReferences>
    <externalReference r:id="rId5"/>
  </externalReferences>
  <definedNames>
    <definedName name="_xlnm._FilterDatabase" localSheetId="1" hidden="1">calculo!$A$5:$Q$158</definedName>
    <definedName name="_xlnm.Print_Area" localSheetId="1">calculo!$A$1:$Q$130</definedName>
    <definedName name="_xlnm.Print_Area" localSheetId="0">Hoja1!$A$1:$M$23</definedName>
  </definedNames>
  <calcPr calcId="152511"/>
</workbook>
</file>

<file path=xl/calcChain.xml><?xml version="1.0" encoding="utf-8"?>
<calcChain xmlns="http://schemas.openxmlformats.org/spreadsheetml/2006/main">
  <c r="O158" i="4" l="1"/>
  <c r="F16" i="4"/>
  <c r="I101" i="4"/>
  <c r="I131" i="4"/>
  <c r="I13" i="4"/>
  <c r="I12" i="4"/>
  <c r="I9" i="4"/>
  <c r="I155" i="4"/>
  <c r="I153" i="4"/>
  <c r="I151" i="4"/>
  <c r="I146" i="4"/>
  <c r="I145" i="4"/>
  <c r="I144" i="4"/>
  <c r="I143" i="4"/>
  <c r="I142" i="4"/>
  <c r="I140" i="4"/>
  <c r="I138" i="4"/>
  <c r="I137" i="4"/>
  <c r="I136" i="4"/>
  <c r="I135" i="4"/>
  <c r="I134" i="4"/>
  <c r="I133" i="4"/>
  <c r="I132" i="4"/>
  <c r="I130" i="4"/>
  <c r="I129" i="4"/>
  <c r="I128" i="4"/>
  <c r="I127" i="4"/>
  <c r="I126" i="4"/>
  <c r="I125" i="4"/>
  <c r="I124" i="4"/>
  <c r="I123" i="4"/>
  <c r="I122" i="4"/>
  <c r="I121" i="4"/>
  <c r="I119" i="4"/>
  <c r="I117" i="4"/>
  <c r="I115" i="4"/>
  <c r="I113" i="4"/>
  <c r="I112" i="4"/>
  <c r="I110" i="4"/>
  <c r="I108" i="4"/>
  <c r="I109" i="4"/>
  <c r="I107" i="4"/>
  <c r="I106" i="4"/>
  <c r="I105" i="4"/>
  <c r="I104" i="4"/>
  <c r="I103" i="4"/>
  <c r="I102" i="4"/>
  <c r="I99" i="4"/>
  <c r="I98" i="4"/>
  <c r="I97" i="4"/>
  <c r="I96" i="4"/>
  <c r="I95" i="4"/>
  <c r="I94" i="4"/>
  <c r="I92" i="4"/>
  <c r="I91" i="4"/>
  <c r="I90" i="4"/>
  <c r="I89" i="4"/>
  <c r="I88" i="4"/>
  <c r="I87" i="4"/>
  <c r="I86" i="4"/>
  <c r="I85" i="4"/>
  <c r="I83" i="4"/>
  <c r="I82" i="4"/>
  <c r="I81" i="4"/>
  <c r="I80" i="4"/>
  <c r="I79" i="4"/>
  <c r="I78" i="4"/>
  <c r="I77" i="4"/>
  <c r="I76" i="4"/>
  <c r="I75" i="4"/>
  <c r="I74" i="4"/>
  <c r="I73" i="4"/>
  <c r="I71" i="4"/>
  <c r="I70" i="4"/>
  <c r="I69" i="4"/>
  <c r="I67" i="4"/>
  <c r="I66" i="4"/>
  <c r="I65" i="4"/>
  <c r="I64" i="4"/>
  <c r="I63" i="4"/>
  <c r="I62" i="4"/>
  <c r="I61" i="4"/>
  <c r="I60" i="4"/>
  <c r="I58" i="4"/>
  <c r="I56" i="4"/>
  <c r="I55" i="4"/>
  <c r="I54" i="4"/>
  <c r="I53" i="4"/>
  <c r="I50" i="4"/>
  <c r="I49" i="4"/>
  <c r="I48" i="4"/>
  <c r="I47" i="4"/>
  <c r="I45" i="4"/>
  <c r="I44" i="4"/>
  <c r="I43" i="4"/>
  <c r="I40" i="4"/>
  <c r="I39" i="4"/>
  <c r="I38" i="4"/>
  <c r="I36" i="4"/>
  <c r="I35" i="4"/>
  <c r="I34" i="4"/>
  <c r="I33" i="4"/>
  <c r="I32" i="4"/>
  <c r="I31" i="4"/>
  <c r="I29" i="4"/>
  <c r="I28" i="4"/>
  <c r="I24" i="4"/>
  <c r="I22" i="4"/>
  <c r="I21" i="4"/>
  <c r="I18" i="4"/>
  <c r="I23" i="4"/>
  <c r="I17" i="4"/>
  <c r="I16" i="4"/>
  <c r="I7" i="4"/>
  <c r="E139" i="4" l="1"/>
  <c r="F139" i="4"/>
  <c r="E120" i="4"/>
  <c r="F120" i="4"/>
  <c r="E118" i="4"/>
  <c r="F118" i="4"/>
  <c r="E111" i="4"/>
  <c r="F111" i="4"/>
  <c r="E100" i="4"/>
  <c r="F100" i="4"/>
  <c r="E101" i="4"/>
  <c r="F101" i="4"/>
  <c r="E93" i="4"/>
  <c r="F93" i="4"/>
  <c r="E84" i="4"/>
  <c r="F84" i="4"/>
  <c r="E72" i="4"/>
  <c r="F72" i="4"/>
  <c r="E68" i="4"/>
  <c r="F68" i="4"/>
  <c r="E59" i="4"/>
  <c r="F59" i="4"/>
  <c r="E57" i="4"/>
  <c r="F57" i="4"/>
  <c r="E52" i="4"/>
  <c r="F52" i="4"/>
  <c r="E46" i="4"/>
  <c r="F46" i="4"/>
  <c r="E41" i="4"/>
  <c r="F41" i="4"/>
  <c r="E42" i="4"/>
  <c r="F42" i="4"/>
  <c r="E37" i="4"/>
  <c r="F37" i="4"/>
  <c r="E30" i="4"/>
  <c r="F30" i="4"/>
  <c r="E25" i="4"/>
  <c r="F25" i="4"/>
  <c r="E26" i="4"/>
  <c r="F26" i="4"/>
  <c r="E27" i="4"/>
  <c r="F27" i="4"/>
  <c r="E20" i="4"/>
  <c r="F20" i="4"/>
  <c r="E19" i="4"/>
  <c r="F19" i="4"/>
  <c r="E15" i="4"/>
  <c r="F15" i="4"/>
  <c r="E11" i="4"/>
  <c r="F11" i="4"/>
  <c r="E8" i="4"/>
  <c r="F8" i="4"/>
  <c r="E7" i="4"/>
  <c r="F7" i="4"/>
  <c r="E9" i="4"/>
  <c r="F9" i="4"/>
  <c r="E10" i="4"/>
  <c r="F10" i="4"/>
  <c r="E12" i="4"/>
  <c r="F12" i="4"/>
  <c r="E13" i="4"/>
  <c r="F13" i="4"/>
  <c r="E14" i="4"/>
  <c r="F14" i="4"/>
  <c r="E16" i="4"/>
  <c r="E17" i="4"/>
  <c r="F17" i="4"/>
  <c r="E18" i="4"/>
  <c r="F18" i="4"/>
  <c r="E21" i="4"/>
  <c r="F21" i="4"/>
  <c r="E22" i="4"/>
  <c r="F22" i="4"/>
  <c r="E23" i="4"/>
  <c r="F23" i="4"/>
  <c r="E24" i="4"/>
  <c r="F24" i="4"/>
  <c r="E28" i="4"/>
  <c r="F28" i="4"/>
  <c r="E29" i="4"/>
  <c r="F29" i="4"/>
  <c r="E31" i="4"/>
  <c r="F31" i="4"/>
  <c r="E32" i="4"/>
  <c r="F32" i="4"/>
  <c r="E33" i="4"/>
  <c r="F33" i="4"/>
  <c r="E34" i="4"/>
  <c r="F34" i="4"/>
  <c r="E35" i="4"/>
  <c r="F35" i="4"/>
  <c r="E36" i="4"/>
  <c r="F36" i="4"/>
  <c r="E38" i="4"/>
  <c r="F38" i="4"/>
  <c r="E39" i="4"/>
  <c r="F39" i="4"/>
  <c r="E40" i="4"/>
  <c r="F40" i="4"/>
  <c r="E43" i="4"/>
  <c r="F43" i="4"/>
  <c r="E44" i="4"/>
  <c r="F44" i="4"/>
  <c r="E45" i="4"/>
  <c r="F45" i="4"/>
  <c r="E47" i="4"/>
  <c r="F47" i="4"/>
  <c r="E48" i="4"/>
  <c r="F48" i="4"/>
  <c r="E49" i="4"/>
  <c r="F49" i="4"/>
  <c r="E50" i="4"/>
  <c r="F50" i="4"/>
  <c r="E51" i="4"/>
  <c r="F51" i="4"/>
  <c r="E53" i="4"/>
  <c r="F53" i="4"/>
  <c r="E54" i="4"/>
  <c r="F54" i="4"/>
  <c r="E55" i="4"/>
  <c r="F55" i="4"/>
  <c r="E56" i="4"/>
  <c r="F56" i="4"/>
  <c r="E58" i="4"/>
  <c r="F58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9" i="4"/>
  <c r="F69" i="4"/>
  <c r="E70" i="4"/>
  <c r="F70" i="4"/>
  <c r="E71" i="4"/>
  <c r="F71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4" i="4"/>
  <c r="F94" i="4"/>
  <c r="E95" i="4"/>
  <c r="F95" i="4"/>
  <c r="E96" i="4"/>
  <c r="F96" i="4"/>
  <c r="E97" i="4"/>
  <c r="F97" i="4"/>
  <c r="E98" i="4"/>
  <c r="F98" i="4"/>
  <c r="E99" i="4"/>
  <c r="F99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9" i="4"/>
  <c r="F119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H42" i="4" l="1"/>
  <c r="J42" i="4" s="1"/>
  <c r="L42" i="4" s="1"/>
  <c r="N42" i="4" s="1"/>
  <c r="H57" i="4"/>
  <c r="J57" i="4" s="1"/>
  <c r="L57" i="4" s="1"/>
  <c r="N57" i="4" s="1"/>
  <c r="H68" i="4"/>
  <c r="J68" i="4" s="1"/>
  <c r="L68" i="4" s="1"/>
  <c r="N68" i="4" s="1"/>
  <c r="H84" i="4"/>
  <c r="J84" i="4" s="1"/>
  <c r="L84" i="4" s="1"/>
  <c r="N84" i="4" s="1"/>
  <c r="H101" i="4"/>
  <c r="J101" i="4" s="1"/>
  <c r="L101" i="4" s="1"/>
  <c r="N101" i="4" s="1"/>
  <c r="H111" i="4"/>
  <c r="J111" i="4" s="1"/>
  <c r="L111" i="4" s="1"/>
  <c r="N111" i="4" s="1"/>
  <c r="H37" i="4"/>
  <c r="J37" i="4" s="1"/>
  <c r="L37" i="4" s="1"/>
  <c r="N37" i="4" s="1"/>
  <c r="H10" i="4"/>
  <c r="J10" i="4" s="1"/>
  <c r="L10" i="4" s="1"/>
  <c r="N10" i="4" s="1"/>
  <c r="H11" i="4"/>
  <c r="J11" i="4" s="1"/>
  <c r="L11" i="4" s="1"/>
  <c r="N11" i="4" s="1"/>
  <c r="H27" i="4"/>
  <c r="J27" i="4" s="1"/>
  <c r="L27" i="4" s="1"/>
  <c r="N27" i="4" s="1"/>
  <c r="H59" i="4"/>
  <c r="J59" i="4" s="1"/>
  <c r="L59" i="4" s="1"/>
  <c r="N59" i="4" s="1"/>
  <c r="H118" i="4"/>
  <c r="J118" i="4" s="1"/>
  <c r="L118" i="4" s="1"/>
  <c r="N118" i="4" s="1"/>
  <c r="H26" i="4"/>
  <c r="J26" i="4" s="1"/>
  <c r="L26" i="4" s="1"/>
  <c r="N26" i="4" s="1"/>
  <c r="H30" i="4"/>
  <c r="J30" i="4" s="1"/>
  <c r="L30" i="4" s="1"/>
  <c r="N30" i="4" s="1"/>
  <c r="H25" i="4"/>
  <c r="J25" i="4" s="1"/>
  <c r="L25" i="4" s="1"/>
  <c r="N25" i="4" s="1"/>
  <c r="H52" i="4"/>
  <c r="J52" i="4" s="1"/>
  <c r="L52" i="4" s="1"/>
  <c r="N52" i="4" s="1"/>
  <c r="H72" i="4"/>
  <c r="J72" i="4" s="1"/>
  <c r="L72" i="4" s="1"/>
  <c r="N72" i="4" s="1"/>
  <c r="H100" i="4"/>
  <c r="J100" i="4" s="1"/>
  <c r="L100" i="4" s="1"/>
  <c r="N100" i="4" s="1"/>
  <c r="H139" i="4"/>
  <c r="J139" i="4" s="1"/>
  <c r="L139" i="4" s="1"/>
  <c r="N139" i="4" s="1"/>
  <c r="H14" i="4"/>
  <c r="J14" i="4" s="1"/>
  <c r="L14" i="4" s="1"/>
  <c r="N14" i="4" s="1"/>
  <c r="O14" i="4" s="1"/>
  <c r="H8" i="4"/>
  <c r="J8" i="4" s="1"/>
  <c r="L8" i="4" s="1"/>
  <c r="N8" i="4" s="1"/>
  <c r="H15" i="4"/>
  <c r="J15" i="4" s="1"/>
  <c r="L15" i="4" s="1"/>
  <c r="N15" i="4" s="1"/>
  <c r="H20" i="4"/>
  <c r="J20" i="4" s="1"/>
  <c r="L20" i="4" s="1"/>
  <c r="N20" i="4" s="1"/>
  <c r="H133" i="4"/>
  <c r="J133" i="4" s="1"/>
  <c r="L133" i="4" s="1"/>
  <c r="N133" i="4" s="1"/>
  <c r="O133" i="4" s="1"/>
  <c r="H131" i="4"/>
  <c r="J131" i="4" s="1"/>
  <c r="L131" i="4" s="1"/>
  <c r="N131" i="4" s="1"/>
  <c r="O131" i="4" s="1"/>
  <c r="H129" i="4"/>
  <c r="J129" i="4" s="1"/>
  <c r="L129" i="4" s="1"/>
  <c r="N129" i="4" s="1"/>
  <c r="O129" i="4" s="1"/>
  <c r="H123" i="4"/>
  <c r="J123" i="4" s="1"/>
  <c r="L123" i="4" s="1"/>
  <c r="N123" i="4" s="1"/>
  <c r="O123" i="4" s="1"/>
  <c r="H125" i="4"/>
  <c r="J125" i="4" s="1"/>
  <c r="L125" i="4" s="1"/>
  <c r="N125" i="4" s="1"/>
  <c r="O125" i="4" s="1"/>
  <c r="H120" i="4"/>
  <c r="J120" i="4" s="1"/>
  <c r="L120" i="4" s="1"/>
  <c r="N120" i="4" s="1"/>
  <c r="H117" i="4"/>
  <c r="J117" i="4" s="1"/>
  <c r="L117" i="4" s="1"/>
  <c r="N117" i="4" s="1"/>
  <c r="O117" i="4" s="1"/>
  <c r="H115" i="4"/>
  <c r="J115" i="4" s="1"/>
  <c r="L115" i="4" s="1"/>
  <c r="N115" i="4" s="1"/>
  <c r="O115" i="4" s="1"/>
  <c r="H91" i="4"/>
  <c r="J91" i="4" s="1"/>
  <c r="L91" i="4" s="1"/>
  <c r="N91" i="4" s="1"/>
  <c r="O91" i="4" s="1"/>
  <c r="H87" i="4"/>
  <c r="J87" i="4" s="1"/>
  <c r="L87" i="4" s="1"/>
  <c r="N87" i="4" s="1"/>
  <c r="O87" i="4" s="1"/>
  <c r="H85" i="4"/>
  <c r="J85" i="4" s="1"/>
  <c r="L85" i="4" s="1"/>
  <c r="N85" i="4" s="1"/>
  <c r="H83" i="4"/>
  <c r="J83" i="4" s="1"/>
  <c r="L83" i="4" s="1"/>
  <c r="N83" i="4" s="1"/>
  <c r="O83" i="4" s="1"/>
  <c r="H71" i="4"/>
  <c r="J71" i="4" s="1"/>
  <c r="L71" i="4" s="1"/>
  <c r="N71" i="4" s="1"/>
  <c r="O71" i="4" s="1"/>
  <c r="H69" i="4"/>
  <c r="J69" i="4" s="1"/>
  <c r="L69" i="4" s="1"/>
  <c r="N69" i="4" s="1"/>
  <c r="O69" i="4" s="1"/>
  <c r="H60" i="4"/>
  <c r="J60" i="4" s="1"/>
  <c r="L60" i="4" s="1"/>
  <c r="N60" i="4" s="1"/>
  <c r="O60" i="4" s="1"/>
  <c r="H38" i="4"/>
  <c r="J38" i="4" s="1"/>
  <c r="L38" i="4" s="1"/>
  <c r="N38" i="4" s="1"/>
  <c r="O38" i="4" s="1"/>
  <c r="H46" i="4"/>
  <c r="J46" i="4" s="1"/>
  <c r="L46" i="4" s="1"/>
  <c r="N46" i="4" s="1"/>
  <c r="H93" i="4"/>
  <c r="J93" i="4" s="1"/>
  <c r="L93" i="4" s="1"/>
  <c r="N93" i="4" s="1"/>
  <c r="H41" i="4"/>
  <c r="J41" i="4" s="1"/>
  <c r="L41" i="4" s="1"/>
  <c r="N41" i="4" s="1"/>
  <c r="H19" i="4"/>
  <c r="J19" i="4" s="1"/>
  <c r="L19" i="4" s="1"/>
  <c r="N19" i="4" s="1"/>
  <c r="H16" i="4"/>
  <c r="J16" i="4" s="1"/>
  <c r="L16" i="4" s="1"/>
  <c r="N16" i="4" s="1"/>
  <c r="O16" i="4" s="1"/>
  <c r="H154" i="4"/>
  <c r="J154" i="4" s="1"/>
  <c r="L154" i="4" s="1"/>
  <c r="N154" i="4" s="1"/>
  <c r="O154" i="4" s="1"/>
  <c r="H150" i="4"/>
  <c r="J150" i="4" s="1"/>
  <c r="L150" i="4" s="1"/>
  <c r="N150" i="4" s="1"/>
  <c r="O150" i="4" s="1"/>
  <c r="H146" i="4"/>
  <c r="J146" i="4" s="1"/>
  <c r="L146" i="4" s="1"/>
  <c r="N146" i="4" s="1"/>
  <c r="O146" i="4" s="1"/>
  <c r="H140" i="4"/>
  <c r="J140" i="4" s="1"/>
  <c r="L140" i="4" s="1"/>
  <c r="N140" i="4" s="1"/>
  <c r="O140" i="4" s="1"/>
  <c r="H135" i="4"/>
  <c r="J135" i="4" s="1"/>
  <c r="L135" i="4" s="1"/>
  <c r="N135" i="4" s="1"/>
  <c r="H127" i="4"/>
  <c r="J127" i="4" s="1"/>
  <c r="L127" i="4" s="1"/>
  <c r="N127" i="4" s="1"/>
  <c r="O127" i="4" s="1"/>
  <c r="H121" i="4"/>
  <c r="J121" i="4" s="1"/>
  <c r="L121" i="4" s="1"/>
  <c r="N121" i="4" s="1"/>
  <c r="O121" i="4" s="1"/>
  <c r="H113" i="4"/>
  <c r="J113" i="4" s="1"/>
  <c r="L113" i="4" s="1"/>
  <c r="N113" i="4" s="1"/>
  <c r="O113" i="4" s="1"/>
  <c r="H110" i="4"/>
  <c r="J110" i="4" s="1"/>
  <c r="L110" i="4" s="1"/>
  <c r="N110" i="4" s="1"/>
  <c r="O110" i="4" s="1"/>
  <c r="H106" i="4"/>
  <c r="J106" i="4" s="1"/>
  <c r="L106" i="4" s="1"/>
  <c r="N106" i="4" s="1"/>
  <c r="O106" i="4" s="1"/>
  <c r="H102" i="4"/>
  <c r="J102" i="4" s="1"/>
  <c r="L102" i="4" s="1"/>
  <c r="N102" i="4" s="1"/>
  <c r="O102" i="4" s="1"/>
  <c r="H94" i="4"/>
  <c r="J94" i="4" s="1"/>
  <c r="L94" i="4" s="1"/>
  <c r="N94" i="4" s="1"/>
  <c r="O94" i="4" s="1"/>
  <c r="H89" i="4"/>
  <c r="J89" i="4" s="1"/>
  <c r="L89" i="4" s="1"/>
  <c r="N89" i="4" s="1"/>
  <c r="H80" i="4"/>
  <c r="J80" i="4" s="1"/>
  <c r="L80" i="4" s="1"/>
  <c r="N80" i="4" s="1"/>
  <c r="O80" i="4" s="1"/>
  <c r="H76" i="4"/>
  <c r="J76" i="4" s="1"/>
  <c r="L76" i="4" s="1"/>
  <c r="N76" i="4" s="1"/>
  <c r="O76" i="4" s="1"/>
  <c r="H66" i="4"/>
  <c r="J66" i="4" s="1"/>
  <c r="L66" i="4" s="1"/>
  <c r="N66" i="4" s="1"/>
  <c r="O66" i="4" s="1"/>
  <c r="H62" i="4"/>
  <c r="J62" i="4" s="1"/>
  <c r="L62" i="4" s="1"/>
  <c r="N62" i="4" s="1"/>
  <c r="O62" i="4" s="1"/>
  <c r="H54" i="4"/>
  <c r="J54" i="4" s="1"/>
  <c r="L54" i="4" s="1"/>
  <c r="N54" i="4" s="1"/>
  <c r="O54" i="4" s="1"/>
  <c r="H47" i="4"/>
  <c r="J47" i="4" s="1"/>
  <c r="L47" i="4" s="1"/>
  <c r="N47" i="4" s="1"/>
  <c r="O47" i="4" s="1"/>
  <c r="H40" i="4"/>
  <c r="J40" i="4" s="1"/>
  <c r="L40" i="4" s="1"/>
  <c r="N40" i="4" s="1"/>
  <c r="O40" i="4" s="1"/>
  <c r="H35" i="4"/>
  <c r="J35" i="4" s="1"/>
  <c r="L35" i="4" s="1"/>
  <c r="N35" i="4" s="1"/>
  <c r="O35" i="4" s="1"/>
  <c r="H31" i="4"/>
  <c r="J31" i="4" s="1"/>
  <c r="L31" i="4" s="1"/>
  <c r="N31" i="4" s="1"/>
  <c r="O31" i="4" s="1"/>
  <c r="H28" i="4"/>
  <c r="J28" i="4" s="1"/>
  <c r="L28" i="4" s="1"/>
  <c r="N28" i="4" s="1"/>
  <c r="O28" i="4" s="1"/>
  <c r="H23" i="4"/>
  <c r="J23" i="4" s="1"/>
  <c r="L23" i="4" s="1"/>
  <c r="N23" i="4" s="1"/>
  <c r="H21" i="4"/>
  <c r="J21" i="4" s="1"/>
  <c r="L21" i="4" s="1"/>
  <c r="N21" i="4" s="1"/>
  <c r="O21" i="4" s="1"/>
  <c r="H119" i="4"/>
  <c r="J119" i="4" s="1"/>
  <c r="L119" i="4" s="1"/>
  <c r="N119" i="4" s="1"/>
  <c r="O119" i="4" s="1"/>
  <c r="H109" i="4"/>
  <c r="J109" i="4" s="1"/>
  <c r="L109" i="4" s="1"/>
  <c r="N109" i="4" s="1"/>
  <c r="O109" i="4" s="1"/>
  <c r="H107" i="4"/>
  <c r="J107" i="4" s="1"/>
  <c r="L107" i="4" s="1"/>
  <c r="N107" i="4" s="1"/>
  <c r="O107" i="4" s="1"/>
  <c r="H105" i="4"/>
  <c r="J105" i="4" s="1"/>
  <c r="L105" i="4" s="1"/>
  <c r="N105" i="4" s="1"/>
  <c r="O105" i="4" s="1"/>
  <c r="H103" i="4"/>
  <c r="J103" i="4" s="1"/>
  <c r="L103" i="4" s="1"/>
  <c r="N103" i="4" s="1"/>
  <c r="O103" i="4" s="1"/>
  <c r="H99" i="4"/>
  <c r="J99" i="4" s="1"/>
  <c r="L99" i="4" s="1"/>
  <c r="N99" i="4" s="1"/>
  <c r="O99" i="4" s="1"/>
  <c r="H97" i="4"/>
  <c r="J97" i="4" s="1"/>
  <c r="L97" i="4" s="1"/>
  <c r="N97" i="4" s="1"/>
  <c r="O97" i="4" s="1"/>
  <c r="H95" i="4"/>
  <c r="J95" i="4" s="1"/>
  <c r="L95" i="4" s="1"/>
  <c r="N95" i="4" s="1"/>
  <c r="O95" i="4" s="1"/>
  <c r="H81" i="4"/>
  <c r="J81" i="4" s="1"/>
  <c r="L81" i="4" s="1"/>
  <c r="N81" i="4" s="1"/>
  <c r="O81" i="4" s="1"/>
  <c r="H79" i="4"/>
  <c r="J79" i="4" s="1"/>
  <c r="L79" i="4" s="1"/>
  <c r="N79" i="4" s="1"/>
  <c r="O79" i="4" s="1"/>
  <c r="H77" i="4"/>
  <c r="J77" i="4" s="1"/>
  <c r="L77" i="4" s="1"/>
  <c r="N77" i="4" s="1"/>
  <c r="O77" i="4" s="1"/>
  <c r="H75" i="4"/>
  <c r="J75" i="4" s="1"/>
  <c r="L75" i="4" s="1"/>
  <c r="N75" i="4" s="1"/>
  <c r="O75" i="4" s="1"/>
  <c r="H73" i="4"/>
  <c r="J73" i="4" s="1"/>
  <c r="L73" i="4" s="1"/>
  <c r="N73" i="4" s="1"/>
  <c r="O73" i="4" s="1"/>
  <c r="H67" i="4"/>
  <c r="J67" i="4" s="1"/>
  <c r="L67" i="4" s="1"/>
  <c r="N67" i="4" s="1"/>
  <c r="O67" i="4" s="1"/>
  <c r="H65" i="4"/>
  <c r="J65" i="4" s="1"/>
  <c r="L65" i="4" s="1"/>
  <c r="N65" i="4" s="1"/>
  <c r="H63" i="4"/>
  <c r="J63" i="4" s="1"/>
  <c r="L63" i="4" s="1"/>
  <c r="N63" i="4" s="1"/>
  <c r="O63" i="4" s="1"/>
  <c r="H58" i="4"/>
  <c r="J58" i="4" s="1"/>
  <c r="L58" i="4" s="1"/>
  <c r="N58" i="4" s="1"/>
  <c r="O58" i="4" s="1"/>
  <c r="H50" i="4"/>
  <c r="J50" i="4" s="1"/>
  <c r="L50" i="4" s="1"/>
  <c r="N50" i="4" s="1"/>
  <c r="O50" i="4" s="1"/>
  <c r="H34" i="4"/>
  <c r="J34" i="4" s="1"/>
  <c r="L34" i="4" s="1"/>
  <c r="N34" i="4" s="1"/>
  <c r="O34" i="4" s="1"/>
  <c r="H22" i="4"/>
  <c r="J22" i="4" s="1"/>
  <c r="L22" i="4" s="1"/>
  <c r="N22" i="4" s="1"/>
  <c r="O22" i="4" s="1"/>
  <c r="H18" i="4"/>
  <c r="J18" i="4" s="1"/>
  <c r="L18" i="4" s="1"/>
  <c r="N18" i="4" s="1"/>
  <c r="O18" i="4" s="1"/>
  <c r="H156" i="4"/>
  <c r="J156" i="4" s="1"/>
  <c r="L156" i="4" s="1"/>
  <c r="N156" i="4" s="1"/>
  <c r="O156" i="4" s="1"/>
  <c r="H152" i="4"/>
  <c r="J152" i="4" s="1"/>
  <c r="L152" i="4" s="1"/>
  <c r="N152" i="4" s="1"/>
  <c r="O152" i="4" s="1"/>
  <c r="H148" i="4"/>
  <c r="J148" i="4" s="1"/>
  <c r="L148" i="4" s="1"/>
  <c r="N148" i="4" s="1"/>
  <c r="H144" i="4"/>
  <c r="J144" i="4" s="1"/>
  <c r="L144" i="4" s="1"/>
  <c r="N144" i="4" s="1"/>
  <c r="O144" i="4" s="1"/>
  <c r="H142" i="4"/>
  <c r="J142" i="4" s="1"/>
  <c r="L142" i="4" s="1"/>
  <c r="N142" i="4" s="1"/>
  <c r="O142" i="4" s="1"/>
  <c r="H137" i="4"/>
  <c r="J137" i="4" s="1"/>
  <c r="L137" i="4" s="1"/>
  <c r="N137" i="4" s="1"/>
  <c r="O137" i="4" s="1"/>
  <c r="H108" i="4"/>
  <c r="J108" i="4" s="1"/>
  <c r="L108" i="4" s="1"/>
  <c r="N108" i="4" s="1"/>
  <c r="O108" i="4" s="1"/>
  <c r="H104" i="4"/>
  <c r="J104" i="4" s="1"/>
  <c r="L104" i="4" s="1"/>
  <c r="N104" i="4" s="1"/>
  <c r="O104" i="4" s="1"/>
  <c r="H98" i="4"/>
  <c r="J98" i="4" s="1"/>
  <c r="L98" i="4" s="1"/>
  <c r="N98" i="4" s="1"/>
  <c r="O98" i="4" s="1"/>
  <c r="H96" i="4"/>
  <c r="J96" i="4" s="1"/>
  <c r="L96" i="4" s="1"/>
  <c r="N96" i="4" s="1"/>
  <c r="H82" i="4"/>
  <c r="J82" i="4" s="1"/>
  <c r="L82" i="4" s="1"/>
  <c r="N82" i="4" s="1"/>
  <c r="O82" i="4" s="1"/>
  <c r="H78" i="4"/>
  <c r="J78" i="4" s="1"/>
  <c r="L78" i="4" s="1"/>
  <c r="N78" i="4" s="1"/>
  <c r="O78" i="4" s="1"/>
  <c r="H74" i="4"/>
  <c r="J74" i="4" s="1"/>
  <c r="L74" i="4" s="1"/>
  <c r="N74" i="4" s="1"/>
  <c r="H64" i="4"/>
  <c r="J64" i="4" s="1"/>
  <c r="L64" i="4" s="1"/>
  <c r="N64" i="4" s="1"/>
  <c r="O64" i="4" s="1"/>
  <c r="H56" i="4"/>
  <c r="J56" i="4" s="1"/>
  <c r="L56" i="4" s="1"/>
  <c r="N56" i="4" s="1"/>
  <c r="O56" i="4" s="1"/>
  <c r="H51" i="4"/>
  <c r="J51" i="4" s="1"/>
  <c r="L51" i="4" s="1"/>
  <c r="N51" i="4" s="1"/>
  <c r="H49" i="4"/>
  <c r="J49" i="4" s="1"/>
  <c r="L49" i="4" s="1"/>
  <c r="N49" i="4" s="1"/>
  <c r="O49" i="4" s="1"/>
  <c r="H44" i="4"/>
  <c r="J44" i="4" s="1"/>
  <c r="L44" i="4" s="1"/>
  <c r="N44" i="4" s="1"/>
  <c r="O44" i="4" s="1"/>
  <c r="H33" i="4"/>
  <c r="J33" i="4" s="1"/>
  <c r="L33" i="4" s="1"/>
  <c r="N33" i="4" s="1"/>
  <c r="O33" i="4" s="1"/>
  <c r="H12" i="4"/>
  <c r="J12" i="4" s="1"/>
  <c r="L12" i="4" s="1"/>
  <c r="N12" i="4" s="1"/>
  <c r="O12" i="4" s="1"/>
  <c r="H157" i="4"/>
  <c r="J157" i="4" s="1"/>
  <c r="L157" i="4" s="1"/>
  <c r="N157" i="4" s="1"/>
  <c r="O157" i="4" s="1"/>
  <c r="H155" i="4"/>
  <c r="J155" i="4" s="1"/>
  <c r="L155" i="4" s="1"/>
  <c r="N155" i="4" s="1"/>
  <c r="O155" i="4" s="1"/>
  <c r="H153" i="4"/>
  <c r="J153" i="4" s="1"/>
  <c r="L153" i="4" s="1"/>
  <c r="N153" i="4" s="1"/>
  <c r="O153" i="4" s="1"/>
  <c r="H151" i="4"/>
  <c r="J151" i="4" s="1"/>
  <c r="L151" i="4" s="1"/>
  <c r="N151" i="4" s="1"/>
  <c r="O151" i="4" s="1"/>
  <c r="H149" i="4"/>
  <c r="J149" i="4" s="1"/>
  <c r="L149" i="4" s="1"/>
  <c r="N149" i="4" s="1"/>
  <c r="O149" i="4" s="1"/>
  <c r="H147" i="4"/>
  <c r="J147" i="4" s="1"/>
  <c r="L147" i="4" s="1"/>
  <c r="N147" i="4" s="1"/>
  <c r="O147" i="4" s="1"/>
  <c r="H145" i="4"/>
  <c r="J145" i="4" s="1"/>
  <c r="L145" i="4" s="1"/>
  <c r="N145" i="4" s="1"/>
  <c r="O145" i="4" s="1"/>
  <c r="H143" i="4"/>
  <c r="J143" i="4" s="1"/>
  <c r="L143" i="4" s="1"/>
  <c r="N143" i="4" s="1"/>
  <c r="O143" i="4" s="1"/>
  <c r="H141" i="4"/>
  <c r="J141" i="4" s="1"/>
  <c r="L141" i="4" s="1"/>
  <c r="N141" i="4" s="1"/>
  <c r="O141" i="4" s="1"/>
  <c r="H138" i="4"/>
  <c r="J138" i="4" s="1"/>
  <c r="L138" i="4" s="1"/>
  <c r="N138" i="4" s="1"/>
  <c r="H136" i="4"/>
  <c r="J136" i="4" s="1"/>
  <c r="L136" i="4" s="1"/>
  <c r="N136" i="4" s="1"/>
  <c r="O136" i="4" s="1"/>
  <c r="H134" i="4"/>
  <c r="J134" i="4" s="1"/>
  <c r="L134" i="4" s="1"/>
  <c r="N134" i="4" s="1"/>
  <c r="O134" i="4" s="1"/>
  <c r="H132" i="4"/>
  <c r="J132" i="4" s="1"/>
  <c r="L132" i="4" s="1"/>
  <c r="N132" i="4" s="1"/>
  <c r="O132" i="4" s="1"/>
  <c r="H130" i="4"/>
  <c r="J130" i="4" s="1"/>
  <c r="L130" i="4" s="1"/>
  <c r="N130" i="4" s="1"/>
  <c r="O130" i="4" s="1"/>
  <c r="H128" i="4"/>
  <c r="J128" i="4" s="1"/>
  <c r="L128" i="4" s="1"/>
  <c r="N128" i="4" s="1"/>
  <c r="O128" i="4" s="1"/>
  <c r="H126" i="4"/>
  <c r="J126" i="4" s="1"/>
  <c r="L126" i="4" s="1"/>
  <c r="N126" i="4" s="1"/>
  <c r="O126" i="4" s="1"/>
  <c r="H124" i="4"/>
  <c r="J124" i="4" s="1"/>
  <c r="L124" i="4" s="1"/>
  <c r="N124" i="4" s="1"/>
  <c r="O124" i="4" s="1"/>
  <c r="H122" i="4"/>
  <c r="J122" i="4" s="1"/>
  <c r="L122" i="4" s="1"/>
  <c r="N122" i="4" s="1"/>
  <c r="O122" i="4" s="1"/>
  <c r="H116" i="4"/>
  <c r="J116" i="4" s="1"/>
  <c r="L116" i="4" s="1"/>
  <c r="N116" i="4" s="1"/>
  <c r="O116" i="4" s="1"/>
  <c r="H114" i="4"/>
  <c r="J114" i="4" s="1"/>
  <c r="L114" i="4" s="1"/>
  <c r="N114" i="4" s="1"/>
  <c r="H112" i="4"/>
  <c r="J112" i="4" s="1"/>
  <c r="L112" i="4" s="1"/>
  <c r="N112" i="4" s="1"/>
  <c r="O112" i="4" s="1"/>
  <c r="H92" i="4"/>
  <c r="J92" i="4" s="1"/>
  <c r="L92" i="4" s="1"/>
  <c r="N92" i="4" s="1"/>
  <c r="O92" i="4" s="1"/>
  <c r="H90" i="4"/>
  <c r="J90" i="4" s="1"/>
  <c r="L90" i="4" s="1"/>
  <c r="N90" i="4" s="1"/>
  <c r="O90" i="4" s="1"/>
  <c r="H88" i="4"/>
  <c r="J88" i="4" s="1"/>
  <c r="L88" i="4" s="1"/>
  <c r="N88" i="4" s="1"/>
  <c r="O88" i="4" s="1"/>
  <c r="H86" i="4"/>
  <c r="J86" i="4" s="1"/>
  <c r="L86" i="4" s="1"/>
  <c r="N86" i="4" s="1"/>
  <c r="O86" i="4" s="1"/>
  <c r="H70" i="4"/>
  <c r="J70" i="4" s="1"/>
  <c r="L70" i="4" s="1"/>
  <c r="N70" i="4" s="1"/>
  <c r="O70" i="4" s="1"/>
  <c r="H61" i="4"/>
  <c r="J61" i="4" s="1"/>
  <c r="L61" i="4" s="1"/>
  <c r="N61" i="4" s="1"/>
  <c r="O61" i="4" s="1"/>
  <c r="H55" i="4"/>
  <c r="J55" i="4" s="1"/>
  <c r="L55" i="4" s="1"/>
  <c r="N55" i="4" s="1"/>
  <c r="O55" i="4" s="1"/>
  <c r="H53" i="4"/>
  <c r="J53" i="4" s="1"/>
  <c r="L53" i="4" s="1"/>
  <c r="N53" i="4" s="1"/>
  <c r="O53" i="4" s="1"/>
  <c r="H48" i="4"/>
  <c r="J48" i="4" s="1"/>
  <c r="L48" i="4" s="1"/>
  <c r="N48" i="4" s="1"/>
  <c r="O48" i="4" s="1"/>
  <c r="H45" i="4"/>
  <c r="J45" i="4" s="1"/>
  <c r="L45" i="4" s="1"/>
  <c r="N45" i="4" s="1"/>
  <c r="O45" i="4" s="1"/>
  <c r="H43" i="4"/>
  <c r="J43" i="4" s="1"/>
  <c r="L43" i="4" s="1"/>
  <c r="N43" i="4" s="1"/>
  <c r="O43" i="4" s="1"/>
  <c r="H39" i="4"/>
  <c r="J39" i="4" s="1"/>
  <c r="L39" i="4" s="1"/>
  <c r="N39" i="4" s="1"/>
  <c r="O39" i="4" s="1"/>
  <c r="H36" i="4"/>
  <c r="J36" i="4" s="1"/>
  <c r="L36" i="4" s="1"/>
  <c r="N36" i="4" s="1"/>
  <c r="O36" i="4" s="1"/>
  <c r="H32" i="4"/>
  <c r="J32" i="4" s="1"/>
  <c r="L32" i="4" s="1"/>
  <c r="N32" i="4" s="1"/>
  <c r="O32" i="4" s="1"/>
  <c r="H29" i="4"/>
  <c r="J29" i="4" s="1"/>
  <c r="L29" i="4" s="1"/>
  <c r="N29" i="4" s="1"/>
  <c r="O29" i="4" s="1"/>
  <c r="H24" i="4"/>
  <c r="J24" i="4" s="1"/>
  <c r="L24" i="4" s="1"/>
  <c r="N24" i="4" s="1"/>
  <c r="O24" i="4" s="1"/>
  <c r="H17" i="4"/>
  <c r="J17" i="4" s="1"/>
  <c r="L17" i="4" s="1"/>
  <c r="N17" i="4" s="1"/>
  <c r="O17" i="4" s="1"/>
  <c r="H13" i="4"/>
  <c r="J13" i="4" s="1"/>
  <c r="L13" i="4" s="1"/>
  <c r="N13" i="4" s="1"/>
  <c r="O13" i="4" s="1"/>
  <c r="H9" i="4"/>
  <c r="J9" i="4" s="1"/>
  <c r="L9" i="4" s="1"/>
  <c r="N9" i="4" s="1"/>
  <c r="O9" i="4" s="1"/>
  <c r="H7" i="4"/>
  <c r="J7" i="4" s="1"/>
  <c r="L7" i="4" s="1"/>
  <c r="N7" i="4" s="1"/>
  <c r="O7" i="4" s="1"/>
  <c r="I6" i="4"/>
  <c r="B48" i="2"/>
  <c r="E6" i="4"/>
  <c r="O40" i="2"/>
  <c r="K1" i="1"/>
  <c r="E4" i="1"/>
  <c r="F4" i="1"/>
  <c r="H4" i="1" s="1"/>
  <c r="J4" i="1" s="1"/>
  <c r="K4" i="1" s="1"/>
  <c r="S4" i="1"/>
  <c r="T4" i="1" s="1"/>
  <c r="E5" i="1"/>
  <c r="H5" i="1" s="1"/>
  <c r="J5" i="1" s="1"/>
  <c r="K5" i="1" s="1"/>
  <c r="F5" i="1"/>
  <c r="E6" i="1"/>
  <c r="F6" i="1"/>
  <c r="H6" i="1" s="1"/>
  <c r="J6" i="1" s="1"/>
  <c r="K6" i="1" s="1"/>
  <c r="E7" i="1"/>
  <c r="F7" i="1"/>
  <c r="E8" i="1"/>
  <c r="F8" i="1"/>
  <c r="Q8" i="1"/>
  <c r="E9" i="1"/>
  <c r="H9" i="1" s="1"/>
  <c r="J9" i="1" s="1"/>
  <c r="K9" i="1" s="1"/>
  <c r="F9" i="1"/>
  <c r="Q9" i="1"/>
  <c r="E10" i="1"/>
  <c r="F10" i="1"/>
  <c r="Q10" i="1"/>
  <c r="E11" i="1"/>
  <c r="H11" i="1" s="1"/>
  <c r="J11" i="1" s="1"/>
  <c r="K11" i="1" s="1"/>
  <c r="F11" i="1"/>
  <c r="Q11" i="1"/>
  <c r="E12" i="1"/>
  <c r="F12" i="1"/>
  <c r="Q12" i="1"/>
  <c r="E13" i="1"/>
  <c r="F13" i="1"/>
  <c r="H13" i="1" s="1"/>
  <c r="J13" i="1" s="1"/>
  <c r="K13" i="1" s="1"/>
  <c r="Q13" i="1"/>
  <c r="E14" i="1"/>
  <c r="F14" i="1"/>
  <c r="E15" i="1"/>
  <c r="F15" i="1"/>
  <c r="E16" i="1"/>
  <c r="H16" i="1" s="1"/>
  <c r="J16" i="1" s="1"/>
  <c r="K16" i="1" s="1"/>
  <c r="F16" i="1"/>
  <c r="E17" i="1"/>
  <c r="F17" i="1"/>
  <c r="E18" i="1"/>
  <c r="H18" i="1" s="1"/>
  <c r="J18" i="1" s="1"/>
  <c r="K18" i="1" s="1"/>
  <c r="F18" i="1"/>
  <c r="E19" i="1"/>
  <c r="F19" i="1"/>
  <c r="E20" i="1"/>
  <c r="F20" i="1"/>
  <c r="E21" i="1"/>
  <c r="F21" i="1"/>
  <c r="E22" i="1"/>
  <c r="F22" i="1"/>
  <c r="M1" i="4"/>
  <c r="F6" i="4"/>
  <c r="W6" i="4"/>
  <c r="X6" i="4" s="1"/>
  <c r="N12" i="2"/>
  <c r="B13" i="2"/>
  <c r="M13" i="2"/>
  <c r="N13" i="2"/>
  <c r="B14" i="2" s="1"/>
  <c r="M14" i="2"/>
  <c r="N14" i="2"/>
  <c r="B15" i="2" s="1"/>
  <c r="M15" i="2"/>
  <c r="N15" i="2"/>
  <c r="B16" i="2" s="1"/>
  <c r="M16" i="2"/>
  <c r="N16" i="2"/>
  <c r="B17" i="2" s="1"/>
  <c r="M17" i="2"/>
  <c r="N17" i="2"/>
  <c r="B18" i="2" s="1"/>
  <c r="M18" i="2"/>
  <c r="N18" i="2"/>
  <c r="B19" i="2" s="1"/>
  <c r="M19" i="2"/>
  <c r="N19" i="2"/>
  <c r="B20" i="2" s="1"/>
  <c r="M20" i="2"/>
  <c r="N20" i="2"/>
  <c r="B21" i="2"/>
  <c r="M21" i="2"/>
  <c r="N21" i="2"/>
  <c r="B22" i="2" s="1"/>
  <c r="M22" i="2"/>
  <c r="N22" i="2"/>
  <c r="B23" i="2" s="1"/>
  <c r="M23" i="2"/>
  <c r="N23" i="2"/>
  <c r="B24" i="2" s="1"/>
  <c r="M24" i="2"/>
  <c r="N24" i="2"/>
  <c r="B25" i="2" s="1"/>
  <c r="B26" i="2"/>
  <c r="B27" i="2"/>
  <c r="B28" i="2"/>
  <c r="B29" i="2"/>
  <c r="B30" i="2"/>
  <c r="B31" i="2"/>
  <c r="B32" i="2"/>
  <c r="B33" i="2"/>
  <c r="B34" i="2"/>
  <c r="B35" i="2"/>
  <c r="B36" i="2"/>
  <c r="O36" i="2"/>
  <c r="P36" i="2" s="1"/>
  <c r="O37" i="2"/>
  <c r="P37" i="2" s="1"/>
  <c r="O38" i="2"/>
  <c r="P38" i="2" s="1"/>
  <c r="O39" i="2"/>
  <c r="P39" i="2" s="1"/>
  <c r="P40" i="2"/>
  <c r="O41" i="2"/>
  <c r="P41" i="2" s="1"/>
  <c r="O42" i="2"/>
  <c r="P42" i="2"/>
  <c r="B43" i="2"/>
  <c r="O43" i="2"/>
  <c r="P43" i="2" s="1"/>
  <c r="B44" i="2"/>
  <c r="O44" i="2"/>
  <c r="P44" i="2" s="1"/>
  <c r="B45" i="2"/>
  <c r="O45" i="2"/>
  <c r="P45" i="2" s="1"/>
  <c r="B46" i="2"/>
  <c r="O46" i="2"/>
  <c r="P46" i="2" s="1"/>
  <c r="B47" i="2"/>
  <c r="E348" i="2"/>
  <c r="H20" i="1" l="1"/>
  <c r="J20" i="1" s="1"/>
  <c r="K20" i="1" s="1"/>
  <c r="H12" i="1"/>
  <c r="J12" i="1" s="1"/>
  <c r="K12" i="1" s="1"/>
  <c r="H8" i="1"/>
  <c r="J8" i="1" s="1"/>
  <c r="K8" i="1" s="1"/>
  <c r="H19" i="1"/>
  <c r="J19" i="1" s="1"/>
  <c r="K19" i="1" s="1"/>
  <c r="H17" i="1"/>
  <c r="J17" i="1" s="1"/>
  <c r="K17" i="1" s="1"/>
  <c r="H15" i="1"/>
  <c r="J15" i="1" s="1"/>
  <c r="K15" i="1" s="1"/>
  <c r="H10" i="1"/>
  <c r="J10" i="1" s="1"/>
  <c r="K10" i="1" s="1"/>
  <c r="H7" i="1"/>
  <c r="J7" i="1" s="1"/>
  <c r="K7" i="1" s="1"/>
  <c r="M6" i="4"/>
  <c r="H22" i="1"/>
  <c r="J22" i="1" s="1"/>
  <c r="K22" i="1" s="1"/>
  <c r="H14" i="1"/>
  <c r="J14" i="1" s="1"/>
  <c r="K14" i="1" s="1"/>
  <c r="H6" i="4"/>
  <c r="J6" i="4" s="1"/>
  <c r="L6" i="4" s="1"/>
  <c r="N6" i="4" s="1"/>
  <c r="O6" i="4" s="1"/>
  <c r="H21" i="1"/>
  <c r="J21" i="1" s="1"/>
  <c r="K21" i="1" s="1"/>
</calcChain>
</file>

<file path=xl/sharedStrings.xml><?xml version="1.0" encoding="utf-8"?>
<sst xmlns="http://schemas.openxmlformats.org/spreadsheetml/2006/main" count="392" uniqueCount="215">
  <si>
    <t>VEHICULO</t>
  </si>
  <si>
    <t>FECHA DE ADQUISICIÓN</t>
  </si>
  <si>
    <t>FECHA DE ENAJENACIÓN</t>
  </si>
  <si>
    <t>MESES DE USO</t>
  </si>
  <si>
    <t>FACTOR DE DEP. MENS</t>
  </si>
  <si>
    <t>VALOR FACTURA</t>
  </si>
  <si>
    <t>VALOR ACTUAL</t>
  </si>
  <si>
    <t>PRECIO COMPRA</t>
  </si>
  <si>
    <t>DIFERENCIAL</t>
  </si>
  <si>
    <t>RETENCIÓN ISR</t>
  </si>
  <si>
    <t>ASESOR</t>
  </si>
  <si>
    <t>COMENTARIOS</t>
  </si>
  <si>
    <t>COMPRA</t>
  </si>
  <si>
    <t>VENTA</t>
  </si>
  <si>
    <t>MEDIA</t>
  </si>
  <si>
    <t>SM</t>
  </si>
  <si>
    <t>SIENNA 2012</t>
  </si>
  <si>
    <t>PMVR</t>
  </si>
  <si>
    <t>* NO APLICA RETENCIÒN PORQUE HAY 3 SALARIOS MINIMOS ANUALIZADOS APROX $62,000.00 PARA QUEDAR EXCENTOS</t>
  </si>
  <si>
    <t>TACOMA 2012</t>
  </si>
  <si>
    <t>JCP</t>
  </si>
  <si>
    <t>FJ CRUSIER</t>
  </si>
  <si>
    <t>AMLL</t>
  </si>
  <si>
    <t>ODYSSEY 2009</t>
  </si>
  <si>
    <t>JLOO</t>
  </si>
  <si>
    <t>*SE HACE LA RESPONSIVA POR $227,000.00 SE LE HARA TRANSFERENCIA AL CLIENTE POR $10,000.00, PARA DAR UN TOTAL DE $237,000.00 (MONTO DE CIERRE DE TOMA)</t>
  </si>
  <si>
    <t>SIENNA 2011</t>
  </si>
  <si>
    <t>EYC</t>
  </si>
  <si>
    <t>SIENNA LTD 2012</t>
  </si>
  <si>
    <t>ACADIA 2012</t>
  </si>
  <si>
    <t>ALBERTO</t>
  </si>
  <si>
    <t>*QUEDA EXCENTO DE RETENCION PORQUE NO HAY DIFERENCIAL</t>
  </si>
  <si>
    <t>TACOMA 4X4 2013</t>
  </si>
  <si>
    <t>TACOMA 4X2 2013</t>
  </si>
  <si>
    <t>TOPE DE EXENSION 63.77SMZG (X) 365 (3)   =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</si>
  <si>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</si>
  <si>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</si>
  <si>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</si>
  <si>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</si>
  <si>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</si>
  <si>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</si>
  <si>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</si>
  <si>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</si>
  <si>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</si>
  <si>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</si>
  <si>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</si>
  <si>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</si>
  <si>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</si>
  <si>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</si>
  <si>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</si>
  <si>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</si>
  <si>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</si>
  <si>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</si>
  <si>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</si>
  <si>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</si>
  <si>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</si>
  <si>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>COMPRAS UNIDADES USADAS</t>
  </si>
  <si>
    <t>ALECSA CELAYA</t>
  </si>
  <si>
    <t>0002-TCU15</t>
  </si>
  <si>
    <t>0001-TCU15</t>
  </si>
  <si>
    <t>0003-TCU15</t>
  </si>
  <si>
    <t>0004-TCU15</t>
  </si>
  <si>
    <t>0005-TCU15</t>
  </si>
  <si>
    <t>0006-TCU15</t>
  </si>
  <si>
    <t>0007-TCU15</t>
  </si>
  <si>
    <t>0008-TCU15</t>
  </si>
  <si>
    <t>PRECIO DE COMPRA</t>
  </si>
  <si>
    <t>0009-TCU15</t>
  </si>
  <si>
    <t>0010-TCU15</t>
  </si>
  <si>
    <t>0011-TCU15</t>
  </si>
  <si>
    <t>0012-TCU15</t>
  </si>
  <si>
    <t>0013-TCU15</t>
  </si>
  <si>
    <t>0014-TCU15</t>
  </si>
  <si>
    <t>0015-TCU15</t>
  </si>
  <si>
    <t>0016-TCU15</t>
  </si>
  <si>
    <t>0017-TCU15</t>
  </si>
  <si>
    <t>0018-TCU15</t>
  </si>
  <si>
    <t>0020-TCU15</t>
  </si>
  <si>
    <t>0021-TCU15</t>
  </si>
  <si>
    <t>0022-TCU15</t>
  </si>
  <si>
    <t>0023-TCU15</t>
  </si>
  <si>
    <t>0024-TCU15</t>
  </si>
  <si>
    <t>0025-TCU15</t>
  </si>
  <si>
    <t>0027-TCU15</t>
  </si>
  <si>
    <t>0028-TCU15</t>
  </si>
  <si>
    <t>0029-TCU15</t>
  </si>
  <si>
    <t>0030-TCU15</t>
  </si>
  <si>
    <t>0031-TCU15</t>
  </si>
  <si>
    <t>0032-TCU15</t>
  </si>
  <si>
    <t>0033-TCU15</t>
  </si>
  <si>
    <t>0034-TCU15</t>
  </si>
  <si>
    <t>0035-TCU15</t>
  </si>
  <si>
    <t>0036-TCU15</t>
  </si>
  <si>
    <t>0037-TCU15</t>
  </si>
  <si>
    <t>0038-TCU15</t>
  </si>
  <si>
    <t>0039-TCU15</t>
  </si>
  <si>
    <t>0040-TCU15</t>
  </si>
  <si>
    <t>0041-TCU15</t>
  </si>
  <si>
    <t>0042-TCU15</t>
  </si>
  <si>
    <t>0043-TCU15</t>
  </si>
  <si>
    <t>0044-TCU15</t>
  </si>
  <si>
    <t>0045-TCU15</t>
  </si>
  <si>
    <t>0046-TCU15</t>
  </si>
  <si>
    <t>0047-TCU15</t>
  </si>
  <si>
    <t>0048-TCU15</t>
  </si>
  <si>
    <t>0049-TCU15</t>
  </si>
  <si>
    <t>0050-TCU15</t>
  </si>
  <si>
    <t>0051-TCU15</t>
  </si>
  <si>
    <t>0052-TCU15</t>
  </si>
  <si>
    <t>0053-TCU15</t>
  </si>
  <si>
    <t>0054-TCU15</t>
  </si>
  <si>
    <t>0055-TCU15</t>
  </si>
  <si>
    <t>0056-TCU15</t>
  </si>
  <si>
    <t>0057-TCU15</t>
  </si>
  <si>
    <t>0058-TCU15</t>
  </si>
  <si>
    <t>0059-TCU15</t>
  </si>
  <si>
    <t>0060-TCU15</t>
  </si>
  <si>
    <t>0061-TCU15</t>
  </si>
  <si>
    <t>0062-TCU15</t>
  </si>
  <si>
    <t>0063-TCU15</t>
  </si>
  <si>
    <t>0064-TCU15</t>
  </si>
  <si>
    <t>0065-TCU15</t>
  </si>
  <si>
    <t>0066-TCU15</t>
  </si>
  <si>
    <t>0067-TCU15</t>
  </si>
  <si>
    <t>0068-TCU15</t>
  </si>
  <si>
    <t>0069-TCU15</t>
  </si>
  <si>
    <t>0070-TCU15</t>
  </si>
  <si>
    <t>0071-TCU15</t>
  </si>
  <si>
    <t>0072-TCU15</t>
  </si>
  <si>
    <t>0073-TCU15</t>
  </si>
  <si>
    <t>0074-TCU15</t>
  </si>
  <si>
    <t>0075-TCU15</t>
  </si>
  <si>
    <t>0076-TCU15</t>
  </si>
  <si>
    <t>0077-TCU15</t>
  </si>
  <si>
    <t>0078-TCU15</t>
  </si>
  <si>
    <t>0079-TCU15</t>
  </si>
  <si>
    <t>0080-TCU15</t>
  </si>
  <si>
    <t>0081-TCU15</t>
  </si>
  <si>
    <t>0082-TCU15</t>
  </si>
  <si>
    <t>0083-TCU15</t>
  </si>
  <si>
    <t>0084-TCU15</t>
  </si>
  <si>
    <t>0085-TCU15</t>
  </si>
  <si>
    <t>0086-TCU15</t>
  </si>
  <si>
    <t>0087-TCU15</t>
  </si>
  <si>
    <t>0088-TCU15</t>
  </si>
  <si>
    <t>0089-TCU15</t>
  </si>
  <si>
    <t>0090-TCU15</t>
  </si>
  <si>
    <t>0091-TCU15</t>
  </si>
  <si>
    <t>0092-TCU15</t>
  </si>
  <si>
    <t>0093-TCU15</t>
  </si>
  <si>
    <t>0094-TCU15</t>
  </si>
  <si>
    <t>0095-TCU15</t>
  </si>
  <si>
    <t>0096-TCU15</t>
  </si>
  <si>
    <t>0097-TCU15</t>
  </si>
  <si>
    <t>0098-TCU15</t>
  </si>
  <si>
    <t>0099-TCU15</t>
  </si>
  <si>
    <t>0100-TCU15</t>
  </si>
  <si>
    <t>0101-TCU15</t>
  </si>
  <si>
    <t>0102-TCU15</t>
  </si>
  <si>
    <t>0103-TCU15</t>
  </si>
  <si>
    <t>0104-TCU15</t>
  </si>
  <si>
    <t>0105-TCU15</t>
  </si>
  <si>
    <t>0106-TCU15</t>
  </si>
  <si>
    <t>0107-TCU15</t>
  </si>
  <si>
    <t>0108-TCU15</t>
  </si>
  <si>
    <t>0109-TCU15</t>
  </si>
  <si>
    <t>0110-TCU15</t>
  </si>
  <si>
    <t>0111-TCU15</t>
  </si>
  <si>
    <t>0112-TCU15</t>
  </si>
  <si>
    <t>0113-TCU15</t>
  </si>
  <si>
    <t>0114-TCU15</t>
  </si>
  <si>
    <t>0115-TCU15</t>
  </si>
  <si>
    <t>0116-TCU15</t>
  </si>
  <si>
    <t>0117-TCU15</t>
  </si>
  <si>
    <t>0118-TCU15</t>
  </si>
  <si>
    <t>0119-TCU15</t>
  </si>
  <si>
    <t>0120-TCU15</t>
  </si>
  <si>
    <t>0121-TCU15</t>
  </si>
  <si>
    <t>0122-TCU15</t>
  </si>
  <si>
    <t>0123-TCU15</t>
  </si>
  <si>
    <t>0124-TCU15</t>
  </si>
  <si>
    <t>0125-TCU15</t>
  </si>
  <si>
    <t>0126-TCU15</t>
  </si>
  <si>
    <t>0127-TCU15</t>
  </si>
  <si>
    <t>0128-TCU15</t>
  </si>
  <si>
    <t>0129-TCU15</t>
  </si>
  <si>
    <t>0130-TCU15</t>
  </si>
  <si>
    <t>0131-TCU15</t>
  </si>
  <si>
    <t>0132-TCU15</t>
  </si>
  <si>
    <t>0133-TCU15</t>
  </si>
  <si>
    <t>0134-TCU15</t>
  </si>
  <si>
    <t>0135-TCU15</t>
  </si>
  <si>
    <t>0136-TCU15</t>
  </si>
  <si>
    <t>0137-TCU15</t>
  </si>
  <si>
    <t>0138-TCU15</t>
  </si>
  <si>
    <t>0139-TCU15</t>
  </si>
  <si>
    <t>0140-TCU15</t>
  </si>
  <si>
    <t>0141-TCU15</t>
  </si>
  <si>
    <t>0142-TCU15</t>
  </si>
  <si>
    <t>0143-TCU15</t>
  </si>
  <si>
    <t>0144-TCU15</t>
  </si>
  <si>
    <t>0145-TCU15</t>
  </si>
  <si>
    <t>0146-TCU15</t>
  </si>
  <si>
    <t>0147-TCU15</t>
  </si>
  <si>
    <t>0148-TCU15</t>
  </si>
  <si>
    <t>0149-TCU15</t>
  </si>
  <si>
    <t>0150-TCU15</t>
  </si>
  <si>
    <t>0151-TCU15</t>
  </si>
  <si>
    <t>0152-TCU15</t>
  </si>
  <si>
    <t>0153-TCU15</t>
  </si>
  <si>
    <t>0154-TCU15</t>
  </si>
  <si>
    <t>NOS FACTURO</t>
  </si>
  <si>
    <t>FACTURO</t>
  </si>
  <si>
    <t>no pasa de los $224,700</t>
  </si>
  <si>
    <t>NO PASA LA EXCENCION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</si>
</sst>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dd/mm/yy"/>
    <numFmt numFmtId="165" formatCode="[$$-80A]#,##0.00;[Red]\-[$$-80A]#,##0.00"/>
    <numFmt numFmtId="166" formatCode="&quot; $&quot;#,##0.00\ ;&quot;-$&quot;#,##0.00\ ;&quot; $-&quot;#\ ;@\ "/>
    <numFmt numFmtId="167" formatCode="\$#,##0.00;[Red]&quot;-$&quot;#,##0.00"/>
    <numFmt numFmtId="168" formatCode="0.00\ ;[Red]\-0.00\ "/>
    <numFmt numFmtId="169" formatCode="0.0000"/>
    <numFmt numFmtId="170" formatCode="0.000"/>
    <numFmt numFmtId="171" formatCode="0.00000"/>
    <numFmt numFmtId="172" formatCode="0.0"/>
    <numFmt numFmtId="173" formatCode="_-* #,##0.0000_-;\-* #,##0.0000_-;_-* &quot;-&quot;??_-;_-@_-"/>
    <numFmt numFmtId="175" formatCode="dd/mm/yyyy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color theme="1" tint="0.14999847407452621"/>
      <name val="Arial"/>
      <family val="2"/>
    </font>
    <font>
      <b/>
      <sz val="6"/>
      <color theme="1" tint="0.14999847407452621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rgb="FF6600CC"/>
      </left>
      <right style="hair">
        <color rgb="FF6600CC"/>
      </right>
      <top style="hair">
        <color rgb="FF6600CC"/>
      </top>
      <bottom style="hair">
        <color rgb="FF6600CC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166" fontId="7" fillId="0" borderId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 applyProtection="1">
      <alignment horizontal="center" vertical="center"/>
      <protection locked="0"/>
    </xf>
    <xf numFmtId="167" fontId="2" fillId="2" borderId="7" xfId="2" applyNumberFormat="1" applyFont="1" applyFill="1" applyBorder="1" applyAlignment="1" applyProtection="1">
      <alignment horizontal="center" vertical="center"/>
      <protection locked="0"/>
    </xf>
    <xf numFmtId="167" fontId="2" fillId="2" borderId="8" xfId="2" applyNumberFormat="1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>
      <alignment horizontal="center" vertical="center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167" fontId="2" fillId="3" borderId="7" xfId="2" applyNumberFormat="1" applyFont="1" applyFill="1" applyBorder="1" applyAlignment="1" applyProtection="1">
      <alignment horizontal="center" vertical="center"/>
      <protection locked="0"/>
    </xf>
    <xf numFmtId="167" fontId="2" fillId="3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>
      <alignment horizontal="center" vertical="center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7" fontId="2" fillId="3" borderId="15" xfId="2" applyNumberFormat="1" applyFont="1" applyFill="1" applyBorder="1" applyAlignment="1" applyProtection="1">
      <alignment horizontal="center" vertical="center"/>
      <protection locked="0"/>
    </xf>
    <xf numFmtId="167" fontId="2" fillId="3" borderId="16" xfId="2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3" fontId="1" fillId="0" borderId="0" xfId="1"/>
    <xf numFmtId="0" fontId="0" fillId="0" borderId="0" xfId="0" applyFont="1"/>
    <xf numFmtId="0" fontId="0" fillId="4" borderId="0" xfId="0" applyFont="1" applyFill="1"/>
    <xf numFmtId="169" fontId="0" fillId="0" borderId="0" xfId="0" applyNumberFormat="1" applyFont="1"/>
    <xf numFmtId="171" fontId="0" fillId="0" borderId="0" xfId="0" applyNumberFormat="1" applyFont="1"/>
    <xf numFmtId="169" fontId="0" fillId="4" borderId="0" xfId="0" applyNumberFormat="1" applyFont="1" applyFill="1"/>
    <xf numFmtId="0" fontId="3" fillId="0" borderId="0" xfId="0" applyFont="1"/>
    <xf numFmtId="169" fontId="3" fillId="0" borderId="0" xfId="0" applyNumberFormat="1" applyFont="1"/>
    <xf numFmtId="169" fontId="3" fillId="4" borderId="0" xfId="0" applyNumberFormat="1" applyFont="1" applyFill="1"/>
    <xf numFmtId="172" fontId="4" fillId="0" borderId="0" xfId="0" applyNumberFormat="1" applyFont="1"/>
    <xf numFmtId="169" fontId="0" fillId="0" borderId="0" xfId="0" applyNumberFormat="1"/>
    <xf numFmtId="0" fontId="0" fillId="0" borderId="0" xfId="0" applyFill="1"/>
    <xf numFmtId="169" fontId="0" fillId="0" borderId="0" xfId="0" applyNumberFormat="1" applyFont="1" applyFill="1"/>
    <xf numFmtId="169" fontId="0" fillId="0" borderId="0" xfId="0" applyNumberFormat="1" applyFill="1"/>
    <xf numFmtId="0" fontId="1" fillId="0" borderId="0" xfId="0" applyFont="1"/>
    <xf numFmtId="169" fontId="1" fillId="0" borderId="0" xfId="0" applyNumberFormat="1" applyFont="1"/>
    <xf numFmtId="0" fontId="1" fillId="4" borderId="0" xfId="0" applyFont="1" applyFill="1"/>
    <xf numFmtId="170" fontId="0" fillId="0" borderId="0" xfId="0" applyNumberFormat="1"/>
    <xf numFmtId="0" fontId="0" fillId="4" borderId="0" xfId="0" applyFill="1"/>
    <xf numFmtId="171" fontId="0" fillId="0" borderId="0" xfId="0" applyNumberFormat="1"/>
    <xf numFmtId="170" fontId="1" fillId="0" borderId="0" xfId="0" applyNumberFormat="1" applyFont="1"/>
    <xf numFmtId="170" fontId="0" fillId="0" borderId="0" xfId="0" applyNumberFormat="1" applyFont="1" applyFill="1" applyBorder="1" applyAlignment="1">
      <alignment horizontal="center"/>
    </xf>
    <xf numFmtId="170" fontId="1" fillId="4" borderId="0" xfId="0" applyNumberFormat="1" applyFont="1" applyFill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9" fontId="8" fillId="0" borderId="0" xfId="0" applyNumberFormat="1" applyFont="1"/>
    <xf numFmtId="169" fontId="8" fillId="0" borderId="0" xfId="0" applyNumberFormat="1" applyFont="1" applyFill="1"/>
    <xf numFmtId="170" fontId="8" fillId="0" borderId="0" xfId="0" applyNumberFormat="1" applyFont="1"/>
    <xf numFmtId="0" fontId="8" fillId="0" borderId="0" xfId="0" applyFont="1" applyBorder="1"/>
    <xf numFmtId="0" fontId="8" fillId="0" borderId="0" xfId="0" applyFont="1"/>
    <xf numFmtId="0" fontId="9" fillId="0" borderId="20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0" fillId="6" borderId="21" xfId="0" applyFont="1" applyFill="1" applyBorder="1" applyAlignment="1">
      <alignment horizontal="center" vertical="center" wrapText="1"/>
    </xf>
    <xf numFmtId="0" fontId="1" fillId="0" borderId="0" xfId="0" applyFont="1" applyFill="1"/>
    <xf numFmtId="170" fontId="0" fillId="0" borderId="0" xfId="0" applyNumberFormat="1" applyFont="1" applyFill="1"/>
    <xf numFmtId="170" fontId="1" fillId="0" borderId="0" xfId="0" applyNumberFormat="1" applyFont="1" applyFill="1"/>
    <xf numFmtId="0" fontId="0" fillId="0" borderId="0" xfId="0" applyBorder="1" applyAlignment="1">
      <alignment vertical="center"/>
    </xf>
    <xf numFmtId="0" fontId="0" fillId="0" borderId="0" xfId="0" applyBorder="1"/>
    <xf numFmtId="0" fontId="11" fillId="0" borderId="0" xfId="0" applyFont="1" applyFill="1" applyAlignment="1">
      <alignment horizontal="center" vertical="center"/>
    </xf>
    <xf numFmtId="0" fontId="0" fillId="0" borderId="24" xfId="0" applyBorder="1"/>
    <xf numFmtId="2" fontId="0" fillId="0" borderId="24" xfId="0" applyNumberFormat="1" applyFill="1" applyBorder="1" applyAlignment="1" applyProtection="1">
      <alignment horizontal="center" vertical="center"/>
      <protection locked="0"/>
    </xf>
    <xf numFmtId="169" fontId="0" fillId="0" borderId="24" xfId="0" applyNumberFormat="1" applyFill="1" applyBorder="1" applyAlignment="1" applyProtection="1">
      <alignment horizontal="center" vertical="center"/>
      <protection locked="0"/>
    </xf>
    <xf numFmtId="43" fontId="1" fillId="0" borderId="24" xfId="1" applyFill="1" applyBorder="1" applyAlignment="1">
      <alignment horizontal="center" vertical="center"/>
    </xf>
    <xf numFmtId="43" fontId="1" fillId="0" borderId="24" xfId="1" applyFill="1" applyBorder="1" applyAlignment="1" applyProtection="1">
      <alignment horizontal="center" vertical="center"/>
      <protection locked="0"/>
    </xf>
    <xf numFmtId="173" fontId="1" fillId="0" borderId="24" xfId="1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Border="1"/>
    <xf numFmtId="0" fontId="0" fillId="0" borderId="24" xfId="0" applyFont="1" applyFill="1" applyBorder="1" applyAlignment="1">
      <alignment horizontal="center" vertical="center"/>
    </xf>
    <xf numFmtId="0" fontId="0" fillId="0" borderId="24" xfId="0" applyFill="1" applyBorder="1"/>
    <xf numFmtId="0" fontId="12" fillId="0" borderId="24" xfId="0" applyFont="1" applyBorder="1"/>
    <xf numFmtId="2" fontId="11" fillId="0" borderId="24" xfId="0" applyNumberFormat="1" applyFont="1" applyFill="1" applyBorder="1" applyAlignment="1" applyProtection="1">
      <alignment horizontal="center" vertical="center"/>
      <protection locked="0"/>
    </xf>
    <xf numFmtId="169" fontId="11" fillId="0" borderId="24" xfId="0" applyNumberFormat="1" applyFont="1" applyFill="1" applyBorder="1" applyAlignment="1" applyProtection="1">
      <alignment horizontal="center" vertical="center"/>
      <protection locked="0"/>
    </xf>
    <xf numFmtId="43" fontId="11" fillId="0" borderId="24" xfId="1" applyFont="1" applyFill="1" applyBorder="1" applyAlignment="1">
      <alignment horizontal="center" vertical="center"/>
    </xf>
    <xf numFmtId="43" fontId="11" fillId="0" borderId="24" xfId="1" applyFont="1" applyFill="1" applyBorder="1" applyAlignment="1" applyProtection="1">
      <alignment horizontal="center" vertical="center"/>
      <protection locked="0"/>
    </xf>
    <xf numFmtId="173" fontId="11" fillId="0" borderId="24" xfId="1" applyNumberFormat="1" applyFont="1" applyFill="1" applyBorder="1" applyAlignment="1" applyProtection="1">
      <alignment horizontal="center" vertical="center"/>
      <protection locked="0"/>
    </xf>
    <xf numFmtId="4" fontId="12" fillId="0" borderId="24" xfId="0" applyNumberFormat="1" applyFont="1" applyBorder="1"/>
    <xf numFmtId="0" fontId="11" fillId="0" borderId="24" xfId="0" applyFont="1" applyFill="1" applyBorder="1" applyAlignment="1">
      <alignment vertical="center"/>
    </xf>
    <xf numFmtId="43" fontId="0" fillId="0" borderId="24" xfId="1" applyFont="1" applyFill="1" applyBorder="1" applyAlignment="1">
      <alignment horizontal="center" vertical="center"/>
    </xf>
    <xf numFmtId="173" fontId="0" fillId="0" borderId="24" xfId="1" applyNumberFormat="1" applyFont="1" applyFill="1" applyBorder="1" applyAlignment="1" applyProtection="1">
      <alignment horizontal="center" vertical="center"/>
      <protection locked="0"/>
    </xf>
    <xf numFmtId="43" fontId="0" fillId="0" borderId="24" xfId="1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/>
    <xf numFmtId="0" fontId="0" fillId="0" borderId="24" xfId="0" applyFill="1" applyBorder="1" applyAlignment="1">
      <alignment vertical="center"/>
    </xf>
    <xf numFmtId="0" fontId="11" fillId="0" borderId="24" xfId="0" applyFont="1" applyFill="1" applyBorder="1"/>
    <xf numFmtId="0" fontId="11" fillId="0" borderId="24" xfId="0" applyFont="1" applyBorder="1"/>
    <xf numFmtId="4" fontId="11" fillId="0" borderId="24" xfId="0" applyNumberFormat="1" applyFont="1" applyBorder="1"/>
    <xf numFmtId="0" fontId="8" fillId="0" borderId="24" xfId="0" applyFont="1" applyFill="1" applyBorder="1"/>
    <xf numFmtId="43" fontId="11" fillId="0" borderId="24" xfId="1" applyFont="1" applyFill="1" applyBorder="1"/>
    <xf numFmtId="43" fontId="0" fillId="0" borderId="24" xfId="1" applyFont="1" applyFill="1" applyBorder="1"/>
    <xf numFmtId="0" fontId="0" fillId="0" borderId="24" xfId="0" applyFont="1" applyBorder="1"/>
    <xf numFmtId="2" fontId="0" fillId="0" borderId="24" xfId="0" applyNumberFormat="1" applyFont="1" applyFill="1" applyBorder="1" applyAlignment="1" applyProtection="1">
      <alignment horizontal="center" vertical="center"/>
      <protection locked="0"/>
    </xf>
    <xf numFmtId="169" fontId="0" fillId="0" borderId="24" xfId="0" applyNumberFormat="1" applyFont="1" applyFill="1" applyBorder="1" applyAlignment="1" applyProtection="1">
      <alignment horizontal="center" vertical="center"/>
      <protection locked="0"/>
    </xf>
    <xf numFmtId="4" fontId="0" fillId="0" borderId="24" xfId="0" applyNumberFormat="1" applyFont="1" applyBorder="1"/>
    <xf numFmtId="43" fontId="0" fillId="0" borderId="24" xfId="1" applyFont="1" applyBorder="1"/>
    <xf numFmtId="175" fontId="0" fillId="0" borderId="24" xfId="0" applyNumberFormat="1" applyFill="1" applyBorder="1" applyAlignment="1">
      <alignment horizontal="center" vertical="center"/>
    </xf>
    <xf numFmtId="175" fontId="0" fillId="0" borderId="24" xfId="0" applyNumberFormat="1" applyBorder="1"/>
    <xf numFmtId="175" fontId="11" fillId="0" borderId="24" xfId="0" applyNumberFormat="1" applyFont="1" applyFill="1" applyBorder="1" applyAlignment="1">
      <alignment horizontal="center" vertical="center"/>
    </xf>
    <xf numFmtId="175" fontId="12" fillId="0" borderId="24" xfId="0" applyNumberFormat="1" applyFont="1" applyBorder="1"/>
    <xf numFmtId="175" fontId="0" fillId="0" borderId="24" xfId="0" applyNumberFormat="1" applyFont="1" applyFill="1" applyBorder="1" applyAlignment="1">
      <alignment horizontal="center" vertical="center"/>
    </xf>
    <xf numFmtId="175" fontId="0" fillId="0" borderId="24" xfId="0" applyNumberFormat="1" applyFont="1" applyBorder="1"/>
    <xf numFmtId="175" fontId="11" fillId="0" borderId="24" xfId="0" applyNumberFormat="1" applyFont="1" applyBorder="1"/>
    <xf numFmtId="175" fontId="0" fillId="0" borderId="24" xfId="0" applyNumberFormat="1" applyFont="1" applyFill="1" applyBorder="1"/>
    <xf numFmtId="175" fontId="11" fillId="0" borderId="24" xfId="0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9" defaultPivotStyle="PivotStyleLight16"/>
  <colors>
    <mruColors>
      <color rgb="FF00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1.107.8.56\Users\users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J11" sqref="J11"/>
    </sheetView>
  </sheetViews>
  <sheetFormatPr baseColWidth="10" defaultRowHeight="12.75" x14ac:dyDescent="0.2"/>
  <cols>
    <col min="1" max="1" width="4.85546875" customWidth="1"/>
    <col min="2" max="2" width="19" customWidth="1"/>
    <col min="3" max="3" width="13" customWidth="1"/>
    <col min="4" max="4" width="14.140625" customWidth="1"/>
    <col min="5" max="5" width="9" customWidth="1"/>
    <col min="7" max="7" width="11.85546875" customWidth="1"/>
    <col min="8" max="8" width="12.140625" customWidth="1"/>
    <col min="9" max="9" width="12" customWidth="1"/>
    <col min="10" max="10" width="13.140625" customWidth="1"/>
    <col min="11" max="11" width="11.5703125" customWidth="1"/>
    <col min="12" max="12" width="10.5703125" customWidth="1"/>
    <col min="13" max="13" width="57" customWidth="1"/>
    <col min="15" max="20" width="0" hidden="1" customWidth="1"/>
  </cols>
  <sheetData>
    <row r="1" spans="1:20" x14ac:dyDescent="0.2">
      <c r="G1" t="s">
        <v>34</v>
      </c>
      <c r="K1" s="44">
        <f>63.77*365*3</f>
        <v>69828.150000000009</v>
      </c>
    </row>
    <row r="2" spans="1:20" s="1" customFormat="1" ht="15.95" customHeight="1" x14ac:dyDescent="0.2">
      <c r="E2" s="43"/>
    </row>
    <row r="3" spans="1:20" s="2" customFormat="1" ht="34.35" customHeight="1" x14ac:dyDescent="0.2">
      <c r="B3" s="3" t="s">
        <v>0</v>
      </c>
      <c r="C3" s="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4" t="s">
        <v>10</v>
      </c>
      <c r="M3" s="6" t="s">
        <v>11</v>
      </c>
      <c r="O3" s="2" t="s">
        <v>12</v>
      </c>
      <c r="P3" s="2" t="s">
        <v>13</v>
      </c>
      <c r="Q3" s="2" t="s">
        <v>14</v>
      </c>
      <c r="R3" s="2" t="s">
        <v>15</v>
      </c>
    </row>
    <row r="4" spans="1:20" s="2" customFormat="1" ht="32.1" customHeight="1" x14ac:dyDescent="0.2">
      <c r="A4" s="2">
        <v>1</v>
      </c>
      <c r="B4" s="7" t="s">
        <v>16</v>
      </c>
      <c r="C4" s="8">
        <v>41055</v>
      </c>
      <c r="D4" s="9">
        <v>41708</v>
      </c>
      <c r="E4" s="10">
        <f t="shared" ref="E4:E22" si="0">(D4-C4)/30</f>
        <v>21.766666666666666</v>
      </c>
      <c r="F4" s="10">
        <f t="shared" ref="F4:F22" si="1">0.2/12</f>
        <v>1.6666666666666666E-2</v>
      </c>
      <c r="G4" s="11">
        <v>633900</v>
      </c>
      <c r="H4" s="12">
        <f t="shared" ref="H4:H22" si="2">G4-(G4*F4*E4)</f>
        <v>403935.16666666669</v>
      </c>
      <c r="I4" s="11">
        <v>425000</v>
      </c>
      <c r="J4" s="13">
        <f t="shared" ref="J4:J22" si="3">I4-H4</f>
        <v>21064.833333333314</v>
      </c>
      <c r="K4" s="14">
        <f t="shared" ref="K4:K22" si="4">J4*0.2</f>
        <v>4212.9666666666626</v>
      </c>
      <c r="L4" s="15" t="s">
        <v>17</v>
      </c>
      <c r="M4" s="16" t="s">
        <v>18</v>
      </c>
      <c r="R4" s="2">
        <v>57</v>
      </c>
      <c r="S4" s="2">
        <f>R4*365</f>
        <v>20805</v>
      </c>
      <c r="T4" s="2">
        <f>S4*3</f>
        <v>62415</v>
      </c>
    </row>
    <row r="5" spans="1:20" s="2" customFormat="1" ht="32.1" customHeight="1" x14ac:dyDescent="0.2">
      <c r="A5" s="2">
        <v>2</v>
      </c>
      <c r="B5" s="17" t="s">
        <v>19</v>
      </c>
      <c r="C5" s="18">
        <v>40956</v>
      </c>
      <c r="D5" s="19">
        <v>41719</v>
      </c>
      <c r="E5" s="20">
        <f t="shared" si="0"/>
        <v>25.433333333333334</v>
      </c>
      <c r="F5" s="20">
        <f t="shared" si="1"/>
        <v>1.6666666666666666E-2</v>
      </c>
      <c r="G5" s="21">
        <v>380200</v>
      </c>
      <c r="H5" s="22">
        <f t="shared" si="2"/>
        <v>219037.44444444444</v>
      </c>
      <c r="I5" s="21">
        <v>265000</v>
      </c>
      <c r="J5" s="23">
        <f t="shared" si="3"/>
        <v>45962.555555555562</v>
      </c>
      <c r="K5" s="24">
        <f t="shared" si="4"/>
        <v>9192.5111111111128</v>
      </c>
      <c r="L5" s="25" t="s">
        <v>20</v>
      </c>
      <c r="M5" s="26" t="s">
        <v>18</v>
      </c>
    </row>
    <row r="6" spans="1:20" s="2" customFormat="1" ht="18.600000000000001" customHeight="1" x14ac:dyDescent="0.2">
      <c r="A6" s="2">
        <v>3</v>
      </c>
      <c r="B6" s="17" t="s">
        <v>21</v>
      </c>
      <c r="C6" s="18">
        <v>40179</v>
      </c>
      <c r="D6" s="27">
        <v>41710</v>
      </c>
      <c r="E6" s="20">
        <f t="shared" si="0"/>
        <v>51.033333333333331</v>
      </c>
      <c r="F6" s="20">
        <f t="shared" si="1"/>
        <v>1.6666666666666666E-2</v>
      </c>
      <c r="G6" s="21">
        <v>421500</v>
      </c>
      <c r="H6" s="22">
        <f t="shared" si="2"/>
        <v>62990.833333333372</v>
      </c>
      <c r="I6" s="21">
        <v>240000</v>
      </c>
      <c r="J6" s="23">
        <f t="shared" si="3"/>
        <v>177009.16666666663</v>
      </c>
      <c r="K6" s="24">
        <f t="shared" si="4"/>
        <v>35401.833333333328</v>
      </c>
      <c r="L6" s="25" t="s">
        <v>22</v>
      </c>
      <c r="M6" s="28"/>
    </row>
    <row r="7" spans="1:20" s="2" customFormat="1" ht="38.1" customHeight="1" x14ac:dyDescent="0.2">
      <c r="A7" s="2">
        <v>4</v>
      </c>
      <c r="B7" s="17" t="s">
        <v>23</v>
      </c>
      <c r="C7" s="18">
        <v>39811</v>
      </c>
      <c r="D7" s="27">
        <v>41717</v>
      </c>
      <c r="E7" s="20">
        <f t="shared" si="0"/>
        <v>63.533333333333331</v>
      </c>
      <c r="F7" s="20">
        <f t="shared" si="1"/>
        <v>1.6666666666666666E-2</v>
      </c>
      <c r="G7" s="21">
        <v>478500</v>
      </c>
      <c r="H7" s="22">
        <f t="shared" si="2"/>
        <v>-28178.333333333314</v>
      </c>
      <c r="I7" s="21">
        <v>237000</v>
      </c>
      <c r="J7" s="23">
        <f t="shared" si="3"/>
        <v>265178.33333333331</v>
      </c>
      <c r="K7" s="24">
        <f t="shared" si="4"/>
        <v>53035.666666666664</v>
      </c>
      <c r="L7" s="25" t="s">
        <v>24</v>
      </c>
      <c r="M7" s="28" t="s">
        <v>25</v>
      </c>
    </row>
    <row r="8" spans="1:20" s="2" customFormat="1" ht="18.600000000000001" customHeight="1" x14ac:dyDescent="0.2">
      <c r="A8" s="2">
        <v>5</v>
      </c>
      <c r="B8" s="17" t="s">
        <v>26</v>
      </c>
      <c r="C8" s="18">
        <v>40813</v>
      </c>
      <c r="D8" s="27">
        <v>41718</v>
      </c>
      <c r="E8" s="20">
        <f t="shared" si="0"/>
        <v>30.166666666666668</v>
      </c>
      <c r="F8" s="20">
        <f t="shared" si="1"/>
        <v>1.6666666666666666E-2</v>
      </c>
      <c r="G8" s="21">
        <v>508500</v>
      </c>
      <c r="H8" s="22">
        <f t="shared" si="2"/>
        <v>252837.5</v>
      </c>
      <c r="I8" s="21">
        <v>310000</v>
      </c>
      <c r="J8" s="23">
        <f t="shared" si="3"/>
        <v>57162.5</v>
      </c>
      <c r="K8" s="24">
        <f t="shared" si="4"/>
        <v>11432.5</v>
      </c>
      <c r="L8" s="25" t="s">
        <v>27</v>
      </c>
      <c r="M8" s="28"/>
      <c r="O8" s="2">
        <v>306</v>
      </c>
      <c r="P8" s="2">
        <v>346</v>
      </c>
      <c r="Q8" s="2">
        <f t="shared" ref="Q8:Q13" si="5">(P8+O8)/2</f>
        <v>326</v>
      </c>
    </row>
    <row r="9" spans="1:20" s="2" customFormat="1" ht="18.600000000000001" customHeight="1" x14ac:dyDescent="0.2">
      <c r="A9" s="2">
        <v>6</v>
      </c>
      <c r="B9" s="17" t="s">
        <v>28</v>
      </c>
      <c r="C9" s="18">
        <v>40870</v>
      </c>
      <c r="D9" s="27">
        <v>41721</v>
      </c>
      <c r="E9" s="20">
        <f t="shared" si="0"/>
        <v>28.366666666666667</v>
      </c>
      <c r="F9" s="20">
        <f t="shared" si="1"/>
        <v>1.6666666666666666E-2</v>
      </c>
      <c r="G9" s="21">
        <v>639100</v>
      </c>
      <c r="H9" s="22">
        <f t="shared" si="2"/>
        <v>336947.72222222225</v>
      </c>
      <c r="I9" s="21">
        <v>435000</v>
      </c>
      <c r="J9" s="23">
        <f t="shared" si="3"/>
        <v>98052.277777777752</v>
      </c>
      <c r="K9" s="24">
        <f t="shared" si="4"/>
        <v>19610.455555555553</v>
      </c>
      <c r="L9" s="25" t="s">
        <v>27</v>
      </c>
      <c r="M9" s="26"/>
      <c r="O9" s="2">
        <v>408</v>
      </c>
      <c r="P9" s="2">
        <v>462</v>
      </c>
      <c r="Q9" s="2">
        <f t="shared" si="5"/>
        <v>435</v>
      </c>
    </row>
    <row r="10" spans="1:20" s="2" customFormat="1" ht="27.6" customHeight="1" x14ac:dyDescent="0.2">
      <c r="A10" s="2">
        <v>7</v>
      </c>
      <c r="B10" s="17" t="s">
        <v>29</v>
      </c>
      <c r="C10" s="18">
        <v>40966</v>
      </c>
      <c r="D10" s="27">
        <v>41725</v>
      </c>
      <c r="E10" s="20">
        <f t="shared" si="0"/>
        <v>25.3</v>
      </c>
      <c r="F10" s="20">
        <f t="shared" si="1"/>
        <v>1.6666666666666666E-2</v>
      </c>
      <c r="G10" s="21">
        <v>623200</v>
      </c>
      <c r="H10" s="22">
        <f t="shared" si="2"/>
        <v>360417.33333333331</v>
      </c>
      <c r="I10" s="21">
        <v>340000</v>
      </c>
      <c r="J10" s="23">
        <f t="shared" si="3"/>
        <v>-20417.333333333314</v>
      </c>
      <c r="K10" s="24">
        <f t="shared" si="4"/>
        <v>-4083.4666666666631</v>
      </c>
      <c r="L10" s="25" t="s">
        <v>30</v>
      </c>
      <c r="M10" s="26" t="s">
        <v>31</v>
      </c>
      <c r="Q10" s="2">
        <f t="shared" si="5"/>
        <v>0</v>
      </c>
    </row>
    <row r="11" spans="1:20" s="2" customFormat="1" ht="18.600000000000001" customHeight="1" x14ac:dyDescent="0.2">
      <c r="A11" s="2">
        <v>8</v>
      </c>
      <c r="B11" s="17" t="s">
        <v>32</v>
      </c>
      <c r="C11" s="18">
        <v>41172</v>
      </c>
      <c r="D11" s="27">
        <v>41725</v>
      </c>
      <c r="E11" s="20">
        <f t="shared" si="0"/>
        <v>18.433333333333334</v>
      </c>
      <c r="F11" s="20">
        <f t="shared" si="1"/>
        <v>1.6666666666666666E-2</v>
      </c>
      <c r="G11" s="21">
        <v>425100</v>
      </c>
      <c r="H11" s="22">
        <f t="shared" si="2"/>
        <v>294499.83333333331</v>
      </c>
      <c r="I11" s="21">
        <v>325000</v>
      </c>
      <c r="J11" s="23">
        <f>I11-H11</f>
        <v>30500.166666666686</v>
      </c>
      <c r="K11" s="24">
        <f>J11*0.2</f>
        <v>6100.0333333333374</v>
      </c>
      <c r="L11" s="25" t="s">
        <v>22</v>
      </c>
      <c r="M11" s="26"/>
      <c r="Q11" s="2">
        <f t="shared" si="5"/>
        <v>0</v>
      </c>
    </row>
    <row r="12" spans="1:20" s="2" customFormat="1" ht="18.600000000000001" customHeight="1" x14ac:dyDescent="0.2">
      <c r="A12" s="2">
        <v>9</v>
      </c>
      <c r="B12" s="17" t="s">
        <v>33</v>
      </c>
      <c r="C12" s="18">
        <v>41221</v>
      </c>
      <c r="D12" s="27">
        <v>41729</v>
      </c>
      <c r="E12" s="20">
        <f t="shared" si="0"/>
        <v>16.933333333333334</v>
      </c>
      <c r="F12" s="20">
        <f t="shared" si="1"/>
        <v>1.6666666666666666E-2</v>
      </c>
      <c r="G12" s="21">
        <v>390800</v>
      </c>
      <c r="H12" s="22">
        <f t="shared" si="2"/>
        <v>280507.55555555556</v>
      </c>
      <c r="I12" s="21">
        <v>300000</v>
      </c>
      <c r="J12" s="23">
        <f t="shared" si="3"/>
        <v>19492.444444444438</v>
      </c>
      <c r="K12" s="24">
        <f t="shared" si="4"/>
        <v>3898.4888888888877</v>
      </c>
      <c r="L12" s="25" t="s">
        <v>20</v>
      </c>
      <c r="M12" s="26"/>
      <c r="Q12" s="2">
        <f t="shared" si="5"/>
        <v>0</v>
      </c>
    </row>
    <row r="13" spans="1:20" s="2" customFormat="1" ht="18.600000000000001" customHeight="1" x14ac:dyDescent="0.2">
      <c r="A13" s="2">
        <v>10</v>
      </c>
      <c r="B13" s="17"/>
      <c r="C13" s="18">
        <v>40863</v>
      </c>
      <c r="D13" s="27">
        <v>41729</v>
      </c>
      <c r="E13" s="20">
        <f t="shared" si="0"/>
        <v>28.866666666666667</v>
      </c>
      <c r="F13" s="20">
        <f t="shared" si="1"/>
        <v>1.6666666666666666E-2</v>
      </c>
      <c r="G13" s="21">
        <v>360000</v>
      </c>
      <c r="H13" s="22">
        <f t="shared" si="2"/>
        <v>186800</v>
      </c>
      <c r="I13" s="21">
        <v>240000</v>
      </c>
      <c r="J13" s="23">
        <f t="shared" si="3"/>
        <v>53200</v>
      </c>
      <c r="K13" s="24">
        <f t="shared" si="4"/>
        <v>10640</v>
      </c>
      <c r="L13" s="25"/>
      <c r="M13" s="26"/>
      <c r="O13" s="2">
        <v>228</v>
      </c>
      <c r="P13" s="2">
        <v>259</v>
      </c>
      <c r="Q13" s="2">
        <f t="shared" si="5"/>
        <v>243.5</v>
      </c>
    </row>
    <row r="14" spans="1:20" s="2" customFormat="1" ht="18.600000000000001" customHeight="1" x14ac:dyDescent="0.2">
      <c r="A14" s="2">
        <v>11</v>
      </c>
      <c r="B14" s="17"/>
      <c r="C14" s="29"/>
      <c r="D14" s="30"/>
      <c r="E14" s="20">
        <f t="shared" si="0"/>
        <v>0</v>
      </c>
      <c r="F14" s="20">
        <f t="shared" si="1"/>
        <v>1.6666666666666666E-2</v>
      </c>
      <c r="G14" s="21"/>
      <c r="H14" s="22">
        <f t="shared" si="2"/>
        <v>0</v>
      </c>
      <c r="I14" s="21"/>
      <c r="J14" s="23">
        <f t="shared" si="3"/>
        <v>0</v>
      </c>
      <c r="K14" s="24">
        <f t="shared" si="4"/>
        <v>0</v>
      </c>
      <c r="L14" s="25"/>
      <c r="M14" s="26"/>
    </row>
    <row r="15" spans="1:20" s="2" customFormat="1" ht="18.600000000000001" customHeight="1" x14ac:dyDescent="0.2">
      <c r="A15" s="2">
        <v>12</v>
      </c>
      <c r="B15" s="17"/>
      <c r="C15" s="29"/>
      <c r="D15" s="30"/>
      <c r="E15" s="20">
        <f t="shared" si="0"/>
        <v>0</v>
      </c>
      <c r="F15" s="20">
        <f t="shared" si="1"/>
        <v>1.6666666666666666E-2</v>
      </c>
      <c r="G15" s="21"/>
      <c r="H15" s="22">
        <f t="shared" si="2"/>
        <v>0</v>
      </c>
      <c r="I15" s="21"/>
      <c r="J15" s="23">
        <f t="shared" si="3"/>
        <v>0</v>
      </c>
      <c r="K15" s="24">
        <f t="shared" si="4"/>
        <v>0</v>
      </c>
      <c r="L15" s="25"/>
      <c r="M15" s="26"/>
    </row>
    <row r="16" spans="1:20" s="2" customFormat="1" ht="18.600000000000001" customHeight="1" x14ac:dyDescent="0.2">
      <c r="A16" s="2">
        <v>13</v>
      </c>
      <c r="B16" s="17"/>
      <c r="C16" s="29"/>
      <c r="D16" s="30"/>
      <c r="E16" s="20">
        <f t="shared" si="0"/>
        <v>0</v>
      </c>
      <c r="F16" s="20">
        <f t="shared" si="1"/>
        <v>1.6666666666666666E-2</v>
      </c>
      <c r="G16" s="21"/>
      <c r="H16" s="22">
        <f t="shared" si="2"/>
        <v>0</v>
      </c>
      <c r="I16" s="21"/>
      <c r="J16" s="23">
        <f t="shared" si="3"/>
        <v>0</v>
      </c>
      <c r="K16" s="24">
        <f t="shared" si="4"/>
        <v>0</v>
      </c>
      <c r="L16" s="25"/>
      <c r="M16" s="26"/>
    </row>
    <row r="17" spans="1:13" s="2" customFormat="1" ht="18.600000000000001" customHeight="1" x14ac:dyDescent="0.2">
      <c r="A17" s="2">
        <v>14</v>
      </c>
      <c r="B17" s="17"/>
      <c r="C17" s="29"/>
      <c r="D17" s="30"/>
      <c r="E17" s="20">
        <f t="shared" si="0"/>
        <v>0</v>
      </c>
      <c r="F17" s="20">
        <f t="shared" si="1"/>
        <v>1.6666666666666666E-2</v>
      </c>
      <c r="G17" s="21"/>
      <c r="H17" s="22">
        <f t="shared" si="2"/>
        <v>0</v>
      </c>
      <c r="I17" s="21"/>
      <c r="J17" s="23">
        <f t="shared" si="3"/>
        <v>0</v>
      </c>
      <c r="K17" s="24">
        <f t="shared" si="4"/>
        <v>0</v>
      </c>
      <c r="L17" s="25"/>
      <c r="M17" s="26"/>
    </row>
    <row r="18" spans="1:13" s="2" customFormat="1" ht="18.600000000000001" customHeight="1" x14ac:dyDescent="0.2">
      <c r="A18" s="2">
        <v>15</v>
      </c>
      <c r="B18" s="17"/>
      <c r="C18" s="29"/>
      <c r="D18" s="30"/>
      <c r="E18" s="20">
        <f t="shared" si="0"/>
        <v>0</v>
      </c>
      <c r="F18" s="20">
        <f t="shared" si="1"/>
        <v>1.6666666666666666E-2</v>
      </c>
      <c r="G18" s="21"/>
      <c r="H18" s="22">
        <f t="shared" si="2"/>
        <v>0</v>
      </c>
      <c r="I18" s="21"/>
      <c r="J18" s="23">
        <f t="shared" si="3"/>
        <v>0</v>
      </c>
      <c r="K18" s="24">
        <f t="shared" si="4"/>
        <v>0</v>
      </c>
      <c r="L18" s="25"/>
      <c r="M18" s="26"/>
    </row>
    <row r="19" spans="1:13" s="2" customFormat="1" ht="18.600000000000001" customHeight="1" x14ac:dyDescent="0.2">
      <c r="A19" s="2">
        <v>16</v>
      </c>
      <c r="B19" s="17"/>
      <c r="C19" s="29"/>
      <c r="D19" s="30"/>
      <c r="E19" s="20">
        <f t="shared" si="0"/>
        <v>0</v>
      </c>
      <c r="F19" s="20">
        <f t="shared" si="1"/>
        <v>1.6666666666666666E-2</v>
      </c>
      <c r="G19" s="21"/>
      <c r="H19" s="22">
        <f t="shared" si="2"/>
        <v>0</v>
      </c>
      <c r="I19" s="21"/>
      <c r="J19" s="23">
        <f t="shared" si="3"/>
        <v>0</v>
      </c>
      <c r="K19" s="24">
        <f t="shared" si="4"/>
        <v>0</v>
      </c>
      <c r="L19" s="25"/>
      <c r="M19" s="26"/>
    </row>
    <row r="20" spans="1:13" s="2" customFormat="1" ht="18.600000000000001" customHeight="1" x14ac:dyDescent="0.2">
      <c r="A20" s="2">
        <v>17</v>
      </c>
      <c r="B20" s="17"/>
      <c r="C20" s="29"/>
      <c r="D20" s="30"/>
      <c r="E20" s="20">
        <f t="shared" si="0"/>
        <v>0</v>
      </c>
      <c r="F20" s="20">
        <f t="shared" si="1"/>
        <v>1.6666666666666666E-2</v>
      </c>
      <c r="G20" s="21"/>
      <c r="H20" s="22">
        <f t="shared" si="2"/>
        <v>0</v>
      </c>
      <c r="I20" s="21"/>
      <c r="J20" s="23">
        <f t="shared" si="3"/>
        <v>0</v>
      </c>
      <c r="K20" s="24">
        <f t="shared" si="4"/>
        <v>0</v>
      </c>
      <c r="L20" s="25"/>
      <c r="M20" s="26"/>
    </row>
    <row r="21" spans="1:13" s="2" customFormat="1" ht="18.600000000000001" customHeight="1" x14ac:dyDescent="0.2">
      <c r="A21" s="2">
        <v>18</v>
      </c>
      <c r="B21" s="17"/>
      <c r="C21" s="29"/>
      <c r="D21" s="30"/>
      <c r="E21" s="20">
        <f t="shared" si="0"/>
        <v>0</v>
      </c>
      <c r="F21" s="20">
        <f t="shared" si="1"/>
        <v>1.6666666666666666E-2</v>
      </c>
      <c r="G21" s="21"/>
      <c r="H21" s="22">
        <f t="shared" si="2"/>
        <v>0</v>
      </c>
      <c r="I21" s="21"/>
      <c r="J21" s="23">
        <f t="shared" si="3"/>
        <v>0</v>
      </c>
      <c r="K21" s="24">
        <f t="shared" si="4"/>
        <v>0</v>
      </c>
      <c r="L21" s="25"/>
      <c r="M21" s="26"/>
    </row>
    <row r="22" spans="1:13" s="2" customFormat="1" ht="18.600000000000001" customHeight="1" x14ac:dyDescent="0.2">
      <c r="A22" s="2">
        <v>19</v>
      </c>
      <c r="B22" s="31"/>
      <c r="C22" s="32"/>
      <c r="D22" s="33"/>
      <c r="E22" s="34">
        <f t="shared" si="0"/>
        <v>0</v>
      </c>
      <c r="F22" s="34">
        <f t="shared" si="1"/>
        <v>1.6666666666666666E-2</v>
      </c>
      <c r="G22" s="35"/>
      <c r="H22" s="36">
        <f t="shared" si="2"/>
        <v>0</v>
      </c>
      <c r="I22" s="35"/>
      <c r="J22" s="37">
        <f t="shared" si="3"/>
        <v>0</v>
      </c>
      <c r="K22" s="38">
        <f t="shared" si="4"/>
        <v>0</v>
      </c>
      <c r="L22" s="39"/>
      <c r="M22" s="40"/>
    </row>
    <row r="23" spans="1:13" s="2" customFormat="1" ht="15.95" customHeight="1" x14ac:dyDescent="0.2">
      <c r="J23" s="41"/>
      <c r="K23" s="41"/>
    </row>
    <row r="24" spans="1:13" s="2" customFormat="1" ht="15.95" customHeight="1" x14ac:dyDescent="0.2">
      <c r="J24" s="41"/>
      <c r="K24" s="41"/>
    </row>
    <row r="25" spans="1:13" s="1" customFormat="1" ht="15.95" customHeight="1" x14ac:dyDescent="0.2">
      <c r="J25" s="42"/>
      <c r="K25" s="42"/>
    </row>
    <row r="26" spans="1:13" s="1" customFormat="1" ht="15.95" customHeight="1" x14ac:dyDescent="0.2">
      <c r="J26" s="42"/>
      <c r="K26" s="42"/>
    </row>
    <row r="27" spans="1:13" s="1" customFormat="1" ht="15.95" customHeight="1" x14ac:dyDescent="0.2">
      <c r="J27" s="42"/>
      <c r="K27" s="42"/>
    </row>
    <row r="28" spans="1:13" s="1" customFormat="1" ht="15.95" customHeight="1" x14ac:dyDescent="0.2">
      <c r="J28" s="42"/>
      <c r="K28" s="42"/>
    </row>
    <row r="29" spans="1:13" s="1" customFormat="1" ht="15.95" customHeight="1" x14ac:dyDescent="0.2">
      <c r="J29" s="42"/>
      <c r="K29" s="42"/>
    </row>
    <row r="30" spans="1:13" s="1" customFormat="1" ht="15.95" customHeight="1" x14ac:dyDescent="0.2">
      <c r="J30" s="42"/>
      <c r="K30" s="42"/>
    </row>
    <row r="31" spans="1:13" s="1" customFormat="1" ht="15.95" customHeight="1" x14ac:dyDescent="0.2">
      <c r="J31" s="42"/>
      <c r="K31" s="42"/>
    </row>
    <row r="32" spans="1:13" s="1" customFormat="1" ht="15.95" customHeight="1" x14ac:dyDescent="0.2"/>
    <row r="33" s="1" customFormat="1" ht="15.95" customHeight="1" x14ac:dyDescent="0.2"/>
  </sheetData>
  <phoneticPr fontId="0" type="noConversion"/>
  <pageMargins left="0.29652777777777778" right="0.26458333333333334" top="0.31388888888888888" bottom="0.98402777777777772" header="0.51180555555555551" footer="0.51180555555555551"/>
  <pageSetup scale="6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385"/>
  <sheetViews>
    <sheetView tabSelected="1" zoomScale="85" workbookViewId="0">
      <pane ySplit="5" topLeftCell="A6" activePane="bottomLeft" state="frozenSplit"/>
      <selection pane="bottomLeft" activeCell="I149" sqref="I149"/>
    </sheetView>
  </sheetViews>
  <sheetFormatPr baseColWidth="10" defaultRowHeight="12.75" outlineLevelCol="1" x14ac:dyDescent="0.2"/>
  <cols>
    <col min="1" max="1" width="5.28515625" customWidth="1"/>
    <col min="2" max="2" width="12.42578125" bestFit="1" customWidth="1"/>
    <col min="3" max="3" width="10.85546875" bestFit="1" customWidth="1"/>
    <col min="5" max="5" width="8.5703125" bestFit="1" customWidth="1"/>
    <col min="6" max="6" width="13.140625" bestFit="1" customWidth="1"/>
    <col min="7" max="7" width="12.5703125" customWidth="1"/>
    <col min="8" max="8" width="14.140625" bestFit="1" customWidth="1"/>
    <col min="9" max="9" width="9.140625" customWidth="1" outlineLevel="1"/>
    <col min="10" max="10" width="14.140625" bestFit="1" customWidth="1"/>
    <col min="11" max="11" width="11.7109375" customWidth="1"/>
    <col min="12" max="12" width="14.140625" bestFit="1" customWidth="1"/>
    <col min="13" max="13" width="11.28515625" customWidth="1"/>
    <col min="14" max="14" width="20.140625" customWidth="1"/>
    <col min="15" max="15" width="13.140625" bestFit="1" customWidth="1"/>
    <col min="16" max="16" width="10.5703125" customWidth="1"/>
    <col min="17" max="17" width="57" customWidth="1"/>
    <col min="19" max="24" width="0" hidden="1" customWidth="1"/>
  </cols>
  <sheetData>
    <row r="1" spans="1:24" x14ac:dyDescent="0.2">
      <c r="B1" s="84" t="s">
        <v>57</v>
      </c>
      <c r="M1" s="44">
        <f>63.77*365*3</f>
        <v>69828.150000000009</v>
      </c>
      <c r="N1" t="s">
        <v>34</v>
      </c>
    </row>
    <row r="2" spans="1:24" s="1" customFormat="1" ht="15.95" customHeight="1" x14ac:dyDescent="0.2">
      <c r="B2" s="85" t="s">
        <v>56</v>
      </c>
      <c r="E2" s="43"/>
    </row>
    <row r="3" spans="1:24" s="1" customFormat="1" ht="15.95" customHeight="1" x14ac:dyDescent="0.2">
      <c r="B3" s="85">
        <v>2015</v>
      </c>
      <c r="E3" s="43"/>
    </row>
    <row r="4" spans="1:24" s="1" customFormat="1" ht="15.95" customHeight="1" thickBot="1" x14ac:dyDescent="0.25">
      <c r="E4" s="43"/>
    </row>
    <row r="5" spans="1:24" s="69" customFormat="1" ht="39.75" customHeight="1" x14ac:dyDescent="0.2">
      <c r="B5" s="77" t="s">
        <v>0</v>
      </c>
      <c r="C5" s="78" t="s">
        <v>1</v>
      </c>
      <c r="D5" s="79" t="s">
        <v>2</v>
      </c>
      <c r="E5" s="79" t="s">
        <v>3</v>
      </c>
      <c r="F5" s="79" t="s">
        <v>4</v>
      </c>
      <c r="G5" s="80" t="s">
        <v>5</v>
      </c>
      <c r="H5" s="79" t="s">
        <v>50</v>
      </c>
      <c r="I5" s="86" t="s">
        <v>49</v>
      </c>
      <c r="J5" s="79" t="s">
        <v>52</v>
      </c>
      <c r="K5" s="80" t="s">
        <v>66</v>
      </c>
      <c r="L5" s="79" t="s">
        <v>51</v>
      </c>
      <c r="M5" s="81" t="s">
        <v>53</v>
      </c>
      <c r="N5" s="82" t="s">
        <v>54</v>
      </c>
      <c r="O5" s="83" t="s">
        <v>55</v>
      </c>
      <c r="P5" s="70" t="s">
        <v>10</v>
      </c>
      <c r="Q5" s="71" t="s">
        <v>11</v>
      </c>
      <c r="S5" s="69" t="s">
        <v>12</v>
      </c>
      <c r="T5" s="69" t="s">
        <v>13</v>
      </c>
      <c r="U5" s="69" t="s">
        <v>14</v>
      </c>
      <c r="V5" s="69" t="s">
        <v>15</v>
      </c>
    </row>
    <row r="6" spans="1:24" s="68" customFormat="1" hidden="1" x14ac:dyDescent="0.2">
      <c r="A6" s="68">
        <v>1</v>
      </c>
      <c r="B6" s="93" t="s">
        <v>59</v>
      </c>
      <c r="C6" s="127">
        <v>40928</v>
      </c>
      <c r="D6" s="128">
        <v>42006</v>
      </c>
      <c r="E6" s="94">
        <f>(D6-C6)/30</f>
        <v>35.93333333333333</v>
      </c>
      <c r="F6" s="95">
        <f>0.2/12</f>
        <v>1.6666666666666666E-2</v>
      </c>
      <c r="G6" s="96">
        <v>180000</v>
      </c>
      <c r="H6" s="97">
        <f t="shared" ref="H6:H69" si="0">G6-(G6*F6*E6)</f>
        <v>72200.000000000015</v>
      </c>
      <c r="I6" s="98">
        <f>INDICES!C48/INDICES!C45</f>
        <v>1.1129128150051781</v>
      </c>
      <c r="J6" s="97">
        <f>+H6*I6</f>
        <v>80352.305243373878</v>
      </c>
      <c r="K6" s="99">
        <v>102000</v>
      </c>
      <c r="L6" s="97">
        <f>+K6-J6</f>
        <v>21647.694756626122</v>
      </c>
      <c r="M6" s="97">
        <f>+M1</f>
        <v>69828.150000000009</v>
      </c>
      <c r="N6" s="97">
        <f>+L6-M6</f>
        <v>-48180.455243373886</v>
      </c>
      <c r="O6" s="97">
        <f>IF(N6&gt;1,N6*0.2,0)</f>
        <v>0</v>
      </c>
      <c r="P6" s="100"/>
      <c r="Q6" s="101" t="s">
        <v>213</v>
      </c>
      <c r="V6" s="68">
        <v>57</v>
      </c>
      <c r="W6" s="68">
        <f>V6*365</f>
        <v>20805</v>
      </c>
      <c r="X6" s="68">
        <f>W6*3</f>
        <v>62415</v>
      </c>
    </row>
    <row r="7" spans="1:24" s="2" customFormat="1" hidden="1" x14ac:dyDescent="0.2">
      <c r="A7" s="2">
        <v>2</v>
      </c>
      <c r="B7" s="93" t="s">
        <v>58</v>
      </c>
      <c r="C7" s="127">
        <v>41242</v>
      </c>
      <c r="D7" s="128">
        <v>42006</v>
      </c>
      <c r="E7" s="94">
        <f t="shared" ref="E7:E70" si="1">(D7-C7)/30</f>
        <v>25.466666666666665</v>
      </c>
      <c r="F7" s="95">
        <f t="shared" ref="F7:F70" si="2">0.2/12</f>
        <v>1.6666666666666666E-2</v>
      </c>
      <c r="G7" s="96">
        <v>258020</v>
      </c>
      <c r="H7" s="97">
        <f t="shared" si="0"/>
        <v>148504.84444444446</v>
      </c>
      <c r="I7" s="98">
        <f>INDICES!C48/INDICES!M45</f>
        <v>1.0846635514018692</v>
      </c>
      <c r="J7" s="97">
        <f t="shared" ref="J7:J70" si="3">+H7*I7</f>
        <v>161077.79197549328</v>
      </c>
      <c r="K7" s="99">
        <v>182000</v>
      </c>
      <c r="L7" s="97">
        <f t="shared" ref="L7:L70" si="4">+K7-J7</f>
        <v>20922.208024506719</v>
      </c>
      <c r="M7" s="97">
        <v>69828.149999999994</v>
      </c>
      <c r="N7" s="97">
        <f t="shared" ref="N7:N70" si="5">+L7-M7</f>
        <v>-48905.941975493275</v>
      </c>
      <c r="O7" s="97">
        <f>IF(N7&gt;1,N7*0.2,0)</f>
        <v>0</v>
      </c>
      <c r="P7" s="100"/>
      <c r="Q7" s="101" t="s">
        <v>213</v>
      </c>
    </row>
    <row r="8" spans="1:24" s="1" customFormat="1" ht="15" hidden="1" x14ac:dyDescent="0.25">
      <c r="A8" s="92">
        <v>3</v>
      </c>
      <c r="B8" s="102" t="s">
        <v>60</v>
      </c>
      <c r="C8" s="129"/>
      <c r="D8" s="130">
        <v>42014</v>
      </c>
      <c r="E8" s="103">
        <f t="shared" si="1"/>
        <v>1400.4666666666667</v>
      </c>
      <c r="F8" s="104">
        <f t="shared" si="2"/>
        <v>1.6666666666666666E-2</v>
      </c>
      <c r="G8" s="105"/>
      <c r="H8" s="106">
        <f t="shared" si="0"/>
        <v>0</v>
      </c>
      <c r="I8" s="107"/>
      <c r="J8" s="106">
        <f t="shared" si="3"/>
        <v>0</v>
      </c>
      <c r="K8" s="108">
        <v>155172.41</v>
      </c>
      <c r="L8" s="106">
        <f t="shared" si="4"/>
        <v>155172.41</v>
      </c>
      <c r="M8" s="106">
        <v>69828.149999999994</v>
      </c>
      <c r="N8" s="106">
        <f t="shared" si="5"/>
        <v>85344.260000000009</v>
      </c>
      <c r="O8" s="106"/>
      <c r="P8" s="109"/>
      <c r="Q8" s="109" t="s">
        <v>212</v>
      </c>
    </row>
    <row r="9" spans="1:24" s="1" customFormat="1" hidden="1" x14ac:dyDescent="0.2">
      <c r="A9" s="68">
        <v>4</v>
      </c>
      <c r="B9" s="93" t="s">
        <v>61</v>
      </c>
      <c r="C9" s="131">
        <v>40131</v>
      </c>
      <c r="D9" s="128">
        <v>42016</v>
      </c>
      <c r="E9" s="94">
        <f t="shared" si="1"/>
        <v>62.833333333333336</v>
      </c>
      <c r="F9" s="95">
        <f t="shared" si="2"/>
        <v>1.6666666666666666E-2</v>
      </c>
      <c r="G9" s="110">
        <v>165800</v>
      </c>
      <c r="H9" s="97">
        <f t="shared" si="0"/>
        <v>-7829.4444444444671</v>
      </c>
      <c r="I9" s="111">
        <f>+INDICES!C48/INDICES!L42</f>
        <v>1.2261626839237019</v>
      </c>
      <c r="J9" s="97">
        <f t="shared" si="3"/>
        <v>-9600.1726136315447</v>
      </c>
      <c r="K9" s="99">
        <v>83500</v>
      </c>
      <c r="L9" s="97">
        <f t="shared" si="4"/>
        <v>93100.172613631541</v>
      </c>
      <c r="M9" s="97">
        <v>69828.149999999994</v>
      </c>
      <c r="N9" s="97">
        <f t="shared" si="5"/>
        <v>23272.022613631547</v>
      </c>
      <c r="O9" s="97">
        <f>IF(N9&gt;1,N9*0.2,0)</f>
        <v>4654.4045227263096</v>
      </c>
      <c r="P9" s="113"/>
      <c r="Q9" s="101" t="s">
        <v>213</v>
      </c>
      <c r="R9" s="90"/>
    </row>
    <row r="10" spans="1:24" s="1" customFormat="1" x14ac:dyDescent="0.2">
      <c r="A10" s="2">
        <v>5</v>
      </c>
      <c r="B10" s="93" t="s">
        <v>62</v>
      </c>
      <c r="C10" s="127"/>
      <c r="D10" s="128">
        <v>42016</v>
      </c>
      <c r="E10" s="94">
        <f t="shared" si="1"/>
        <v>1400.5333333333333</v>
      </c>
      <c r="F10" s="95">
        <f t="shared" si="2"/>
        <v>1.6666666666666666E-2</v>
      </c>
      <c r="G10" s="96"/>
      <c r="H10" s="97">
        <f t="shared" si="0"/>
        <v>0</v>
      </c>
      <c r="I10" s="98"/>
      <c r="J10" s="97">
        <f t="shared" si="3"/>
        <v>0</v>
      </c>
      <c r="K10" s="99">
        <v>265000</v>
      </c>
      <c r="L10" s="97">
        <f t="shared" si="4"/>
        <v>265000</v>
      </c>
      <c r="M10" s="97">
        <v>69828.149999999994</v>
      </c>
      <c r="N10" s="97">
        <f t="shared" si="5"/>
        <v>195171.85</v>
      </c>
      <c r="O10" s="97"/>
      <c r="P10" s="115"/>
      <c r="Q10" s="101"/>
      <c r="R10" s="90"/>
    </row>
    <row r="11" spans="1:24" s="1" customFormat="1" ht="15" hidden="1" x14ac:dyDescent="0.25">
      <c r="A11" s="92">
        <v>6</v>
      </c>
      <c r="B11" s="102" t="s">
        <v>63</v>
      </c>
      <c r="C11" s="129"/>
      <c r="D11" s="130">
        <v>42019</v>
      </c>
      <c r="E11" s="103">
        <f t="shared" si="1"/>
        <v>1400.6333333333334</v>
      </c>
      <c r="F11" s="104">
        <f t="shared" si="2"/>
        <v>1.6666666666666666E-2</v>
      </c>
      <c r="G11" s="105"/>
      <c r="H11" s="106">
        <f t="shared" si="0"/>
        <v>0</v>
      </c>
      <c r="I11" s="107"/>
      <c r="J11" s="106">
        <f t="shared" si="3"/>
        <v>0</v>
      </c>
      <c r="K11" s="108">
        <v>86206.9</v>
      </c>
      <c r="L11" s="106">
        <f t="shared" si="4"/>
        <v>86206.9</v>
      </c>
      <c r="M11" s="106">
        <v>69828.149999999994</v>
      </c>
      <c r="N11" s="106">
        <f t="shared" si="5"/>
        <v>16378.75</v>
      </c>
      <c r="O11" s="106"/>
      <c r="P11" s="109"/>
      <c r="Q11" s="109" t="s">
        <v>212</v>
      </c>
      <c r="R11" s="90"/>
    </row>
    <row r="12" spans="1:24" s="1" customFormat="1" hidden="1" x14ac:dyDescent="0.2">
      <c r="A12" s="68">
        <v>7</v>
      </c>
      <c r="B12" s="93" t="s">
        <v>64</v>
      </c>
      <c r="C12" s="127">
        <v>41271</v>
      </c>
      <c r="D12" s="128">
        <v>42026</v>
      </c>
      <c r="E12" s="94">
        <f t="shared" si="1"/>
        <v>25.166666666666668</v>
      </c>
      <c r="F12" s="95">
        <f t="shared" si="2"/>
        <v>1.6666666666666666E-2</v>
      </c>
      <c r="G12" s="96">
        <v>248400</v>
      </c>
      <c r="H12" s="97">
        <f t="shared" si="0"/>
        <v>144210</v>
      </c>
      <c r="I12" s="98">
        <f>+INDICES!C48/INDICES!N45</f>
        <v>1.0821755589952073</v>
      </c>
      <c r="J12" s="97">
        <f t="shared" si="3"/>
        <v>156060.53736269884</v>
      </c>
      <c r="K12" s="99">
        <v>175000</v>
      </c>
      <c r="L12" s="97">
        <f t="shared" si="4"/>
        <v>18939.462637301156</v>
      </c>
      <c r="M12" s="97">
        <v>69828.149999999994</v>
      </c>
      <c r="N12" s="97">
        <f t="shared" si="5"/>
        <v>-50888.687362698838</v>
      </c>
      <c r="O12" s="97">
        <f t="shared" ref="O12:O14" si="6">IF(N12&gt;1,N12*0.2,0)</f>
        <v>0</v>
      </c>
      <c r="P12" s="115"/>
      <c r="Q12" s="101" t="s">
        <v>213</v>
      </c>
      <c r="R12" s="90"/>
    </row>
    <row r="13" spans="1:24" s="1" customFormat="1" hidden="1" x14ac:dyDescent="0.2">
      <c r="A13" s="2">
        <v>8</v>
      </c>
      <c r="B13" s="122" t="s">
        <v>65</v>
      </c>
      <c r="C13" s="131">
        <v>38778</v>
      </c>
      <c r="D13" s="132">
        <v>42031</v>
      </c>
      <c r="E13" s="123">
        <f t="shared" si="1"/>
        <v>108.43333333333334</v>
      </c>
      <c r="F13" s="124">
        <f t="shared" si="2"/>
        <v>1.6666666666666666E-2</v>
      </c>
      <c r="G13" s="110">
        <v>284400</v>
      </c>
      <c r="H13" s="112">
        <f t="shared" si="0"/>
        <v>-229574</v>
      </c>
      <c r="I13" s="111">
        <f>+INDICES!C48/INDICES!E39</f>
        <v>1.4346779673341326</v>
      </c>
      <c r="J13" s="112">
        <f t="shared" si="3"/>
        <v>-329364.75967276614</v>
      </c>
      <c r="K13" s="125">
        <v>75000</v>
      </c>
      <c r="L13" s="112">
        <f t="shared" si="4"/>
        <v>404364.75967276614</v>
      </c>
      <c r="M13" s="112">
        <v>69828.149999999994</v>
      </c>
      <c r="N13" s="112">
        <f t="shared" si="5"/>
        <v>334536.60967276618</v>
      </c>
      <c r="O13" s="97">
        <f t="shared" si="6"/>
        <v>66907.321934553242</v>
      </c>
      <c r="P13" s="109"/>
      <c r="Q13" s="101" t="s">
        <v>213</v>
      </c>
      <c r="R13" s="90"/>
    </row>
    <row r="14" spans="1:24" s="1" customFormat="1" x14ac:dyDescent="0.2">
      <c r="A14" s="92">
        <v>9</v>
      </c>
      <c r="B14" s="122" t="s">
        <v>67</v>
      </c>
      <c r="C14" s="131"/>
      <c r="D14" s="132">
        <v>42031</v>
      </c>
      <c r="E14" s="123">
        <f t="shared" si="1"/>
        <v>1401.0333333333333</v>
      </c>
      <c r="F14" s="124">
        <f t="shared" si="2"/>
        <v>1.6666666666666666E-2</v>
      </c>
      <c r="G14" s="110"/>
      <c r="H14" s="112">
        <f t="shared" si="0"/>
        <v>0</v>
      </c>
      <c r="I14" s="111"/>
      <c r="J14" s="112">
        <f t="shared" si="3"/>
        <v>0</v>
      </c>
      <c r="K14" s="125">
        <v>200000</v>
      </c>
      <c r="L14" s="112">
        <f t="shared" si="4"/>
        <v>200000</v>
      </c>
      <c r="M14" s="112">
        <v>69828.149999999994</v>
      </c>
      <c r="N14" s="112">
        <f t="shared" si="5"/>
        <v>130171.85</v>
      </c>
      <c r="O14" s="97">
        <f t="shared" si="6"/>
        <v>26034.370000000003</v>
      </c>
      <c r="P14" s="109"/>
      <c r="Q14" s="101" t="s">
        <v>213</v>
      </c>
      <c r="R14" s="90"/>
    </row>
    <row r="15" spans="1:24" s="1" customFormat="1" ht="15" hidden="1" x14ac:dyDescent="0.25">
      <c r="A15" s="68">
        <v>10</v>
      </c>
      <c r="B15" s="102" t="s">
        <v>68</v>
      </c>
      <c r="C15" s="129"/>
      <c r="D15" s="130">
        <v>42034</v>
      </c>
      <c r="E15" s="103">
        <f t="shared" si="1"/>
        <v>1401.1333333333334</v>
      </c>
      <c r="F15" s="104">
        <f t="shared" si="2"/>
        <v>1.6666666666666666E-2</v>
      </c>
      <c r="G15" s="105"/>
      <c r="H15" s="106">
        <f t="shared" si="0"/>
        <v>0</v>
      </c>
      <c r="I15" s="107"/>
      <c r="J15" s="106">
        <f t="shared" si="3"/>
        <v>0</v>
      </c>
      <c r="K15" s="108">
        <v>116379.31</v>
      </c>
      <c r="L15" s="106">
        <f t="shared" si="4"/>
        <v>116379.31</v>
      </c>
      <c r="M15" s="106">
        <v>69828.149999999994</v>
      </c>
      <c r="N15" s="106">
        <f t="shared" si="5"/>
        <v>46551.16</v>
      </c>
      <c r="O15" s="106"/>
      <c r="P15" s="109"/>
      <c r="Q15" s="109" t="s">
        <v>212</v>
      </c>
      <c r="R15" s="90"/>
    </row>
    <row r="16" spans="1:24" s="1" customFormat="1" hidden="1" x14ac:dyDescent="0.2">
      <c r="A16" s="2">
        <v>11</v>
      </c>
      <c r="B16" s="122" t="s">
        <v>69</v>
      </c>
      <c r="C16" s="131">
        <v>41241</v>
      </c>
      <c r="D16" s="132">
        <v>42045</v>
      </c>
      <c r="E16" s="123">
        <f t="shared" si="1"/>
        <v>26.8</v>
      </c>
      <c r="F16" s="124">
        <f t="shared" si="2"/>
        <v>1.6666666666666666E-2</v>
      </c>
      <c r="G16" s="110">
        <v>192800</v>
      </c>
      <c r="H16" s="112">
        <f t="shared" si="0"/>
        <v>106682.66666666666</v>
      </c>
      <c r="I16" s="111">
        <f>+INDICES!D48/INDICES!M45</f>
        <v>1.0857383177570095</v>
      </c>
      <c r="J16" s="112">
        <f t="shared" si="3"/>
        <v>115829.45904049845</v>
      </c>
      <c r="K16" s="125">
        <v>130000</v>
      </c>
      <c r="L16" s="112">
        <f t="shared" si="4"/>
        <v>14170.540959501552</v>
      </c>
      <c r="M16" s="112">
        <v>69828.149999999994</v>
      </c>
      <c r="N16" s="112">
        <f t="shared" si="5"/>
        <v>-55657.609040498442</v>
      </c>
      <c r="O16" s="97">
        <f t="shared" ref="O16:O18" si="7">IF(N16&gt;1,N16*0.2,0)</f>
        <v>0</v>
      </c>
      <c r="P16" s="115"/>
      <c r="Q16" s="101" t="s">
        <v>213</v>
      </c>
      <c r="R16" s="90"/>
    </row>
    <row r="17" spans="1:18" hidden="1" x14ac:dyDescent="0.2">
      <c r="A17" s="92">
        <v>12</v>
      </c>
      <c r="B17" s="122" t="s">
        <v>70</v>
      </c>
      <c r="C17" s="131">
        <v>39289</v>
      </c>
      <c r="D17" s="132">
        <v>42049</v>
      </c>
      <c r="E17" s="123">
        <f t="shared" si="1"/>
        <v>92</v>
      </c>
      <c r="F17" s="124">
        <f t="shared" si="2"/>
        <v>1.6666666666666666E-2</v>
      </c>
      <c r="G17" s="110">
        <v>196800</v>
      </c>
      <c r="H17" s="112">
        <f t="shared" si="0"/>
        <v>-104960</v>
      </c>
      <c r="I17" s="111">
        <f>+INDICES!D48/INDICES!I40</f>
        <v>1.3781917457746331</v>
      </c>
      <c r="J17" s="112">
        <f t="shared" si="3"/>
        <v>-144655.00563650549</v>
      </c>
      <c r="K17" s="125">
        <v>95000</v>
      </c>
      <c r="L17" s="112">
        <f t="shared" si="4"/>
        <v>239655.00563650549</v>
      </c>
      <c r="M17" s="112">
        <v>69828.149999999994</v>
      </c>
      <c r="N17" s="112">
        <f t="shared" si="5"/>
        <v>169826.8556365055</v>
      </c>
      <c r="O17" s="97">
        <f t="shared" si="7"/>
        <v>33965.371127301099</v>
      </c>
      <c r="P17" s="101"/>
      <c r="Q17" s="101" t="s">
        <v>213</v>
      </c>
      <c r="R17" s="90"/>
    </row>
    <row r="18" spans="1:18" hidden="1" x14ac:dyDescent="0.2">
      <c r="A18" s="68">
        <v>13</v>
      </c>
      <c r="B18" s="122" t="s">
        <v>71</v>
      </c>
      <c r="C18" s="131">
        <v>39323</v>
      </c>
      <c r="D18" s="132">
        <v>42056</v>
      </c>
      <c r="E18" s="123">
        <f t="shared" si="1"/>
        <v>91.1</v>
      </c>
      <c r="F18" s="124">
        <f t="shared" si="2"/>
        <v>1.6666666666666666E-2</v>
      </c>
      <c r="G18" s="110">
        <v>246900</v>
      </c>
      <c r="H18" s="112">
        <f t="shared" si="0"/>
        <v>-127976.5</v>
      </c>
      <c r="I18" s="111">
        <f>+INDICES!D48/INDICES!J40</f>
        <v>1.3725997475883178</v>
      </c>
      <c r="J18" s="112">
        <f t="shared" si="3"/>
        <v>-175660.51159723636</v>
      </c>
      <c r="K18" s="125">
        <v>130000</v>
      </c>
      <c r="L18" s="112">
        <f t="shared" si="4"/>
        <v>305660.51159723639</v>
      </c>
      <c r="M18" s="112">
        <v>69828.149999999994</v>
      </c>
      <c r="N18" s="112">
        <f t="shared" si="5"/>
        <v>235832.36159723639</v>
      </c>
      <c r="O18" s="97">
        <f t="shared" si="7"/>
        <v>47166.472319447283</v>
      </c>
      <c r="P18" s="101"/>
      <c r="Q18" s="101" t="s">
        <v>213</v>
      </c>
      <c r="R18" s="90"/>
    </row>
    <row r="19" spans="1:18" ht="15" hidden="1" x14ac:dyDescent="0.25">
      <c r="A19" s="2">
        <v>14</v>
      </c>
      <c r="B19" s="102" t="s">
        <v>72</v>
      </c>
      <c r="C19" s="129"/>
      <c r="D19" s="130">
        <v>42056</v>
      </c>
      <c r="E19" s="103">
        <f t="shared" si="1"/>
        <v>1401.8666666666666</v>
      </c>
      <c r="F19" s="104">
        <f t="shared" si="2"/>
        <v>1.6666666666666666E-2</v>
      </c>
      <c r="G19" s="105"/>
      <c r="H19" s="106">
        <f t="shared" si="0"/>
        <v>0</v>
      </c>
      <c r="I19" s="107"/>
      <c r="J19" s="106">
        <f t="shared" si="3"/>
        <v>0</v>
      </c>
      <c r="K19" s="108">
        <v>198275.86</v>
      </c>
      <c r="L19" s="106">
        <f t="shared" si="4"/>
        <v>198275.86</v>
      </c>
      <c r="M19" s="106">
        <v>69828.149999999994</v>
      </c>
      <c r="N19" s="106">
        <f t="shared" si="5"/>
        <v>128447.70999999999</v>
      </c>
      <c r="O19" s="97"/>
      <c r="P19" s="101"/>
      <c r="Q19" s="109" t="s">
        <v>212</v>
      </c>
      <c r="R19" s="90"/>
    </row>
    <row r="20" spans="1:18" ht="15" hidden="1" x14ac:dyDescent="0.25">
      <c r="A20" s="92">
        <v>15</v>
      </c>
      <c r="B20" s="102" t="s">
        <v>73</v>
      </c>
      <c r="C20" s="129"/>
      <c r="D20" s="130">
        <v>42056</v>
      </c>
      <c r="E20" s="103">
        <f t="shared" si="1"/>
        <v>1401.8666666666666</v>
      </c>
      <c r="F20" s="104">
        <f t="shared" si="2"/>
        <v>1.6666666666666666E-2</v>
      </c>
      <c r="G20" s="105"/>
      <c r="H20" s="106">
        <f t="shared" si="0"/>
        <v>0</v>
      </c>
      <c r="I20" s="107"/>
      <c r="J20" s="106">
        <f t="shared" si="3"/>
        <v>0</v>
      </c>
      <c r="K20" s="108">
        <v>211206.9</v>
      </c>
      <c r="L20" s="106">
        <f t="shared" si="4"/>
        <v>211206.9</v>
      </c>
      <c r="M20" s="106">
        <v>69828.149999999994</v>
      </c>
      <c r="N20" s="106">
        <f t="shared" si="5"/>
        <v>141378.75</v>
      </c>
      <c r="O20" s="97"/>
      <c r="P20" s="101"/>
      <c r="Q20" s="109" t="s">
        <v>212</v>
      </c>
      <c r="R20" s="91"/>
    </row>
    <row r="21" spans="1:18" hidden="1" x14ac:dyDescent="0.2">
      <c r="A21" s="68">
        <v>16</v>
      </c>
      <c r="B21" s="122" t="s">
        <v>74</v>
      </c>
      <c r="C21" s="131">
        <v>39427</v>
      </c>
      <c r="D21" s="132">
        <v>42066</v>
      </c>
      <c r="E21" s="123">
        <f t="shared" si="1"/>
        <v>87.966666666666669</v>
      </c>
      <c r="F21" s="124">
        <f t="shared" si="2"/>
        <v>1.6666666666666666E-2</v>
      </c>
      <c r="G21" s="110">
        <v>450600</v>
      </c>
      <c r="H21" s="112">
        <f t="shared" si="0"/>
        <v>-210029.66666666663</v>
      </c>
      <c r="I21" s="111">
        <f>+INDICES!E48/INDICES!N40</f>
        <v>1.3471481802905272</v>
      </c>
      <c r="J21" s="112">
        <f t="shared" si="3"/>
        <v>-282941.08325702592</v>
      </c>
      <c r="K21" s="125">
        <v>150000</v>
      </c>
      <c r="L21" s="112">
        <f t="shared" si="4"/>
        <v>432941.08325702592</v>
      </c>
      <c r="M21" s="112">
        <v>69828.149999999994</v>
      </c>
      <c r="N21" s="112">
        <f t="shared" si="5"/>
        <v>363112.9332570259</v>
      </c>
      <c r="O21" s="97">
        <f t="shared" ref="O21:O22" si="8">IF(N21&gt;1,N21*0.2,0)</f>
        <v>72622.586651405189</v>
      </c>
      <c r="P21" s="101"/>
      <c r="Q21" s="101" t="s">
        <v>213</v>
      </c>
      <c r="R21" s="91"/>
    </row>
    <row r="22" spans="1:18" hidden="1" x14ac:dyDescent="0.2">
      <c r="A22" s="2">
        <v>17</v>
      </c>
      <c r="B22" s="122" t="s">
        <v>75</v>
      </c>
      <c r="C22" s="131">
        <v>39438</v>
      </c>
      <c r="D22" s="132">
        <v>42066</v>
      </c>
      <c r="E22" s="123">
        <f t="shared" si="1"/>
        <v>87.6</v>
      </c>
      <c r="F22" s="124">
        <f t="shared" si="2"/>
        <v>1.6666666666666666E-2</v>
      </c>
      <c r="G22" s="110">
        <v>127590</v>
      </c>
      <c r="H22" s="112">
        <f t="shared" si="0"/>
        <v>-58691.399999999994</v>
      </c>
      <c r="I22" s="111">
        <f>+INDICES!E48/INDICES!N40</f>
        <v>1.3471481802905272</v>
      </c>
      <c r="J22" s="112">
        <f t="shared" si="3"/>
        <v>-79066.012708703434</v>
      </c>
      <c r="K22" s="125">
        <v>47000</v>
      </c>
      <c r="L22" s="112">
        <f t="shared" si="4"/>
        <v>126066.01270870343</v>
      </c>
      <c r="M22" s="112">
        <v>69828.149999999994</v>
      </c>
      <c r="N22" s="112">
        <f t="shared" si="5"/>
        <v>56237.86270870344</v>
      </c>
      <c r="O22" s="97">
        <f t="shared" si="8"/>
        <v>11247.572541740688</v>
      </c>
      <c r="P22" s="101"/>
      <c r="Q22" s="101" t="s">
        <v>213</v>
      </c>
      <c r="R22" s="90"/>
    </row>
    <row r="23" spans="1:18" hidden="1" x14ac:dyDescent="0.2">
      <c r="A23" s="92">
        <v>18</v>
      </c>
      <c r="B23" s="117" t="s">
        <v>76</v>
      </c>
      <c r="C23" s="129">
        <v>40511</v>
      </c>
      <c r="D23" s="133">
        <v>42069</v>
      </c>
      <c r="E23" s="103">
        <f t="shared" si="1"/>
        <v>51.93333333333333</v>
      </c>
      <c r="F23" s="104">
        <f t="shared" si="2"/>
        <v>1.6666666666666666E-2</v>
      </c>
      <c r="G23" s="105">
        <v>189400</v>
      </c>
      <c r="H23" s="106">
        <f t="shared" si="0"/>
        <v>25463.77777777781</v>
      </c>
      <c r="I23" s="107">
        <f>+INDICES!E48/INDICES!M43</f>
        <v>1.1752797556383108</v>
      </c>
      <c r="J23" s="106">
        <f t="shared" si="3"/>
        <v>29927.062524294954</v>
      </c>
      <c r="K23" s="118">
        <v>83000</v>
      </c>
      <c r="L23" s="106">
        <f t="shared" si="4"/>
        <v>53072.937475705046</v>
      </c>
      <c r="M23" s="106">
        <v>69828.149999999994</v>
      </c>
      <c r="N23" s="106">
        <f t="shared" si="5"/>
        <v>-16755.212524294948</v>
      </c>
      <c r="O23" s="106"/>
      <c r="P23" s="116"/>
      <c r="Q23" s="116" t="s">
        <v>211</v>
      </c>
      <c r="R23" s="90"/>
    </row>
    <row r="24" spans="1:18" hidden="1" x14ac:dyDescent="0.2">
      <c r="A24" s="68">
        <v>19</v>
      </c>
      <c r="B24" s="122" t="s">
        <v>77</v>
      </c>
      <c r="C24" s="131">
        <v>40635</v>
      </c>
      <c r="D24" s="132">
        <v>42075</v>
      </c>
      <c r="E24" s="123">
        <f t="shared" si="1"/>
        <v>48</v>
      </c>
      <c r="F24" s="124">
        <f t="shared" si="2"/>
        <v>1.6666666666666666E-2</v>
      </c>
      <c r="G24" s="110">
        <v>222000</v>
      </c>
      <c r="H24" s="112">
        <f t="shared" si="0"/>
        <v>44400</v>
      </c>
      <c r="I24" s="111">
        <f>+INDICES!E48/INDICES!F44</f>
        <v>1.1573385984581652</v>
      </c>
      <c r="J24" s="112">
        <f t="shared" si="3"/>
        <v>51385.833771542537</v>
      </c>
      <c r="K24" s="125">
        <v>125000</v>
      </c>
      <c r="L24" s="112">
        <f t="shared" si="4"/>
        <v>73614.16622845747</v>
      </c>
      <c r="M24" s="112">
        <v>69828.149999999994</v>
      </c>
      <c r="N24" s="112">
        <f t="shared" si="5"/>
        <v>3786.0162284574762</v>
      </c>
      <c r="O24" s="97">
        <f>IF(N24&gt;1,N24*0.2,0)</f>
        <v>757.20324569149534</v>
      </c>
      <c r="P24" s="101"/>
      <c r="Q24" s="101" t="s">
        <v>213</v>
      </c>
      <c r="R24" s="91"/>
    </row>
    <row r="25" spans="1:18" ht="15" hidden="1" x14ac:dyDescent="0.25">
      <c r="A25" s="2">
        <v>20</v>
      </c>
      <c r="B25" s="102" t="s">
        <v>78</v>
      </c>
      <c r="C25" s="129"/>
      <c r="D25" s="130">
        <v>42082</v>
      </c>
      <c r="E25" s="103">
        <f t="shared" si="1"/>
        <v>1402.7333333333333</v>
      </c>
      <c r="F25" s="104">
        <f t="shared" si="2"/>
        <v>1.6666666666666666E-2</v>
      </c>
      <c r="G25" s="105"/>
      <c r="H25" s="106">
        <f t="shared" si="0"/>
        <v>0</v>
      </c>
      <c r="I25" s="107"/>
      <c r="J25" s="106">
        <f t="shared" si="3"/>
        <v>0</v>
      </c>
      <c r="K25" s="108">
        <v>120689.66</v>
      </c>
      <c r="L25" s="106">
        <f t="shared" si="4"/>
        <v>120689.66</v>
      </c>
      <c r="M25" s="106">
        <v>69828.149999999994</v>
      </c>
      <c r="N25" s="106">
        <f t="shared" si="5"/>
        <v>50861.510000000009</v>
      </c>
      <c r="O25" s="97"/>
      <c r="P25" s="101"/>
      <c r="Q25" s="109" t="s">
        <v>212</v>
      </c>
      <c r="R25" s="91"/>
    </row>
    <row r="26" spans="1:18" ht="15" hidden="1" x14ac:dyDescent="0.25">
      <c r="A26" s="92">
        <v>21</v>
      </c>
      <c r="B26" s="102" t="s">
        <v>79</v>
      </c>
      <c r="C26" s="129"/>
      <c r="D26" s="130">
        <v>42087</v>
      </c>
      <c r="E26" s="103">
        <f t="shared" si="1"/>
        <v>1402.9</v>
      </c>
      <c r="F26" s="104">
        <f t="shared" si="2"/>
        <v>1.6666666666666666E-2</v>
      </c>
      <c r="G26" s="105"/>
      <c r="H26" s="106">
        <f t="shared" si="0"/>
        <v>0</v>
      </c>
      <c r="I26" s="107"/>
      <c r="J26" s="106">
        <f t="shared" si="3"/>
        <v>0</v>
      </c>
      <c r="K26" s="108">
        <v>94827.59</v>
      </c>
      <c r="L26" s="106">
        <f t="shared" si="4"/>
        <v>94827.59</v>
      </c>
      <c r="M26" s="106">
        <v>69828.149999999994</v>
      </c>
      <c r="N26" s="106">
        <f t="shared" si="5"/>
        <v>24999.440000000002</v>
      </c>
      <c r="O26" s="97"/>
      <c r="P26" s="101"/>
      <c r="Q26" s="109" t="s">
        <v>212</v>
      </c>
      <c r="R26" s="91"/>
    </row>
    <row r="27" spans="1:18" ht="15" hidden="1" x14ac:dyDescent="0.25">
      <c r="A27" s="68">
        <v>22</v>
      </c>
      <c r="B27" s="102" t="s">
        <v>80</v>
      </c>
      <c r="C27" s="129"/>
      <c r="D27" s="130">
        <v>42087</v>
      </c>
      <c r="E27" s="103">
        <f t="shared" si="1"/>
        <v>1402.9</v>
      </c>
      <c r="F27" s="104">
        <f t="shared" si="2"/>
        <v>1.6666666666666666E-2</v>
      </c>
      <c r="G27" s="105"/>
      <c r="H27" s="106">
        <f t="shared" si="0"/>
        <v>0</v>
      </c>
      <c r="I27" s="107"/>
      <c r="J27" s="106">
        <f t="shared" si="3"/>
        <v>0</v>
      </c>
      <c r="K27" s="108">
        <v>222413.79</v>
      </c>
      <c r="L27" s="106">
        <f t="shared" si="4"/>
        <v>222413.79</v>
      </c>
      <c r="M27" s="106">
        <v>69828.149999999994</v>
      </c>
      <c r="N27" s="106">
        <f t="shared" si="5"/>
        <v>152585.64000000001</v>
      </c>
      <c r="O27" s="97"/>
      <c r="P27" s="101"/>
      <c r="Q27" s="109" t="s">
        <v>212</v>
      </c>
      <c r="R27" s="91"/>
    </row>
    <row r="28" spans="1:18" hidden="1" x14ac:dyDescent="0.2">
      <c r="A28" s="2">
        <v>23</v>
      </c>
      <c r="B28" s="93" t="s">
        <v>81</v>
      </c>
      <c r="C28" s="127">
        <v>39619</v>
      </c>
      <c r="D28" s="128">
        <v>42090</v>
      </c>
      <c r="E28" s="94">
        <f t="shared" si="1"/>
        <v>82.36666666666666</v>
      </c>
      <c r="F28" s="95">
        <f t="shared" si="2"/>
        <v>1.6666666666666666E-2</v>
      </c>
      <c r="G28" s="96">
        <v>380000</v>
      </c>
      <c r="H28" s="97">
        <f t="shared" si="0"/>
        <v>-141655.5555555555</v>
      </c>
      <c r="I28" s="98">
        <f>+INDICES!E48/INDICES!H41</f>
        <v>1.3202931212632065</v>
      </c>
      <c r="J28" s="97">
        <f t="shared" si="3"/>
        <v>-187026.85558871794</v>
      </c>
      <c r="K28" s="99">
        <v>100000</v>
      </c>
      <c r="L28" s="97">
        <f t="shared" si="4"/>
        <v>287026.85558871797</v>
      </c>
      <c r="M28" s="97">
        <v>69828.149999999994</v>
      </c>
      <c r="N28" s="97">
        <f t="shared" si="5"/>
        <v>217198.70558871797</v>
      </c>
      <c r="O28" s="97">
        <f t="shared" ref="O28:O29" si="9">IF(N28&gt;1,N28*0.2,0)</f>
        <v>43439.741117743601</v>
      </c>
      <c r="P28" s="101"/>
      <c r="Q28" s="101" t="s">
        <v>213</v>
      </c>
      <c r="R28" s="91"/>
    </row>
    <row r="29" spans="1:18" hidden="1" x14ac:dyDescent="0.2">
      <c r="A29" s="92">
        <v>24</v>
      </c>
      <c r="B29" s="93" t="s">
        <v>82</v>
      </c>
      <c r="C29" s="127">
        <v>40445</v>
      </c>
      <c r="D29" s="128">
        <v>42091</v>
      </c>
      <c r="E29" s="94">
        <f t="shared" si="1"/>
        <v>54.866666666666667</v>
      </c>
      <c r="F29" s="95">
        <f t="shared" si="2"/>
        <v>1.6666666666666666E-2</v>
      </c>
      <c r="G29" s="96">
        <v>336100</v>
      </c>
      <c r="H29" s="97">
        <f t="shared" si="0"/>
        <v>28755.22222222219</v>
      </c>
      <c r="I29" s="98">
        <f>+INDICES!E48/INDICES!K43</f>
        <v>1.1920095986960488</v>
      </c>
      <c r="J29" s="97">
        <f t="shared" si="3"/>
        <v>34276.500901526779</v>
      </c>
      <c r="K29" s="99">
        <v>170000</v>
      </c>
      <c r="L29" s="97">
        <f t="shared" si="4"/>
        <v>135723.49909847323</v>
      </c>
      <c r="M29" s="97">
        <v>69828.149999999994</v>
      </c>
      <c r="N29" s="97">
        <f t="shared" si="5"/>
        <v>65895.349098473234</v>
      </c>
      <c r="O29" s="97">
        <f t="shared" si="9"/>
        <v>13179.069819694647</v>
      </c>
      <c r="P29" s="101"/>
      <c r="Q29" s="101" t="s">
        <v>213</v>
      </c>
      <c r="R29" s="91"/>
    </row>
    <row r="30" spans="1:18" ht="15" hidden="1" x14ac:dyDescent="0.25">
      <c r="A30" s="68">
        <v>25</v>
      </c>
      <c r="B30" s="102" t="s">
        <v>83</v>
      </c>
      <c r="C30" s="129"/>
      <c r="D30" s="130">
        <v>42091</v>
      </c>
      <c r="E30" s="103">
        <f t="shared" si="1"/>
        <v>1403.0333333333333</v>
      </c>
      <c r="F30" s="104">
        <f t="shared" si="2"/>
        <v>1.6666666666666666E-2</v>
      </c>
      <c r="G30" s="105"/>
      <c r="H30" s="106">
        <f t="shared" si="0"/>
        <v>0</v>
      </c>
      <c r="I30" s="107"/>
      <c r="J30" s="106">
        <f t="shared" si="3"/>
        <v>0</v>
      </c>
      <c r="K30" s="108">
        <v>125000</v>
      </c>
      <c r="L30" s="106">
        <f t="shared" si="4"/>
        <v>125000</v>
      </c>
      <c r="M30" s="106">
        <v>69828.149999999994</v>
      </c>
      <c r="N30" s="106">
        <f t="shared" si="5"/>
        <v>55171.850000000006</v>
      </c>
      <c r="O30" s="97"/>
      <c r="P30" s="101"/>
      <c r="Q30" s="109" t="s">
        <v>212</v>
      </c>
      <c r="R30" s="91"/>
    </row>
    <row r="31" spans="1:18" hidden="1" x14ac:dyDescent="0.2">
      <c r="A31" s="2">
        <v>26</v>
      </c>
      <c r="B31" s="93" t="s">
        <v>84</v>
      </c>
      <c r="C31" s="127">
        <v>40386</v>
      </c>
      <c r="D31" s="128">
        <v>42094</v>
      </c>
      <c r="E31" s="94">
        <f t="shared" si="1"/>
        <v>56.93333333333333</v>
      </c>
      <c r="F31" s="95">
        <f t="shared" si="2"/>
        <v>1.6666666666666666E-2</v>
      </c>
      <c r="G31" s="96">
        <v>192900</v>
      </c>
      <c r="H31" s="97">
        <f t="shared" si="0"/>
        <v>9859.333333333343</v>
      </c>
      <c r="I31" s="98">
        <f>+INDICES!E48/INDICES!I43</f>
        <v>1.2015863193748919</v>
      </c>
      <c r="J31" s="97">
        <f t="shared" si="3"/>
        <v>11846.840051490197</v>
      </c>
      <c r="K31" s="99">
        <v>91100</v>
      </c>
      <c r="L31" s="97">
        <f t="shared" si="4"/>
        <v>79253.159948509798</v>
      </c>
      <c r="M31" s="97">
        <v>69828.149999999994</v>
      </c>
      <c r="N31" s="97">
        <f t="shared" si="5"/>
        <v>9425.0099485098035</v>
      </c>
      <c r="O31" s="97">
        <f t="shared" ref="O31:O36" si="10">IF(N31&gt;1,N31*0.2,0)</f>
        <v>1885.0019897019608</v>
      </c>
      <c r="P31" s="101"/>
      <c r="Q31" s="101" t="s">
        <v>213</v>
      </c>
      <c r="R31" s="91"/>
    </row>
    <row r="32" spans="1:18" hidden="1" x14ac:dyDescent="0.2">
      <c r="A32" s="92">
        <v>27</v>
      </c>
      <c r="B32" s="93" t="s">
        <v>85</v>
      </c>
      <c r="C32" s="127">
        <v>39081</v>
      </c>
      <c r="D32" s="128">
        <v>42109</v>
      </c>
      <c r="E32" s="94">
        <f t="shared" si="1"/>
        <v>100.93333333333334</v>
      </c>
      <c r="F32" s="95">
        <f t="shared" si="2"/>
        <v>1.6666666666666666E-2</v>
      </c>
      <c r="G32" s="96">
        <v>258990</v>
      </c>
      <c r="H32" s="97">
        <f t="shared" si="0"/>
        <v>-176688.73333333334</v>
      </c>
      <c r="I32" s="98">
        <f>+INDICES!F48/INDICES!N39</f>
        <v>1.3941691100276867</v>
      </c>
      <c r="J32" s="97">
        <f t="shared" si="3"/>
        <v>-246333.97410325261</v>
      </c>
      <c r="K32" s="99">
        <v>65000</v>
      </c>
      <c r="L32" s="97">
        <f t="shared" si="4"/>
        <v>311333.97410325264</v>
      </c>
      <c r="M32" s="97">
        <v>69828.149999999994</v>
      </c>
      <c r="N32" s="97">
        <f t="shared" si="5"/>
        <v>241505.82410325264</v>
      </c>
      <c r="O32" s="97">
        <f t="shared" si="10"/>
        <v>48301.164820650534</v>
      </c>
      <c r="P32" s="101"/>
      <c r="Q32" s="101" t="s">
        <v>213</v>
      </c>
      <c r="R32" s="91"/>
    </row>
    <row r="33" spans="1:18" hidden="1" x14ac:dyDescent="0.2">
      <c r="A33" s="68">
        <v>28</v>
      </c>
      <c r="B33" s="93" t="s">
        <v>86</v>
      </c>
      <c r="C33" s="127">
        <v>39902</v>
      </c>
      <c r="D33" s="128">
        <v>42110</v>
      </c>
      <c r="E33" s="94">
        <f t="shared" si="1"/>
        <v>73.599999999999994</v>
      </c>
      <c r="F33" s="95">
        <f t="shared" si="2"/>
        <v>1.6666666666666666E-2</v>
      </c>
      <c r="G33" s="96">
        <v>188800</v>
      </c>
      <c r="H33" s="97">
        <f t="shared" si="0"/>
        <v>-42794.666666666628</v>
      </c>
      <c r="I33" s="98">
        <f>+INDICES!F48/INDICES!E42</f>
        <v>1.2484488297321314</v>
      </c>
      <c r="J33" s="97">
        <f t="shared" si="3"/>
        <v>-53426.951518776608</v>
      </c>
      <c r="K33" s="99">
        <v>100000</v>
      </c>
      <c r="L33" s="97">
        <f t="shared" si="4"/>
        <v>153426.95151877659</v>
      </c>
      <c r="M33" s="97">
        <v>69828.149999999994</v>
      </c>
      <c r="N33" s="97">
        <f t="shared" si="5"/>
        <v>83598.8015187766</v>
      </c>
      <c r="O33" s="97">
        <f t="shared" si="10"/>
        <v>16719.76030375532</v>
      </c>
      <c r="P33" s="101"/>
      <c r="Q33" s="101" t="s">
        <v>213</v>
      </c>
      <c r="R33" s="91"/>
    </row>
    <row r="34" spans="1:18" hidden="1" x14ac:dyDescent="0.2">
      <c r="A34" s="2">
        <v>29</v>
      </c>
      <c r="B34" s="93" t="s">
        <v>87</v>
      </c>
      <c r="C34" s="127">
        <v>40233</v>
      </c>
      <c r="D34" s="128">
        <v>42115</v>
      </c>
      <c r="E34" s="94">
        <f t="shared" si="1"/>
        <v>62.733333333333334</v>
      </c>
      <c r="F34" s="95">
        <f t="shared" si="2"/>
        <v>1.6666666666666666E-2</v>
      </c>
      <c r="G34" s="96">
        <v>204600</v>
      </c>
      <c r="H34" s="97">
        <f t="shared" si="0"/>
        <v>-9320.666666666657</v>
      </c>
      <c r="I34" s="98">
        <f>+INDICES!F48/INDICES!D43</f>
        <v>1.1977777096629929</v>
      </c>
      <c r="J34" s="97">
        <f t="shared" si="3"/>
        <v>-11164.086772532191</v>
      </c>
      <c r="K34" s="99">
        <v>95000</v>
      </c>
      <c r="L34" s="97">
        <f t="shared" si="4"/>
        <v>106164.08677253219</v>
      </c>
      <c r="M34" s="97">
        <v>69828.149999999994</v>
      </c>
      <c r="N34" s="97">
        <f t="shared" si="5"/>
        <v>36335.936772532194</v>
      </c>
      <c r="O34" s="97">
        <f t="shared" si="10"/>
        <v>7267.1873545064391</v>
      </c>
      <c r="P34" s="101"/>
      <c r="Q34" s="101" t="s">
        <v>213</v>
      </c>
      <c r="R34" s="91"/>
    </row>
    <row r="35" spans="1:18" hidden="1" x14ac:dyDescent="0.2">
      <c r="A35" s="92">
        <v>30</v>
      </c>
      <c r="B35" s="93" t="s">
        <v>88</v>
      </c>
      <c r="C35" s="127">
        <v>41478</v>
      </c>
      <c r="D35" s="128">
        <v>42118</v>
      </c>
      <c r="E35" s="94">
        <f t="shared" si="1"/>
        <v>21.333333333333332</v>
      </c>
      <c r="F35" s="95">
        <f t="shared" si="2"/>
        <v>1.6666666666666666E-2</v>
      </c>
      <c r="G35" s="96">
        <v>294700</v>
      </c>
      <c r="H35" s="97">
        <f t="shared" si="0"/>
        <v>189917.77777777778</v>
      </c>
      <c r="I35" s="98">
        <f>+INDICES!F48/INDICES!I46</f>
        <v>1.0712279829480063</v>
      </c>
      <c r="J35" s="97">
        <f t="shared" si="3"/>
        <v>203445.23801485659</v>
      </c>
      <c r="K35" s="99">
        <v>200000</v>
      </c>
      <c r="L35" s="97">
        <f t="shared" si="4"/>
        <v>-3445.2380148565862</v>
      </c>
      <c r="M35" s="97">
        <v>69828.149999999994</v>
      </c>
      <c r="N35" s="97">
        <f t="shared" si="5"/>
        <v>-73273.38801485658</v>
      </c>
      <c r="O35" s="97">
        <f t="shared" si="10"/>
        <v>0</v>
      </c>
      <c r="P35" s="101"/>
      <c r="Q35" s="101" t="s">
        <v>213</v>
      </c>
      <c r="R35" s="91"/>
    </row>
    <row r="36" spans="1:18" hidden="1" x14ac:dyDescent="0.2">
      <c r="A36" s="68">
        <v>31</v>
      </c>
      <c r="B36" s="93" t="s">
        <v>89</v>
      </c>
      <c r="C36" s="127">
        <v>41158</v>
      </c>
      <c r="D36" s="128">
        <v>42122</v>
      </c>
      <c r="E36" s="94">
        <f t="shared" si="1"/>
        <v>32.133333333333333</v>
      </c>
      <c r="F36" s="95">
        <f t="shared" si="2"/>
        <v>1.6666666666666666E-2</v>
      </c>
      <c r="G36" s="96">
        <v>345900</v>
      </c>
      <c r="H36" s="97">
        <f t="shared" si="0"/>
        <v>160651.33333333334</v>
      </c>
      <c r="I36" s="98">
        <f>+INDICES!F48/INDICES!K45</f>
        <v>1.1002619558741478</v>
      </c>
      <c r="J36" s="97">
        <f t="shared" si="3"/>
        <v>176758.55022712302</v>
      </c>
      <c r="K36" s="99">
        <v>215000</v>
      </c>
      <c r="L36" s="97">
        <f t="shared" si="4"/>
        <v>38241.449772876978</v>
      </c>
      <c r="M36" s="97">
        <v>69828.149999999994</v>
      </c>
      <c r="N36" s="97">
        <f t="shared" si="5"/>
        <v>-31586.700227123016</v>
      </c>
      <c r="O36" s="97">
        <f t="shared" si="10"/>
        <v>0</v>
      </c>
      <c r="P36" s="101"/>
      <c r="Q36" s="101" t="s">
        <v>213</v>
      </c>
      <c r="R36" s="91"/>
    </row>
    <row r="37" spans="1:18" ht="15" hidden="1" x14ac:dyDescent="0.25">
      <c r="A37" s="2">
        <v>32</v>
      </c>
      <c r="B37" s="102" t="s">
        <v>90</v>
      </c>
      <c r="C37" s="129"/>
      <c r="D37" s="130">
        <v>42124</v>
      </c>
      <c r="E37" s="103">
        <f t="shared" si="1"/>
        <v>1404.1333333333334</v>
      </c>
      <c r="F37" s="104">
        <f t="shared" si="2"/>
        <v>1.6666666666666666E-2</v>
      </c>
      <c r="G37" s="105"/>
      <c r="H37" s="106">
        <f t="shared" si="0"/>
        <v>0</v>
      </c>
      <c r="I37" s="107"/>
      <c r="J37" s="106">
        <f t="shared" si="3"/>
        <v>0</v>
      </c>
      <c r="K37" s="108">
        <v>112068.97</v>
      </c>
      <c r="L37" s="106">
        <f t="shared" si="4"/>
        <v>112068.97</v>
      </c>
      <c r="M37" s="106">
        <v>69828.149999999994</v>
      </c>
      <c r="N37" s="106">
        <f t="shared" si="5"/>
        <v>42240.820000000007</v>
      </c>
      <c r="O37" s="97"/>
      <c r="P37" s="101"/>
      <c r="Q37" s="109" t="s">
        <v>212</v>
      </c>
      <c r="R37" s="91"/>
    </row>
    <row r="38" spans="1:18" hidden="1" x14ac:dyDescent="0.2">
      <c r="A38" s="92">
        <v>33</v>
      </c>
      <c r="B38" s="93" t="s">
        <v>91</v>
      </c>
      <c r="C38" s="127">
        <v>39168</v>
      </c>
      <c r="D38" s="128">
        <v>42130</v>
      </c>
      <c r="E38" s="94">
        <f t="shared" si="1"/>
        <v>98.733333333333334</v>
      </c>
      <c r="F38" s="95">
        <f t="shared" si="2"/>
        <v>1.6666666666666666E-2</v>
      </c>
      <c r="G38" s="96">
        <v>130701</v>
      </c>
      <c r="H38" s="97">
        <f t="shared" si="0"/>
        <v>-84374.756666666653</v>
      </c>
      <c r="I38" s="98">
        <f>+INDICES!G48/INDICES!E40</f>
        <v>1.3732604407578222</v>
      </c>
      <c r="J38" s="97">
        <f t="shared" si="3"/>
        <v>-115868.51552890064</v>
      </c>
      <c r="K38" s="99">
        <v>50000</v>
      </c>
      <c r="L38" s="97">
        <f t="shared" si="4"/>
        <v>165868.51552890064</v>
      </c>
      <c r="M38" s="97">
        <v>69828.149999999994</v>
      </c>
      <c r="N38" s="97">
        <f t="shared" si="5"/>
        <v>96040.365528900642</v>
      </c>
      <c r="O38" s="97">
        <f t="shared" ref="O38:O40" si="11">IF(N38&gt;1,N38*0.2,0)</f>
        <v>19208.073105780128</v>
      </c>
      <c r="P38" s="101"/>
      <c r="Q38" s="101" t="s">
        <v>213</v>
      </c>
      <c r="R38" s="91"/>
    </row>
    <row r="39" spans="1:18" hidden="1" x14ac:dyDescent="0.2">
      <c r="A39" s="68">
        <v>34</v>
      </c>
      <c r="B39" s="93" t="s">
        <v>92</v>
      </c>
      <c r="C39" s="127">
        <v>39782</v>
      </c>
      <c r="D39" s="128">
        <v>42133</v>
      </c>
      <c r="E39" s="94">
        <f t="shared" si="1"/>
        <v>78.36666666666666</v>
      </c>
      <c r="F39" s="95">
        <f t="shared" si="2"/>
        <v>1.6666666666666666E-2</v>
      </c>
      <c r="G39" s="96">
        <v>236000</v>
      </c>
      <c r="H39" s="97">
        <f t="shared" si="0"/>
        <v>-72242.22222222219</v>
      </c>
      <c r="I39" s="98">
        <f>+INDICES!G48/INDICES!M41</f>
        <v>1.2637126287817784</v>
      </c>
      <c r="J39" s="97">
        <f t="shared" si="3"/>
        <v>-91293.408553481815</v>
      </c>
      <c r="K39" s="99">
        <v>123000</v>
      </c>
      <c r="L39" s="97">
        <f t="shared" si="4"/>
        <v>214293.4085534818</v>
      </c>
      <c r="M39" s="97">
        <v>69828.149999999994</v>
      </c>
      <c r="N39" s="97">
        <f t="shared" si="5"/>
        <v>144465.25855348181</v>
      </c>
      <c r="O39" s="97">
        <f t="shared" si="11"/>
        <v>28893.051710696363</v>
      </c>
      <c r="P39" s="101"/>
      <c r="Q39" s="101" t="s">
        <v>213</v>
      </c>
      <c r="R39" s="91"/>
    </row>
    <row r="40" spans="1:18" hidden="1" x14ac:dyDescent="0.2">
      <c r="A40" s="2">
        <v>35</v>
      </c>
      <c r="B40" s="93" t="s">
        <v>93</v>
      </c>
      <c r="C40" s="127">
        <v>41018</v>
      </c>
      <c r="D40" s="128">
        <v>42135</v>
      </c>
      <c r="E40" s="94">
        <f t="shared" si="1"/>
        <v>37.233333333333334</v>
      </c>
      <c r="F40" s="95">
        <f t="shared" si="2"/>
        <v>1.6666666666666666E-2</v>
      </c>
      <c r="G40" s="96">
        <v>109000</v>
      </c>
      <c r="H40" s="97">
        <f t="shared" si="0"/>
        <v>41359.444444444438</v>
      </c>
      <c r="I40" s="98">
        <f>+INDICES!G48/INDICES!F45</f>
        <v>1.110680431362014</v>
      </c>
      <c r="J40" s="97">
        <f t="shared" si="3"/>
        <v>45937.125596448801</v>
      </c>
      <c r="K40" s="99">
        <v>65000</v>
      </c>
      <c r="L40" s="97">
        <f t="shared" si="4"/>
        <v>19062.874403551199</v>
      </c>
      <c r="M40" s="97">
        <v>69828.149999999994</v>
      </c>
      <c r="N40" s="97">
        <f t="shared" si="5"/>
        <v>-50765.275596448795</v>
      </c>
      <c r="O40" s="97">
        <f t="shared" si="11"/>
        <v>0</v>
      </c>
      <c r="P40" s="101"/>
      <c r="Q40" s="101" t="s">
        <v>213</v>
      </c>
      <c r="R40" s="91"/>
    </row>
    <row r="41" spans="1:18" ht="15" hidden="1" x14ac:dyDescent="0.25">
      <c r="A41" s="92">
        <v>36</v>
      </c>
      <c r="B41" s="102" t="s">
        <v>94</v>
      </c>
      <c r="C41" s="129"/>
      <c r="D41" s="130">
        <v>42136</v>
      </c>
      <c r="E41" s="103">
        <f t="shared" si="1"/>
        <v>1404.5333333333333</v>
      </c>
      <c r="F41" s="104">
        <f t="shared" si="2"/>
        <v>1.6666666666666666E-2</v>
      </c>
      <c r="G41" s="105"/>
      <c r="H41" s="106">
        <f t="shared" si="0"/>
        <v>0</v>
      </c>
      <c r="I41" s="107"/>
      <c r="J41" s="106">
        <f t="shared" si="3"/>
        <v>0</v>
      </c>
      <c r="K41" s="108">
        <v>68965.52</v>
      </c>
      <c r="L41" s="106">
        <f t="shared" si="4"/>
        <v>68965.52</v>
      </c>
      <c r="M41" s="106">
        <v>69828.149999999994</v>
      </c>
      <c r="N41" s="106">
        <f t="shared" si="5"/>
        <v>-862.6299999999901</v>
      </c>
      <c r="O41" s="97"/>
      <c r="P41" s="101"/>
      <c r="Q41" s="109" t="s">
        <v>212</v>
      </c>
      <c r="R41" s="91"/>
    </row>
    <row r="42" spans="1:18" ht="15" hidden="1" x14ac:dyDescent="0.25">
      <c r="A42" s="68">
        <v>37</v>
      </c>
      <c r="B42" s="102" t="s">
        <v>95</v>
      </c>
      <c r="C42" s="129"/>
      <c r="D42" s="130">
        <v>42139</v>
      </c>
      <c r="E42" s="103">
        <f t="shared" si="1"/>
        <v>1404.6333333333334</v>
      </c>
      <c r="F42" s="104">
        <f t="shared" si="2"/>
        <v>1.6666666666666666E-2</v>
      </c>
      <c r="G42" s="105"/>
      <c r="H42" s="106">
        <f t="shared" si="0"/>
        <v>0</v>
      </c>
      <c r="I42" s="107"/>
      <c r="J42" s="106">
        <f t="shared" si="3"/>
        <v>0</v>
      </c>
      <c r="K42" s="108">
        <v>68965.52</v>
      </c>
      <c r="L42" s="106">
        <f t="shared" si="4"/>
        <v>68965.52</v>
      </c>
      <c r="M42" s="106">
        <v>69828.149999999994</v>
      </c>
      <c r="N42" s="106">
        <f t="shared" si="5"/>
        <v>-862.6299999999901</v>
      </c>
      <c r="O42" s="97"/>
      <c r="P42" s="101"/>
      <c r="Q42" s="109" t="s">
        <v>212</v>
      </c>
      <c r="R42" s="91"/>
    </row>
    <row r="43" spans="1:18" hidden="1" x14ac:dyDescent="0.2">
      <c r="A43" s="2">
        <v>38</v>
      </c>
      <c r="B43" s="93" t="s">
        <v>96</v>
      </c>
      <c r="C43" s="127">
        <v>41579</v>
      </c>
      <c r="D43" s="128">
        <v>42143</v>
      </c>
      <c r="E43" s="94">
        <f t="shared" si="1"/>
        <v>18.8</v>
      </c>
      <c r="F43" s="95">
        <f t="shared" si="2"/>
        <v>1.6666666666666666E-2</v>
      </c>
      <c r="G43" s="96">
        <v>291000</v>
      </c>
      <c r="H43" s="97">
        <f t="shared" si="0"/>
        <v>199820</v>
      </c>
      <c r="I43" s="98">
        <f>+INDICES!G48/INDICES!M44</f>
        <v>1.1271286280389847</v>
      </c>
      <c r="J43" s="97">
        <f t="shared" si="3"/>
        <v>225222.84245474992</v>
      </c>
      <c r="K43" s="99">
        <v>200000</v>
      </c>
      <c r="L43" s="97">
        <f t="shared" si="4"/>
        <v>-25222.842454749916</v>
      </c>
      <c r="M43" s="97">
        <v>69828.149999999994</v>
      </c>
      <c r="N43" s="97">
        <f t="shared" si="5"/>
        <v>-95050.99245474991</v>
      </c>
      <c r="O43" s="97">
        <f t="shared" ref="O43:O45" si="12">IF(N43&gt;1,N43*0.2,0)</f>
        <v>0</v>
      </c>
      <c r="P43" s="101"/>
      <c r="Q43" s="101" t="s">
        <v>213</v>
      </c>
      <c r="R43" s="91"/>
    </row>
    <row r="44" spans="1:18" hidden="1" x14ac:dyDescent="0.2">
      <c r="A44" s="92">
        <v>39</v>
      </c>
      <c r="B44" s="93" t="s">
        <v>97</v>
      </c>
      <c r="C44" s="127">
        <v>39933</v>
      </c>
      <c r="D44" s="128">
        <v>42147</v>
      </c>
      <c r="E44" s="94">
        <f t="shared" si="1"/>
        <v>73.8</v>
      </c>
      <c r="F44" s="95">
        <f t="shared" si="2"/>
        <v>1.6666666666666666E-2</v>
      </c>
      <c r="G44" s="96">
        <v>165800</v>
      </c>
      <c r="H44" s="97">
        <f t="shared" si="0"/>
        <v>-38134</v>
      </c>
      <c r="I44" s="98">
        <f>+INDICES!G48/INDICES!F42</f>
        <v>1.2378816877438021</v>
      </c>
      <c r="J44" s="97">
        <f t="shared" si="3"/>
        <v>-47205.380280422149</v>
      </c>
      <c r="K44" s="99">
        <v>70000</v>
      </c>
      <c r="L44" s="97">
        <f t="shared" si="4"/>
        <v>117205.38028042215</v>
      </c>
      <c r="M44" s="97">
        <v>69828.149999999994</v>
      </c>
      <c r="N44" s="97">
        <f t="shared" si="5"/>
        <v>47377.230280422154</v>
      </c>
      <c r="O44" s="97">
        <f t="shared" si="12"/>
        <v>9475.4460560844309</v>
      </c>
      <c r="P44" s="101"/>
      <c r="Q44" s="101" t="s">
        <v>213</v>
      </c>
      <c r="R44" s="91"/>
    </row>
    <row r="45" spans="1:18" hidden="1" x14ac:dyDescent="0.2">
      <c r="A45" s="68">
        <v>40</v>
      </c>
      <c r="B45" s="93" t="s">
        <v>98</v>
      </c>
      <c r="C45" s="127">
        <v>39709</v>
      </c>
      <c r="D45" s="128">
        <v>42154</v>
      </c>
      <c r="E45" s="94">
        <f t="shared" si="1"/>
        <v>81.5</v>
      </c>
      <c r="F45" s="95">
        <f t="shared" si="2"/>
        <v>1.6666666666666666E-2</v>
      </c>
      <c r="G45" s="96">
        <v>269000</v>
      </c>
      <c r="H45" s="97">
        <f t="shared" si="0"/>
        <v>-96391.666666666628</v>
      </c>
      <c r="I45" s="98">
        <f>+INDICES!G48/INDICES!K41</f>
        <v>1.286786264803508</v>
      </c>
      <c r="J45" s="97">
        <f t="shared" si="3"/>
        <v>-124035.47270818475</v>
      </c>
      <c r="K45" s="99">
        <v>105000</v>
      </c>
      <c r="L45" s="97">
        <f t="shared" si="4"/>
        <v>229035.47270818474</v>
      </c>
      <c r="M45" s="97">
        <v>69828.149999999994</v>
      </c>
      <c r="N45" s="97">
        <f t="shared" si="5"/>
        <v>159207.32270818474</v>
      </c>
      <c r="O45" s="97">
        <f t="shared" si="12"/>
        <v>31841.464541636949</v>
      </c>
      <c r="P45" s="101"/>
      <c r="Q45" s="101" t="s">
        <v>213</v>
      </c>
      <c r="R45" s="91"/>
    </row>
    <row r="46" spans="1:18" ht="15" hidden="1" x14ac:dyDescent="0.25">
      <c r="A46" s="2">
        <v>41</v>
      </c>
      <c r="B46" s="102" t="s">
        <v>99</v>
      </c>
      <c r="C46" s="129"/>
      <c r="D46" s="130">
        <v>42160</v>
      </c>
      <c r="E46" s="103">
        <f t="shared" si="1"/>
        <v>1405.3333333333333</v>
      </c>
      <c r="F46" s="104">
        <f t="shared" si="2"/>
        <v>1.6666666666666666E-2</v>
      </c>
      <c r="G46" s="105"/>
      <c r="H46" s="106">
        <f t="shared" si="0"/>
        <v>0</v>
      </c>
      <c r="I46" s="107"/>
      <c r="J46" s="106">
        <f t="shared" si="3"/>
        <v>0</v>
      </c>
      <c r="K46" s="108">
        <v>209051.72</v>
      </c>
      <c r="L46" s="106">
        <f t="shared" si="4"/>
        <v>209051.72</v>
      </c>
      <c r="M46" s="106">
        <v>69828.149999999994</v>
      </c>
      <c r="N46" s="106">
        <f t="shared" si="5"/>
        <v>139223.57</v>
      </c>
      <c r="O46" s="97"/>
      <c r="P46" s="101"/>
      <c r="Q46" s="109" t="s">
        <v>212</v>
      </c>
      <c r="R46" s="91"/>
    </row>
    <row r="47" spans="1:18" hidden="1" x14ac:dyDescent="0.2">
      <c r="A47" s="92">
        <v>42</v>
      </c>
      <c r="B47" s="93" t="s">
        <v>100</v>
      </c>
      <c r="C47" s="127">
        <v>40317</v>
      </c>
      <c r="D47" s="128">
        <v>42164</v>
      </c>
      <c r="E47" s="94">
        <f t="shared" si="1"/>
        <v>61.56666666666667</v>
      </c>
      <c r="F47" s="95">
        <f t="shared" si="2"/>
        <v>1.6666666666666666E-2</v>
      </c>
      <c r="G47" s="96">
        <v>336200</v>
      </c>
      <c r="H47" s="97">
        <f t="shared" si="0"/>
        <v>-8778.555555555562</v>
      </c>
      <c r="I47" s="98">
        <f>+INDICES!H48/INDICES!G43</f>
        <v>1.1967076201659566</v>
      </c>
      <c r="J47" s="97">
        <f t="shared" si="3"/>
        <v>-10505.364327383533</v>
      </c>
      <c r="K47" s="99">
        <v>165000</v>
      </c>
      <c r="L47" s="97">
        <f t="shared" si="4"/>
        <v>175505.36432738352</v>
      </c>
      <c r="M47" s="97">
        <v>69828.149999999994</v>
      </c>
      <c r="N47" s="97">
        <f t="shared" si="5"/>
        <v>105677.21432738352</v>
      </c>
      <c r="O47" s="97">
        <f t="shared" ref="O47:O50" si="13">IF(N47&gt;1,N47*0.2,0)</f>
        <v>21135.442865476707</v>
      </c>
      <c r="P47" s="101"/>
      <c r="Q47" s="101" t="s">
        <v>213</v>
      </c>
      <c r="R47" s="91"/>
    </row>
    <row r="48" spans="1:18" hidden="1" x14ac:dyDescent="0.2">
      <c r="A48" s="68">
        <v>43</v>
      </c>
      <c r="B48" s="93" t="s">
        <v>101</v>
      </c>
      <c r="C48" s="127">
        <v>39443</v>
      </c>
      <c r="D48" s="128">
        <v>42167</v>
      </c>
      <c r="E48" s="94">
        <f t="shared" si="1"/>
        <v>90.8</v>
      </c>
      <c r="F48" s="95">
        <f t="shared" si="2"/>
        <v>1.6666666666666666E-2</v>
      </c>
      <c r="G48" s="96">
        <v>125300</v>
      </c>
      <c r="H48" s="97">
        <f t="shared" si="0"/>
        <v>-64320.666666666686</v>
      </c>
      <c r="I48" s="98">
        <f>+INDICES!H48/INDICES!N40</f>
        <v>1.3391909666783453</v>
      </c>
      <c r="J48" s="97">
        <f t="shared" si="3"/>
        <v>-86137.655770728976</v>
      </c>
      <c r="K48" s="99">
        <v>40000</v>
      </c>
      <c r="L48" s="97">
        <f t="shared" si="4"/>
        <v>126137.65577072898</v>
      </c>
      <c r="M48" s="97">
        <v>69828.149999999994</v>
      </c>
      <c r="N48" s="97">
        <f t="shared" si="5"/>
        <v>56309.505770728982</v>
      </c>
      <c r="O48" s="97">
        <f t="shared" si="13"/>
        <v>11261.901154145797</v>
      </c>
      <c r="P48" s="101"/>
      <c r="Q48" s="101" t="s">
        <v>213</v>
      </c>
      <c r="R48" s="91"/>
    </row>
    <row r="49" spans="1:18" hidden="1" x14ac:dyDescent="0.2">
      <c r="A49" s="2">
        <v>44</v>
      </c>
      <c r="B49" s="93" t="s">
        <v>102</v>
      </c>
      <c r="C49" s="127">
        <v>41510</v>
      </c>
      <c r="D49" s="128">
        <v>42171</v>
      </c>
      <c r="E49" s="94">
        <f t="shared" si="1"/>
        <v>22.033333333333335</v>
      </c>
      <c r="F49" s="95">
        <f t="shared" si="2"/>
        <v>1.6666666666666666E-2</v>
      </c>
      <c r="G49" s="96">
        <v>163500</v>
      </c>
      <c r="H49" s="97">
        <f t="shared" si="0"/>
        <v>103459.16666666666</v>
      </c>
      <c r="I49" s="98">
        <f>+INDICES!H48/INDICES!J46</f>
        <v>1.0646357810462916</v>
      </c>
      <c r="J49" s="97">
        <f t="shared" si="3"/>
        <v>110146.33071056512</v>
      </c>
      <c r="K49" s="99">
        <v>105000</v>
      </c>
      <c r="L49" s="97">
        <f t="shared" si="4"/>
        <v>-5146.3307105651184</v>
      </c>
      <c r="M49" s="97">
        <v>69828.149999999994</v>
      </c>
      <c r="N49" s="97">
        <f t="shared" si="5"/>
        <v>-74974.480710565113</v>
      </c>
      <c r="O49" s="97">
        <f t="shared" si="13"/>
        <v>0</v>
      </c>
      <c r="P49" s="101"/>
      <c r="Q49" s="101" t="s">
        <v>213</v>
      </c>
      <c r="R49" s="91"/>
    </row>
    <row r="50" spans="1:18" hidden="1" x14ac:dyDescent="0.2">
      <c r="A50" s="92">
        <v>45</v>
      </c>
      <c r="B50" s="93" t="s">
        <v>103</v>
      </c>
      <c r="C50" s="127">
        <v>40983</v>
      </c>
      <c r="D50" s="128">
        <v>42171</v>
      </c>
      <c r="E50" s="94">
        <f t="shared" si="1"/>
        <v>39.6</v>
      </c>
      <c r="F50" s="95">
        <f t="shared" si="2"/>
        <v>1.6666666666666666E-2</v>
      </c>
      <c r="G50" s="96">
        <v>222449</v>
      </c>
      <c r="H50" s="97">
        <f t="shared" si="0"/>
        <v>75632.66</v>
      </c>
      <c r="I50" s="98">
        <f>+INDICES!H48/INDICES!E45</f>
        <v>1.1090516087072957</v>
      </c>
      <c r="J50" s="97">
        <f t="shared" si="3"/>
        <v>83880.523243811942</v>
      </c>
      <c r="K50" s="99">
        <v>120000</v>
      </c>
      <c r="L50" s="97">
        <f t="shared" si="4"/>
        <v>36119.476756188058</v>
      </c>
      <c r="M50" s="97">
        <v>69828.149999999994</v>
      </c>
      <c r="N50" s="97">
        <f t="shared" si="5"/>
        <v>-33708.673243811936</v>
      </c>
      <c r="O50" s="97">
        <f t="shared" si="13"/>
        <v>0</v>
      </c>
      <c r="P50" s="101"/>
      <c r="Q50" s="101" t="s">
        <v>213</v>
      </c>
      <c r="R50" s="91"/>
    </row>
    <row r="51" spans="1:18" hidden="1" x14ac:dyDescent="0.2">
      <c r="A51" s="92">
        <v>46</v>
      </c>
      <c r="B51" s="117" t="s">
        <v>104</v>
      </c>
      <c r="C51" s="129"/>
      <c r="D51" s="133">
        <v>42172</v>
      </c>
      <c r="E51" s="103">
        <f t="shared" si="1"/>
        <v>1405.7333333333333</v>
      </c>
      <c r="F51" s="104">
        <f t="shared" si="2"/>
        <v>1.6666666666666666E-2</v>
      </c>
      <c r="G51" s="105"/>
      <c r="H51" s="106">
        <f t="shared" si="0"/>
        <v>0</v>
      </c>
      <c r="I51" s="107"/>
      <c r="J51" s="106">
        <f t="shared" si="3"/>
        <v>0</v>
      </c>
      <c r="K51" s="118">
        <v>138000</v>
      </c>
      <c r="L51" s="106">
        <f t="shared" si="4"/>
        <v>138000</v>
      </c>
      <c r="M51" s="106">
        <v>69828.149999999994</v>
      </c>
      <c r="N51" s="106">
        <f t="shared" si="5"/>
        <v>68171.850000000006</v>
      </c>
      <c r="O51" s="97"/>
      <c r="P51" s="101"/>
      <c r="Q51" s="109" t="s">
        <v>212</v>
      </c>
      <c r="R51" s="91"/>
    </row>
    <row r="52" spans="1:18" ht="15" hidden="1" x14ac:dyDescent="0.25">
      <c r="A52" s="2">
        <v>47</v>
      </c>
      <c r="B52" s="102" t="s">
        <v>105</v>
      </c>
      <c r="C52" s="129"/>
      <c r="D52" s="130">
        <v>42178</v>
      </c>
      <c r="E52" s="103">
        <f t="shared" si="1"/>
        <v>1405.9333333333334</v>
      </c>
      <c r="F52" s="104">
        <f t="shared" si="2"/>
        <v>1.6666666666666666E-2</v>
      </c>
      <c r="G52" s="105"/>
      <c r="H52" s="106">
        <f t="shared" si="0"/>
        <v>0</v>
      </c>
      <c r="I52" s="107"/>
      <c r="J52" s="106">
        <f t="shared" si="3"/>
        <v>0</v>
      </c>
      <c r="K52" s="108">
        <v>89655.2</v>
      </c>
      <c r="L52" s="106">
        <f t="shared" si="4"/>
        <v>89655.2</v>
      </c>
      <c r="M52" s="106">
        <v>69828.149999999994</v>
      </c>
      <c r="N52" s="106">
        <f t="shared" si="5"/>
        <v>19827.050000000003</v>
      </c>
      <c r="O52" s="97"/>
      <c r="P52" s="101"/>
      <c r="Q52" s="109" t="s">
        <v>212</v>
      </c>
      <c r="R52" s="91"/>
    </row>
    <row r="53" spans="1:18" hidden="1" x14ac:dyDescent="0.2">
      <c r="A53" s="92">
        <v>48</v>
      </c>
      <c r="B53" s="93" t="s">
        <v>106</v>
      </c>
      <c r="C53" s="127">
        <v>41089</v>
      </c>
      <c r="D53" s="128">
        <v>42178</v>
      </c>
      <c r="E53" s="94">
        <f t="shared" si="1"/>
        <v>36.299999999999997</v>
      </c>
      <c r="F53" s="95">
        <f t="shared" si="2"/>
        <v>1.6666666666666666E-2</v>
      </c>
      <c r="G53" s="96">
        <v>234300</v>
      </c>
      <c r="H53" s="97">
        <f t="shared" si="0"/>
        <v>92548.5</v>
      </c>
      <c r="I53" s="98">
        <f>+INDICES!H48/INDICES!H45</f>
        <v>1.1109429190059208</v>
      </c>
      <c r="J53" s="97">
        <f t="shared" si="3"/>
        <v>102816.10073961946</v>
      </c>
      <c r="K53" s="99">
        <v>135000</v>
      </c>
      <c r="L53" s="97">
        <f t="shared" si="4"/>
        <v>32183.899260380538</v>
      </c>
      <c r="M53" s="97">
        <v>69828.149999999994</v>
      </c>
      <c r="N53" s="97">
        <f t="shared" si="5"/>
        <v>-37644.250739619456</v>
      </c>
      <c r="O53" s="97">
        <f t="shared" ref="O53:O56" si="14">IF(N53&gt;1,N53*0.2,0)</f>
        <v>0</v>
      </c>
      <c r="P53" s="101"/>
      <c r="Q53" s="101" t="s">
        <v>213</v>
      </c>
      <c r="R53" s="91"/>
    </row>
    <row r="54" spans="1:18" hidden="1" x14ac:dyDescent="0.2">
      <c r="A54" s="68">
        <v>49</v>
      </c>
      <c r="B54" s="93" t="s">
        <v>107</v>
      </c>
      <c r="C54" s="127">
        <v>41450</v>
      </c>
      <c r="D54" s="128">
        <v>42185</v>
      </c>
      <c r="E54" s="94">
        <f t="shared" si="1"/>
        <v>24.5</v>
      </c>
      <c r="F54" s="95">
        <f t="shared" si="2"/>
        <v>1.6666666666666666E-2</v>
      </c>
      <c r="G54" s="96">
        <v>288700</v>
      </c>
      <c r="H54" s="97">
        <f t="shared" si="0"/>
        <v>170814.16666666666</v>
      </c>
      <c r="I54" s="98">
        <f>+INDICES!H48/INDICES!H46</f>
        <v>1.0673109669105802</v>
      </c>
      <c r="J54" s="97">
        <f t="shared" si="3"/>
        <v>182311.83338702499</v>
      </c>
      <c r="K54" s="99">
        <v>188000</v>
      </c>
      <c r="L54" s="97">
        <f t="shared" si="4"/>
        <v>5688.1666129750083</v>
      </c>
      <c r="M54" s="97">
        <v>69828.149999999994</v>
      </c>
      <c r="N54" s="97">
        <f t="shared" si="5"/>
        <v>-64139.983387024986</v>
      </c>
      <c r="O54" s="97">
        <f t="shared" si="14"/>
        <v>0</v>
      </c>
      <c r="P54" s="101"/>
      <c r="Q54" s="101" t="s">
        <v>213</v>
      </c>
      <c r="R54" s="91"/>
    </row>
    <row r="55" spans="1:18" hidden="1" x14ac:dyDescent="0.2">
      <c r="A55" s="2">
        <v>50</v>
      </c>
      <c r="B55" s="93" t="s">
        <v>108</v>
      </c>
      <c r="C55" s="127">
        <v>40786</v>
      </c>
      <c r="D55" s="128">
        <v>42180</v>
      </c>
      <c r="E55" s="94">
        <f t="shared" si="1"/>
        <v>46.466666666666669</v>
      </c>
      <c r="F55" s="95">
        <f t="shared" si="2"/>
        <v>1.6666666666666666E-2</v>
      </c>
      <c r="G55" s="96">
        <v>195600</v>
      </c>
      <c r="H55" s="97">
        <f t="shared" si="0"/>
        <v>44118.666666666657</v>
      </c>
      <c r="I55" s="98">
        <f>+INDICES!H48/INDICES!J44</f>
        <v>1.1517481128327374</v>
      </c>
      <c r="J55" s="97">
        <f t="shared" si="3"/>
        <v>50813.591074029915</v>
      </c>
      <c r="K55" s="99">
        <v>105000</v>
      </c>
      <c r="L55" s="97">
        <f t="shared" si="4"/>
        <v>54186.408925970085</v>
      </c>
      <c r="M55" s="97">
        <v>69828.149999999994</v>
      </c>
      <c r="N55" s="97">
        <f t="shared" si="5"/>
        <v>-15641.741074029909</v>
      </c>
      <c r="O55" s="97">
        <f t="shared" si="14"/>
        <v>0</v>
      </c>
      <c r="P55" s="101"/>
      <c r="Q55" s="101" t="s">
        <v>213</v>
      </c>
      <c r="R55" s="91"/>
    </row>
    <row r="56" spans="1:18" hidden="1" x14ac:dyDescent="0.2">
      <c r="A56" s="92">
        <v>51</v>
      </c>
      <c r="B56" s="93" t="s">
        <v>109</v>
      </c>
      <c r="C56" s="127">
        <v>40303</v>
      </c>
      <c r="D56" s="128">
        <v>42185</v>
      </c>
      <c r="E56" s="94">
        <f t="shared" si="1"/>
        <v>62.733333333333334</v>
      </c>
      <c r="F56" s="95">
        <f t="shared" si="2"/>
        <v>1.6666666666666666E-2</v>
      </c>
      <c r="G56" s="96">
        <v>227000</v>
      </c>
      <c r="H56" s="97">
        <f t="shared" si="0"/>
        <v>-10341.111111111124</v>
      </c>
      <c r="I56" s="98">
        <f>+INDICES!H48/INDICES!G43</f>
        <v>1.1967076201659566</v>
      </c>
      <c r="J56" s="97">
        <f t="shared" si="3"/>
        <v>-12375.286467649525</v>
      </c>
      <c r="K56" s="99">
        <v>115000</v>
      </c>
      <c r="L56" s="97">
        <f t="shared" si="4"/>
        <v>127375.28646764952</v>
      </c>
      <c r="M56" s="97">
        <v>69828.149999999994</v>
      </c>
      <c r="N56" s="97">
        <f t="shared" si="5"/>
        <v>57547.136467649529</v>
      </c>
      <c r="O56" s="97">
        <f t="shared" si="14"/>
        <v>11509.427293529907</v>
      </c>
      <c r="P56" s="101"/>
      <c r="Q56" s="101" t="s">
        <v>213</v>
      </c>
      <c r="R56" s="91"/>
    </row>
    <row r="57" spans="1:18" ht="15" hidden="1" x14ac:dyDescent="0.25">
      <c r="A57" s="68">
        <v>52</v>
      </c>
      <c r="B57" s="102" t="s">
        <v>110</v>
      </c>
      <c r="C57" s="129"/>
      <c r="D57" s="130">
        <v>42188</v>
      </c>
      <c r="E57" s="103">
        <f t="shared" si="1"/>
        <v>1406.2666666666667</v>
      </c>
      <c r="F57" s="104">
        <f t="shared" si="2"/>
        <v>1.6666666666666666E-2</v>
      </c>
      <c r="G57" s="105"/>
      <c r="H57" s="106">
        <f t="shared" si="0"/>
        <v>0</v>
      </c>
      <c r="I57" s="107"/>
      <c r="J57" s="106">
        <f t="shared" si="3"/>
        <v>0</v>
      </c>
      <c r="K57" s="108">
        <v>132884.48000000001</v>
      </c>
      <c r="L57" s="106">
        <f t="shared" si="4"/>
        <v>132884.48000000001</v>
      </c>
      <c r="M57" s="106">
        <v>69828.149999999994</v>
      </c>
      <c r="N57" s="106">
        <f t="shared" si="5"/>
        <v>63056.330000000016</v>
      </c>
      <c r="O57" s="97"/>
      <c r="P57" s="101"/>
      <c r="Q57" s="109" t="s">
        <v>212</v>
      </c>
      <c r="R57" s="91"/>
    </row>
    <row r="58" spans="1:18" hidden="1" x14ac:dyDescent="0.2">
      <c r="A58" s="2">
        <v>53</v>
      </c>
      <c r="B58" s="93" t="s">
        <v>111</v>
      </c>
      <c r="C58" s="127">
        <v>41694</v>
      </c>
      <c r="D58" s="128">
        <v>42228</v>
      </c>
      <c r="E58" s="94">
        <f t="shared" si="1"/>
        <v>17.8</v>
      </c>
      <c r="F58" s="95">
        <f t="shared" si="2"/>
        <v>1.6666666666666666E-2</v>
      </c>
      <c r="G58" s="96">
        <v>235900</v>
      </c>
      <c r="H58" s="97">
        <f t="shared" si="0"/>
        <v>165916.33333333331</v>
      </c>
      <c r="I58" s="98">
        <f>+INDICES!J48/INDICES!D47</f>
        <v>1.0317670006206223</v>
      </c>
      <c r="J58" s="97">
        <f t="shared" si="3"/>
        <v>171186.9975973047</v>
      </c>
      <c r="K58" s="99">
        <v>200000</v>
      </c>
      <c r="L58" s="97">
        <f t="shared" si="4"/>
        <v>28813.002402695303</v>
      </c>
      <c r="M58" s="97">
        <v>69828.149999999994</v>
      </c>
      <c r="N58" s="97">
        <f t="shared" si="5"/>
        <v>-41015.147597304691</v>
      </c>
      <c r="O58" s="97">
        <f>IF(N58&gt;1,N58*0.2,0)</f>
        <v>0</v>
      </c>
      <c r="P58" s="101"/>
      <c r="Q58" s="101" t="s">
        <v>213</v>
      </c>
      <c r="R58" s="91"/>
    </row>
    <row r="59" spans="1:18" ht="15" hidden="1" x14ac:dyDescent="0.25">
      <c r="A59" s="92">
        <v>54</v>
      </c>
      <c r="B59" s="102" t="s">
        <v>112</v>
      </c>
      <c r="C59" s="129"/>
      <c r="D59" s="130">
        <v>42192</v>
      </c>
      <c r="E59" s="103">
        <f t="shared" si="1"/>
        <v>1406.4</v>
      </c>
      <c r="F59" s="104">
        <f t="shared" si="2"/>
        <v>1.6666666666666666E-2</v>
      </c>
      <c r="G59" s="105"/>
      <c r="H59" s="106">
        <f t="shared" si="0"/>
        <v>0</v>
      </c>
      <c r="I59" s="107"/>
      <c r="J59" s="106">
        <f t="shared" si="3"/>
        <v>0</v>
      </c>
      <c r="K59" s="108">
        <v>163793.1</v>
      </c>
      <c r="L59" s="106">
        <f t="shared" si="4"/>
        <v>163793.1</v>
      </c>
      <c r="M59" s="106">
        <v>69828.149999999994</v>
      </c>
      <c r="N59" s="106">
        <f t="shared" si="5"/>
        <v>93964.950000000012</v>
      </c>
      <c r="O59" s="97"/>
      <c r="P59" s="101"/>
      <c r="Q59" s="109" t="s">
        <v>212</v>
      </c>
      <c r="R59" s="91"/>
    </row>
    <row r="60" spans="1:18" hidden="1" x14ac:dyDescent="0.2">
      <c r="A60" s="68">
        <v>55</v>
      </c>
      <c r="B60" s="93" t="s">
        <v>113</v>
      </c>
      <c r="C60" s="127">
        <v>41660</v>
      </c>
      <c r="D60" s="128">
        <v>42199</v>
      </c>
      <c r="E60" s="94">
        <f t="shared" si="1"/>
        <v>17.966666666666665</v>
      </c>
      <c r="F60" s="95">
        <f t="shared" si="2"/>
        <v>1.6666666666666666E-2</v>
      </c>
      <c r="G60" s="96">
        <v>217800</v>
      </c>
      <c r="H60" s="97">
        <f t="shared" si="0"/>
        <v>152581</v>
      </c>
      <c r="I60" s="98">
        <f>+INDICES!I48/INDICES!C47</f>
        <v>1.0322030131994133</v>
      </c>
      <c r="J60" s="97">
        <f t="shared" si="3"/>
        <v>157494.56795697968</v>
      </c>
      <c r="K60" s="99">
        <v>143000</v>
      </c>
      <c r="L60" s="97">
        <f t="shared" si="4"/>
        <v>-14494.567956979678</v>
      </c>
      <c r="M60" s="97">
        <v>69828.149999999994</v>
      </c>
      <c r="N60" s="97">
        <f t="shared" si="5"/>
        <v>-84322.717956979672</v>
      </c>
      <c r="O60" s="97">
        <f t="shared" ref="O60:O64" si="15">IF(N60&gt;1,N60*0.2,0)</f>
        <v>0</v>
      </c>
      <c r="P60" s="101"/>
      <c r="Q60" s="101" t="s">
        <v>213</v>
      </c>
      <c r="R60" s="91"/>
    </row>
    <row r="61" spans="1:18" hidden="1" x14ac:dyDescent="0.2">
      <c r="A61" s="2">
        <v>56</v>
      </c>
      <c r="B61" s="93" t="s">
        <v>114</v>
      </c>
      <c r="C61" s="127">
        <v>41467</v>
      </c>
      <c r="D61" s="128">
        <v>42202</v>
      </c>
      <c r="E61" s="94">
        <f t="shared" si="1"/>
        <v>24.5</v>
      </c>
      <c r="F61" s="95">
        <f t="shared" si="2"/>
        <v>1.6666666666666666E-2</v>
      </c>
      <c r="G61" s="96">
        <v>209900</v>
      </c>
      <c r="H61" s="97">
        <f t="shared" si="0"/>
        <v>124190.83333333333</v>
      </c>
      <c r="I61" s="98">
        <f>+INDICES!I48/INDICES!I46</f>
        <v>1.0692299901481461</v>
      </c>
      <c r="J61" s="97">
        <f t="shared" si="3"/>
        <v>132788.56350149005</v>
      </c>
      <c r="K61" s="99">
        <v>145000</v>
      </c>
      <c r="L61" s="97">
        <f t="shared" si="4"/>
        <v>12211.436498509953</v>
      </c>
      <c r="M61" s="97">
        <v>69828.149999999994</v>
      </c>
      <c r="N61" s="97">
        <f t="shared" si="5"/>
        <v>-57616.713501490041</v>
      </c>
      <c r="O61" s="97">
        <f t="shared" si="15"/>
        <v>0</v>
      </c>
      <c r="P61" s="101"/>
      <c r="Q61" s="101" t="s">
        <v>213</v>
      </c>
      <c r="R61" s="91"/>
    </row>
    <row r="62" spans="1:18" hidden="1" x14ac:dyDescent="0.2">
      <c r="A62" s="92">
        <v>57</v>
      </c>
      <c r="B62" s="93" t="s">
        <v>115</v>
      </c>
      <c r="C62" s="127">
        <v>39933</v>
      </c>
      <c r="D62" s="128">
        <v>42202</v>
      </c>
      <c r="E62" s="94">
        <f t="shared" si="1"/>
        <v>75.63333333333334</v>
      </c>
      <c r="F62" s="95">
        <f t="shared" si="2"/>
        <v>1.6666666666666666E-2</v>
      </c>
      <c r="G62" s="96">
        <v>175300</v>
      </c>
      <c r="H62" s="97">
        <f t="shared" si="0"/>
        <v>-45675.388888888905</v>
      </c>
      <c r="I62" s="98">
        <f>+INDICES!I48/INDICES!F42</f>
        <v>1.2417739939386359</v>
      </c>
      <c r="J62" s="97">
        <f t="shared" si="3"/>
        <v>-56718.51008525597</v>
      </c>
      <c r="K62" s="99">
        <v>90000</v>
      </c>
      <c r="L62" s="97">
        <f t="shared" si="4"/>
        <v>146718.51008525596</v>
      </c>
      <c r="M62" s="97">
        <v>69828.149999999994</v>
      </c>
      <c r="N62" s="97">
        <f t="shared" si="5"/>
        <v>76890.360085255961</v>
      </c>
      <c r="O62" s="97">
        <f t="shared" si="15"/>
        <v>15378.072017051192</v>
      </c>
      <c r="P62" s="101"/>
      <c r="Q62" s="101" t="s">
        <v>213</v>
      </c>
      <c r="R62" s="91"/>
    </row>
    <row r="63" spans="1:18" hidden="1" x14ac:dyDescent="0.2">
      <c r="A63" s="68">
        <v>58</v>
      </c>
      <c r="B63" s="93" t="s">
        <v>116</v>
      </c>
      <c r="C63" s="127">
        <v>40579</v>
      </c>
      <c r="D63" s="128">
        <v>42206</v>
      </c>
      <c r="E63" s="94">
        <f t="shared" si="1"/>
        <v>54.233333333333334</v>
      </c>
      <c r="F63" s="95">
        <f t="shared" si="2"/>
        <v>1.6666666666666666E-2</v>
      </c>
      <c r="G63" s="96">
        <v>200700</v>
      </c>
      <c r="H63" s="97">
        <f t="shared" si="0"/>
        <v>19289.5</v>
      </c>
      <c r="I63" s="98">
        <f>+INDICES!I48/INDICES!D44</f>
        <v>1.154307979801996</v>
      </c>
      <c r="J63" s="97">
        <f t="shared" si="3"/>
        <v>22266.023776390601</v>
      </c>
      <c r="K63" s="99">
        <v>105000</v>
      </c>
      <c r="L63" s="97">
        <f t="shared" si="4"/>
        <v>82733.976223609396</v>
      </c>
      <c r="M63" s="97">
        <v>69828.149999999994</v>
      </c>
      <c r="N63" s="97">
        <f t="shared" si="5"/>
        <v>12905.826223609401</v>
      </c>
      <c r="O63" s="97">
        <f t="shared" si="15"/>
        <v>2581.1652447218803</v>
      </c>
      <c r="P63" s="101"/>
      <c r="Q63" s="101" t="s">
        <v>213</v>
      </c>
      <c r="R63" s="91"/>
    </row>
    <row r="64" spans="1:18" hidden="1" x14ac:dyDescent="0.2">
      <c r="A64" s="2">
        <v>59</v>
      </c>
      <c r="B64" s="93" t="s">
        <v>117</v>
      </c>
      <c r="C64" s="127">
        <v>41670</v>
      </c>
      <c r="D64" s="128">
        <v>42207</v>
      </c>
      <c r="E64" s="94">
        <f t="shared" si="1"/>
        <v>17.899999999999999</v>
      </c>
      <c r="F64" s="95">
        <f t="shared" si="2"/>
        <v>1.6666666666666666E-2</v>
      </c>
      <c r="G64" s="96">
        <v>309900</v>
      </c>
      <c r="H64" s="97">
        <f t="shared" si="0"/>
        <v>217446.5</v>
      </c>
      <c r="I64" s="98">
        <f>+INDICES!I48/INDICES!C47</f>
        <v>1.0322030131994133</v>
      </c>
      <c r="J64" s="97">
        <f t="shared" si="3"/>
        <v>224448.93250966622</v>
      </c>
      <c r="K64" s="99">
        <v>215000</v>
      </c>
      <c r="L64" s="97">
        <f t="shared" si="4"/>
        <v>-9448.9325096662214</v>
      </c>
      <c r="M64" s="97">
        <v>69828.149999999994</v>
      </c>
      <c r="N64" s="97">
        <f t="shared" si="5"/>
        <v>-79277.082509666216</v>
      </c>
      <c r="O64" s="97">
        <f t="shared" si="15"/>
        <v>0</v>
      </c>
      <c r="P64" s="101"/>
      <c r="Q64" s="101" t="s">
        <v>213</v>
      </c>
      <c r="R64" s="91"/>
    </row>
    <row r="65" spans="1:18" hidden="1" x14ac:dyDescent="0.2">
      <c r="A65" s="92">
        <v>60</v>
      </c>
      <c r="B65" s="93" t="s">
        <v>118</v>
      </c>
      <c r="C65" s="127">
        <v>41394</v>
      </c>
      <c r="D65" s="128">
        <v>42208</v>
      </c>
      <c r="E65" s="94">
        <f t="shared" si="1"/>
        <v>27.133333333333333</v>
      </c>
      <c r="F65" s="95">
        <f t="shared" si="2"/>
        <v>1.6666666666666666E-2</v>
      </c>
      <c r="G65" s="96">
        <v>497200</v>
      </c>
      <c r="H65" s="97">
        <f t="shared" si="0"/>
        <v>272355.11111111112</v>
      </c>
      <c r="I65" s="98">
        <f>+INDICES!I48/INDICES!F46</f>
        <v>1.0646716907787375</v>
      </c>
      <c r="J65" s="97">
        <f t="shared" si="3"/>
        <v>289968.7766388976</v>
      </c>
      <c r="K65" s="99">
        <v>285000</v>
      </c>
      <c r="L65" s="97">
        <f t="shared" si="4"/>
        <v>-4968.7766388976015</v>
      </c>
      <c r="M65" s="97">
        <v>69828.149999999994</v>
      </c>
      <c r="N65" s="97">
        <f t="shared" si="5"/>
        <v>-74796.926638897596</v>
      </c>
      <c r="O65" s="97"/>
      <c r="P65" s="101"/>
      <c r="Q65" s="115" t="s">
        <v>214</v>
      </c>
      <c r="R65" s="91"/>
    </row>
    <row r="66" spans="1:18" hidden="1" x14ac:dyDescent="0.2">
      <c r="A66" s="68">
        <v>61</v>
      </c>
      <c r="B66" s="93" t="s">
        <v>119</v>
      </c>
      <c r="C66" s="127">
        <v>41393</v>
      </c>
      <c r="D66" s="128">
        <v>42208</v>
      </c>
      <c r="E66" s="94">
        <f t="shared" si="1"/>
        <v>27.166666666666668</v>
      </c>
      <c r="F66" s="95">
        <f t="shared" si="2"/>
        <v>1.6666666666666666E-2</v>
      </c>
      <c r="G66" s="96">
        <v>247300</v>
      </c>
      <c r="H66" s="97">
        <f t="shared" si="0"/>
        <v>135328.05555555556</v>
      </c>
      <c r="I66" s="98">
        <f>+INDICES!I48/INDICES!F46</f>
        <v>1.0646716907787375</v>
      </c>
      <c r="J66" s="97">
        <f t="shared" si="3"/>
        <v>144079.94971813227</v>
      </c>
      <c r="K66" s="99">
        <v>165000</v>
      </c>
      <c r="L66" s="97">
        <f t="shared" si="4"/>
        <v>20920.050281867734</v>
      </c>
      <c r="M66" s="97">
        <v>69828.149999999994</v>
      </c>
      <c r="N66" s="97">
        <f t="shared" si="5"/>
        <v>-48908.09971813226</v>
      </c>
      <c r="O66" s="97">
        <f t="shared" ref="O66:O67" si="16">IF(N66&gt;1,N66*0.2,0)</f>
        <v>0</v>
      </c>
      <c r="P66" s="101"/>
      <c r="Q66" s="101" t="s">
        <v>213</v>
      </c>
      <c r="R66" s="91"/>
    </row>
    <row r="67" spans="1:18" hidden="1" x14ac:dyDescent="0.2">
      <c r="A67" s="2">
        <v>62</v>
      </c>
      <c r="B67" s="93" t="s">
        <v>120</v>
      </c>
      <c r="C67" s="127">
        <v>41274</v>
      </c>
      <c r="D67" s="128">
        <v>42209</v>
      </c>
      <c r="E67" s="94">
        <f t="shared" si="1"/>
        <v>31.166666666666668</v>
      </c>
      <c r="F67" s="95">
        <f t="shared" si="2"/>
        <v>1.6666666666666666E-2</v>
      </c>
      <c r="G67" s="96">
        <v>206300</v>
      </c>
      <c r="H67" s="97">
        <f t="shared" si="0"/>
        <v>99138.611111111109</v>
      </c>
      <c r="I67" s="98">
        <f>+INDICES!I48/INDICES!N45</f>
        <v>1.0828189396341124</v>
      </c>
      <c r="J67" s="97">
        <f t="shared" si="3"/>
        <v>107349.16576013196</v>
      </c>
      <c r="K67" s="99">
        <v>119000</v>
      </c>
      <c r="L67" s="97">
        <f t="shared" si="4"/>
        <v>11650.83423986804</v>
      </c>
      <c r="M67" s="97">
        <v>69828.149999999994</v>
      </c>
      <c r="N67" s="97">
        <f t="shared" si="5"/>
        <v>-58177.315760131954</v>
      </c>
      <c r="O67" s="97">
        <f t="shared" si="16"/>
        <v>0</v>
      </c>
      <c r="P67" s="101"/>
      <c r="Q67" s="101" t="s">
        <v>213</v>
      </c>
      <c r="R67" s="91"/>
    </row>
    <row r="68" spans="1:18" ht="15" hidden="1" x14ac:dyDescent="0.25">
      <c r="A68" s="92">
        <v>63</v>
      </c>
      <c r="B68" s="102" t="s">
        <v>121</v>
      </c>
      <c r="C68" s="129"/>
      <c r="D68" s="130">
        <v>42220</v>
      </c>
      <c r="E68" s="103">
        <f t="shared" si="1"/>
        <v>1407.3333333333333</v>
      </c>
      <c r="F68" s="104">
        <f t="shared" si="2"/>
        <v>1.6666666666666666E-2</v>
      </c>
      <c r="G68" s="105"/>
      <c r="H68" s="106">
        <f t="shared" si="0"/>
        <v>0</v>
      </c>
      <c r="I68" s="107"/>
      <c r="J68" s="106">
        <f t="shared" si="3"/>
        <v>0</v>
      </c>
      <c r="K68" s="108">
        <v>215517.24</v>
      </c>
      <c r="L68" s="106">
        <f t="shared" si="4"/>
        <v>215517.24</v>
      </c>
      <c r="M68" s="106">
        <v>69828.149999999994</v>
      </c>
      <c r="N68" s="106">
        <f t="shared" si="5"/>
        <v>145689.09</v>
      </c>
      <c r="O68" s="97"/>
      <c r="P68" s="101"/>
      <c r="Q68" s="109" t="s">
        <v>212</v>
      </c>
      <c r="R68" s="91"/>
    </row>
    <row r="69" spans="1:18" hidden="1" x14ac:dyDescent="0.2">
      <c r="A69" s="68">
        <v>64</v>
      </c>
      <c r="B69" s="93" t="s">
        <v>122</v>
      </c>
      <c r="C69" s="127">
        <v>40527</v>
      </c>
      <c r="D69" s="128">
        <v>42216</v>
      </c>
      <c r="E69" s="94">
        <f t="shared" si="1"/>
        <v>56.3</v>
      </c>
      <c r="F69" s="95">
        <f t="shared" si="2"/>
        <v>1.6666666666666666E-2</v>
      </c>
      <c r="G69" s="96">
        <v>150000</v>
      </c>
      <c r="H69" s="97">
        <f t="shared" si="0"/>
        <v>9250</v>
      </c>
      <c r="I69" s="98">
        <f>+INDICES!I48/INDICES!N43</f>
        <v>1.1642827773975153</v>
      </c>
      <c r="J69" s="97">
        <f t="shared" si="3"/>
        <v>10769.615690927016</v>
      </c>
      <c r="K69" s="99">
        <v>80000</v>
      </c>
      <c r="L69" s="97">
        <f t="shared" si="4"/>
        <v>69230.384309072979</v>
      </c>
      <c r="M69" s="97">
        <v>69828.149999999994</v>
      </c>
      <c r="N69" s="97">
        <f t="shared" si="5"/>
        <v>-597.76569092701538</v>
      </c>
      <c r="O69" s="97">
        <f t="shared" ref="O69:O71" si="17">IF(N69&gt;1,N69*0.2,0)</f>
        <v>0</v>
      </c>
      <c r="P69" s="101"/>
      <c r="Q69" s="101" t="s">
        <v>213</v>
      </c>
      <c r="R69" s="91"/>
    </row>
    <row r="70" spans="1:18" hidden="1" x14ac:dyDescent="0.2">
      <c r="A70" s="2">
        <v>65</v>
      </c>
      <c r="B70" s="93" t="s">
        <v>123</v>
      </c>
      <c r="C70" s="127">
        <v>39631</v>
      </c>
      <c r="D70" s="128">
        <v>42220</v>
      </c>
      <c r="E70" s="94">
        <f t="shared" si="1"/>
        <v>86.3</v>
      </c>
      <c r="F70" s="95">
        <f t="shared" si="2"/>
        <v>1.6666666666666666E-2</v>
      </c>
      <c r="G70" s="96">
        <v>195800</v>
      </c>
      <c r="H70" s="97">
        <f t="shared" ref="H70:H133" si="18">G70-(G70*F70*E70)</f>
        <v>-85825.666666666686</v>
      </c>
      <c r="I70" s="98">
        <f>+INDICES!J48/INDICES!I41</f>
        <v>1.3098917853483658</v>
      </c>
      <c r="J70" s="97">
        <f t="shared" si="3"/>
        <v>-112422.33573871375</v>
      </c>
      <c r="K70" s="99">
        <v>98000</v>
      </c>
      <c r="L70" s="97">
        <f t="shared" si="4"/>
        <v>210422.33573871374</v>
      </c>
      <c r="M70" s="97">
        <v>69828.149999999994</v>
      </c>
      <c r="N70" s="97">
        <f t="shared" si="5"/>
        <v>140594.18573871374</v>
      </c>
      <c r="O70" s="97">
        <f t="shared" si="17"/>
        <v>28118.83714774275</v>
      </c>
      <c r="P70" s="101"/>
      <c r="Q70" s="101" t="s">
        <v>213</v>
      </c>
      <c r="R70" s="91"/>
    </row>
    <row r="71" spans="1:18" hidden="1" x14ac:dyDescent="0.2">
      <c r="A71" s="92">
        <v>66</v>
      </c>
      <c r="B71" s="93" t="s">
        <v>124</v>
      </c>
      <c r="C71" s="127">
        <v>41653</v>
      </c>
      <c r="D71" s="128">
        <v>42222</v>
      </c>
      <c r="E71" s="94">
        <f t="shared" ref="E71:E134" si="19">(D71-C71)/30</f>
        <v>18.966666666666665</v>
      </c>
      <c r="F71" s="95">
        <f t="shared" ref="F71:F134" si="20">0.2/12</f>
        <v>1.6666666666666666E-2</v>
      </c>
      <c r="G71" s="96">
        <v>193000</v>
      </c>
      <c r="H71" s="97">
        <f t="shared" si="18"/>
        <v>131990.55555555556</v>
      </c>
      <c r="I71" s="98">
        <f>+INDICES!J48/INDICES!C47</f>
        <v>1.0343806941913694</v>
      </c>
      <c r="J71" s="97">
        <f t="shared" ref="J71:J134" si="21">+H71*I71</f>
        <v>136528.48248226006</v>
      </c>
      <c r="K71" s="99">
        <v>135000</v>
      </c>
      <c r="L71" s="97">
        <f t="shared" ref="L71:L134" si="22">+K71-J71</f>
        <v>-1528.482482260064</v>
      </c>
      <c r="M71" s="97">
        <v>69828.149999999994</v>
      </c>
      <c r="N71" s="97">
        <f t="shared" ref="N71:N134" si="23">+L71-M71</f>
        <v>-71356.632482260058</v>
      </c>
      <c r="O71" s="97">
        <f t="shared" si="17"/>
        <v>0</v>
      </c>
      <c r="P71" s="101"/>
      <c r="Q71" s="101" t="s">
        <v>213</v>
      </c>
      <c r="R71" s="91"/>
    </row>
    <row r="72" spans="1:18" ht="15" hidden="1" x14ac:dyDescent="0.25">
      <c r="A72" s="68">
        <v>67</v>
      </c>
      <c r="B72" s="102" t="s">
        <v>125</v>
      </c>
      <c r="C72" s="129"/>
      <c r="D72" s="130">
        <v>42227</v>
      </c>
      <c r="E72" s="103">
        <f t="shared" si="19"/>
        <v>1407.5666666666666</v>
      </c>
      <c r="F72" s="104">
        <f t="shared" si="20"/>
        <v>1.6666666666666666E-2</v>
      </c>
      <c r="G72" s="105"/>
      <c r="H72" s="106">
        <f t="shared" si="18"/>
        <v>0</v>
      </c>
      <c r="I72" s="107"/>
      <c r="J72" s="106">
        <f t="shared" si="21"/>
        <v>0</v>
      </c>
      <c r="K72" s="108">
        <v>193965.52</v>
      </c>
      <c r="L72" s="106">
        <f t="shared" si="22"/>
        <v>193965.52</v>
      </c>
      <c r="M72" s="106">
        <v>69828.149999999994</v>
      </c>
      <c r="N72" s="106">
        <f t="shared" si="23"/>
        <v>124137.37</v>
      </c>
      <c r="O72" s="97"/>
      <c r="P72" s="101"/>
      <c r="Q72" s="109" t="s">
        <v>212</v>
      </c>
      <c r="R72" s="91"/>
    </row>
    <row r="73" spans="1:18" hidden="1" x14ac:dyDescent="0.2">
      <c r="A73" s="2">
        <v>68</v>
      </c>
      <c r="B73" s="93" t="s">
        <v>126</v>
      </c>
      <c r="C73" s="127">
        <v>41480</v>
      </c>
      <c r="D73" s="128">
        <v>42229</v>
      </c>
      <c r="E73" s="94">
        <f t="shared" si="19"/>
        <v>24.966666666666665</v>
      </c>
      <c r="F73" s="95">
        <f t="shared" si="20"/>
        <v>1.6666666666666666E-2</v>
      </c>
      <c r="G73" s="96">
        <v>283568</v>
      </c>
      <c r="H73" s="97">
        <f t="shared" si="18"/>
        <v>165572.20444444445</v>
      </c>
      <c r="I73" s="98">
        <f>+INDICES!J48/INDICES!I46</f>
        <v>1.0714857884705689</v>
      </c>
      <c r="J73" s="97">
        <f t="shared" si="21"/>
        <v>177408.26402796578</v>
      </c>
      <c r="K73" s="99">
        <v>194350</v>
      </c>
      <c r="L73" s="97">
        <f t="shared" si="22"/>
        <v>16941.735972034221</v>
      </c>
      <c r="M73" s="97">
        <v>69828.149999999994</v>
      </c>
      <c r="N73" s="97">
        <f t="shared" si="23"/>
        <v>-52886.414027965773</v>
      </c>
      <c r="O73" s="97">
        <f>IF(N73&gt;1,N73*0.2,0)</f>
        <v>0</v>
      </c>
      <c r="P73" s="101"/>
      <c r="Q73" s="101" t="s">
        <v>213</v>
      </c>
      <c r="R73" s="91"/>
    </row>
    <row r="74" spans="1:18" hidden="1" x14ac:dyDescent="0.2">
      <c r="A74" s="92">
        <v>69</v>
      </c>
      <c r="B74" s="93" t="s">
        <v>127</v>
      </c>
      <c r="C74" s="127">
        <v>41984</v>
      </c>
      <c r="D74" s="128">
        <v>42230</v>
      </c>
      <c r="E74" s="94">
        <f t="shared" si="19"/>
        <v>8.1999999999999993</v>
      </c>
      <c r="F74" s="95">
        <f t="shared" si="20"/>
        <v>1.6666666666666666E-2</v>
      </c>
      <c r="G74" s="96">
        <v>621700</v>
      </c>
      <c r="H74" s="97">
        <f t="shared" si="18"/>
        <v>536734.33333333337</v>
      </c>
      <c r="I74" s="98">
        <f>+INDICES!N47/INDICES!J48</f>
        <v>0.99730177962242095</v>
      </c>
      <c r="J74" s="97">
        <f t="shared" si="21"/>
        <v>535286.10581778712</v>
      </c>
      <c r="K74" s="99">
        <v>500000</v>
      </c>
      <c r="L74" s="97">
        <f t="shared" si="22"/>
        <v>-35286.105817787116</v>
      </c>
      <c r="M74" s="97">
        <v>69828.149999999994</v>
      </c>
      <c r="N74" s="97">
        <f t="shared" si="23"/>
        <v>-105114.25581778711</v>
      </c>
      <c r="O74" s="97"/>
      <c r="P74" s="101"/>
      <c r="Q74" s="115" t="s">
        <v>214</v>
      </c>
      <c r="R74" s="91"/>
    </row>
    <row r="75" spans="1:18" hidden="1" x14ac:dyDescent="0.2">
      <c r="A75" s="68">
        <v>70</v>
      </c>
      <c r="B75" s="93" t="s">
        <v>128</v>
      </c>
      <c r="C75" s="127">
        <v>40852</v>
      </c>
      <c r="D75" s="128">
        <v>42231</v>
      </c>
      <c r="E75" s="94">
        <f t="shared" si="19"/>
        <v>45.966666666666669</v>
      </c>
      <c r="F75" s="95">
        <f t="shared" si="20"/>
        <v>1.6666666666666666E-2</v>
      </c>
      <c r="G75" s="96">
        <v>320000</v>
      </c>
      <c r="H75" s="97">
        <f t="shared" si="18"/>
        <v>74844.444444444438</v>
      </c>
      <c r="I75" s="98">
        <f>+INDICES!J48/INDICES!N44</f>
        <v>1.1238230437175885</v>
      </c>
      <c r="J75" s="97">
        <f t="shared" si="21"/>
        <v>84111.911360907499</v>
      </c>
      <c r="K75" s="99">
        <v>165000</v>
      </c>
      <c r="L75" s="97">
        <f t="shared" si="22"/>
        <v>80888.088639092501</v>
      </c>
      <c r="M75" s="97">
        <v>69828.149999999994</v>
      </c>
      <c r="N75" s="97">
        <f t="shared" si="23"/>
        <v>11059.938639092506</v>
      </c>
      <c r="O75" s="97">
        <f t="shared" ref="O75:O83" si="24">IF(N75&gt;1,N75*0.2,0)</f>
        <v>2211.9877278185013</v>
      </c>
      <c r="P75" s="101"/>
      <c r="Q75" s="101" t="s">
        <v>213</v>
      </c>
      <c r="R75" s="91"/>
    </row>
    <row r="76" spans="1:18" hidden="1" x14ac:dyDescent="0.2">
      <c r="A76" s="2">
        <v>71</v>
      </c>
      <c r="B76" s="93" t="s">
        <v>129</v>
      </c>
      <c r="C76" s="127">
        <v>39625</v>
      </c>
      <c r="D76" s="128">
        <v>42234</v>
      </c>
      <c r="E76" s="94">
        <f t="shared" si="19"/>
        <v>86.966666666666669</v>
      </c>
      <c r="F76" s="95">
        <f t="shared" si="20"/>
        <v>1.6666666666666666E-2</v>
      </c>
      <c r="G76" s="96">
        <v>172700</v>
      </c>
      <c r="H76" s="97">
        <f t="shared" si="18"/>
        <v>-77619.055555555562</v>
      </c>
      <c r="I76" s="98">
        <f>+INDICES!J48/INDICES!H41</f>
        <v>1.3171917957663988</v>
      </c>
      <c r="J76" s="97">
        <f t="shared" si="21"/>
        <v>-102239.1831729141</v>
      </c>
      <c r="K76" s="99">
        <v>74000</v>
      </c>
      <c r="L76" s="97">
        <f t="shared" si="22"/>
        <v>176239.18317291408</v>
      </c>
      <c r="M76" s="97">
        <v>69828.149999999994</v>
      </c>
      <c r="N76" s="97">
        <f t="shared" si="23"/>
        <v>106411.03317291409</v>
      </c>
      <c r="O76" s="97">
        <f t="shared" si="24"/>
        <v>21282.206634582821</v>
      </c>
      <c r="P76" s="101"/>
      <c r="Q76" s="101" t="s">
        <v>213</v>
      </c>
      <c r="R76" s="91"/>
    </row>
    <row r="77" spans="1:18" hidden="1" x14ac:dyDescent="0.2">
      <c r="A77" s="92">
        <v>72</v>
      </c>
      <c r="B77" s="93" t="s">
        <v>130</v>
      </c>
      <c r="C77" s="127">
        <v>41608</v>
      </c>
      <c r="D77" s="128">
        <v>42237</v>
      </c>
      <c r="E77" s="94">
        <f t="shared" si="19"/>
        <v>20.966666666666665</v>
      </c>
      <c r="F77" s="95">
        <f t="shared" si="20"/>
        <v>1.6666666666666666E-2</v>
      </c>
      <c r="G77" s="96">
        <v>269890</v>
      </c>
      <c r="H77" s="97">
        <f t="shared" si="18"/>
        <v>175578.43888888889</v>
      </c>
      <c r="I77" s="98">
        <f>+INDICES!J48/INDICES!M46</f>
        <v>1.0496157731438056</v>
      </c>
      <c r="J77" s="97">
        <f t="shared" si="21"/>
        <v>184289.89888174355</v>
      </c>
      <c r="K77" s="99">
        <v>185000</v>
      </c>
      <c r="L77" s="97">
        <f t="shared" si="22"/>
        <v>710.10111825645436</v>
      </c>
      <c r="M77" s="97">
        <v>69828.149999999994</v>
      </c>
      <c r="N77" s="97">
        <f t="shared" si="23"/>
        <v>-69118.04888174354</v>
      </c>
      <c r="O77" s="97">
        <f t="shared" si="24"/>
        <v>0</v>
      </c>
      <c r="P77" s="101"/>
      <c r="Q77" s="101" t="s">
        <v>213</v>
      </c>
      <c r="R77" s="91"/>
    </row>
    <row r="78" spans="1:18" hidden="1" x14ac:dyDescent="0.2">
      <c r="A78" s="68">
        <v>73</v>
      </c>
      <c r="B78" s="93" t="s">
        <v>131</v>
      </c>
      <c r="C78" s="127">
        <v>41604</v>
      </c>
      <c r="D78" s="128">
        <v>42238</v>
      </c>
      <c r="E78" s="94">
        <f t="shared" si="19"/>
        <v>21.133333333333333</v>
      </c>
      <c r="F78" s="95">
        <f t="shared" si="20"/>
        <v>1.6666666666666666E-2</v>
      </c>
      <c r="G78" s="96">
        <v>269800</v>
      </c>
      <c r="H78" s="97">
        <f t="shared" si="18"/>
        <v>174770.44444444444</v>
      </c>
      <c r="I78" s="98">
        <f>+INDICES!J48/INDICES!M46</f>
        <v>1.0496157731438056</v>
      </c>
      <c r="J78" s="97">
        <f t="shared" si="21"/>
        <v>183441.81516824209</v>
      </c>
      <c r="K78" s="99">
        <v>190000</v>
      </c>
      <c r="L78" s="97">
        <f t="shared" si="22"/>
        <v>6558.1848317579133</v>
      </c>
      <c r="M78" s="97">
        <v>69828.149999999994</v>
      </c>
      <c r="N78" s="97">
        <f t="shared" si="23"/>
        <v>-63269.965168242081</v>
      </c>
      <c r="O78" s="97">
        <f t="shared" si="24"/>
        <v>0</v>
      </c>
      <c r="P78" s="101"/>
      <c r="Q78" s="101" t="s">
        <v>213</v>
      </c>
      <c r="R78" s="91"/>
    </row>
    <row r="79" spans="1:18" hidden="1" x14ac:dyDescent="0.2">
      <c r="A79" s="2">
        <v>74</v>
      </c>
      <c r="B79" s="93" t="s">
        <v>132</v>
      </c>
      <c r="C79" s="127">
        <v>40934</v>
      </c>
      <c r="D79" s="128">
        <v>42241</v>
      </c>
      <c r="E79" s="94">
        <f t="shared" si="19"/>
        <v>43.56666666666667</v>
      </c>
      <c r="F79" s="95">
        <f t="shared" si="20"/>
        <v>1.6666666666666666E-2</v>
      </c>
      <c r="G79" s="96">
        <v>237800</v>
      </c>
      <c r="H79" s="97">
        <f t="shared" si="18"/>
        <v>65130.777777777752</v>
      </c>
      <c r="I79" s="98">
        <f>+INDICES!J48/INDICES!C45</f>
        <v>1.1159238234053162</v>
      </c>
      <c r="J79" s="97">
        <f t="shared" si="21"/>
        <v>72680.986559139754</v>
      </c>
      <c r="K79" s="99">
        <v>112000</v>
      </c>
      <c r="L79" s="97">
        <f t="shared" si="22"/>
        <v>39319.013440860246</v>
      </c>
      <c r="M79" s="97">
        <v>69828.149999999994</v>
      </c>
      <c r="N79" s="97">
        <f t="shared" si="23"/>
        <v>-30509.136559139748</v>
      </c>
      <c r="O79" s="97">
        <f t="shared" si="24"/>
        <v>0</v>
      </c>
      <c r="P79" s="101"/>
      <c r="Q79" s="101" t="s">
        <v>213</v>
      </c>
      <c r="R79" s="91"/>
    </row>
    <row r="80" spans="1:18" hidden="1" x14ac:dyDescent="0.2">
      <c r="A80" s="92">
        <v>75</v>
      </c>
      <c r="B80" s="93" t="s">
        <v>133</v>
      </c>
      <c r="C80" s="127">
        <v>40233</v>
      </c>
      <c r="D80" s="128">
        <v>42241</v>
      </c>
      <c r="E80" s="94">
        <f t="shared" si="19"/>
        <v>66.933333333333337</v>
      </c>
      <c r="F80" s="95">
        <f t="shared" si="20"/>
        <v>1.6666666666666666E-2</v>
      </c>
      <c r="G80" s="96">
        <v>203300</v>
      </c>
      <c r="H80" s="97">
        <f t="shared" si="18"/>
        <v>-23492.444444444467</v>
      </c>
      <c r="I80" s="98">
        <f>+INDICES!J48/INDICES!D43</f>
        <v>1.19806597109125</v>
      </c>
      <c r="J80" s="97">
        <f t="shared" si="21"/>
        <v>-28145.498266640603</v>
      </c>
      <c r="K80" s="99">
        <v>95000</v>
      </c>
      <c r="L80" s="97">
        <f t="shared" si="22"/>
        <v>123145.4982666406</v>
      </c>
      <c r="M80" s="97">
        <v>69828.149999999994</v>
      </c>
      <c r="N80" s="97">
        <f t="shared" si="23"/>
        <v>53317.348266640605</v>
      </c>
      <c r="O80" s="97">
        <f t="shared" si="24"/>
        <v>10663.469653328122</v>
      </c>
      <c r="P80" s="101"/>
      <c r="Q80" s="101" t="s">
        <v>213</v>
      </c>
      <c r="R80" s="91"/>
    </row>
    <row r="81" spans="1:18" hidden="1" x14ac:dyDescent="0.2">
      <c r="A81" s="68">
        <v>76</v>
      </c>
      <c r="B81" s="93" t="s">
        <v>134</v>
      </c>
      <c r="C81" s="127">
        <v>41540</v>
      </c>
      <c r="D81" s="128">
        <v>42241</v>
      </c>
      <c r="E81" s="94">
        <f t="shared" si="19"/>
        <v>23.366666666666667</v>
      </c>
      <c r="F81" s="95">
        <f t="shared" si="20"/>
        <v>1.6666666666666666E-2</v>
      </c>
      <c r="G81" s="96">
        <v>194900</v>
      </c>
      <c r="H81" s="97">
        <f t="shared" si="18"/>
        <v>118997.27777777777</v>
      </c>
      <c r="I81" s="98">
        <f>+INDICES!J48/INDICES!K46</f>
        <v>1.0644391189814137</v>
      </c>
      <c r="J81" s="97">
        <f t="shared" si="21"/>
        <v>126665.35751896433</v>
      </c>
      <c r="K81" s="99">
        <v>140000</v>
      </c>
      <c r="L81" s="97">
        <f t="shared" si="22"/>
        <v>13334.642481035669</v>
      </c>
      <c r="M81" s="97">
        <v>69828.149999999994</v>
      </c>
      <c r="N81" s="97">
        <f t="shared" si="23"/>
        <v>-56493.507518964325</v>
      </c>
      <c r="O81" s="97">
        <f t="shared" si="24"/>
        <v>0</v>
      </c>
      <c r="P81" s="101"/>
      <c r="Q81" s="101" t="s">
        <v>213</v>
      </c>
      <c r="R81" s="91"/>
    </row>
    <row r="82" spans="1:18" hidden="1" x14ac:dyDescent="0.2">
      <c r="A82" s="2">
        <v>77</v>
      </c>
      <c r="B82" s="93" t="s">
        <v>135</v>
      </c>
      <c r="C82" s="127">
        <v>40374</v>
      </c>
      <c r="D82" s="128">
        <v>42241</v>
      </c>
      <c r="E82" s="94">
        <f t="shared" si="19"/>
        <v>62.233333333333334</v>
      </c>
      <c r="F82" s="95">
        <f t="shared" si="20"/>
        <v>1.6666666666666666E-2</v>
      </c>
      <c r="G82" s="96">
        <v>182900</v>
      </c>
      <c r="H82" s="97">
        <f t="shared" si="18"/>
        <v>-6807.9444444444671</v>
      </c>
      <c r="I82" s="98">
        <f>+INDICES!J48/INDICES!I43</f>
        <v>1.1987638322855649</v>
      </c>
      <c r="J82" s="97">
        <f t="shared" si="21"/>
        <v>-8161.1175722094704</v>
      </c>
      <c r="K82" s="99">
        <v>70000</v>
      </c>
      <c r="L82" s="97">
        <f t="shared" si="22"/>
        <v>78161.117572209478</v>
      </c>
      <c r="M82" s="97">
        <v>69828.149999999994</v>
      </c>
      <c r="N82" s="97">
        <f t="shared" si="23"/>
        <v>8332.9675722094835</v>
      </c>
      <c r="O82" s="97">
        <f t="shared" si="24"/>
        <v>1666.5935144418968</v>
      </c>
      <c r="P82" s="101"/>
      <c r="Q82" s="101" t="s">
        <v>213</v>
      </c>
      <c r="R82" s="91"/>
    </row>
    <row r="83" spans="1:18" hidden="1" x14ac:dyDescent="0.2">
      <c r="A83" s="92">
        <v>78</v>
      </c>
      <c r="B83" s="122" t="s">
        <v>136</v>
      </c>
      <c r="C83" s="131">
        <v>41659</v>
      </c>
      <c r="D83" s="132">
        <v>42243</v>
      </c>
      <c r="E83" s="123">
        <f t="shared" si="19"/>
        <v>19.466666666666665</v>
      </c>
      <c r="F83" s="124">
        <f t="shared" si="20"/>
        <v>1.6666666666666666E-2</v>
      </c>
      <c r="G83" s="110">
        <v>230000</v>
      </c>
      <c r="H83" s="112">
        <f t="shared" si="18"/>
        <v>155377.77777777778</v>
      </c>
      <c r="I83" s="111">
        <f>+INDICES!J48/INDICES!C47</f>
        <v>1.0343806941913694</v>
      </c>
      <c r="J83" s="112">
        <f t="shared" si="21"/>
        <v>160719.7736396901</v>
      </c>
      <c r="K83" s="125">
        <v>155000</v>
      </c>
      <c r="L83" s="112">
        <f t="shared" si="22"/>
        <v>-5719.7736396901018</v>
      </c>
      <c r="M83" s="112">
        <v>69828.149999999994</v>
      </c>
      <c r="N83" s="112">
        <f t="shared" si="23"/>
        <v>-75547.923639690096</v>
      </c>
      <c r="O83" s="97">
        <f t="shared" si="24"/>
        <v>0</v>
      </c>
      <c r="P83" s="101"/>
      <c r="Q83" s="101" t="s">
        <v>213</v>
      </c>
      <c r="R83" s="91"/>
    </row>
    <row r="84" spans="1:18" ht="15" hidden="1" x14ac:dyDescent="0.25">
      <c r="A84" s="68">
        <v>79</v>
      </c>
      <c r="B84" s="102" t="s">
        <v>137</v>
      </c>
      <c r="C84" s="129"/>
      <c r="D84" s="130">
        <v>42247</v>
      </c>
      <c r="E84" s="103">
        <f t="shared" si="19"/>
        <v>1408.2333333333333</v>
      </c>
      <c r="F84" s="104">
        <f t="shared" si="20"/>
        <v>1.6666666666666666E-2</v>
      </c>
      <c r="G84" s="105"/>
      <c r="H84" s="106">
        <f t="shared" si="18"/>
        <v>0</v>
      </c>
      <c r="I84" s="107"/>
      <c r="J84" s="106">
        <f t="shared" si="21"/>
        <v>0</v>
      </c>
      <c r="K84" s="108">
        <v>137586.21</v>
      </c>
      <c r="L84" s="106">
        <f t="shared" si="22"/>
        <v>137586.21</v>
      </c>
      <c r="M84" s="106">
        <v>69828.149999999994</v>
      </c>
      <c r="N84" s="106">
        <f t="shared" si="23"/>
        <v>67758.06</v>
      </c>
      <c r="O84" s="97"/>
      <c r="P84" s="101"/>
      <c r="Q84" s="109" t="s">
        <v>212</v>
      </c>
      <c r="R84" s="91"/>
    </row>
    <row r="85" spans="1:18" hidden="1" x14ac:dyDescent="0.2">
      <c r="A85" s="2">
        <v>80</v>
      </c>
      <c r="B85" s="122" t="s">
        <v>138</v>
      </c>
      <c r="C85" s="131">
        <v>41465</v>
      </c>
      <c r="D85" s="132">
        <v>42255</v>
      </c>
      <c r="E85" s="123">
        <f t="shared" si="19"/>
        <v>26.333333333333332</v>
      </c>
      <c r="F85" s="124">
        <f t="shared" si="20"/>
        <v>1.6666666666666666E-2</v>
      </c>
      <c r="G85" s="110">
        <v>392300</v>
      </c>
      <c r="H85" s="112">
        <f t="shared" si="18"/>
        <v>220123.88888888891</v>
      </c>
      <c r="I85" s="111">
        <f>+INDICES!K48/INDICES!I46</f>
        <v>1.0755001887504718</v>
      </c>
      <c r="J85" s="112">
        <f t="shared" si="21"/>
        <v>236743.2840484879</v>
      </c>
      <c r="K85" s="125">
        <v>280000</v>
      </c>
      <c r="L85" s="112">
        <f t="shared" si="22"/>
        <v>43256.715951512102</v>
      </c>
      <c r="M85" s="112">
        <v>69828.149999999994</v>
      </c>
      <c r="N85" s="112">
        <f t="shared" si="23"/>
        <v>-26571.434048487892</v>
      </c>
      <c r="O85" s="97"/>
      <c r="P85" s="101"/>
      <c r="Q85" s="115" t="s">
        <v>214</v>
      </c>
      <c r="R85" s="91"/>
    </row>
    <row r="86" spans="1:18" hidden="1" x14ac:dyDescent="0.2">
      <c r="A86" s="92">
        <v>81</v>
      </c>
      <c r="B86" s="122" t="s">
        <v>139</v>
      </c>
      <c r="C86" s="131">
        <v>41815</v>
      </c>
      <c r="D86" s="132">
        <v>42252</v>
      </c>
      <c r="E86" s="123">
        <f t="shared" si="19"/>
        <v>14.566666666666666</v>
      </c>
      <c r="F86" s="124">
        <f t="shared" si="20"/>
        <v>1.6666666666666666E-2</v>
      </c>
      <c r="G86" s="110">
        <v>229000</v>
      </c>
      <c r="H86" s="112">
        <f t="shared" si="18"/>
        <v>173403.88888888888</v>
      </c>
      <c r="I86" s="111">
        <f>+INDICES!K48/INDICES!H47</f>
        <v>1.0362573410691791</v>
      </c>
      <c r="J86" s="112">
        <f t="shared" si="21"/>
        <v>179691.05283105536</v>
      </c>
      <c r="K86" s="125">
        <v>160000</v>
      </c>
      <c r="L86" s="112">
        <f t="shared" si="22"/>
        <v>-19691.052831055364</v>
      </c>
      <c r="M86" s="112">
        <v>69828.149999999994</v>
      </c>
      <c r="N86" s="112">
        <f t="shared" si="23"/>
        <v>-89519.202831055358</v>
      </c>
      <c r="O86" s="97">
        <f t="shared" ref="O86:O88" si="25">IF(N86&gt;1,N86*0.2,0)</f>
        <v>0</v>
      </c>
      <c r="P86" s="119"/>
      <c r="Q86" s="101" t="s">
        <v>213</v>
      </c>
      <c r="R86" s="91"/>
    </row>
    <row r="87" spans="1:18" hidden="1" x14ac:dyDescent="0.2">
      <c r="A87" s="68">
        <v>82</v>
      </c>
      <c r="B87" s="122" t="s">
        <v>140</v>
      </c>
      <c r="C87" s="131">
        <v>41973</v>
      </c>
      <c r="D87" s="132">
        <v>42272</v>
      </c>
      <c r="E87" s="123">
        <f t="shared" si="19"/>
        <v>9.9666666666666668</v>
      </c>
      <c r="F87" s="124">
        <f t="shared" si="20"/>
        <v>1.6666666666666666E-2</v>
      </c>
      <c r="G87" s="110">
        <v>177700</v>
      </c>
      <c r="H87" s="112">
        <f t="shared" si="18"/>
        <v>148182.05555555556</v>
      </c>
      <c r="I87" s="111">
        <f>+INDICES!K48/INDICES!M47</f>
        <v>1.0118677396720346</v>
      </c>
      <c r="J87" s="112">
        <f t="shared" si="21"/>
        <v>149940.64161495585</v>
      </c>
      <c r="K87" s="125">
        <v>114000</v>
      </c>
      <c r="L87" s="112">
        <f t="shared" si="22"/>
        <v>-35940.64161495585</v>
      </c>
      <c r="M87" s="112">
        <v>69828.149999999994</v>
      </c>
      <c r="N87" s="112">
        <f t="shared" si="23"/>
        <v>-105768.79161495584</v>
      </c>
      <c r="O87" s="97">
        <f t="shared" si="25"/>
        <v>0</v>
      </c>
      <c r="P87" s="101"/>
      <c r="Q87" s="101" t="s">
        <v>213</v>
      </c>
      <c r="R87" s="91"/>
    </row>
    <row r="88" spans="1:18" hidden="1" x14ac:dyDescent="0.2">
      <c r="A88" s="2">
        <v>83</v>
      </c>
      <c r="B88" s="122" t="s">
        <v>141</v>
      </c>
      <c r="C88" s="131">
        <v>41151</v>
      </c>
      <c r="D88" s="132">
        <v>42255</v>
      </c>
      <c r="E88" s="123">
        <f t="shared" si="19"/>
        <v>36.799999999999997</v>
      </c>
      <c r="F88" s="124">
        <f t="shared" si="20"/>
        <v>1.6666666666666666E-2</v>
      </c>
      <c r="G88" s="110">
        <v>143000</v>
      </c>
      <c r="H88" s="112">
        <f t="shared" si="18"/>
        <v>55293.333333333328</v>
      </c>
      <c r="I88" s="111">
        <f>+INDICES!K48/INDICES!J45</f>
        <v>1.1095185174631219</v>
      </c>
      <c r="J88" s="112">
        <f t="shared" si="21"/>
        <v>61348.977225594215</v>
      </c>
      <c r="K88" s="125">
        <v>90000</v>
      </c>
      <c r="L88" s="112">
        <f t="shared" si="22"/>
        <v>28651.022774405785</v>
      </c>
      <c r="M88" s="112">
        <v>69828.149999999994</v>
      </c>
      <c r="N88" s="112">
        <f t="shared" si="23"/>
        <v>-41177.127225594209</v>
      </c>
      <c r="O88" s="97">
        <f t="shared" si="25"/>
        <v>0</v>
      </c>
      <c r="P88" s="101"/>
      <c r="Q88" s="101" t="s">
        <v>213</v>
      </c>
      <c r="R88" s="91"/>
    </row>
    <row r="89" spans="1:18" hidden="1" x14ac:dyDescent="0.2">
      <c r="A89" s="92">
        <v>84</v>
      </c>
      <c r="B89" s="122" t="s">
        <v>142</v>
      </c>
      <c r="C89" s="131">
        <v>41537</v>
      </c>
      <c r="D89" s="132">
        <v>42255</v>
      </c>
      <c r="E89" s="123">
        <f t="shared" si="19"/>
        <v>23.933333333333334</v>
      </c>
      <c r="F89" s="124">
        <f t="shared" si="20"/>
        <v>1.6666666666666666E-2</v>
      </c>
      <c r="G89" s="110">
        <v>315890</v>
      </c>
      <c r="H89" s="112">
        <f t="shared" si="18"/>
        <v>189884.98888888891</v>
      </c>
      <c r="I89" s="111">
        <f>+INDICES!K48/INDICES!K46</f>
        <v>1.0684271183960192</v>
      </c>
      <c r="J89" s="112">
        <f t="shared" si="21"/>
        <v>202878.2715052157</v>
      </c>
      <c r="K89" s="125">
        <v>225000</v>
      </c>
      <c r="L89" s="112">
        <f t="shared" si="22"/>
        <v>22121.7284947843</v>
      </c>
      <c r="M89" s="112">
        <v>69828.149999999994</v>
      </c>
      <c r="N89" s="112">
        <f t="shared" si="23"/>
        <v>-47706.421505215694</v>
      </c>
      <c r="O89" s="97"/>
      <c r="P89" s="101"/>
      <c r="Q89" s="115" t="s">
        <v>214</v>
      </c>
      <c r="R89" s="91"/>
    </row>
    <row r="90" spans="1:18" hidden="1" x14ac:dyDescent="0.2">
      <c r="A90" s="68">
        <v>85</v>
      </c>
      <c r="B90" s="122" t="s">
        <v>143</v>
      </c>
      <c r="C90" s="131">
        <v>41233</v>
      </c>
      <c r="D90" s="132">
        <v>42255</v>
      </c>
      <c r="E90" s="123">
        <f t="shared" si="19"/>
        <v>34.06666666666667</v>
      </c>
      <c r="F90" s="124">
        <f t="shared" si="20"/>
        <v>1.6666666666666666E-2</v>
      </c>
      <c r="G90" s="110">
        <v>236900</v>
      </c>
      <c r="H90" s="112">
        <f t="shared" si="18"/>
        <v>102393.44444444444</v>
      </c>
      <c r="I90" s="111">
        <f>+INDICES!K48/INDICES!M45</f>
        <v>1.0916728971962617</v>
      </c>
      <c r="J90" s="112">
        <f t="shared" si="21"/>
        <v>111780.14815057113</v>
      </c>
      <c r="K90" s="125">
        <v>158000</v>
      </c>
      <c r="L90" s="112">
        <f t="shared" si="22"/>
        <v>46219.851849428873</v>
      </c>
      <c r="M90" s="112">
        <v>69828.149999999994</v>
      </c>
      <c r="N90" s="112">
        <f t="shared" si="23"/>
        <v>-23608.298150571121</v>
      </c>
      <c r="O90" s="97">
        <f t="shared" ref="O90:O92" si="26">IF(N90&gt;1,N90*0.2,0)</f>
        <v>0</v>
      </c>
      <c r="P90" s="101"/>
      <c r="Q90" s="101" t="s">
        <v>213</v>
      </c>
      <c r="R90" s="91"/>
    </row>
    <row r="91" spans="1:18" hidden="1" x14ac:dyDescent="0.2">
      <c r="A91" s="2">
        <v>86</v>
      </c>
      <c r="B91" s="122" t="s">
        <v>144</v>
      </c>
      <c r="C91" s="131">
        <v>40510</v>
      </c>
      <c r="D91" s="132">
        <v>42255</v>
      </c>
      <c r="E91" s="123">
        <f t="shared" si="19"/>
        <v>58.166666666666664</v>
      </c>
      <c r="F91" s="124">
        <f t="shared" si="20"/>
        <v>1.6666666666666666E-2</v>
      </c>
      <c r="G91" s="110">
        <v>363300</v>
      </c>
      <c r="H91" s="112">
        <f t="shared" si="18"/>
        <v>11100.833333333372</v>
      </c>
      <c r="I91" s="111">
        <f>+INDICES!K48/INDICES!L43</f>
        <v>1.1863416619041571</v>
      </c>
      <c r="J91" s="112">
        <f t="shared" si="21"/>
        <v>13169.381065187777</v>
      </c>
      <c r="K91" s="125">
        <v>200000</v>
      </c>
      <c r="L91" s="112">
        <f t="shared" si="22"/>
        <v>186830.61893481223</v>
      </c>
      <c r="M91" s="112">
        <v>69828.149999999994</v>
      </c>
      <c r="N91" s="112">
        <f t="shared" si="23"/>
        <v>117002.46893481223</v>
      </c>
      <c r="O91" s="97">
        <f t="shared" si="26"/>
        <v>23400.493786962448</v>
      </c>
      <c r="P91" s="101"/>
      <c r="Q91" s="101" t="s">
        <v>213</v>
      </c>
      <c r="R91" s="91"/>
    </row>
    <row r="92" spans="1:18" hidden="1" x14ac:dyDescent="0.2">
      <c r="A92" s="92">
        <v>87</v>
      </c>
      <c r="B92" s="122" t="s">
        <v>145</v>
      </c>
      <c r="C92" s="131">
        <v>40543</v>
      </c>
      <c r="D92" s="132">
        <v>42259</v>
      </c>
      <c r="E92" s="123">
        <f t="shared" si="19"/>
        <v>57.2</v>
      </c>
      <c r="F92" s="124">
        <f t="shared" si="20"/>
        <v>1.6666666666666666E-2</v>
      </c>
      <c r="G92" s="110">
        <v>162300</v>
      </c>
      <c r="H92" s="112">
        <f t="shared" si="18"/>
        <v>7574</v>
      </c>
      <c r="I92" s="111">
        <f>+INDICES!K48/INDICES!N43</f>
        <v>1.1711103863411612</v>
      </c>
      <c r="J92" s="112">
        <f t="shared" si="21"/>
        <v>8869.9900661479551</v>
      </c>
      <c r="K92" s="125">
        <v>79950</v>
      </c>
      <c r="L92" s="112">
        <f t="shared" si="22"/>
        <v>71080.009933852038</v>
      </c>
      <c r="M92" s="112">
        <v>69828.149999999994</v>
      </c>
      <c r="N92" s="112">
        <f t="shared" si="23"/>
        <v>1251.8599338520435</v>
      </c>
      <c r="O92" s="97">
        <f t="shared" si="26"/>
        <v>250.37198677040871</v>
      </c>
      <c r="P92" s="101"/>
      <c r="Q92" s="101" t="s">
        <v>213</v>
      </c>
      <c r="R92" s="91"/>
    </row>
    <row r="93" spans="1:18" ht="15" hidden="1" x14ac:dyDescent="0.25">
      <c r="A93" s="68">
        <v>88</v>
      </c>
      <c r="B93" s="102" t="s">
        <v>146</v>
      </c>
      <c r="C93" s="129"/>
      <c r="D93" s="130">
        <v>42265</v>
      </c>
      <c r="E93" s="103">
        <f t="shared" si="19"/>
        <v>1408.8333333333333</v>
      </c>
      <c r="F93" s="104">
        <f t="shared" si="20"/>
        <v>1.6666666666666666E-2</v>
      </c>
      <c r="G93" s="105"/>
      <c r="H93" s="106">
        <f t="shared" si="18"/>
        <v>0</v>
      </c>
      <c r="I93" s="107"/>
      <c r="J93" s="106">
        <f t="shared" si="21"/>
        <v>0</v>
      </c>
      <c r="K93" s="108">
        <v>168103.45</v>
      </c>
      <c r="L93" s="106">
        <f t="shared" si="22"/>
        <v>168103.45</v>
      </c>
      <c r="M93" s="106">
        <v>69828.149999999994</v>
      </c>
      <c r="N93" s="106">
        <f t="shared" si="23"/>
        <v>98275.300000000017</v>
      </c>
      <c r="O93" s="97"/>
      <c r="P93" s="101"/>
      <c r="Q93" s="109" t="s">
        <v>212</v>
      </c>
      <c r="R93" s="91"/>
    </row>
    <row r="94" spans="1:18" hidden="1" x14ac:dyDescent="0.2">
      <c r="A94" s="2">
        <v>89</v>
      </c>
      <c r="B94" s="122" t="s">
        <v>147</v>
      </c>
      <c r="C94" s="131">
        <v>40053</v>
      </c>
      <c r="D94" s="132">
        <v>42265</v>
      </c>
      <c r="E94" s="123">
        <f t="shared" si="19"/>
        <v>73.733333333333334</v>
      </c>
      <c r="F94" s="124">
        <f t="shared" si="20"/>
        <v>1.6666666666666666E-2</v>
      </c>
      <c r="G94" s="110">
        <v>215400</v>
      </c>
      <c r="H94" s="112">
        <f t="shared" si="18"/>
        <v>-49302.666666666686</v>
      </c>
      <c r="I94" s="111">
        <f>+INDICES!K48/INDICES!J42</f>
        <v>1.2440290183679665</v>
      </c>
      <c r="J94" s="112">
        <f t="shared" si="21"/>
        <v>-61333.948016256421</v>
      </c>
      <c r="K94" s="125">
        <v>60000</v>
      </c>
      <c r="L94" s="112">
        <f t="shared" si="22"/>
        <v>121333.94801625641</v>
      </c>
      <c r="M94" s="112">
        <v>69828.149999999994</v>
      </c>
      <c r="N94" s="112">
        <f t="shared" si="23"/>
        <v>51505.79801625642</v>
      </c>
      <c r="O94" s="97">
        <f t="shared" ref="O94:O95" si="27">IF(N94&gt;1,N94*0.2,0)</f>
        <v>10301.159603251284</v>
      </c>
      <c r="P94" s="101"/>
      <c r="Q94" s="101" t="s">
        <v>213</v>
      </c>
      <c r="R94" s="91"/>
    </row>
    <row r="95" spans="1:18" hidden="1" x14ac:dyDescent="0.2">
      <c r="A95" s="92">
        <v>90</v>
      </c>
      <c r="B95" s="122" t="s">
        <v>148</v>
      </c>
      <c r="C95" s="131">
        <v>40732</v>
      </c>
      <c r="D95" s="132">
        <v>42268</v>
      </c>
      <c r="E95" s="123">
        <f t="shared" si="19"/>
        <v>51.2</v>
      </c>
      <c r="F95" s="124">
        <f t="shared" si="20"/>
        <v>1.6666666666666666E-2</v>
      </c>
      <c r="G95" s="110">
        <v>195600</v>
      </c>
      <c r="H95" s="112">
        <f t="shared" si="18"/>
        <v>28688</v>
      </c>
      <c r="I95" s="111">
        <f>+INDICES!K48/INDICES!I44</f>
        <v>1.1620357935157828</v>
      </c>
      <c r="J95" s="112">
        <f t="shared" si="21"/>
        <v>33336.482844380778</v>
      </c>
      <c r="K95" s="125">
        <v>100000</v>
      </c>
      <c r="L95" s="112">
        <f t="shared" si="22"/>
        <v>66663.517155619222</v>
      </c>
      <c r="M95" s="112">
        <v>69828.149999999994</v>
      </c>
      <c r="N95" s="112">
        <f t="shared" si="23"/>
        <v>-3164.6328443807724</v>
      </c>
      <c r="O95" s="97">
        <f t="shared" si="27"/>
        <v>0</v>
      </c>
      <c r="P95" s="101"/>
      <c r="Q95" s="101" t="s">
        <v>213</v>
      </c>
      <c r="R95" s="91"/>
    </row>
    <row r="96" spans="1:18" hidden="1" x14ac:dyDescent="0.2">
      <c r="A96" s="68">
        <v>91</v>
      </c>
      <c r="B96" s="122" t="s">
        <v>149</v>
      </c>
      <c r="C96" s="131">
        <v>42034</v>
      </c>
      <c r="D96" s="132">
        <v>42268</v>
      </c>
      <c r="E96" s="123">
        <f t="shared" si="19"/>
        <v>7.8</v>
      </c>
      <c r="F96" s="124">
        <f t="shared" si="20"/>
        <v>1.6666666666666666E-2</v>
      </c>
      <c r="G96" s="110">
        <v>399000</v>
      </c>
      <c r="H96" s="112">
        <f t="shared" si="18"/>
        <v>347130</v>
      </c>
      <c r="I96" s="111">
        <f>+INDICES!K48/INDICES!C48</f>
        <v>1.0064622304172877</v>
      </c>
      <c r="J96" s="112">
        <f t="shared" si="21"/>
        <v>349373.23404475307</v>
      </c>
      <c r="K96" s="125">
        <v>300000</v>
      </c>
      <c r="L96" s="112">
        <f t="shared" si="22"/>
        <v>-49373.234044753073</v>
      </c>
      <c r="M96" s="112">
        <v>69828.149999999994</v>
      </c>
      <c r="N96" s="112">
        <f t="shared" si="23"/>
        <v>-119201.38404475307</v>
      </c>
      <c r="O96" s="97"/>
      <c r="P96" s="101"/>
      <c r="Q96" s="115" t="s">
        <v>214</v>
      </c>
      <c r="R96" s="91"/>
    </row>
    <row r="97" spans="1:18" hidden="1" x14ac:dyDescent="0.2">
      <c r="A97" s="2">
        <v>92</v>
      </c>
      <c r="B97" s="122" t="s">
        <v>150</v>
      </c>
      <c r="C97" s="131">
        <v>41549</v>
      </c>
      <c r="D97" s="132">
        <v>42270</v>
      </c>
      <c r="E97" s="123">
        <f t="shared" si="19"/>
        <v>24.033333333333335</v>
      </c>
      <c r="F97" s="124">
        <f t="shared" si="20"/>
        <v>1.6666666666666666E-2</v>
      </c>
      <c r="G97" s="110">
        <v>254000</v>
      </c>
      <c r="H97" s="112">
        <f t="shared" si="18"/>
        <v>152258.88888888888</v>
      </c>
      <c r="I97" s="111">
        <f>+INDICES!K48/INDICES!L43</f>
        <v>1.1863416619041571</v>
      </c>
      <c r="J97" s="112">
        <f t="shared" si="21"/>
        <v>180631.06328412483</v>
      </c>
      <c r="K97" s="125">
        <v>160000</v>
      </c>
      <c r="L97" s="112">
        <f t="shared" si="22"/>
        <v>-20631.06328412483</v>
      </c>
      <c r="M97" s="112">
        <v>69828.149999999994</v>
      </c>
      <c r="N97" s="112">
        <f t="shared" si="23"/>
        <v>-90459.213284124824</v>
      </c>
      <c r="O97" s="97">
        <f t="shared" ref="O97:O99" si="28">IF(N97&gt;1,N97*0.2,0)</f>
        <v>0</v>
      </c>
      <c r="P97" s="101"/>
      <c r="Q97" s="101" t="s">
        <v>213</v>
      </c>
      <c r="R97" s="91"/>
    </row>
    <row r="98" spans="1:18" hidden="1" x14ac:dyDescent="0.2">
      <c r="A98" s="92">
        <v>93</v>
      </c>
      <c r="B98" s="122" t="s">
        <v>151</v>
      </c>
      <c r="C98" s="131">
        <v>41782</v>
      </c>
      <c r="D98" s="132">
        <v>42270</v>
      </c>
      <c r="E98" s="123">
        <f t="shared" si="19"/>
        <v>16.266666666666666</v>
      </c>
      <c r="F98" s="124">
        <f t="shared" si="20"/>
        <v>1.6666666666666666E-2</v>
      </c>
      <c r="G98" s="110">
        <v>202800</v>
      </c>
      <c r="H98" s="112">
        <f t="shared" si="18"/>
        <v>147818.66666666669</v>
      </c>
      <c r="I98" s="111">
        <f>+INDICES!K48/INDICES!G47</f>
        <v>1.0380530894807467</v>
      </c>
      <c r="J98" s="112">
        <f t="shared" si="21"/>
        <v>153443.62361625803</v>
      </c>
      <c r="K98" s="125">
        <v>149000</v>
      </c>
      <c r="L98" s="112">
        <f t="shared" si="22"/>
        <v>-4443.6236162580317</v>
      </c>
      <c r="M98" s="112">
        <v>69828.149999999994</v>
      </c>
      <c r="N98" s="112">
        <f t="shared" si="23"/>
        <v>-74271.773616258026</v>
      </c>
      <c r="O98" s="97">
        <f t="shared" si="28"/>
        <v>0</v>
      </c>
      <c r="P98" s="101"/>
      <c r="Q98" s="101" t="s">
        <v>213</v>
      </c>
      <c r="R98" s="91"/>
    </row>
    <row r="99" spans="1:18" hidden="1" x14ac:dyDescent="0.2">
      <c r="A99" s="68">
        <v>94</v>
      </c>
      <c r="B99" s="122" t="s">
        <v>152</v>
      </c>
      <c r="C99" s="131">
        <v>40963</v>
      </c>
      <c r="D99" s="132">
        <v>42271</v>
      </c>
      <c r="E99" s="123">
        <f t="shared" si="19"/>
        <v>43.6</v>
      </c>
      <c r="F99" s="124">
        <f t="shared" si="20"/>
        <v>1.6666666666666666E-2</v>
      </c>
      <c r="G99" s="110">
        <v>220800</v>
      </c>
      <c r="H99" s="112">
        <f t="shared" si="18"/>
        <v>60352</v>
      </c>
      <c r="I99" s="111">
        <f>+INDICES!K48/INDICES!D45</f>
        <v>1.1178322615219722</v>
      </c>
      <c r="J99" s="112">
        <f t="shared" si="21"/>
        <v>67463.412647374062</v>
      </c>
      <c r="K99" s="125">
        <v>120000</v>
      </c>
      <c r="L99" s="112">
        <f t="shared" si="22"/>
        <v>52536.587352625938</v>
      </c>
      <c r="M99" s="112">
        <v>69828.149999999994</v>
      </c>
      <c r="N99" s="112">
        <f t="shared" si="23"/>
        <v>-17291.562647374056</v>
      </c>
      <c r="O99" s="97">
        <f t="shared" si="28"/>
        <v>0</v>
      </c>
      <c r="P99" s="101"/>
      <c r="Q99" s="101" t="s">
        <v>213</v>
      </c>
      <c r="R99" s="91"/>
    </row>
    <row r="100" spans="1:18" ht="15" hidden="1" x14ac:dyDescent="0.25">
      <c r="A100" s="2">
        <v>95</v>
      </c>
      <c r="B100" s="102" t="s">
        <v>153</v>
      </c>
      <c r="C100" s="129"/>
      <c r="D100" s="130">
        <v>42271</v>
      </c>
      <c r="E100" s="103">
        <f t="shared" si="19"/>
        <v>1409.0333333333333</v>
      </c>
      <c r="F100" s="104">
        <f t="shared" si="20"/>
        <v>1.6666666666666666E-2</v>
      </c>
      <c r="G100" s="105"/>
      <c r="H100" s="106">
        <f t="shared" si="18"/>
        <v>0</v>
      </c>
      <c r="I100" s="107"/>
      <c r="J100" s="106">
        <f t="shared" si="21"/>
        <v>0</v>
      </c>
      <c r="K100" s="108">
        <v>169827.59</v>
      </c>
      <c r="L100" s="106">
        <f t="shared" si="22"/>
        <v>169827.59</v>
      </c>
      <c r="M100" s="106">
        <v>69828.149999999994</v>
      </c>
      <c r="N100" s="106">
        <f t="shared" si="23"/>
        <v>99999.44</v>
      </c>
      <c r="O100" s="97"/>
      <c r="P100" s="101"/>
      <c r="Q100" s="109" t="s">
        <v>212</v>
      </c>
      <c r="R100" s="91"/>
    </row>
    <row r="101" spans="1:18" ht="15" hidden="1" x14ac:dyDescent="0.25">
      <c r="A101" s="92">
        <v>96</v>
      </c>
      <c r="B101" s="102" t="s">
        <v>154</v>
      </c>
      <c r="C101" s="129">
        <v>40807</v>
      </c>
      <c r="D101" s="130">
        <v>42272</v>
      </c>
      <c r="E101" s="103">
        <f t="shared" si="19"/>
        <v>48.833333333333336</v>
      </c>
      <c r="F101" s="104">
        <f t="shared" si="20"/>
        <v>1.6666666666666666E-2</v>
      </c>
      <c r="G101" s="105">
        <v>508500</v>
      </c>
      <c r="H101" s="106">
        <f t="shared" si="18"/>
        <v>94637.5</v>
      </c>
      <c r="I101" s="107">
        <f>+INDICES!K48/INDICES!K44</f>
        <v>1.1573612611095148</v>
      </c>
      <c r="J101" s="106">
        <f t="shared" si="21"/>
        <v>109529.7763482517</v>
      </c>
      <c r="K101" s="108">
        <v>228448.28</v>
      </c>
      <c r="L101" s="106">
        <f t="shared" si="22"/>
        <v>118918.50365174829</v>
      </c>
      <c r="M101" s="106">
        <v>69828.149999999994</v>
      </c>
      <c r="N101" s="106">
        <f t="shared" si="23"/>
        <v>49090.353651748301</v>
      </c>
      <c r="O101" s="97"/>
      <c r="P101" s="101"/>
      <c r="Q101" s="109" t="s">
        <v>212</v>
      </c>
      <c r="R101" s="91"/>
    </row>
    <row r="102" spans="1:18" hidden="1" x14ac:dyDescent="0.2">
      <c r="A102" s="68">
        <v>97</v>
      </c>
      <c r="B102" s="122" t="s">
        <v>155</v>
      </c>
      <c r="C102" s="131">
        <v>41704</v>
      </c>
      <c r="D102" s="132">
        <v>42272</v>
      </c>
      <c r="E102" s="123">
        <f t="shared" si="19"/>
        <v>18.933333333333334</v>
      </c>
      <c r="F102" s="124">
        <f t="shared" si="20"/>
        <v>1.6666666666666666E-2</v>
      </c>
      <c r="G102" s="110">
        <v>195000</v>
      </c>
      <c r="H102" s="112">
        <f t="shared" si="18"/>
        <v>133466.66666666666</v>
      </c>
      <c r="I102" s="111">
        <f>+INDICES!K48/INDICES!E47</f>
        <v>1.0328031193909759</v>
      </c>
      <c r="J102" s="112">
        <f t="shared" si="21"/>
        <v>137844.78966804891</v>
      </c>
      <c r="K102" s="125">
        <v>132000</v>
      </c>
      <c r="L102" s="112">
        <f t="shared" si="22"/>
        <v>-5844.7896680489066</v>
      </c>
      <c r="M102" s="112">
        <v>69828.149999999994</v>
      </c>
      <c r="N102" s="112">
        <f t="shared" si="23"/>
        <v>-75672.939668048901</v>
      </c>
      <c r="O102" s="97">
        <f t="shared" ref="O102:O110" si="29">IF(N102&gt;1,N102*0.2,0)</f>
        <v>0</v>
      </c>
      <c r="P102" s="101"/>
      <c r="Q102" s="101" t="s">
        <v>213</v>
      </c>
      <c r="R102" s="91"/>
    </row>
    <row r="103" spans="1:18" hidden="1" x14ac:dyDescent="0.2">
      <c r="A103" s="2">
        <v>98</v>
      </c>
      <c r="B103" s="122" t="s">
        <v>156</v>
      </c>
      <c r="C103" s="131">
        <v>40821</v>
      </c>
      <c r="D103" s="132">
        <v>42272</v>
      </c>
      <c r="E103" s="123">
        <f t="shared" si="19"/>
        <v>48.366666666666667</v>
      </c>
      <c r="F103" s="124">
        <f t="shared" si="20"/>
        <v>1.6666666666666666E-2</v>
      </c>
      <c r="G103" s="110">
        <v>383800</v>
      </c>
      <c r="H103" s="112">
        <f t="shared" si="18"/>
        <v>74414.555555555562</v>
      </c>
      <c r="I103" s="111">
        <f>+INDICES!K48/INDICES!L44</f>
        <v>1.1496043618612708</v>
      </c>
      <c r="J103" s="112">
        <f t="shared" si="21"/>
        <v>85547.29765263453</v>
      </c>
      <c r="K103" s="125">
        <v>210000</v>
      </c>
      <c r="L103" s="112">
        <f t="shared" si="22"/>
        <v>124452.70234736547</v>
      </c>
      <c r="M103" s="112">
        <v>69828.149999999994</v>
      </c>
      <c r="N103" s="112">
        <f t="shared" si="23"/>
        <v>54624.552347365476</v>
      </c>
      <c r="O103" s="97">
        <f t="shared" si="29"/>
        <v>10924.910469473096</v>
      </c>
      <c r="P103" s="101"/>
      <c r="Q103" s="101" t="s">
        <v>213</v>
      </c>
      <c r="R103" s="91"/>
    </row>
    <row r="104" spans="1:18" hidden="1" x14ac:dyDescent="0.2">
      <c r="A104" s="92">
        <v>99</v>
      </c>
      <c r="B104" s="122" t="s">
        <v>157</v>
      </c>
      <c r="C104" s="131">
        <v>40039</v>
      </c>
      <c r="D104" s="132">
        <v>42272</v>
      </c>
      <c r="E104" s="123">
        <f t="shared" si="19"/>
        <v>74.433333333333337</v>
      </c>
      <c r="F104" s="124">
        <f t="shared" si="20"/>
        <v>1.6666666666666666E-2</v>
      </c>
      <c r="G104" s="110">
        <v>213400</v>
      </c>
      <c r="H104" s="112">
        <f t="shared" si="18"/>
        <v>-51334.555555555562</v>
      </c>
      <c r="I104" s="111">
        <f>+INDICES!K48/INDICES!J42</f>
        <v>1.2440290183679665</v>
      </c>
      <c r="J104" s="112">
        <f t="shared" si="21"/>
        <v>-63861.676756133631</v>
      </c>
      <c r="K104" s="125">
        <v>110000</v>
      </c>
      <c r="L104" s="112">
        <f t="shared" si="22"/>
        <v>173861.67675613362</v>
      </c>
      <c r="M104" s="112">
        <v>69828.149999999994</v>
      </c>
      <c r="N104" s="112">
        <f t="shared" si="23"/>
        <v>104033.52675613362</v>
      </c>
      <c r="O104" s="97">
        <f t="shared" si="29"/>
        <v>20806.705351226727</v>
      </c>
      <c r="P104" s="101"/>
      <c r="Q104" s="101" t="s">
        <v>213</v>
      </c>
      <c r="R104" s="91"/>
    </row>
    <row r="105" spans="1:18" hidden="1" x14ac:dyDescent="0.2">
      <c r="A105" s="68">
        <v>100</v>
      </c>
      <c r="B105" s="122" t="s">
        <v>158</v>
      </c>
      <c r="C105" s="131">
        <v>40390</v>
      </c>
      <c r="D105" s="132">
        <v>42276</v>
      </c>
      <c r="E105" s="123">
        <f t="shared" si="19"/>
        <v>62.866666666666667</v>
      </c>
      <c r="F105" s="124">
        <f t="shared" si="20"/>
        <v>1.6666666666666666E-2</v>
      </c>
      <c r="G105" s="110">
        <v>199500</v>
      </c>
      <c r="H105" s="112">
        <f t="shared" si="18"/>
        <v>-9531.666666666657</v>
      </c>
      <c r="I105" s="111">
        <f>+INDICES!K48/INDICES!I43</f>
        <v>1.2032550891138369</v>
      </c>
      <c r="J105" s="112">
        <f t="shared" si="21"/>
        <v>-11469.026424403377</v>
      </c>
      <c r="K105" s="125">
        <v>100000</v>
      </c>
      <c r="L105" s="112">
        <f t="shared" si="22"/>
        <v>111469.02642440338</v>
      </c>
      <c r="M105" s="112">
        <v>69828.149999999994</v>
      </c>
      <c r="N105" s="112">
        <f t="shared" si="23"/>
        <v>41640.876424403381</v>
      </c>
      <c r="O105" s="97">
        <f t="shared" si="29"/>
        <v>8328.1752848806773</v>
      </c>
      <c r="P105" s="101"/>
      <c r="Q105" s="101" t="s">
        <v>213</v>
      </c>
      <c r="R105" s="91"/>
    </row>
    <row r="106" spans="1:18" hidden="1" x14ac:dyDescent="0.2">
      <c r="A106" s="2">
        <v>101</v>
      </c>
      <c r="B106" s="122" t="s">
        <v>159</v>
      </c>
      <c r="C106" s="131">
        <v>38827</v>
      </c>
      <c r="D106" s="132">
        <v>42276</v>
      </c>
      <c r="E106" s="123">
        <f t="shared" si="19"/>
        <v>114.96666666666667</v>
      </c>
      <c r="F106" s="124">
        <f t="shared" si="20"/>
        <v>1.6666666666666666E-2</v>
      </c>
      <c r="G106" s="110">
        <v>260800</v>
      </c>
      <c r="H106" s="112">
        <f t="shared" si="18"/>
        <v>-238921.77777777781</v>
      </c>
      <c r="I106" s="111">
        <f>+INDICES!K48/INDICES!F39</f>
        <v>1.4418351492581789</v>
      </c>
      <c r="J106" s="112">
        <f t="shared" si="21"/>
        <v>-344485.81712325173</v>
      </c>
      <c r="K106" s="125">
        <v>70000</v>
      </c>
      <c r="L106" s="112">
        <f t="shared" si="22"/>
        <v>414485.81712325173</v>
      </c>
      <c r="M106" s="112">
        <v>69828.149999999994</v>
      </c>
      <c r="N106" s="112">
        <f t="shared" si="23"/>
        <v>344657.66712325171</v>
      </c>
      <c r="O106" s="97">
        <f t="shared" si="29"/>
        <v>68931.533424650348</v>
      </c>
      <c r="P106" s="101"/>
      <c r="Q106" s="101" t="s">
        <v>213</v>
      </c>
      <c r="R106" s="91"/>
    </row>
    <row r="107" spans="1:18" hidden="1" x14ac:dyDescent="0.2">
      <c r="A107" s="92">
        <v>102</v>
      </c>
      <c r="B107" s="122" t="s">
        <v>160</v>
      </c>
      <c r="C107" s="131">
        <v>39031</v>
      </c>
      <c r="D107" s="132">
        <v>42277</v>
      </c>
      <c r="E107" s="123">
        <f t="shared" si="19"/>
        <v>108.2</v>
      </c>
      <c r="F107" s="124">
        <f t="shared" si="20"/>
        <v>1.6666666666666666E-2</v>
      </c>
      <c r="G107" s="110">
        <v>135900</v>
      </c>
      <c r="H107" s="112">
        <f t="shared" si="18"/>
        <v>-109173</v>
      </c>
      <c r="I107" s="111">
        <f>+INDICES!K48/INDICES!L39</f>
        <v>1.4152127993750498</v>
      </c>
      <c r="J107" s="112">
        <f t="shared" si="21"/>
        <v>-154503.02694617232</v>
      </c>
      <c r="K107" s="125">
        <v>57500</v>
      </c>
      <c r="L107" s="112">
        <f t="shared" si="22"/>
        <v>212003.02694617232</v>
      </c>
      <c r="M107" s="112">
        <v>69828.149999999994</v>
      </c>
      <c r="N107" s="112">
        <f t="shared" si="23"/>
        <v>142174.87694617233</v>
      </c>
      <c r="O107" s="97">
        <f t="shared" si="29"/>
        <v>28434.975389234467</v>
      </c>
      <c r="P107" s="101"/>
      <c r="Q107" s="101" t="s">
        <v>213</v>
      </c>
      <c r="R107" s="91"/>
    </row>
    <row r="108" spans="1:18" hidden="1" x14ac:dyDescent="0.2">
      <c r="A108" s="68">
        <v>103</v>
      </c>
      <c r="B108" s="122" t="s">
        <v>161</v>
      </c>
      <c r="C108" s="131">
        <v>39420</v>
      </c>
      <c r="D108" s="132">
        <v>42283</v>
      </c>
      <c r="E108" s="123">
        <f t="shared" si="19"/>
        <v>95.433333333333337</v>
      </c>
      <c r="F108" s="124">
        <f t="shared" si="20"/>
        <v>1.6666666666666666E-2</v>
      </c>
      <c r="G108" s="110">
        <v>149000</v>
      </c>
      <c r="H108" s="112">
        <f t="shared" si="18"/>
        <v>-87992.77777777781</v>
      </c>
      <c r="I108" s="111">
        <f>+INDICES!L48/INDICES!N40</f>
        <v>1.355960014813161</v>
      </c>
      <c r="J108" s="112">
        <f t="shared" si="21"/>
        <v>-119314.68825900678</v>
      </c>
      <c r="K108" s="125">
        <v>67000</v>
      </c>
      <c r="L108" s="112">
        <f t="shared" si="22"/>
        <v>186314.68825900677</v>
      </c>
      <c r="M108" s="112">
        <v>69828.149999999994</v>
      </c>
      <c r="N108" s="112">
        <f t="shared" si="23"/>
        <v>116486.53825900677</v>
      </c>
      <c r="O108" s="97">
        <f t="shared" si="29"/>
        <v>23297.307651801355</v>
      </c>
      <c r="P108" s="101"/>
      <c r="Q108" s="101" t="s">
        <v>213</v>
      </c>
      <c r="R108" s="91"/>
    </row>
    <row r="109" spans="1:18" hidden="1" x14ac:dyDescent="0.2">
      <c r="A109" s="2">
        <v>104</v>
      </c>
      <c r="B109" s="122" t="s">
        <v>162</v>
      </c>
      <c r="C109" s="131">
        <v>41628</v>
      </c>
      <c r="D109" s="132">
        <v>42283</v>
      </c>
      <c r="E109" s="123">
        <f t="shared" si="19"/>
        <v>21.833333333333332</v>
      </c>
      <c r="F109" s="124">
        <f t="shared" si="20"/>
        <v>1.6666666666666666E-2</v>
      </c>
      <c r="G109" s="110">
        <v>300500</v>
      </c>
      <c r="H109" s="112">
        <f t="shared" si="18"/>
        <v>191151.38888888891</v>
      </c>
      <c r="I109" s="111">
        <f>+INDICES!L48/INDICES!N46</f>
        <v>1.0529289378340567</v>
      </c>
      <c r="J109" s="112">
        <f t="shared" si="21"/>
        <v>201268.82886828249</v>
      </c>
      <c r="K109" s="125">
        <v>216000</v>
      </c>
      <c r="L109" s="112">
        <f t="shared" si="22"/>
        <v>14731.171131717507</v>
      </c>
      <c r="M109" s="112">
        <v>69828.149999999994</v>
      </c>
      <c r="N109" s="112">
        <f t="shared" si="23"/>
        <v>-55096.978868282487</v>
      </c>
      <c r="O109" s="97">
        <f t="shared" si="29"/>
        <v>0</v>
      </c>
      <c r="P109" s="101"/>
      <c r="Q109" s="101" t="s">
        <v>213</v>
      </c>
      <c r="R109" s="91"/>
    </row>
    <row r="110" spans="1:18" hidden="1" x14ac:dyDescent="0.2">
      <c r="A110" s="92">
        <v>105</v>
      </c>
      <c r="B110" s="122" t="s">
        <v>163</v>
      </c>
      <c r="C110" s="131">
        <v>41250</v>
      </c>
      <c r="D110" s="132">
        <v>42283</v>
      </c>
      <c r="E110" s="123">
        <f t="shared" si="19"/>
        <v>34.43333333333333</v>
      </c>
      <c r="F110" s="124">
        <f t="shared" si="20"/>
        <v>1.6666666666666666E-2</v>
      </c>
      <c r="G110" s="110">
        <v>314300</v>
      </c>
      <c r="H110" s="112">
        <f t="shared" si="18"/>
        <v>133926.72222222225</v>
      </c>
      <c r="I110" s="111">
        <f>+INDICES!L48/INDICES!N45</f>
        <v>1.0947727654178245</v>
      </c>
      <c r="J110" s="112">
        <f t="shared" si="21"/>
        <v>146619.32805056707</v>
      </c>
      <c r="K110" s="125">
        <v>180000</v>
      </c>
      <c r="L110" s="112">
        <f t="shared" si="22"/>
        <v>33380.67194943293</v>
      </c>
      <c r="M110" s="112">
        <v>69828.149999999994</v>
      </c>
      <c r="N110" s="112">
        <f t="shared" si="23"/>
        <v>-36447.478050567064</v>
      </c>
      <c r="O110" s="97">
        <f t="shared" si="29"/>
        <v>0</v>
      </c>
      <c r="P110" s="101"/>
      <c r="Q110" s="101" t="s">
        <v>213</v>
      </c>
      <c r="R110" s="91"/>
    </row>
    <row r="111" spans="1:18" ht="15" hidden="1" x14ac:dyDescent="0.25">
      <c r="A111" s="68">
        <v>106</v>
      </c>
      <c r="B111" s="102" t="s">
        <v>164</v>
      </c>
      <c r="C111" s="129"/>
      <c r="D111" s="130">
        <v>42283</v>
      </c>
      <c r="E111" s="103">
        <f t="shared" si="19"/>
        <v>1409.4333333333334</v>
      </c>
      <c r="F111" s="104">
        <f t="shared" si="20"/>
        <v>1.6666666666666666E-2</v>
      </c>
      <c r="G111" s="105"/>
      <c r="H111" s="106">
        <f t="shared" si="18"/>
        <v>0</v>
      </c>
      <c r="I111" s="107"/>
      <c r="J111" s="106">
        <f t="shared" si="21"/>
        <v>0</v>
      </c>
      <c r="K111" s="108">
        <v>241379.31</v>
      </c>
      <c r="L111" s="106">
        <f t="shared" si="22"/>
        <v>241379.31</v>
      </c>
      <c r="M111" s="106">
        <v>69828.149999999994</v>
      </c>
      <c r="N111" s="106">
        <f t="shared" si="23"/>
        <v>171551.16</v>
      </c>
      <c r="O111" s="97"/>
      <c r="P111" s="101"/>
      <c r="Q111" s="109" t="s">
        <v>212</v>
      </c>
      <c r="R111" s="91"/>
    </row>
    <row r="112" spans="1:18" hidden="1" x14ac:dyDescent="0.2">
      <c r="A112" s="2">
        <v>107</v>
      </c>
      <c r="B112" s="122" t="s">
        <v>165</v>
      </c>
      <c r="C112" s="131">
        <v>40900</v>
      </c>
      <c r="D112" s="132">
        <v>42287</v>
      </c>
      <c r="E112" s="123">
        <f t="shared" si="19"/>
        <v>46.233333333333334</v>
      </c>
      <c r="F112" s="124">
        <f t="shared" si="20"/>
        <v>1.6666666666666666E-2</v>
      </c>
      <c r="G112" s="110">
        <v>222000</v>
      </c>
      <c r="H112" s="112">
        <f t="shared" si="18"/>
        <v>50936.666666666657</v>
      </c>
      <c r="I112" s="111">
        <f>+INDICES!L48/INDICES!N45</f>
        <v>1.0947727654178245</v>
      </c>
      <c r="J112" s="112">
        <f t="shared" si="21"/>
        <v>55764.075427832577</v>
      </c>
      <c r="K112" s="125">
        <v>130000</v>
      </c>
      <c r="L112" s="112">
        <f t="shared" si="22"/>
        <v>74235.924572167423</v>
      </c>
      <c r="M112" s="112">
        <v>69828.149999999994</v>
      </c>
      <c r="N112" s="112">
        <f t="shared" si="23"/>
        <v>4407.7745721674291</v>
      </c>
      <c r="O112" s="97">
        <f t="shared" ref="O112:O113" si="30">IF(N112&gt;1,N112*0.2,0)</f>
        <v>881.55491443348592</v>
      </c>
      <c r="P112" s="101"/>
      <c r="Q112" s="101" t="s">
        <v>213</v>
      </c>
      <c r="R112" s="91"/>
    </row>
    <row r="113" spans="1:18" hidden="1" x14ac:dyDescent="0.2">
      <c r="A113" s="92">
        <v>108</v>
      </c>
      <c r="B113" s="122" t="s">
        <v>166</v>
      </c>
      <c r="C113" s="131">
        <v>39680</v>
      </c>
      <c r="D113" s="132">
        <v>42296</v>
      </c>
      <c r="E113" s="123">
        <f t="shared" si="19"/>
        <v>87.2</v>
      </c>
      <c r="F113" s="124">
        <f t="shared" si="20"/>
        <v>1.6666666666666666E-2</v>
      </c>
      <c r="G113" s="110">
        <v>300500</v>
      </c>
      <c r="H113" s="112">
        <f t="shared" si="18"/>
        <v>-136226.66666666663</v>
      </c>
      <c r="I113" s="111">
        <f>+INDICES!L48/INDICES!J41</f>
        <v>1.3139760704142751</v>
      </c>
      <c r="J113" s="112">
        <f t="shared" si="21"/>
        <v>-178998.58015230193</v>
      </c>
      <c r="K113" s="125">
        <v>135000</v>
      </c>
      <c r="L113" s="112">
        <f t="shared" si="22"/>
        <v>313998.58015230193</v>
      </c>
      <c r="M113" s="112">
        <v>69828.149999999994</v>
      </c>
      <c r="N113" s="112">
        <f t="shared" si="23"/>
        <v>244170.43015230194</v>
      </c>
      <c r="O113" s="97">
        <f t="shared" si="30"/>
        <v>48834.086030460392</v>
      </c>
      <c r="P113" s="101"/>
      <c r="Q113" s="101" t="s">
        <v>213</v>
      </c>
      <c r="R113" s="91"/>
    </row>
    <row r="114" spans="1:18" hidden="1" x14ac:dyDescent="0.2">
      <c r="A114" s="92">
        <v>109</v>
      </c>
      <c r="B114" s="117" t="s">
        <v>167</v>
      </c>
      <c r="C114" s="129"/>
      <c r="D114" s="133">
        <v>42296</v>
      </c>
      <c r="E114" s="103">
        <f t="shared" ref="E114:E119" si="31">(D114-C114)/30</f>
        <v>1409.8666666666666</v>
      </c>
      <c r="F114" s="104">
        <f t="shared" si="20"/>
        <v>1.6666666666666666E-2</v>
      </c>
      <c r="G114" s="105"/>
      <c r="H114" s="106">
        <f t="shared" si="18"/>
        <v>0</v>
      </c>
      <c r="I114" s="107"/>
      <c r="J114" s="106">
        <f t="shared" si="21"/>
        <v>0</v>
      </c>
      <c r="K114" s="118">
        <v>130000</v>
      </c>
      <c r="L114" s="106">
        <f t="shared" si="22"/>
        <v>130000</v>
      </c>
      <c r="M114" s="106">
        <v>69828.149999999994</v>
      </c>
      <c r="N114" s="106">
        <f t="shared" si="23"/>
        <v>60171.850000000006</v>
      </c>
      <c r="O114" s="97"/>
      <c r="P114" s="101"/>
      <c r="Q114" s="109" t="s">
        <v>212</v>
      </c>
      <c r="R114" s="91"/>
    </row>
    <row r="115" spans="1:18" hidden="1" x14ac:dyDescent="0.2">
      <c r="A115" s="2">
        <v>110</v>
      </c>
      <c r="B115" s="122" t="s">
        <v>168</v>
      </c>
      <c r="C115" s="131">
        <v>41725</v>
      </c>
      <c r="D115" s="132">
        <v>42300</v>
      </c>
      <c r="E115" s="123">
        <f t="shared" si="31"/>
        <v>19.166666666666668</v>
      </c>
      <c r="F115" s="124">
        <f t="shared" si="20"/>
        <v>1.6666666666666666E-2</v>
      </c>
      <c r="G115" s="110">
        <v>240000</v>
      </c>
      <c r="H115" s="112">
        <f t="shared" si="18"/>
        <v>163333.33333333331</v>
      </c>
      <c r="I115" s="111">
        <f>+INDICES!L48/INDICES!E47</f>
        <v>1.038117047896091</v>
      </c>
      <c r="J115" s="112">
        <f t="shared" si="21"/>
        <v>169559.11782302818</v>
      </c>
      <c r="K115" s="125">
        <v>170000</v>
      </c>
      <c r="L115" s="112">
        <f t="shared" si="22"/>
        <v>440.88217697181972</v>
      </c>
      <c r="M115" s="112">
        <v>69828.149999999994</v>
      </c>
      <c r="N115" s="112">
        <f t="shared" si="23"/>
        <v>-69387.267823028174</v>
      </c>
      <c r="O115" s="97">
        <f t="shared" ref="O115:O117" si="32">IF(N115&gt;1,N115*0.2,0)</f>
        <v>0</v>
      </c>
      <c r="P115" s="101"/>
      <c r="Q115" s="101" t="s">
        <v>213</v>
      </c>
      <c r="R115" s="91"/>
    </row>
    <row r="116" spans="1:18" x14ac:dyDescent="0.2">
      <c r="A116" s="92">
        <v>111</v>
      </c>
      <c r="B116" s="122" t="s">
        <v>169</v>
      </c>
      <c r="C116" s="131"/>
      <c r="D116" s="132">
        <v>42300</v>
      </c>
      <c r="E116" s="123">
        <f t="shared" si="31"/>
        <v>1410</v>
      </c>
      <c r="F116" s="124">
        <f t="shared" si="20"/>
        <v>1.6666666666666666E-2</v>
      </c>
      <c r="G116" s="110"/>
      <c r="H116" s="112">
        <f t="shared" si="18"/>
        <v>0</v>
      </c>
      <c r="I116" s="111"/>
      <c r="J116" s="112">
        <f t="shared" si="21"/>
        <v>0</v>
      </c>
      <c r="K116" s="125">
        <v>184000</v>
      </c>
      <c r="L116" s="112">
        <f t="shared" si="22"/>
        <v>184000</v>
      </c>
      <c r="M116" s="112">
        <v>69828.149999999994</v>
      </c>
      <c r="N116" s="112">
        <f t="shared" si="23"/>
        <v>114171.85</v>
      </c>
      <c r="O116" s="97">
        <f t="shared" si="32"/>
        <v>22834.370000000003</v>
      </c>
      <c r="P116" s="101"/>
      <c r="Q116" s="101" t="s">
        <v>213</v>
      </c>
      <c r="R116" s="91"/>
    </row>
    <row r="117" spans="1:18" hidden="1" x14ac:dyDescent="0.2">
      <c r="A117" s="68">
        <v>112</v>
      </c>
      <c r="B117" s="122" t="s">
        <v>170</v>
      </c>
      <c r="C117" s="131">
        <v>39933</v>
      </c>
      <c r="D117" s="132">
        <v>42300</v>
      </c>
      <c r="E117" s="123">
        <f t="shared" si="31"/>
        <v>78.900000000000006</v>
      </c>
      <c r="F117" s="124">
        <f t="shared" si="20"/>
        <v>1.6666666666666666E-2</v>
      </c>
      <c r="G117" s="110">
        <v>240600</v>
      </c>
      <c r="H117" s="112">
        <f t="shared" si="18"/>
        <v>-75789</v>
      </c>
      <c r="I117" s="111">
        <f>+INDICES!L48/INDICES!F42</f>
        <v>1.2554826108116497</v>
      </c>
      <c r="J117" s="112">
        <f t="shared" si="21"/>
        <v>-95151.771590804114</v>
      </c>
      <c r="K117" s="125">
        <v>130000</v>
      </c>
      <c r="L117" s="112">
        <f t="shared" si="22"/>
        <v>225151.7715908041</v>
      </c>
      <c r="M117" s="112">
        <v>69828.149999999994</v>
      </c>
      <c r="N117" s="112">
        <f t="shared" si="23"/>
        <v>155323.6215908041</v>
      </c>
      <c r="O117" s="97">
        <f t="shared" si="32"/>
        <v>31064.724318160821</v>
      </c>
      <c r="P117" s="101"/>
      <c r="Q117" s="101" t="s">
        <v>213</v>
      </c>
      <c r="R117" s="91"/>
    </row>
    <row r="118" spans="1:18" ht="15" hidden="1" x14ac:dyDescent="0.25">
      <c r="A118" s="2">
        <v>113</v>
      </c>
      <c r="B118" s="102" t="s">
        <v>171</v>
      </c>
      <c r="C118" s="129"/>
      <c r="D118" s="130">
        <v>42300</v>
      </c>
      <c r="E118" s="103">
        <f t="shared" si="31"/>
        <v>1410</v>
      </c>
      <c r="F118" s="104">
        <f t="shared" si="20"/>
        <v>1.6666666666666666E-2</v>
      </c>
      <c r="G118" s="105"/>
      <c r="H118" s="106">
        <f t="shared" si="18"/>
        <v>0</v>
      </c>
      <c r="I118" s="107"/>
      <c r="J118" s="106">
        <f t="shared" si="21"/>
        <v>0</v>
      </c>
      <c r="K118" s="108">
        <v>202586.21</v>
      </c>
      <c r="L118" s="106">
        <f t="shared" si="22"/>
        <v>202586.21</v>
      </c>
      <c r="M118" s="106">
        <v>69828.149999999994</v>
      </c>
      <c r="N118" s="106">
        <f t="shared" si="23"/>
        <v>132758.06</v>
      </c>
      <c r="O118" s="97"/>
      <c r="P118" s="101"/>
      <c r="Q118" s="109" t="s">
        <v>212</v>
      </c>
      <c r="R118" s="91"/>
    </row>
    <row r="119" spans="1:18" hidden="1" x14ac:dyDescent="0.2">
      <c r="A119" s="92">
        <v>114</v>
      </c>
      <c r="B119" s="122" t="s">
        <v>172</v>
      </c>
      <c r="C119" s="134">
        <v>40522</v>
      </c>
      <c r="D119" s="132">
        <v>42301</v>
      </c>
      <c r="E119" s="123">
        <f t="shared" si="31"/>
        <v>59.3</v>
      </c>
      <c r="F119" s="124">
        <f t="shared" si="20"/>
        <v>1.6666666666666666E-2</v>
      </c>
      <c r="G119" s="121">
        <v>361000</v>
      </c>
      <c r="H119" s="112">
        <f t="shared" si="18"/>
        <v>4211.6666666666861</v>
      </c>
      <c r="I119" s="111">
        <f>+INDICES!L48/INDICES!N43</f>
        <v>1.1771359266864345</v>
      </c>
      <c r="J119" s="112">
        <f t="shared" si="21"/>
        <v>4957.7041445610566</v>
      </c>
      <c r="K119" s="125">
        <v>185000</v>
      </c>
      <c r="L119" s="112">
        <f t="shared" si="22"/>
        <v>180042.29585543895</v>
      </c>
      <c r="M119" s="112">
        <v>69828.149999999994</v>
      </c>
      <c r="N119" s="112">
        <f t="shared" si="23"/>
        <v>110214.14585543895</v>
      </c>
      <c r="O119" s="97">
        <f>IF(N119&gt;1,N119*0.2,0)</f>
        <v>22042.829171087793</v>
      </c>
      <c r="P119" s="119"/>
      <c r="Q119" s="101" t="s">
        <v>213</v>
      </c>
      <c r="R119" s="91"/>
    </row>
    <row r="120" spans="1:18" ht="15" hidden="1" x14ac:dyDescent="0.25">
      <c r="A120" s="68">
        <v>115</v>
      </c>
      <c r="B120" s="102" t="s">
        <v>173</v>
      </c>
      <c r="C120" s="135"/>
      <c r="D120" s="130">
        <v>42304</v>
      </c>
      <c r="E120" s="103">
        <f t="shared" si="19"/>
        <v>1410.1333333333334</v>
      </c>
      <c r="F120" s="104">
        <f t="shared" si="20"/>
        <v>1.6666666666666666E-2</v>
      </c>
      <c r="G120" s="120"/>
      <c r="H120" s="106">
        <f t="shared" si="18"/>
        <v>0</v>
      </c>
      <c r="I120" s="107"/>
      <c r="J120" s="106">
        <f t="shared" si="21"/>
        <v>0</v>
      </c>
      <c r="K120" s="108">
        <v>133620.69</v>
      </c>
      <c r="L120" s="106">
        <f t="shared" si="22"/>
        <v>133620.69</v>
      </c>
      <c r="M120" s="106">
        <v>69828.149999999994</v>
      </c>
      <c r="N120" s="106">
        <f t="shared" si="23"/>
        <v>63792.540000000008</v>
      </c>
      <c r="O120" s="112"/>
      <c r="P120" s="114"/>
      <c r="Q120" s="109" t="s">
        <v>212</v>
      </c>
      <c r="R120" s="91"/>
    </row>
    <row r="121" spans="1:18" s="76" customFormat="1" hidden="1" x14ac:dyDescent="0.2">
      <c r="A121" s="2">
        <v>116</v>
      </c>
      <c r="B121" s="122" t="s">
        <v>174</v>
      </c>
      <c r="C121" s="134">
        <v>41271</v>
      </c>
      <c r="D121" s="132">
        <v>42304</v>
      </c>
      <c r="E121" s="123">
        <f t="shared" si="19"/>
        <v>34.43333333333333</v>
      </c>
      <c r="F121" s="124">
        <f t="shared" si="20"/>
        <v>1.6666666666666666E-2</v>
      </c>
      <c r="G121" s="121">
        <v>291000</v>
      </c>
      <c r="H121" s="112">
        <f t="shared" si="18"/>
        <v>123998.33333333334</v>
      </c>
      <c r="I121" s="111">
        <f>+INDICES!L48/INDICES!N45</f>
        <v>1.0947727654178245</v>
      </c>
      <c r="J121" s="112">
        <f t="shared" si="21"/>
        <v>135749.99829053457</v>
      </c>
      <c r="K121" s="125">
        <v>175000</v>
      </c>
      <c r="L121" s="112">
        <f t="shared" si="22"/>
        <v>39250.001709465432</v>
      </c>
      <c r="M121" s="112">
        <v>69828.149999999994</v>
      </c>
      <c r="N121" s="112">
        <f t="shared" si="23"/>
        <v>-30578.148290534562</v>
      </c>
      <c r="O121" s="97">
        <f t="shared" ref="O121:O134" si="33">IF(N121&gt;1,N121*0.2,0)</f>
        <v>0</v>
      </c>
      <c r="P121" s="119"/>
      <c r="Q121" s="101" t="s">
        <v>213</v>
      </c>
      <c r="R121" s="75"/>
    </row>
    <row r="122" spans="1:18" s="76" customFormat="1" hidden="1" x14ac:dyDescent="0.2">
      <c r="A122" s="92">
        <v>117</v>
      </c>
      <c r="B122" s="122" t="s">
        <v>175</v>
      </c>
      <c r="C122" s="134">
        <v>41871</v>
      </c>
      <c r="D122" s="132">
        <v>42304</v>
      </c>
      <c r="E122" s="123">
        <f t="shared" si="19"/>
        <v>14.433333333333334</v>
      </c>
      <c r="F122" s="124">
        <f t="shared" si="20"/>
        <v>1.6666666666666666E-2</v>
      </c>
      <c r="G122" s="121">
        <v>290500</v>
      </c>
      <c r="H122" s="112">
        <f t="shared" si="18"/>
        <v>220618.61111111112</v>
      </c>
      <c r="I122" s="111">
        <f>+INDICES!L48/INDICES!J47</f>
        <v>1.0350147216981964</v>
      </c>
      <c r="J122" s="112">
        <f t="shared" si="21"/>
        <v>228343.51038060931</v>
      </c>
      <c r="K122" s="125">
        <v>210000</v>
      </c>
      <c r="L122" s="112">
        <f t="shared" si="22"/>
        <v>-18343.51038060931</v>
      </c>
      <c r="M122" s="112">
        <v>69828.149999999994</v>
      </c>
      <c r="N122" s="112">
        <f t="shared" si="23"/>
        <v>-88171.660380609304</v>
      </c>
      <c r="O122" s="97">
        <f t="shared" si="33"/>
        <v>0</v>
      </c>
      <c r="P122" s="119"/>
      <c r="Q122" s="101" t="s">
        <v>213</v>
      </c>
      <c r="R122" s="75"/>
    </row>
    <row r="123" spans="1:18" hidden="1" x14ac:dyDescent="0.2">
      <c r="A123" s="68">
        <v>118</v>
      </c>
      <c r="B123" s="122" t="s">
        <v>176</v>
      </c>
      <c r="C123" s="134">
        <v>40870</v>
      </c>
      <c r="D123" s="132">
        <v>42304</v>
      </c>
      <c r="E123" s="123">
        <f t="shared" si="19"/>
        <v>47.8</v>
      </c>
      <c r="F123" s="124">
        <f t="shared" si="20"/>
        <v>1.6666666666666666E-2</v>
      </c>
      <c r="G123" s="121">
        <v>165800.01</v>
      </c>
      <c r="H123" s="112">
        <f t="shared" si="18"/>
        <v>33712.668700000009</v>
      </c>
      <c r="I123" s="111">
        <f>+INDICES!L48/INDICES!M44</f>
        <v>1.1431547995754914</v>
      </c>
      <c r="J123" s="112">
        <f t="shared" si="21"/>
        <v>38538.79903090345</v>
      </c>
      <c r="K123" s="125">
        <v>105000</v>
      </c>
      <c r="L123" s="112">
        <f t="shared" si="22"/>
        <v>66461.20096909655</v>
      </c>
      <c r="M123" s="112">
        <v>69828.149999999994</v>
      </c>
      <c r="N123" s="112">
        <f t="shared" si="23"/>
        <v>-3366.9490309034445</v>
      </c>
      <c r="O123" s="97">
        <f t="shared" si="33"/>
        <v>0</v>
      </c>
      <c r="P123" s="101"/>
      <c r="Q123" s="101" t="s">
        <v>213</v>
      </c>
      <c r="R123" s="91"/>
    </row>
    <row r="124" spans="1:18" hidden="1" x14ac:dyDescent="0.2">
      <c r="A124" s="2">
        <v>119</v>
      </c>
      <c r="B124" s="122" t="s">
        <v>177</v>
      </c>
      <c r="C124" s="134">
        <v>41185</v>
      </c>
      <c r="D124" s="132">
        <v>42304</v>
      </c>
      <c r="E124" s="123">
        <f t="shared" si="19"/>
        <v>37.299999999999997</v>
      </c>
      <c r="F124" s="124">
        <f t="shared" si="20"/>
        <v>1.6666666666666666E-2</v>
      </c>
      <c r="G124" s="121">
        <v>186800</v>
      </c>
      <c r="H124" s="112">
        <f t="shared" si="18"/>
        <v>70672.666666666672</v>
      </c>
      <c r="I124" s="111">
        <f>+INDICES!L48/INDICES!L45</f>
        <v>1.1047441615386062</v>
      </c>
      <c r="J124" s="112">
        <f t="shared" si="21"/>
        <v>78075.215880364078</v>
      </c>
      <c r="K124" s="125">
        <v>125000</v>
      </c>
      <c r="L124" s="112">
        <f t="shared" si="22"/>
        <v>46924.784119635922</v>
      </c>
      <c r="M124" s="112">
        <v>69828.149999999994</v>
      </c>
      <c r="N124" s="112">
        <f t="shared" si="23"/>
        <v>-22903.365880364072</v>
      </c>
      <c r="O124" s="97">
        <f t="shared" si="33"/>
        <v>0</v>
      </c>
      <c r="P124" s="101"/>
      <c r="Q124" s="101" t="s">
        <v>213</v>
      </c>
      <c r="R124" s="91"/>
    </row>
    <row r="125" spans="1:18" hidden="1" x14ac:dyDescent="0.2">
      <c r="A125" s="92">
        <v>120</v>
      </c>
      <c r="B125" s="122" t="s">
        <v>178</v>
      </c>
      <c r="C125" s="134">
        <v>40610</v>
      </c>
      <c r="D125" s="132">
        <v>42304</v>
      </c>
      <c r="E125" s="123">
        <f t="shared" si="19"/>
        <v>56.466666666666669</v>
      </c>
      <c r="F125" s="124">
        <f t="shared" si="20"/>
        <v>1.6666666666666666E-2</v>
      </c>
      <c r="G125" s="121">
        <v>350000</v>
      </c>
      <c r="H125" s="112">
        <f t="shared" si="18"/>
        <v>20611.111111111124</v>
      </c>
      <c r="I125" s="111">
        <f>+INDICES!L48/INDICES!E44</f>
        <v>1.1648164131869003</v>
      </c>
      <c r="J125" s="112">
        <f t="shared" si="21"/>
        <v>24008.160516241129</v>
      </c>
      <c r="K125" s="125">
        <v>150000</v>
      </c>
      <c r="L125" s="112">
        <f t="shared" si="22"/>
        <v>125991.83948375887</v>
      </c>
      <c r="M125" s="112">
        <v>69828.149999999994</v>
      </c>
      <c r="N125" s="112">
        <f t="shared" si="23"/>
        <v>56163.689483758877</v>
      </c>
      <c r="O125" s="97">
        <f t="shared" si="33"/>
        <v>11232.737896751776</v>
      </c>
      <c r="P125" s="119"/>
      <c r="Q125" s="101" t="s">
        <v>213</v>
      </c>
      <c r="R125" s="91"/>
    </row>
    <row r="126" spans="1:18" hidden="1" x14ac:dyDescent="0.2">
      <c r="A126" s="68">
        <v>121</v>
      </c>
      <c r="B126" s="122" t="s">
        <v>179</v>
      </c>
      <c r="C126" s="134">
        <v>41786</v>
      </c>
      <c r="D126" s="132">
        <v>42306</v>
      </c>
      <c r="E126" s="123">
        <f t="shared" si="19"/>
        <v>17.333333333333332</v>
      </c>
      <c r="F126" s="124">
        <f t="shared" si="20"/>
        <v>1.6666666666666666E-2</v>
      </c>
      <c r="G126" s="121">
        <v>303700</v>
      </c>
      <c r="H126" s="112">
        <f t="shared" si="18"/>
        <v>215964.44444444444</v>
      </c>
      <c r="I126" s="111">
        <f>+INDICES!L48/INDICES!G47</f>
        <v>1.0433940298772739</v>
      </c>
      <c r="J126" s="112">
        <f t="shared" si="21"/>
        <v>225336.01199909553</v>
      </c>
      <c r="K126" s="125">
        <v>194000</v>
      </c>
      <c r="L126" s="112">
        <f t="shared" si="22"/>
        <v>-31336.011999095528</v>
      </c>
      <c r="M126" s="112">
        <v>69828.149999999994</v>
      </c>
      <c r="N126" s="112">
        <f t="shared" si="23"/>
        <v>-101164.16199909552</v>
      </c>
      <c r="O126" s="97">
        <f t="shared" si="33"/>
        <v>0</v>
      </c>
      <c r="P126" s="101"/>
      <c r="Q126" s="101" t="s">
        <v>213</v>
      </c>
      <c r="R126" s="91"/>
    </row>
    <row r="127" spans="1:18" hidden="1" x14ac:dyDescent="0.2">
      <c r="A127" s="2">
        <v>122</v>
      </c>
      <c r="B127" s="122" t="s">
        <v>180</v>
      </c>
      <c r="C127" s="134">
        <v>40908</v>
      </c>
      <c r="D127" s="132">
        <v>42311</v>
      </c>
      <c r="E127" s="123">
        <f t="shared" si="19"/>
        <v>46.766666666666666</v>
      </c>
      <c r="F127" s="124">
        <f t="shared" si="20"/>
        <v>1.6666666666666666E-2</v>
      </c>
      <c r="G127" s="121">
        <v>324600</v>
      </c>
      <c r="H127" s="112">
        <f t="shared" si="18"/>
        <v>71592.333333333343</v>
      </c>
      <c r="I127" s="114">
        <f>+INDICES!M48/INDICES!N44</f>
        <v>1.1400276192407606</v>
      </c>
      <c r="J127" s="112">
        <f t="shared" si="21"/>
        <v>81617.23732589095</v>
      </c>
      <c r="K127" s="125">
        <v>170000</v>
      </c>
      <c r="L127" s="112">
        <f t="shared" si="22"/>
        <v>88382.76267410905</v>
      </c>
      <c r="M127" s="112">
        <v>69828.149999999994</v>
      </c>
      <c r="N127" s="112">
        <f t="shared" si="23"/>
        <v>18554.612674109056</v>
      </c>
      <c r="O127" s="97">
        <f t="shared" si="33"/>
        <v>3710.9225348218115</v>
      </c>
      <c r="P127" s="101"/>
      <c r="Q127" s="101" t="s">
        <v>213</v>
      </c>
      <c r="R127" s="91"/>
    </row>
    <row r="128" spans="1:18" hidden="1" x14ac:dyDescent="0.2">
      <c r="A128" s="92">
        <v>123</v>
      </c>
      <c r="B128" s="122" t="s">
        <v>181</v>
      </c>
      <c r="C128" s="132">
        <v>41851</v>
      </c>
      <c r="D128" s="132">
        <v>42317</v>
      </c>
      <c r="E128" s="123">
        <f t="shared" si="19"/>
        <v>15.533333333333333</v>
      </c>
      <c r="F128" s="124">
        <f t="shared" si="20"/>
        <v>1.6666666666666666E-2</v>
      </c>
      <c r="G128" s="121">
        <v>300500</v>
      </c>
      <c r="H128" s="112">
        <f t="shared" si="18"/>
        <v>222703.88888888888</v>
      </c>
      <c r="I128" s="122">
        <f>+INDICES!M48/INDICES!I47</f>
        <v>1.0444033548021801</v>
      </c>
      <c r="J128" s="112">
        <f t="shared" si="21"/>
        <v>232592.68868304748</v>
      </c>
      <c r="K128" s="125">
        <v>210000</v>
      </c>
      <c r="L128" s="112">
        <f t="shared" si="22"/>
        <v>-22592.688683047483</v>
      </c>
      <c r="M128" s="112">
        <v>69828.149999999994</v>
      </c>
      <c r="N128" s="112">
        <f t="shared" si="23"/>
        <v>-92420.838683047477</v>
      </c>
      <c r="O128" s="97">
        <f t="shared" si="33"/>
        <v>0</v>
      </c>
      <c r="P128" s="93"/>
      <c r="Q128" s="101" t="s">
        <v>213</v>
      </c>
      <c r="R128" s="91"/>
    </row>
    <row r="129" spans="1:18" hidden="1" x14ac:dyDescent="0.2">
      <c r="A129" s="68">
        <v>124</v>
      </c>
      <c r="B129" s="122" t="s">
        <v>182</v>
      </c>
      <c r="C129" s="132">
        <v>41597</v>
      </c>
      <c r="D129" s="132">
        <v>42318</v>
      </c>
      <c r="E129" s="123">
        <f t="shared" si="19"/>
        <v>24.033333333333335</v>
      </c>
      <c r="F129" s="124">
        <f t="shared" si="20"/>
        <v>1.6666666666666666E-2</v>
      </c>
      <c r="G129" s="121">
        <v>233470</v>
      </c>
      <c r="H129" s="112">
        <f t="shared" si="18"/>
        <v>139952.29444444444</v>
      </c>
      <c r="I129" s="122">
        <f>+INDICES!M48/INDICES!M46</f>
        <v>1.0647503427375713</v>
      </c>
      <c r="J129" s="112">
        <f t="shared" si="21"/>
        <v>149014.25347663171</v>
      </c>
      <c r="K129" s="125">
        <v>150000</v>
      </c>
      <c r="L129" s="112">
        <f t="shared" si="22"/>
        <v>985.74652336828876</v>
      </c>
      <c r="M129" s="112">
        <v>69828.149999999994</v>
      </c>
      <c r="N129" s="112">
        <f t="shared" si="23"/>
        <v>-68842.403476631705</v>
      </c>
      <c r="O129" s="97">
        <f t="shared" si="33"/>
        <v>0</v>
      </c>
      <c r="P129" s="93"/>
      <c r="Q129" s="101" t="s">
        <v>213</v>
      </c>
      <c r="R129" s="91"/>
    </row>
    <row r="130" spans="1:18" hidden="1" x14ac:dyDescent="0.2">
      <c r="A130" s="2">
        <v>125</v>
      </c>
      <c r="B130" s="122" t="s">
        <v>183</v>
      </c>
      <c r="C130" s="132">
        <v>41877</v>
      </c>
      <c r="D130" s="132">
        <v>42319</v>
      </c>
      <c r="E130" s="123">
        <f t="shared" si="19"/>
        <v>14.733333333333333</v>
      </c>
      <c r="F130" s="124">
        <f t="shared" si="20"/>
        <v>1.6666666666666666E-2</v>
      </c>
      <c r="G130" s="121">
        <v>199900</v>
      </c>
      <c r="H130" s="112">
        <f t="shared" si="18"/>
        <v>150813.44444444444</v>
      </c>
      <c r="I130" s="122">
        <f>+INDICES!M48/INDICES!J47</f>
        <v>1.0406653854969234</v>
      </c>
      <c r="J130" s="112">
        <f t="shared" si="21"/>
        <v>156946.33130089662</v>
      </c>
      <c r="K130" s="125">
        <v>145000</v>
      </c>
      <c r="L130" s="112">
        <f t="shared" si="22"/>
        <v>-11946.331300896622</v>
      </c>
      <c r="M130" s="112">
        <v>69828.149999999994</v>
      </c>
      <c r="N130" s="112">
        <f t="shared" si="23"/>
        <v>-81774.481300896616</v>
      </c>
      <c r="O130" s="97">
        <f t="shared" si="33"/>
        <v>0</v>
      </c>
      <c r="P130" s="93"/>
      <c r="Q130" s="101" t="s">
        <v>213</v>
      </c>
      <c r="R130" s="91"/>
    </row>
    <row r="131" spans="1:18" hidden="1" x14ac:dyDescent="0.2">
      <c r="A131" s="92">
        <v>126</v>
      </c>
      <c r="B131" s="122" t="s">
        <v>184</v>
      </c>
      <c r="C131" s="132">
        <v>41577</v>
      </c>
      <c r="D131" s="132">
        <v>42321</v>
      </c>
      <c r="E131" s="123">
        <f t="shared" si="19"/>
        <v>24.8</v>
      </c>
      <c r="F131" s="124">
        <f t="shared" si="20"/>
        <v>1.6666666666666666E-2</v>
      </c>
      <c r="G131" s="121">
        <v>215890</v>
      </c>
      <c r="H131" s="112">
        <f t="shared" si="18"/>
        <v>126655.46666666667</v>
      </c>
      <c r="I131" s="122">
        <f>+INDICES!M48/INDICES!L46</f>
        <v>1.0746759158109387</v>
      </c>
      <c r="J131" s="112">
        <f t="shared" si="21"/>
        <v>136113.57963246183</v>
      </c>
      <c r="K131" s="125">
        <v>210000</v>
      </c>
      <c r="L131" s="112">
        <f t="shared" si="22"/>
        <v>73886.420367538172</v>
      </c>
      <c r="M131" s="112">
        <v>69828.149999999994</v>
      </c>
      <c r="N131" s="112">
        <f t="shared" si="23"/>
        <v>4058.2703675381781</v>
      </c>
      <c r="O131" s="97">
        <f t="shared" si="33"/>
        <v>811.65407350763564</v>
      </c>
      <c r="P131" s="93"/>
      <c r="Q131" s="101" t="s">
        <v>213</v>
      </c>
      <c r="R131" s="91"/>
    </row>
    <row r="132" spans="1:18" hidden="1" x14ac:dyDescent="0.2">
      <c r="A132" s="68">
        <v>127</v>
      </c>
      <c r="B132" s="122" t="s">
        <v>185</v>
      </c>
      <c r="C132" s="132">
        <v>41642</v>
      </c>
      <c r="D132" s="132">
        <v>42327</v>
      </c>
      <c r="E132" s="123">
        <f t="shared" si="19"/>
        <v>22.833333333333332</v>
      </c>
      <c r="F132" s="124">
        <f t="shared" si="20"/>
        <v>1.6666666666666666E-2</v>
      </c>
      <c r="G132" s="121">
        <v>200400</v>
      </c>
      <c r="H132" s="112">
        <f t="shared" si="18"/>
        <v>124136.66666666667</v>
      </c>
      <c r="I132" s="122">
        <f>+INDICES!M48/INDICES!C47</f>
        <v>1.0492955868628062</v>
      </c>
      <c r="J132" s="112">
        <f t="shared" si="21"/>
        <v>130256.05650119256</v>
      </c>
      <c r="K132" s="125">
        <v>118000</v>
      </c>
      <c r="L132" s="112">
        <f t="shared" si="22"/>
        <v>-12256.056501192565</v>
      </c>
      <c r="M132" s="112">
        <v>69828.149999999994</v>
      </c>
      <c r="N132" s="112">
        <f t="shared" si="23"/>
        <v>-82084.206501192559</v>
      </c>
      <c r="O132" s="97">
        <f t="shared" si="33"/>
        <v>0</v>
      </c>
      <c r="P132" s="93"/>
      <c r="Q132" s="101" t="s">
        <v>213</v>
      </c>
      <c r="R132" s="91"/>
    </row>
    <row r="133" spans="1:18" hidden="1" x14ac:dyDescent="0.2">
      <c r="A133" s="2">
        <v>128</v>
      </c>
      <c r="B133" s="122" t="s">
        <v>186</v>
      </c>
      <c r="C133" s="132">
        <v>39163</v>
      </c>
      <c r="D133" s="132">
        <v>42327</v>
      </c>
      <c r="E133" s="123">
        <f t="shared" si="19"/>
        <v>105.46666666666667</v>
      </c>
      <c r="F133" s="124">
        <f t="shared" si="20"/>
        <v>1.6666666666666666E-2</v>
      </c>
      <c r="G133" s="121">
        <v>101100</v>
      </c>
      <c r="H133" s="112">
        <f t="shared" si="18"/>
        <v>-76611.333333333343</v>
      </c>
      <c r="I133" s="122">
        <f>+INDICES!M48/INDICES!E40</f>
        <v>1.4003901756323354</v>
      </c>
      <c r="J133" s="112">
        <f t="shared" si="21"/>
        <v>-107285.75854209407</v>
      </c>
      <c r="K133" s="125">
        <v>40000</v>
      </c>
      <c r="L133" s="112">
        <f t="shared" si="22"/>
        <v>147285.75854209409</v>
      </c>
      <c r="M133" s="112">
        <v>69828.149999999994</v>
      </c>
      <c r="N133" s="112">
        <f t="shared" si="23"/>
        <v>77457.608542094094</v>
      </c>
      <c r="O133" s="97">
        <f t="shared" si="33"/>
        <v>15491.521708418819</v>
      </c>
      <c r="P133" s="93"/>
      <c r="Q133" s="101" t="s">
        <v>213</v>
      </c>
      <c r="R133" s="91"/>
    </row>
    <row r="134" spans="1:18" hidden="1" x14ac:dyDescent="0.2">
      <c r="A134" s="92">
        <v>129</v>
      </c>
      <c r="B134" s="122" t="s">
        <v>187</v>
      </c>
      <c r="C134" s="132">
        <v>39338</v>
      </c>
      <c r="D134" s="132">
        <v>42327</v>
      </c>
      <c r="E134" s="123">
        <f t="shared" si="19"/>
        <v>99.63333333333334</v>
      </c>
      <c r="F134" s="124">
        <f t="shared" si="20"/>
        <v>1.6666666666666666E-2</v>
      </c>
      <c r="G134" s="121">
        <v>223800</v>
      </c>
      <c r="H134" s="112">
        <f t="shared" ref="H134:H157" si="34">G134-(G134*F134*E134)</f>
        <v>-147832.33333333337</v>
      </c>
      <c r="I134" s="122">
        <f>+INDICES!M48/INDICES!K40</f>
        <v>1.3840300805245334</v>
      </c>
      <c r="J134" s="112">
        <f t="shared" si="21"/>
        <v>-204604.39620746305</v>
      </c>
      <c r="K134" s="125">
        <v>100000</v>
      </c>
      <c r="L134" s="112">
        <f t="shared" si="22"/>
        <v>304604.39620746305</v>
      </c>
      <c r="M134" s="112">
        <v>69828.149999999994</v>
      </c>
      <c r="N134" s="112">
        <f t="shared" si="23"/>
        <v>234776.24620746306</v>
      </c>
      <c r="O134" s="97">
        <f t="shared" si="33"/>
        <v>46955.249241492616</v>
      </c>
      <c r="P134" s="93"/>
      <c r="Q134" s="101" t="s">
        <v>213</v>
      </c>
      <c r="R134" s="91"/>
    </row>
    <row r="135" spans="1:18" hidden="1" x14ac:dyDescent="0.2">
      <c r="A135" s="68">
        <v>130</v>
      </c>
      <c r="B135" s="122" t="s">
        <v>188</v>
      </c>
      <c r="C135" s="132">
        <v>41586</v>
      </c>
      <c r="D135" s="132">
        <v>42331</v>
      </c>
      <c r="E135" s="123">
        <f t="shared" ref="E135:E157" si="35">(D135-C135)/30</f>
        <v>24.833333333333332</v>
      </c>
      <c r="F135" s="124">
        <f t="shared" ref="F135:F157" si="36">0.2/12</f>
        <v>1.6666666666666666E-2</v>
      </c>
      <c r="G135" s="121">
        <v>443800</v>
      </c>
      <c r="H135" s="112">
        <f t="shared" si="34"/>
        <v>260116.11111111112</v>
      </c>
      <c r="I135" s="122">
        <f>+INDICES!M48/INDICES!J46</f>
        <v>1.0838520722011054</v>
      </c>
      <c r="J135" s="112">
        <f t="shared" ref="J135:J157" si="37">+H135*I135</f>
        <v>281927.38604067074</v>
      </c>
      <c r="K135" s="125">
        <v>295000</v>
      </c>
      <c r="L135" s="112">
        <f t="shared" ref="L135:L157" si="38">+K135-J135</f>
        <v>13072.613959329261</v>
      </c>
      <c r="M135" s="112">
        <v>69828.149999999994</v>
      </c>
      <c r="N135" s="112">
        <f t="shared" ref="N135:N157" si="39">+L135-M135</f>
        <v>-56755.536040670733</v>
      </c>
      <c r="O135" s="93"/>
      <c r="P135" s="93"/>
      <c r="Q135" s="115" t="s">
        <v>214</v>
      </c>
      <c r="R135" s="91"/>
    </row>
    <row r="136" spans="1:18" hidden="1" x14ac:dyDescent="0.2">
      <c r="A136" s="2">
        <v>131</v>
      </c>
      <c r="B136" s="122" t="s">
        <v>189</v>
      </c>
      <c r="C136" s="132">
        <v>41851</v>
      </c>
      <c r="D136" s="132">
        <v>42335</v>
      </c>
      <c r="E136" s="123">
        <f t="shared" si="35"/>
        <v>16.133333333333333</v>
      </c>
      <c r="F136" s="124">
        <f t="shared" si="36"/>
        <v>1.6666666666666666E-2</v>
      </c>
      <c r="G136" s="121">
        <v>229890</v>
      </c>
      <c r="H136" s="112">
        <f t="shared" si="34"/>
        <v>168075.13333333333</v>
      </c>
      <c r="I136" s="122">
        <f>+INDICES!M48/INDICES!I47</f>
        <v>1.0444033548021801</v>
      </c>
      <c r="J136" s="112">
        <f t="shared" si="37"/>
        <v>175538.23311215706</v>
      </c>
      <c r="K136" s="125">
        <v>165000</v>
      </c>
      <c r="L136" s="112">
        <f t="shared" si="38"/>
        <v>-10538.233112157061</v>
      </c>
      <c r="M136" s="112">
        <v>69828.149999999994</v>
      </c>
      <c r="N136" s="112">
        <f t="shared" si="39"/>
        <v>-80366.383112157055</v>
      </c>
      <c r="O136" s="97">
        <f t="shared" ref="O136:O137" si="40">IF(N136&gt;1,N136*0.2,0)</f>
        <v>0</v>
      </c>
      <c r="P136" s="93"/>
      <c r="Q136" s="101" t="s">
        <v>213</v>
      </c>
      <c r="R136" s="91"/>
    </row>
    <row r="137" spans="1:18" hidden="1" x14ac:dyDescent="0.2">
      <c r="A137" s="92">
        <v>132</v>
      </c>
      <c r="B137" s="122" t="s">
        <v>190</v>
      </c>
      <c r="C137" s="132">
        <v>40359</v>
      </c>
      <c r="D137" s="132">
        <v>42338</v>
      </c>
      <c r="E137" s="123">
        <f t="shared" si="35"/>
        <v>65.966666666666669</v>
      </c>
      <c r="F137" s="124">
        <f t="shared" si="36"/>
        <v>1.6666666666666666E-2</v>
      </c>
      <c r="G137" s="121">
        <v>151909.1</v>
      </c>
      <c r="H137" s="112">
        <f t="shared" si="34"/>
        <v>-15106.516055555578</v>
      </c>
      <c r="I137" s="122">
        <f>+INDICES!M48/INDICES!H43</f>
        <v>1.2186893758809736</v>
      </c>
      <c r="J137" s="112">
        <f t="shared" si="37"/>
        <v>-18410.150623480935</v>
      </c>
      <c r="K137" s="125">
        <v>80000</v>
      </c>
      <c r="L137" s="112">
        <f t="shared" si="38"/>
        <v>98410.150623480935</v>
      </c>
      <c r="M137" s="112">
        <v>69828.149999999994</v>
      </c>
      <c r="N137" s="112">
        <f t="shared" si="39"/>
        <v>28582.000623480941</v>
      </c>
      <c r="O137" s="97">
        <f t="shared" si="40"/>
        <v>5716.4001246961889</v>
      </c>
      <c r="P137" s="93"/>
      <c r="Q137" s="101" t="s">
        <v>213</v>
      </c>
      <c r="R137" s="91"/>
    </row>
    <row r="138" spans="1:18" hidden="1" x14ac:dyDescent="0.2">
      <c r="A138" s="68">
        <v>133</v>
      </c>
      <c r="B138" s="122" t="s">
        <v>191</v>
      </c>
      <c r="C138" s="132">
        <v>41391</v>
      </c>
      <c r="D138" s="132">
        <v>42338</v>
      </c>
      <c r="E138" s="123">
        <f t="shared" si="35"/>
        <v>31.566666666666666</v>
      </c>
      <c r="F138" s="124">
        <f t="shared" si="36"/>
        <v>1.6666666666666666E-2</v>
      </c>
      <c r="G138" s="121">
        <v>382100</v>
      </c>
      <c r="H138" s="112">
        <f t="shared" si="34"/>
        <v>181072.94444444447</v>
      </c>
      <c r="I138" s="122">
        <f>+INDICES!M48/INDICES!F46</f>
        <v>1.0823019234648037</v>
      </c>
      <c r="J138" s="112">
        <f t="shared" si="37"/>
        <v>195975.59605965778</v>
      </c>
      <c r="K138" s="125">
        <v>225000</v>
      </c>
      <c r="L138" s="112">
        <f t="shared" si="38"/>
        <v>29024.403940342221</v>
      </c>
      <c r="M138" s="112">
        <v>69828.149999999994</v>
      </c>
      <c r="N138" s="112">
        <f t="shared" si="39"/>
        <v>-40803.746059657773</v>
      </c>
      <c r="O138" s="93"/>
      <c r="P138" s="93"/>
      <c r="Q138" s="115" t="s">
        <v>214</v>
      </c>
      <c r="R138" s="91"/>
    </row>
    <row r="139" spans="1:18" ht="15" hidden="1" x14ac:dyDescent="0.25">
      <c r="A139" s="2">
        <v>134</v>
      </c>
      <c r="B139" s="102" t="s">
        <v>192</v>
      </c>
      <c r="C139" s="133"/>
      <c r="D139" s="130">
        <v>42341</v>
      </c>
      <c r="E139" s="103">
        <f t="shared" si="35"/>
        <v>1411.3666666666666</v>
      </c>
      <c r="F139" s="104">
        <f t="shared" si="36"/>
        <v>1.6666666666666666E-2</v>
      </c>
      <c r="G139" s="117"/>
      <c r="H139" s="106">
        <f t="shared" si="34"/>
        <v>0</v>
      </c>
      <c r="I139" s="117"/>
      <c r="J139" s="106">
        <f t="shared" si="37"/>
        <v>0</v>
      </c>
      <c r="K139" s="108">
        <v>163793.10999999999</v>
      </c>
      <c r="L139" s="106">
        <f t="shared" si="38"/>
        <v>163793.10999999999</v>
      </c>
      <c r="M139" s="106">
        <v>69828.149999999994</v>
      </c>
      <c r="N139" s="106">
        <f t="shared" si="39"/>
        <v>93964.959999999992</v>
      </c>
      <c r="O139" s="93"/>
      <c r="P139" s="93"/>
      <c r="Q139" s="109" t="s">
        <v>212</v>
      </c>
      <c r="R139" s="91"/>
    </row>
    <row r="140" spans="1:18" hidden="1" x14ac:dyDescent="0.2">
      <c r="A140" s="92">
        <v>135</v>
      </c>
      <c r="B140" s="122" t="s">
        <v>193</v>
      </c>
      <c r="C140" s="132">
        <v>39687</v>
      </c>
      <c r="D140" s="132">
        <v>42342</v>
      </c>
      <c r="E140" s="123">
        <f t="shared" si="35"/>
        <v>88.5</v>
      </c>
      <c r="F140" s="124">
        <f t="shared" si="36"/>
        <v>1.6666666666666666E-2</v>
      </c>
      <c r="G140" s="121">
        <v>417895.5</v>
      </c>
      <c r="H140" s="112">
        <f t="shared" si="34"/>
        <v>-198500.36250000005</v>
      </c>
      <c r="I140" s="122">
        <f>+INDICES!N48/INDICES!J41</f>
        <v>1.3265327619312228</v>
      </c>
      <c r="J140" s="112">
        <f t="shared" si="37"/>
        <v>-263317.23411147401</v>
      </c>
      <c r="K140" s="125">
        <v>180000</v>
      </c>
      <c r="L140" s="112">
        <f t="shared" si="38"/>
        <v>443317.23411147401</v>
      </c>
      <c r="M140" s="112">
        <v>69828.149999999994</v>
      </c>
      <c r="N140" s="112">
        <f t="shared" si="39"/>
        <v>373489.08411147399</v>
      </c>
      <c r="O140" s="97">
        <f t="shared" ref="O140:O147" si="41">IF(N140&gt;1,N140*0.2,0)</f>
        <v>74697.816822294801</v>
      </c>
      <c r="P140" s="93"/>
      <c r="Q140" s="101" t="s">
        <v>213</v>
      </c>
      <c r="R140" s="91"/>
    </row>
    <row r="141" spans="1:18" x14ac:dyDescent="0.2">
      <c r="A141" s="68">
        <v>136</v>
      </c>
      <c r="B141" s="122" t="s">
        <v>194</v>
      </c>
      <c r="C141" s="132"/>
      <c r="D141" s="132">
        <v>42345</v>
      </c>
      <c r="E141" s="123">
        <f t="shared" si="35"/>
        <v>1411.5</v>
      </c>
      <c r="F141" s="124">
        <f t="shared" si="36"/>
        <v>1.6666666666666666E-2</v>
      </c>
      <c r="G141" s="122"/>
      <c r="H141" s="112">
        <f t="shared" si="34"/>
        <v>0</v>
      </c>
      <c r="I141" s="122"/>
      <c r="J141" s="112">
        <f t="shared" si="37"/>
        <v>0</v>
      </c>
      <c r="K141" s="125">
        <v>200000</v>
      </c>
      <c r="L141" s="112">
        <f t="shared" si="38"/>
        <v>200000</v>
      </c>
      <c r="M141" s="112">
        <v>69828.149999999994</v>
      </c>
      <c r="N141" s="112">
        <f t="shared" si="39"/>
        <v>130171.85</v>
      </c>
      <c r="O141" s="97">
        <f t="shared" si="41"/>
        <v>26034.370000000003</v>
      </c>
      <c r="P141" s="93"/>
      <c r="Q141" s="101" t="s">
        <v>213</v>
      </c>
      <c r="R141" s="91"/>
    </row>
    <row r="142" spans="1:18" hidden="1" x14ac:dyDescent="0.2">
      <c r="A142" s="2">
        <v>137</v>
      </c>
      <c r="B142" s="122" t="s">
        <v>195</v>
      </c>
      <c r="C142" s="132">
        <v>40659</v>
      </c>
      <c r="D142" s="132">
        <v>42345</v>
      </c>
      <c r="E142" s="123">
        <f t="shared" si="35"/>
        <v>56.2</v>
      </c>
      <c r="F142" s="124">
        <f t="shared" si="36"/>
        <v>1.6666666666666666E-2</v>
      </c>
      <c r="G142" s="121">
        <v>322300</v>
      </c>
      <c r="H142" s="112">
        <f t="shared" si="34"/>
        <v>20412.333333333314</v>
      </c>
      <c r="I142" s="122">
        <f>+INDICES!N48/INDICES!F44</f>
        <v>1.1760410362241911</v>
      </c>
      <c r="J142" s="112">
        <f t="shared" si="37"/>
        <v>24005.741645086906</v>
      </c>
      <c r="K142" s="125">
        <v>135000</v>
      </c>
      <c r="L142" s="112">
        <f t="shared" si="38"/>
        <v>110994.25835491309</v>
      </c>
      <c r="M142" s="112">
        <v>69828.149999999994</v>
      </c>
      <c r="N142" s="112">
        <f t="shared" si="39"/>
        <v>41166.1083549131</v>
      </c>
      <c r="O142" s="97">
        <f t="shared" si="41"/>
        <v>8233.2216709826207</v>
      </c>
      <c r="P142" s="93"/>
      <c r="Q142" s="101" t="s">
        <v>213</v>
      </c>
      <c r="R142" s="91"/>
    </row>
    <row r="143" spans="1:18" hidden="1" x14ac:dyDescent="0.2">
      <c r="A143" s="92">
        <v>138</v>
      </c>
      <c r="B143" s="122" t="s">
        <v>196</v>
      </c>
      <c r="C143" s="132">
        <v>41513</v>
      </c>
      <c r="D143" s="132">
        <v>42345</v>
      </c>
      <c r="E143" s="123">
        <f t="shared" si="35"/>
        <v>27.733333333333334</v>
      </c>
      <c r="F143" s="124">
        <f t="shared" si="36"/>
        <v>1.6666666666666666E-2</v>
      </c>
      <c r="G143" s="121">
        <v>261200</v>
      </c>
      <c r="H143" s="112">
        <f t="shared" si="34"/>
        <v>140467.55555555556</v>
      </c>
      <c r="I143" s="122">
        <f>+INDICES!N48/INDICES!J46</f>
        <v>1.088268238491342</v>
      </c>
      <c r="J143" s="112">
        <f t="shared" si="37"/>
        <v>152866.37924962919</v>
      </c>
      <c r="K143" s="125">
        <v>163000</v>
      </c>
      <c r="L143" s="112">
        <f t="shared" si="38"/>
        <v>10133.620750370814</v>
      </c>
      <c r="M143" s="112">
        <v>69828.149999999994</v>
      </c>
      <c r="N143" s="112">
        <f t="shared" si="39"/>
        <v>-59694.52924962918</v>
      </c>
      <c r="O143" s="97">
        <f t="shared" si="41"/>
        <v>0</v>
      </c>
      <c r="P143" s="93"/>
      <c r="Q143" s="101" t="s">
        <v>213</v>
      </c>
      <c r="R143" s="91"/>
    </row>
    <row r="144" spans="1:18" hidden="1" x14ac:dyDescent="0.2">
      <c r="A144" s="68">
        <v>139</v>
      </c>
      <c r="B144" s="122" t="s">
        <v>197</v>
      </c>
      <c r="C144" s="132">
        <v>39316</v>
      </c>
      <c r="D144" s="132">
        <v>42348</v>
      </c>
      <c r="E144" s="123">
        <f t="shared" si="35"/>
        <v>101.06666666666666</v>
      </c>
      <c r="F144" s="124">
        <f t="shared" si="36"/>
        <v>1.6666666666666666E-2</v>
      </c>
      <c r="G144" s="121">
        <v>284000</v>
      </c>
      <c r="H144" s="112">
        <f t="shared" si="34"/>
        <v>-194382.22222222219</v>
      </c>
      <c r="I144" s="122">
        <f>+INDICES!N48/INDICES!J40</f>
        <v>1.4004595975101009</v>
      </c>
      <c r="J144" s="112">
        <f t="shared" si="37"/>
        <v>-272224.44869645225</v>
      </c>
      <c r="K144" s="125">
        <v>100000</v>
      </c>
      <c r="L144" s="112">
        <f t="shared" si="38"/>
        <v>372224.44869645225</v>
      </c>
      <c r="M144" s="112">
        <v>69828.149999999994</v>
      </c>
      <c r="N144" s="112">
        <f t="shared" si="39"/>
        <v>302396.29869645229</v>
      </c>
      <c r="O144" s="97">
        <f t="shared" si="41"/>
        <v>60479.259739290457</v>
      </c>
      <c r="P144" s="93"/>
      <c r="Q144" s="101" t="s">
        <v>213</v>
      </c>
      <c r="R144" s="91"/>
    </row>
    <row r="145" spans="1:18" hidden="1" x14ac:dyDescent="0.2">
      <c r="A145" s="2">
        <v>140</v>
      </c>
      <c r="B145" s="122" t="s">
        <v>198</v>
      </c>
      <c r="C145" s="132">
        <v>41190</v>
      </c>
      <c r="D145" s="132">
        <v>42348</v>
      </c>
      <c r="E145" s="123">
        <f t="shared" si="35"/>
        <v>38.6</v>
      </c>
      <c r="F145" s="124">
        <f t="shared" si="36"/>
        <v>1.6666666666666666E-2</v>
      </c>
      <c r="G145" s="121">
        <v>196900</v>
      </c>
      <c r="H145" s="112">
        <f t="shared" si="34"/>
        <v>70227.666666666672</v>
      </c>
      <c r="I145" s="122">
        <f>+INDICES!N48/INDICES!L45</f>
        <v>1.115301379401193</v>
      </c>
      <c r="J145" s="112">
        <f t="shared" si="37"/>
        <v>78325.01350546052</v>
      </c>
      <c r="K145" s="125">
        <v>105000</v>
      </c>
      <c r="L145" s="112">
        <f t="shared" si="38"/>
        <v>26674.98649453948</v>
      </c>
      <c r="M145" s="112">
        <v>69828.149999999994</v>
      </c>
      <c r="N145" s="112">
        <f t="shared" si="39"/>
        <v>-43153.163505460514</v>
      </c>
      <c r="O145" s="97">
        <f t="shared" si="41"/>
        <v>0</v>
      </c>
      <c r="P145" s="93"/>
      <c r="Q145" s="101" t="s">
        <v>213</v>
      </c>
      <c r="R145" s="91"/>
    </row>
    <row r="146" spans="1:18" hidden="1" x14ac:dyDescent="0.2">
      <c r="A146" s="92">
        <v>141</v>
      </c>
      <c r="B146" s="122" t="s">
        <v>199</v>
      </c>
      <c r="C146" s="132">
        <v>40518</v>
      </c>
      <c r="D146" s="132">
        <v>42356</v>
      </c>
      <c r="E146" s="123">
        <f t="shared" si="35"/>
        <v>61.266666666666666</v>
      </c>
      <c r="F146" s="124">
        <f t="shared" si="36"/>
        <v>1.6666666666666666E-2</v>
      </c>
      <c r="G146" s="121">
        <v>403290</v>
      </c>
      <c r="H146" s="112">
        <f t="shared" si="34"/>
        <v>-8513.8999999999651</v>
      </c>
      <c r="I146" s="122">
        <f>+INDICES!N48/INDICES!N43</f>
        <v>1.1883849387786087</v>
      </c>
      <c r="J146" s="112">
        <f t="shared" si="37"/>
        <v>-10117.790530267155</v>
      </c>
      <c r="K146" s="125">
        <v>210000</v>
      </c>
      <c r="L146" s="112">
        <f t="shared" si="38"/>
        <v>220117.79053026714</v>
      </c>
      <c r="M146" s="112">
        <v>69828.149999999994</v>
      </c>
      <c r="N146" s="112">
        <f t="shared" si="39"/>
        <v>150289.64053026715</v>
      </c>
      <c r="O146" s="97">
        <f t="shared" si="41"/>
        <v>30057.92810605343</v>
      </c>
      <c r="P146" s="93"/>
      <c r="Q146" s="101" t="s">
        <v>213</v>
      </c>
      <c r="R146" s="91"/>
    </row>
    <row r="147" spans="1:18" x14ac:dyDescent="0.2">
      <c r="A147" s="68">
        <v>142</v>
      </c>
      <c r="B147" s="122" t="s">
        <v>200</v>
      </c>
      <c r="C147" s="132"/>
      <c r="D147" s="132">
        <v>42353</v>
      </c>
      <c r="E147" s="123">
        <f t="shared" si="35"/>
        <v>1411.7666666666667</v>
      </c>
      <c r="F147" s="124">
        <f t="shared" si="36"/>
        <v>1.6666666666666666E-2</v>
      </c>
      <c r="G147" s="126"/>
      <c r="H147" s="112">
        <f t="shared" si="34"/>
        <v>0</v>
      </c>
      <c r="I147" s="122"/>
      <c r="J147" s="112">
        <f t="shared" si="37"/>
        <v>0</v>
      </c>
      <c r="K147" s="125">
        <v>70000</v>
      </c>
      <c r="L147" s="112">
        <f t="shared" si="38"/>
        <v>70000</v>
      </c>
      <c r="M147" s="112">
        <v>69828.149999999994</v>
      </c>
      <c r="N147" s="112">
        <f t="shared" si="39"/>
        <v>171.85000000000582</v>
      </c>
      <c r="O147" s="97">
        <f t="shared" si="41"/>
        <v>34.370000000001163</v>
      </c>
      <c r="P147" s="93"/>
      <c r="Q147" s="101" t="s">
        <v>213</v>
      </c>
      <c r="R147" s="91"/>
    </row>
    <row r="148" spans="1:18" x14ac:dyDescent="0.2">
      <c r="A148" s="2">
        <v>143</v>
      </c>
      <c r="B148" s="122" t="s">
        <v>201</v>
      </c>
      <c r="C148" s="132"/>
      <c r="D148" s="132">
        <v>42353</v>
      </c>
      <c r="E148" s="123">
        <f t="shared" si="35"/>
        <v>1411.7666666666667</v>
      </c>
      <c r="F148" s="124">
        <f t="shared" si="36"/>
        <v>1.6666666666666666E-2</v>
      </c>
      <c r="G148" s="126"/>
      <c r="H148" s="112">
        <f t="shared" si="34"/>
        <v>0</v>
      </c>
      <c r="I148" s="122"/>
      <c r="J148" s="112">
        <f t="shared" si="37"/>
        <v>0</v>
      </c>
      <c r="K148" s="125">
        <v>225000</v>
      </c>
      <c r="L148" s="112">
        <f t="shared" si="38"/>
        <v>225000</v>
      </c>
      <c r="M148" s="112">
        <v>69828.149999999994</v>
      </c>
      <c r="N148" s="112">
        <f t="shared" si="39"/>
        <v>155171.85</v>
      </c>
      <c r="O148" s="93"/>
      <c r="P148" s="93"/>
      <c r="Q148" s="115" t="s">
        <v>214</v>
      </c>
      <c r="R148" s="91"/>
    </row>
    <row r="149" spans="1:18" x14ac:dyDescent="0.2">
      <c r="A149" s="92">
        <v>144</v>
      </c>
      <c r="B149" s="122" t="s">
        <v>202</v>
      </c>
      <c r="C149" s="132"/>
      <c r="D149" s="132">
        <v>42353</v>
      </c>
      <c r="E149" s="123">
        <f t="shared" si="35"/>
        <v>1411.7666666666667</v>
      </c>
      <c r="F149" s="124">
        <f t="shared" si="36"/>
        <v>1.6666666666666666E-2</v>
      </c>
      <c r="G149" s="126"/>
      <c r="H149" s="112">
        <f t="shared" si="34"/>
        <v>0</v>
      </c>
      <c r="I149" s="122"/>
      <c r="J149" s="112">
        <f t="shared" si="37"/>
        <v>0</v>
      </c>
      <c r="K149" s="125">
        <v>185000</v>
      </c>
      <c r="L149" s="112">
        <f t="shared" si="38"/>
        <v>185000</v>
      </c>
      <c r="M149" s="112">
        <v>69828.149999999994</v>
      </c>
      <c r="N149" s="112">
        <f t="shared" si="39"/>
        <v>115171.85</v>
      </c>
      <c r="O149" s="97">
        <f t="shared" ref="O149:O158" si="42">IF(N149&gt;1,N149*0.2,0)</f>
        <v>23034.370000000003</v>
      </c>
      <c r="P149" s="93"/>
      <c r="Q149" s="101" t="s">
        <v>213</v>
      </c>
      <c r="R149" s="91"/>
    </row>
    <row r="150" spans="1:18" x14ac:dyDescent="0.2">
      <c r="A150" s="68">
        <v>145</v>
      </c>
      <c r="B150" s="122" t="s">
        <v>203</v>
      </c>
      <c r="C150" s="132"/>
      <c r="D150" s="132">
        <v>42355</v>
      </c>
      <c r="E150" s="123">
        <f t="shared" si="35"/>
        <v>1411.8333333333333</v>
      </c>
      <c r="F150" s="124">
        <f t="shared" si="36"/>
        <v>1.6666666666666666E-2</v>
      </c>
      <c r="G150" s="126"/>
      <c r="H150" s="112">
        <f t="shared" si="34"/>
        <v>0</v>
      </c>
      <c r="I150" s="122"/>
      <c r="J150" s="112">
        <f t="shared" si="37"/>
        <v>0</v>
      </c>
      <c r="K150" s="125">
        <v>145000</v>
      </c>
      <c r="L150" s="112">
        <f t="shared" si="38"/>
        <v>145000</v>
      </c>
      <c r="M150" s="112">
        <v>69828.149999999994</v>
      </c>
      <c r="N150" s="112">
        <f t="shared" si="39"/>
        <v>75171.850000000006</v>
      </c>
      <c r="O150" s="97">
        <f t="shared" si="42"/>
        <v>15034.370000000003</v>
      </c>
      <c r="P150" s="93"/>
      <c r="Q150" s="101" t="s">
        <v>213</v>
      </c>
      <c r="R150" s="91"/>
    </row>
    <row r="151" spans="1:18" hidden="1" x14ac:dyDescent="0.2">
      <c r="A151" s="2">
        <v>146</v>
      </c>
      <c r="B151" s="122" t="s">
        <v>204</v>
      </c>
      <c r="C151" s="132">
        <v>41089</v>
      </c>
      <c r="D151" s="132">
        <v>42355</v>
      </c>
      <c r="E151" s="123">
        <f t="shared" si="35"/>
        <v>42.2</v>
      </c>
      <c r="F151" s="124">
        <f t="shared" si="36"/>
        <v>1.6666666666666666E-2</v>
      </c>
      <c r="G151" s="126">
        <v>234300</v>
      </c>
      <c r="H151" s="112">
        <f t="shared" si="34"/>
        <v>69509</v>
      </c>
      <c r="I151" s="122">
        <f>+INDICES!N48/INDICES!H45</f>
        <v>1.1356032880492057</v>
      </c>
      <c r="J151" s="112">
        <f t="shared" si="37"/>
        <v>78934.648949012248</v>
      </c>
      <c r="K151" s="125">
        <v>135000</v>
      </c>
      <c r="L151" s="112">
        <f t="shared" si="38"/>
        <v>56065.351050987752</v>
      </c>
      <c r="M151" s="112">
        <v>69828.149999999994</v>
      </c>
      <c r="N151" s="112">
        <f t="shared" si="39"/>
        <v>-13762.798949012242</v>
      </c>
      <c r="O151" s="97">
        <f t="shared" si="42"/>
        <v>0</v>
      </c>
      <c r="P151" s="93"/>
      <c r="Q151" s="101" t="s">
        <v>213</v>
      </c>
      <c r="R151" s="91"/>
    </row>
    <row r="152" spans="1:18" x14ac:dyDescent="0.2">
      <c r="A152" s="92">
        <v>147</v>
      </c>
      <c r="B152" s="122" t="s">
        <v>205</v>
      </c>
      <c r="C152" s="132"/>
      <c r="D152" s="132">
        <v>42361</v>
      </c>
      <c r="E152" s="123">
        <f t="shared" si="35"/>
        <v>1412.0333333333333</v>
      </c>
      <c r="F152" s="124">
        <f t="shared" si="36"/>
        <v>1.6666666666666666E-2</v>
      </c>
      <c r="G152" s="126"/>
      <c r="H152" s="112">
        <f t="shared" si="34"/>
        <v>0</v>
      </c>
      <c r="I152" s="122"/>
      <c r="J152" s="112">
        <f t="shared" si="37"/>
        <v>0</v>
      </c>
      <c r="K152" s="125">
        <v>97000</v>
      </c>
      <c r="L152" s="112">
        <f t="shared" si="38"/>
        <v>97000</v>
      </c>
      <c r="M152" s="112">
        <v>69828.149999999994</v>
      </c>
      <c r="N152" s="112">
        <f t="shared" si="39"/>
        <v>27171.850000000006</v>
      </c>
      <c r="O152" s="97">
        <f t="shared" si="42"/>
        <v>5434.3700000000017</v>
      </c>
      <c r="P152" s="93"/>
      <c r="Q152" s="101" t="s">
        <v>213</v>
      </c>
      <c r="R152" s="91"/>
    </row>
    <row r="153" spans="1:18" hidden="1" x14ac:dyDescent="0.2">
      <c r="A153" s="68">
        <v>148</v>
      </c>
      <c r="B153" s="122" t="s">
        <v>206</v>
      </c>
      <c r="C153" s="132">
        <v>41290</v>
      </c>
      <c r="D153" s="132">
        <v>42367</v>
      </c>
      <c r="E153" s="123">
        <f t="shared" si="35"/>
        <v>35.9</v>
      </c>
      <c r="F153" s="124">
        <f t="shared" si="36"/>
        <v>1.6666666666666666E-2</v>
      </c>
      <c r="G153" s="126">
        <v>159999.99</v>
      </c>
      <c r="H153" s="112">
        <f t="shared" si="34"/>
        <v>64266.662649999998</v>
      </c>
      <c r="I153" s="122">
        <f>+INDICES!N48/INDICES!C46</f>
        <v>1.1008005349282119</v>
      </c>
      <c r="J153" s="112">
        <f t="shared" si="37"/>
        <v>70744.776623170939</v>
      </c>
      <c r="K153" s="125">
        <v>106000</v>
      </c>
      <c r="L153" s="112">
        <f t="shared" si="38"/>
        <v>35255.223376829061</v>
      </c>
      <c r="M153" s="112">
        <v>69828.149999999994</v>
      </c>
      <c r="N153" s="112">
        <f t="shared" si="39"/>
        <v>-34572.926623170933</v>
      </c>
      <c r="O153" s="97">
        <f t="shared" si="42"/>
        <v>0</v>
      </c>
      <c r="P153" s="93"/>
      <c r="Q153" s="101" t="s">
        <v>213</v>
      </c>
      <c r="R153" s="91"/>
    </row>
    <row r="154" spans="1:18" x14ac:dyDescent="0.2">
      <c r="A154" s="2">
        <v>149</v>
      </c>
      <c r="B154" s="122" t="s">
        <v>207</v>
      </c>
      <c r="C154" s="132"/>
      <c r="D154" s="132">
        <v>42361</v>
      </c>
      <c r="E154" s="123">
        <f t="shared" si="35"/>
        <v>1412.0333333333333</v>
      </c>
      <c r="F154" s="124">
        <f t="shared" si="36"/>
        <v>1.6666666666666666E-2</v>
      </c>
      <c r="G154" s="126"/>
      <c r="H154" s="112">
        <f t="shared" si="34"/>
        <v>0</v>
      </c>
      <c r="I154" s="122"/>
      <c r="J154" s="112">
        <f t="shared" si="37"/>
        <v>0</v>
      </c>
      <c r="K154" s="125">
        <v>175000</v>
      </c>
      <c r="L154" s="112">
        <f t="shared" si="38"/>
        <v>175000</v>
      </c>
      <c r="M154" s="112">
        <v>69828.149999999994</v>
      </c>
      <c r="N154" s="112">
        <f t="shared" si="39"/>
        <v>105171.85</v>
      </c>
      <c r="O154" s="97">
        <f t="shared" si="42"/>
        <v>21034.370000000003</v>
      </c>
      <c r="P154" s="93"/>
      <c r="Q154" s="101" t="s">
        <v>213</v>
      </c>
      <c r="R154" s="91"/>
    </row>
    <row r="155" spans="1:18" hidden="1" x14ac:dyDescent="0.2">
      <c r="A155" s="92">
        <v>150</v>
      </c>
      <c r="B155" s="122" t="s">
        <v>208</v>
      </c>
      <c r="C155" s="132">
        <v>40421</v>
      </c>
      <c r="D155" s="132">
        <v>42366</v>
      </c>
      <c r="E155" s="123">
        <f t="shared" si="35"/>
        <v>64.833333333333329</v>
      </c>
      <c r="F155" s="124">
        <f t="shared" si="36"/>
        <v>1.6666666666666666E-2</v>
      </c>
      <c r="G155" s="126">
        <v>363300</v>
      </c>
      <c r="H155" s="112">
        <f t="shared" si="34"/>
        <v>-29265.833333333314</v>
      </c>
      <c r="I155" s="122">
        <f>+INDICES!N48/INDICES!J43</f>
        <v>1.2176218718388325</v>
      </c>
      <c r="J155" s="112">
        <f t="shared" si="37"/>
        <v>-35634.718764256606</v>
      </c>
      <c r="K155" s="125">
        <v>200000</v>
      </c>
      <c r="L155" s="112">
        <f t="shared" si="38"/>
        <v>235634.7187642566</v>
      </c>
      <c r="M155" s="112">
        <v>69828.149999999994</v>
      </c>
      <c r="N155" s="112">
        <f t="shared" si="39"/>
        <v>165806.5687642566</v>
      </c>
      <c r="O155" s="97">
        <f t="shared" si="42"/>
        <v>33161.313752851325</v>
      </c>
      <c r="P155" s="93"/>
      <c r="Q155" s="101" t="s">
        <v>213</v>
      </c>
      <c r="R155" s="91"/>
    </row>
    <row r="156" spans="1:18" x14ac:dyDescent="0.2">
      <c r="A156" s="68">
        <v>151</v>
      </c>
      <c r="B156" s="122" t="s">
        <v>209</v>
      </c>
      <c r="C156" s="132"/>
      <c r="D156" s="132">
        <v>42367</v>
      </c>
      <c r="E156" s="123">
        <f t="shared" si="35"/>
        <v>1412.2333333333333</v>
      </c>
      <c r="F156" s="124">
        <f t="shared" si="36"/>
        <v>1.6666666666666666E-2</v>
      </c>
      <c r="G156" s="126"/>
      <c r="H156" s="112">
        <f t="shared" si="34"/>
        <v>0</v>
      </c>
      <c r="I156" s="122"/>
      <c r="J156" s="112">
        <f t="shared" si="37"/>
        <v>0</v>
      </c>
      <c r="K156" s="125">
        <v>159000</v>
      </c>
      <c r="L156" s="112">
        <f t="shared" si="38"/>
        <v>159000</v>
      </c>
      <c r="M156" s="112">
        <v>69828.149999999994</v>
      </c>
      <c r="N156" s="112">
        <f t="shared" si="39"/>
        <v>89171.85</v>
      </c>
      <c r="O156" s="97">
        <f t="shared" si="42"/>
        <v>17834.370000000003</v>
      </c>
      <c r="P156" s="93"/>
      <c r="Q156" s="101" t="s">
        <v>213</v>
      </c>
      <c r="R156" s="91"/>
    </row>
    <row r="157" spans="1:18" x14ac:dyDescent="0.2">
      <c r="A157" s="2">
        <v>152</v>
      </c>
      <c r="B157" s="122" t="s">
        <v>210</v>
      </c>
      <c r="C157" s="132"/>
      <c r="D157" s="132">
        <v>42369</v>
      </c>
      <c r="E157" s="123">
        <f t="shared" si="35"/>
        <v>1412.3</v>
      </c>
      <c r="F157" s="124">
        <f t="shared" si="36"/>
        <v>1.6666666666666666E-2</v>
      </c>
      <c r="G157" s="126"/>
      <c r="H157" s="112">
        <f t="shared" si="34"/>
        <v>0</v>
      </c>
      <c r="I157" s="122"/>
      <c r="J157" s="112">
        <f t="shared" si="37"/>
        <v>0</v>
      </c>
      <c r="K157" s="125">
        <v>190000</v>
      </c>
      <c r="L157" s="112">
        <f t="shared" si="38"/>
        <v>190000</v>
      </c>
      <c r="M157" s="112">
        <v>69828.149999999994</v>
      </c>
      <c r="N157" s="112">
        <f t="shared" si="39"/>
        <v>120171.85</v>
      </c>
      <c r="O157" s="97">
        <f t="shared" si="42"/>
        <v>24034.370000000003</v>
      </c>
      <c r="P157" s="93"/>
      <c r="Q157" s="101" t="s">
        <v>213</v>
      </c>
      <c r="R157" s="91"/>
    </row>
    <row r="158" spans="1:18" x14ac:dyDescent="0.2"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7">
        <f t="shared" si="42"/>
        <v>0</v>
      </c>
      <c r="P158" s="93"/>
      <c r="Q158" s="109"/>
      <c r="R158" s="91"/>
    </row>
    <row r="159" spans="1:18" x14ac:dyDescent="0.2"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</row>
    <row r="160" spans="1:18" x14ac:dyDescent="0.2"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</row>
    <row r="161" spans="2:18" x14ac:dyDescent="0.2"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</row>
    <row r="162" spans="2:18" x14ac:dyDescent="0.2"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</row>
    <row r="163" spans="2:18" x14ac:dyDescent="0.2"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</row>
    <row r="164" spans="2:18" x14ac:dyDescent="0.2"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</row>
    <row r="165" spans="2:18" x14ac:dyDescent="0.2"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</row>
    <row r="166" spans="2:18" x14ac:dyDescent="0.2"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</row>
    <row r="167" spans="2:18" x14ac:dyDescent="0.2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</row>
    <row r="168" spans="2:18" x14ac:dyDescent="0.2"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</row>
    <row r="169" spans="2:18" x14ac:dyDescent="0.2"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</row>
    <row r="170" spans="2:18" x14ac:dyDescent="0.2"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</row>
    <row r="171" spans="2:18" x14ac:dyDescent="0.2"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</row>
    <row r="172" spans="2:18" x14ac:dyDescent="0.2"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</row>
    <row r="173" spans="2:18" x14ac:dyDescent="0.2"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</row>
    <row r="174" spans="2:18" x14ac:dyDescent="0.2"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</row>
    <row r="175" spans="2:18" x14ac:dyDescent="0.2"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</row>
    <row r="176" spans="2:18" x14ac:dyDescent="0.2"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</row>
    <row r="177" spans="2:18" x14ac:dyDescent="0.2"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</row>
    <row r="178" spans="2:18" x14ac:dyDescent="0.2"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</row>
    <row r="179" spans="2:18" x14ac:dyDescent="0.2"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</row>
    <row r="180" spans="2:18" x14ac:dyDescent="0.2"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</row>
    <row r="181" spans="2:18" x14ac:dyDescent="0.2"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</row>
    <row r="182" spans="2:18" x14ac:dyDescent="0.2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</row>
    <row r="183" spans="2:18" x14ac:dyDescent="0.2"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</row>
    <row r="184" spans="2:18" x14ac:dyDescent="0.2"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</row>
    <row r="185" spans="2:18" x14ac:dyDescent="0.2"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</row>
    <row r="186" spans="2:18" x14ac:dyDescent="0.2"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</row>
    <row r="187" spans="2:18" x14ac:dyDescent="0.2"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</row>
    <row r="188" spans="2:18" x14ac:dyDescent="0.2"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</row>
    <row r="189" spans="2:18" x14ac:dyDescent="0.2"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</row>
    <row r="190" spans="2:18" x14ac:dyDescent="0.2"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</row>
    <row r="191" spans="2:18" x14ac:dyDescent="0.2"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</row>
    <row r="192" spans="2:18" x14ac:dyDescent="0.2"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</row>
    <row r="193" spans="2:18" x14ac:dyDescent="0.2"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</row>
    <row r="194" spans="2:18" x14ac:dyDescent="0.2"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</row>
    <row r="195" spans="2:18" x14ac:dyDescent="0.2"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</row>
    <row r="196" spans="2:18" x14ac:dyDescent="0.2"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</row>
    <row r="197" spans="2:18" x14ac:dyDescent="0.2"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</row>
    <row r="198" spans="2:18" x14ac:dyDescent="0.2"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</row>
    <row r="199" spans="2:18" x14ac:dyDescent="0.2"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</row>
    <row r="200" spans="2:18" x14ac:dyDescent="0.2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</row>
    <row r="201" spans="2:18" x14ac:dyDescent="0.2"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</row>
    <row r="202" spans="2:18" x14ac:dyDescent="0.2"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</row>
    <row r="203" spans="2:18" x14ac:dyDescent="0.2"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</row>
    <row r="204" spans="2:18" x14ac:dyDescent="0.2"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</row>
    <row r="205" spans="2:18" x14ac:dyDescent="0.2"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</row>
    <row r="206" spans="2:18" x14ac:dyDescent="0.2"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</row>
    <row r="207" spans="2:18" x14ac:dyDescent="0.2"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</row>
    <row r="208" spans="2:18" x14ac:dyDescent="0.2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</row>
    <row r="209" spans="2:18" x14ac:dyDescent="0.2"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</row>
    <row r="210" spans="2:18" x14ac:dyDescent="0.2"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</row>
    <row r="211" spans="2:18" x14ac:dyDescent="0.2"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</row>
    <row r="212" spans="2:18" x14ac:dyDescent="0.2"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</row>
    <row r="213" spans="2:18" x14ac:dyDescent="0.2"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</row>
    <row r="214" spans="2:18" x14ac:dyDescent="0.2"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</row>
    <row r="215" spans="2:18" x14ac:dyDescent="0.2"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</row>
    <row r="216" spans="2:18" x14ac:dyDescent="0.2"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</row>
    <row r="217" spans="2:18" x14ac:dyDescent="0.2"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</row>
    <row r="218" spans="2:18" x14ac:dyDescent="0.2"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</row>
    <row r="219" spans="2:18" x14ac:dyDescent="0.2"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</row>
    <row r="220" spans="2:18" x14ac:dyDescent="0.2"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</row>
    <row r="221" spans="2:18" x14ac:dyDescent="0.2"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</row>
    <row r="222" spans="2:18" x14ac:dyDescent="0.2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</row>
    <row r="223" spans="2:18" x14ac:dyDescent="0.2"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</row>
    <row r="224" spans="2:18" x14ac:dyDescent="0.2"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</row>
    <row r="225" spans="2:18" x14ac:dyDescent="0.2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</row>
    <row r="226" spans="2:18" x14ac:dyDescent="0.2"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</row>
    <row r="227" spans="2:18" x14ac:dyDescent="0.2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</row>
    <row r="228" spans="2:18" x14ac:dyDescent="0.2"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</row>
    <row r="229" spans="2:18" x14ac:dyDescent="0.2"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</row>
    <row r="230" spans="2:18" x14ac:dyDescent="0.2"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</row>
    <row r="231" spans="2:18" x14ac:dyDescent="0.2"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</row>
    <row r="232" spans="2:18" x14ac:dyDescent="0.2"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</row>
    <row r="233" spans="2:18" x14ac:dyDescent="0.2"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</row>
    <row r="234" spans="2:18" x14ac:dyDescent="0.2"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</row>
    <row r="235" spans="2:18" x14ac:dyDescent="0.2"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</row>
    <row r="236" spans="2:18" x14ac:dyDescent="0.2"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</row>
    <row r="237" spans="2:18" x14ac:dyDescent="0.2"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</row>
    <row r="238" spans="2:18" x14ac:dyDescent="0.2"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</row>
    <row r="239" spans="2:18" x14ac:dyDescent="0.2"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</row>
    <row r="240" spans="2:18" x14ac:dyDescent="0.2"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</row>
    <row r="241" spans="2:18" x14ac:dyDescent="0.2"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</row>
    <row r="242" spans="2:18" x14ac:dyDescent="0.2"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</row>
    <row r="243" spans="2:18" x14ac:dyDescent="0.2"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</row>
    <row r="244" spans="2:18" x14ac:dyDescent="0.2"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</row>
    <row r="245" spans="2:18" x14ac:dyDescent="0.2"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</row>
    <row r="246" spans="2:18" x14ac:dyDescent="0.2"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</row>
    <row r="247" spans="2:18" x14ac:dyDescent="0.2"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</row>
    <row r="248" spans="2:18" x14ac:dyDescent="0.2"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</row>
    <row r="249" spans="2:18" x14ac:dyDescent="0.2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</row>
    <row r="250" spans="2:18" x14ac:dyDescent="0.2"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</row>
    <row r="251" spans="2:18" x14ac:dyDescent="0.2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</row>
    <row r="252" spans="2:18" x14ac:dyDescent="0.2"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</row>
    <row r="253" spans="2:18" x14ac:dyDescent="0.2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</row>
    <row r="254" spans="2:18" x14ac:dyDescent="0.2"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</row>
    <row r="255" spans="2:18" x14ac:dyDescent="0.2"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</row>
    <row r="256" spans="2:18" x14ac:dyDescent="0.2"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</row>
    <row r="257" spans="2:18" x14ac:dyDescent="0.2"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</row>
    <row r="258" spans="2:18" x14ac:dyDescent="0.2"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</row>
    <row r="259" spans="2:18" x14ac:dyDescent="0.2"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</row>
    <row r="260" spans="2:18" x14ac:dyDescent="0.2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</row>
    <row r="261" spans="2:18" x14ac:dyDescent="0.2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</row>
    <row r="262" spans="2:18" x14ac:dyDescent="0.2"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</row>
    <row r="263" spans="2:18" x14ac:dyDescent="0.2"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</row>
    <row r="264" spans="2:18" x14ac:dyDescent="0.2"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</row>
    <row r="265" spans="2:18" x14ac:dyDescent="0.2"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</row>
    <row r="266" spans="2:18" x14ac:dyDescent="0.2"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</row>
    <row r="267" spans="2:18" x14ac:dyDescent="0.2"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</row>
    <row r="268" spans="2:18" x14ac:dyDescent="0.2"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</row>
    <row r="269" spans="2:18" x14ac:dyDescent="0.2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</row>
    <row r="270" spans="2:18" x14ac:dyDescent="0.2"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</row>
    <row r="271" spans="2:18" x14ac:dyDescent="0.2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</row>
    <row r="272" spans="2:18" x14ac:dyDescent="0.2"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</row>
    <row r="273" spans="2:18" x14ac:dyDescent="0.2"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</row>
    <row r="274" spans="2:18" x14ac:dyDescent="0.2"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</row>
    <row r="275" spans="2:18" x14ac:dyDescent="0.2"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</row>
    <row r="276" spans="2:18" x14ac:dyDescent="0.2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</row>
    <row r="277" spans="2:18" x14ac:dyDescent="0.2"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</row>
    <row r="278" spans="2:18" x14ac:dyDescent="0.2"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</row>
    <row r="279" spans="2:18" x14ac:dyDescent="0.2"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</row>
    <row r="280" spans="2:18" x14ac:dyDescent="0.2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</row>
    <row r="281" spans="2:18" x14ac:dyDescent="0.2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</row>
    <row r="282" spans="2:18" x14ac:dyDescent="0.2"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</row>
    <row r="283" spans="2:18" x14ac:dyDescent="0.2"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</row>
    <row r="284" spans="2:18" x14ac:dyDescent="0.2"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</row>
    <row r="285" spans="2:18" x14ac:dyDescent="0.2"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</row>
    <row r="286" spans="2:18" x14ac:dyDescent="0.2"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</row>
    <row r="287" spans="2:18" x14ac:dyDescent="0.2"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</row>
    <row r="288" spans="2:18" x14ac:dyDescent="0.2"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</row>
    <row r="289" spans="2:18" x14ac:dyDescent="0.2"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</row>
    <row r="290" spans="2:18" x14ac:dyDescent="0.2"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</row>
    <row r="291" spans="2:18" x14ac:dyDescent="0.2"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</row>
    <row r="292" spans="2:18" x14ac:dyDescent="0.2"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</row>
    <row r="293" spans="2:18" x14ac:dyDescent="0.2"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</row>
    <row r="294" spans="2:18" x14ac:dyDescent="0.2"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</row>
    <row r="295" spans="2:18" x14ac:dyDescent="0.2"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</row>
    <row r="296" spans="2:18" x14ac:dyDescent="0.2"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</row>
    <row r="297" spans="2:18" x14ac:dyDescent="0.2"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</row>
    <row r="298" spans="2:18" x14ac:dyDescent="0.2"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</row>
    <row r="299" spans="2:18" x14ac:dyDescent="0.2"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</row>
    <row r="300" spans="2:18" x14ac:dyDescent="0.2"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</row>
    <row r="301" spans="2:18" x14ac:dyDescent="0.2"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</row>
    <row r="302" spans="2:18" x14ac:dyDescent="0.2"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</row>
    <row r="303" spans="2:18" x14ac:dyDescent="0.2"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</row>
    <row r="304" spans="2:18" x14ac:dyDescent="0.2"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</row>
    <row r="305" spans="2:18" x14ac:dyDescent="0.2"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</row>
    <row r="306" spans="2:18" x14ac:dyDescent="0.2"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</row>
    <row r="307" spans="2:18" x14ac:dyDescent="0.2"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</row>
    <row r="308" spans="2:18" x14ac:dyDescent="0.2"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</row>
    <row r="309" spans="2:18" x14ac:dyDescent="0.2"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</row>
    <row r="310" spans="2:18" x14ac:dyDescent="0.2"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</row>
    <row r="311" spans="2:18" x14ac:dyDescent="0.2"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</row>
    <row r="312" spans="2:18" x14ac:dyDescent="0.2"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</row>
    <row r="313" spans="2:18" x14ac:dyDescent="0.2"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</row>
    <row r="314" spans="2:18" x14ac:dyDescent="0.2"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</row>
    <row r="315" spans="2:18" x14ac:dyDescent="0.2"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</row>
    <row r="316" spans="2:18" x14ac:dyDescent="0.2"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</row>
    <row r="317" spans="2:18" x14ac:dyDescent="0.2"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</row>
    <row r="318" spans="2:18" x14ac:dyDescent="0.2"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</row>
    <row r="319" spans="2:18" x14ac:dyDescent="0.2"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</row>
    <row r="320" spans="2:18" x14ac:dyDescent="0.2"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</row>
    <row r="321" spans="2:18" x14ac:dyDescent="0.2"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</row>
    <row r="322" spans="2:18" x14ac:dyDescent="0.2"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</row>
    <row r="323" spans="2:18" x14ac:dyDescent="0.2"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</row>
    <row r="324" spans="2:18" x14ac:dyDescent="0.2"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</row>
    <row r="325" spans="2:18" x14ac:dyDescent="0.2"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</row>
    <row r="326" spans="2:18" x14ac:dyDescent="0.2"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</row>
    <row r="327" spans="2:18" x14ac:dyDescent="0.2"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</row>
    <row r="328" spans="2:18" x14ac:dyDescent="0.2"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</row>
    <row r="329" spans="2:18" x14ac:dyDescent="0.2"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</row>
    <row r="330" spans="2:18" x14ac:dyDescent="0.2"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</row>
    <row r="331" spans="2:18" x14ac:dyDescent="0.2"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</row>
    <row r="332" spans="2:18" x14ac:dyDescent="0.2"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</row>
    <row r="333" spans="2:18" x14ac:dyDescent="0.2"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</row>
    <row r="334" spans="2:18" x14ac:dyDescent="0.2"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</row>
    <row r="335" spans="2:18" x14ac:dyDescent="0.2"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</row>
    <row r="336" spans="2:18" x14ac:dyDescent="0.2"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</row>
    <row r="337" spans="2:18" x14ac:dyDescent="0.2"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</row>
    <row r="338" spans="2:18" x14ac:dyDescent="0.2"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</row>
    <row r="339" spans="2:18" x14ac:dyDescent="0.2"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</row>
    <row r="340" spans="2:18" x14ac:dyDescent="0.2"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</row>
    <row r="341" spans="2:18" x14ac:dyDescent="0.2"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</row>
    <row r="342" spans="2:18" x14ac:dyDescent="0.2"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</row>
    <row r="343" spans="2:18" x14ac:dyDescent="0.2"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</row>
    <row r="344" spans="2:18" x14ac:dyDescent="0.2"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</row>
    <row r="345" spans="2:18" x14ac:dyDescent="0.2"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</row>
    <row r="346" spans="2:18" x14ac:dyDescent="0.2"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</row>
    <row r="347" spans="2:18" x14ac:dyDescent="0.2"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</row>
    <row r="348" spans="2:18" x14ac:dyDescent="0.2"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</row>
    <row r="349" spans="2:18" x14ac:dyDescent="0.2"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</row>
    <row r="350" spans="2:18" x14ac:dyDescent="0.2"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</row>
    <row r="351" spans="2:18" x14ac:dyDescent="0.2"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</row>
    <row r="352" spans="2:18" x14ac:dyDescent="0.2"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</row>
    <row r="353" spans="2:18" x14ac:dyDescent="0.2"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</row>
    <row r="354" spans="2:18" x14ac:dyDescent="0.2"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</row>
    <row r="355" spans="2:18" x14ac:dyDescent="0.2"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</row>
    <row r="356" spans="2:18" x14ac:dyDescent="0.2"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</row>
    <row r="357" spans="2:18" x14ac:dyDescent="0.2"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</row>
    <row r="358" spans="2:18" x14ac:dyDescent="0.2"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</row>
    <row r="359" spans="2:18" x14ac:dyDescent="0.2"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</row>
    <row r="360" spans="2:18" x14ac:dyDescent="0.2"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</row>
    <row r="361" spans="2:18" x14ac:dyDescent="0.2"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</row>
    <row r="362" spans="2:18" x14ac:dyDescent="0.2"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</row>
    <row r="363" spans="2:18" x14ac:dyDescent="0.2"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</row>
    <row r="364" spans="2:18" x14ac:dyDescent="0.2"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</row>
    <row r="365" spans="2:18" x14ac:dyDescent="0.2"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</row>
    <row r="366" spans="2:18" x14ac:dyDescent="0.2"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</row>
    <row r="367" spans="2:18" x14ac:dyDescent="0.2"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</row>
    <row r="368" spans="2:18" x14ac:dyDescent="0.2"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</row>
    <row r="369" spans="2:18" x14ac:dyDescent="0.2"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</row>
    <row r="370" spans="2:18" x14ac:dyDescent="0.2"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</row>
    <row r="371" spans="2:18" x14ac:dyDescent="0.2"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</row>
    <row r="372" spans="2:18" x14ac:dyDescent="0.2"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</row>
    <row r="373" spans="2:18" x14ac:dyDescent="0.2"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</row>
    <row r="374" spans="2:18" x14ac:dyDescent="0.2"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</row>
    <row r="375" spans="2:18" x14ac:dyDescent="0.2"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</row>
    <row r="376" spans="2:18" x14ac:dyDescent="0.2"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</row>
    <row r="377" spans="2:18" x14ac:dyDescent="0.2"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</row>
    <row r="378" spans="2:18" x14ac:dyDescent="0.2"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</row>
    <row r="379" spans="2:18" x14ac:dyDescent="0.2"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</row>
    <row r="380" spans="2:18" x14ac:dyDescent="0.2"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</row>
    <row r="381" spans="2:18" x14ac:dyDescent="0.2"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</row>
    <row r="382" spans="2:18" x14ac:dyDescent="0.2"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</row>
    <row r="383" spans="2:18" x14ac:dyDescent="0.2"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</row>
    <row r="384" spans="2:18" x14ac:dyDescent="0.2"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</row>
    <row r="385" spans="2:18" x14ac:dyDescent="0.2"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</row>
  </sheetData>
  <autoFilter ref="A5:Q158">
    <filterColumn colId="1">
      <colorFilter dxfId="0" cellColor="0"/>
    </filterColumn>
    <filterColumn colId="6">
      <filters blank="1"/>
    </filterColumn>
  </autoFilter>
  <phoneticPr fontId="0" type="noConversion"/>
  <pageMargins left="0.29652777777777778" right="0.26458333333333334" top="0.31388888888888888" bottom="0.98402777777777772" header="0.51180555555555551" footer="0.51180555555555551"/>
  <pageSetup scale="5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workbookViewId="0">
      <pane xSplit="1" ySplit="1" topLeftCell="B24" activePane="bottomRight" state="frozen"/>
      <selection pane="topRight" activeCell="B1" sqref="B1"/>
      <selection pane="bottomLeft" activeCell="A2" sqref="A2"/>
      <selection pane="bottomRight" activeCell="M46" sqref="M46"/>
    </sheetView>
  </sheetViews>
  <sheetFormatPr baseColWidth="10" defaultRowHeight="12.75" x14ac:dyDescent="0.2"/>
  <cols>
    <col min="1" max="1" width="6.140625" customWidth="1"/>
    <col min="2" max="14" width="8.5703125" customWidth="1"/>
    <col min="16" max="16" width="12.42578125" bestFit="1" customWidth="1"/>
  </cols>
  <sheetData>
    <row r="1" spans="1:14" x14ac:dyDescent="0.2">
      <c r="A1" s="45"/>
      <c r="B1" s="45" t="s">
        <v>35</v>
      </c>
      <c r="C1" s="45" t="s">
        <v>36</v>
      </c>
      <c r="D1" s="45" t="s">
        <v>37</v>
      </c>
      <c r="E1" s="45" t="s">
        <v>38</v>
      </c>
      <c r="F1" s="45" t="s">
        <v>39</v>
      </c>
      <c r="G1" s="45" t="s">
        <v>40</v>
      </c>
      <c r="H1" s="46" t="s">
        <v>41</v>
      </c>
      <c r="I1" s="45" t="s">
        <v>42</v>
      </c>
      <c r="J1" s="45" t="s">
        <v>43</v>
      </c>
      <c r="K1" s="45" t="s">
        <v>44</v>
      </c>
      <c r="L1" s="45" t="s">
        <v>45</v>
      </c>
      <c r="M1" s="45" t="s">
        <v>46</v>
      </c>
      <c r="N1" s="45" t="s">
        <v>35</v>
      </c>
    </row>
    <row r="2" spans="1:14" x14ac:dyDescent="0.2">
      <c r="A2" s="45">
        <v>1969</v>
      </c>
      <c r="B2" s="47"/>
      <c r="C2" s="48">
        <v>2.2381000000000002E-2</v>
      </c>
      <c r="D2" s="47">
        <v>2.2461999999999999E-2</v>
      </c>
      <c r="E2" s="47">
        <v>2.2484000000000001E-2</v>
      </c>
      <c r="F2" s="47">
        <v>2.2544999999999999E-2</v>
      </c>
      <c r="G2" s="47">
        <v>2.2544999999999999E-2</v>
      </c>
      <c r="H2" s="49">
        <v>2.2624999999999999E-2</v>
      </c>
      <c r="I2" s="47">
        <v>2.2710999999999999E-2</v>
      </c>
      <c r="J2" s="47">
        <v>2.2735999999999999E-2</v>
      </c>
      <c r="K2" s="47">
        <v>2.2949000000000001E-2</v>
      </c>
      <c r="L2" s="47">
        <v>2.3189999999999999E-2</v>
      </c>
      <c r="M2" s="47">
        <v>2.3189999999999999E-2</v>
      </c>
      <c r="N2" s="47" t="s">
        <v>47</v>
      </c>
    </row>
    <row r="3" spans="1:14" x14ac:dyDescent="0.2">
      <c r="A3" s="45">
        <v>1970</v>
      </c>
      <c r="B3" s="47"/>
      <c r="C3" s="47">
        <v>2.3545E-2</v>
      </c>
      <c r="D3" s="47">
        <v>2.3542E-2</v>
      </c>
      <c r="E3" s="47">
        <v>2.3612000000000001E-2</v>
      </c>
      <c r="F3" s="47">
        <v>2.3642E-2</v>
      </c>
      <c r="G3" s="47">
        <v>2.3692000000000001E-2</v>
      </c>
      <c r="H3" s="49">
        <v>2.3836E-2</v>
      </c>
      <c r="I3" s="47">
        <v>2.3952000000000001E-2</v>
      </c>
      <c r="J3" s="47">
        <v>2.4063000000000001E-2</v>
      </c>
      <c r="K3" s="47">
        <v>2.4121E-2</v>
      </c>
      <c r="L3" s="47">
        <v>2.4129999999999999E-2</v>
      </c>
      <c r="M3" s="47"/>
      <c r="N3" s="47"/>
    </row>
    <row r="4" spans="1:14" x14ac:dyDescent="0.2">
      <c r="A4" s="45">
        <v>1971</v>
      </c>
      <c r="B4" s="47"/>
      <c r="C4" s="47">
        <v>2.4705999999999999E-2</v>
      </c>
      <c r="D4" s="47">
        <v>2.4806000000000002E-2</v>
      </c>
      <c r="E4" s="47">
        <v>2.4902000000000001E-2</v>
      </c>
      <c r="F4" s="47">
        <v>2.503E-2</v>
      </c>
      <c r="G4" s="47">
        <v>2.5083000000000001E-2</v>
      </c>
      <c r="H4" s="49">
        <v>2.5196E-2</v>
      </c>
      <c r="I4" s="47">
        <v>2.5177000000000001E-2</v>
      </c>
      <c r="J4" s="47">
        <v>2.5406999999999999E-2</v>
      </c>
      <c r="K4" s="47">
        <v>2.5489999999999999E-2</v>
      </c>
      <c r="L4" s="47">
        <v>2.5514999999999999E-2</v>
      </c>
      <c r="M4" s="47"/>
      <c r="N4" s="47"/>
    </row>
    <row r="5" spans="1:14" x14ac:dyDescent="0.2">
      <c r="A5" s="45">
        <v>1972</v>
      </c>
      <c r="B5" s="47"/>
      <c r="C5" s="47">
        <v>2.5791999999999999E-2</v>
      </c>
      <c r="D5" s="47">
        <v>2.5871999999999999E-2</v>
      </c>
      <c r="E5" s="47">
        <v>2.6013000000000001E-2</v>
      </c>
      <c r="F5" s="47">
        <v>2.6176999999999999E-2</v>
      </c>
      <c r="G5" s="47">
        <v>2.6228999999999999E-2</v>
      </c>
      <c r="H5" s="49">
        <v>2.6422999999999999E-2</v>
      </c>
      <c r="I5" s="47">
        <v>2.6523000000000001E-2</v>
      </c>
      <c r="J5" s="47">
        <v>2.6698E-2</v>
      </c>
      <c r="K5" s="47">
        <v>2.682E-2</v>
      </c>
      <c r="L5" s="47">
        <v>2.6838999999999998E-2</v>
      </c>
      <c r="M5" s="47"/>
      <c r="N5" s="47"/>
    </row>
    <row r="6" spans="1:14" x14ac:dyDescent="0.2">
      <c r="A6" s="45">
        <v>1973</v>
      </c>
      <c r="B6" s="47"/>
      <c r="C6" s="47">
        <v>2.7498000000000002E-2</v>
      </c>
      <c r="D6" s="47">
        <v>2.7725E-2</v>
      </c>
      <c r="E6" s="47">
        <v>2.7969000000000001E-2</v>
      </c>
      <c r="F6" s="47">
        <v>2.8412E-2</v>
      </c>
      <c r="G6" s="47">
        <v>2.8714E-2</v>
      </c>
      <c r="H6" s="49">
        <v>2.895E-2</v>
      </c>
      <c r="I6" s="47">
        <v>2.9692E-2</v>
      </c>
      <c r="J6" s="47">
        <v>3.0169000000000001E-2</v>
      </c>
      <c r="K6" s="47">
        <v>3.0886E-2</v>
      </c>
      <c r="L6" s="47">
        <v>3.1282999999999998E-2</v>
      </c>
      <c r="M6" s="47"/>
      <c r="N6" s="47"/>
    </row>
    <row r="7" spans="1:14" x14ac:dyDescent="0.2">
      <c r="A7" s="45">
        <v>1974</v>
      </c>
      <c r="B7" s="47"/>
      <c r="C7" s="47">
        <v>3.4075000000000001E-2</v>
      </c>
      <c r="D7" s="47">
        <v>3.4845000000000001E-2</v>
      </c>
      <c r="E7" s="47">
        <v>3.5113999999999999E-2</v>
      </c>
      <c r="F7" s="47">
        <v>3.5589999999999997E-2</v>
      </c>
      <c r="G7" s="47">
        <v>3.5869999999999999E-2</v>
      </c>
      <c r="H7" s="49">
        <v>3.6225E-2</v>
      </c>
      <c r="I7" s="47">
        <v>3.6748000000000003E-2</v>
      </c>
      <c r="J7" s="47">
        <v>3.7136000000000002E-2</v>
      </c>
      <c r="K7" s="47">
        <v>3.7557E-2</v>
      </c>
      <c r="L7" s="47">
        <v>3.8302999999999997E-2</v>
      </c>
      <c r="M7" s="47"/>
      <c r="N7" s="47"/>
    </row>
    <row r="8" spans="1:14" x14ac:dyDescent="0.2">
      <c r="A8" s="45">
        <v>1975</v>
      </c>
      <c r="B8" s="47"/>
      <c r="C8" s="47">
        <v>4.0181000000000001E-2</v>
      </c>
      <c r="D8" s="47">
        <v>4.0402E-2</v>
      </c>
      <c r="E8" s="47">
        <v>4.0656999999999999E-2</v>
      </c>
      <c r="F8" s="47">
        <v>4.1001000000000003E-2</v>
      </c>
      <c r="G8" s="47">
        <v>4.1549000000000003E-2</v>
      </c>
      <c r="H8" s="49">
        <v>4.2256000000000002E-2</v>
      </c>
      <c r="I8" s="47">
        <v>4.2594E-2</v>
      </c>
      <c r="J8" s="47">
        <v>4.2962E-2</v>
      </c>
      <c r="K8" s="47">
        <v>4.3275000000000001E-2</v>
      </c>
      <c r="L8" s="47">
        <v>4.3497000000000001E-2</v>
      </c>
      <c r="M8" s="47"/>
      <c r="N8" s="47"/>
    </row>
    <row r="9" spans="1:14" x14ac:dyDescent="0.2">
      <c r="A9" s="45">
        <v>1976</v>
      </c>
      <c r="B9" s="47"/>
      <c r="C9" s="47">
        <v>4.5012000000000003E-2</v>
      </c>
      <c r="D9" s="47">
        <v>4.5853999999999999E-2</v>
      </c>
      <c r="E9" s="47">
        <v>4.6302999999999997E-2</v>
      </c>
      <c r="F9" s="47">
        <v>4.6627000000000002E-2</v>
      </c>
      <c r="G9" s="47">
        <v>4.6954000000000003E-2</v>
      </c>
      <c r="H9" s="49">
        <v>4.7142999999999997E-2</v>
      </c>
      <c r="I9" s="47">
        <v>4.7542000000000001E-2</v>
      </c>
      <c r="J9" s="47">
        <v>4.7995999999999997E-2</v>
      </c>
      <c r="K9" s="47">
        <v>4.9632999999999997E-2</v>
      </c>
      <c r="L9" s="47">
        <v>5.2428000000000002E-2</v>
      </c>
      <c r="M9" s="47"/>
      <c r="N9" s="47"/>
    </row>
    <row r="10" spans="1:14" x14ac:dyDescent="0.2">
      <c r="A10" s="45">
        <v>1977</v>
      </c>
      <c r="B10" s="47"/>
      <c r="C10" s="47">
        <v>5.7960999999999999E-2</v>
      </c>
      <c r="D10" s="47">
        <v>5.9241000000000002E-2</v>
      </c>
      <c r="E10" s="47">
        <v>6.0274000000000001E-2</v>
      </c>
      <c r="F10" s="47">
        <v>6.1185000000000003E-2</v>
      </c>
      <c r="G10" s="47">
        <v>6.1723E-2</v>
      </c>
      <c r="H10" s="49">
        <v>6.2479E-2</v>
      </c>
      <c r="I10" s="47">
        <v>6.3186000000000006E-2</v>
      </c>
      <c r="J10" s="47">
        <v>6.4481999999999998E-2</v>
      </c>
      <c r="K10" s="47">
        <v>6.5626000000000004E-2</v>
      </c>
      <c r="L10" s="47">
        <v>6.6128000000000006E-2</v>
      </c>
      <c r="M10" s="47"/>
      <c r="N10" s="47"/>
    </row>
    <row r="11" spans="1:14" x14ac:dyDescent="0.2">
      <c r="A11" s="45">
        <v>1978</v>
      </c>
      <c r="B11" s="47"/>
      <c r="C11" s="47">
        <v>6.9282999999999997E-2</v>
      </c>
      <c r="D11" s="47">
        <v>7.0277999999999993E-2</v>
      </c>
      <c r="E11" s="47">
        <v>7.1009000000000003E-2</v>
      </c>
      <c r="F11" s="47">
        <v>7.1799000000000002E-2</v>
      </c>
      <c r="G11" s="47">
        <v>7.2501999999999997E-2</v>
      </c>
      <c r="H11" s="49">
        <v>7.3499999999999996E-2</v>
      </c>
      <c r="I11" s="47">
        <v>7.4746000000000007E-2</v>
      </c>
      <c r="J11" s="47">
        <v>7.5491000000000003E-2</v>
      </c>
      <c r="K11" s="47">
        <v>7.6353000000000004E-2</v>
      </c>
      <c r="L11" s="47">
        <v>7.7277999999999999E-2</v>
      </c>
      <c r="M11" s="47"/>
      <c r="N11" s="47"/>
    </row>
    <row r="12" spans="1:14" x14ac:dyDescent="0.2">
      <c r="A12" s="45">
        <v>1979</v>
      </c>
      <c r="B12" s="47"/>
      <c r="C12" s="47">
        <v>8.1531000000000006E-2</v>
      </c>
      <c r="D12" s="47">
        <v>8.2702999999999999E-2</v>
      </c>
      <c r="E12" s="47">
        <v>8.3824999999999997E-2</v>
      </c>
      <c r="F12" s="47">
        <v>8.4574999999999997E-2</v>
      </c>
      <c r="G12" s="47">
        <v>8.5683999999999996E-2</v>
      </c>
      <c r="H12" s="49">
        <v>8.6634000000000003E-2</v>
      </c>
      <c r="I12" s="47">
        <v>8.7683999999999998E-2</v>
      </c>
      <c r="J12" s="47">
        <v>8.9011000000000007E-2</v>
      </c>
      <c r="K12" s="47">
        <v>9.0102000000000002E-2</v>
      </c>
      <c r="L12" s="47">
        <v>9.1675999999999994E-2</v>
      </c>
      <c r="M12" s="47"/>
      <c r="N12" s="47">
        <f>0.03411*27.7032/100</f>
        <v>9.4495615200000001E-3</v>
      </c>
    </row>
    <row r="13" spans="1:14" x14ac:dyDescent="0.2">
      <c r="A13" s="45">
        <v>1980</v>
      </c>
      <c r="B13" s="72">
        <f t="shared" ref="B13:B25" si="0">+N12</f>
        <v>9.4495615200000001E-3</v>
      </c>
      <c r="C13" s="47">
        <v>9.9106E-2</v>
      </c>
      <c r="D13" s="47">
        <v>1.014E-2</v>
      </c>
      <c r="E13" s="47">
        <v>0.10348</v>
      </c>
      <c r="F13" s="47">
        <v>0.10528999999999999</v>
      </c>
      <c r="G13" s="47">
        <v>0.10700999999999999</v>
      </c>
      <c r="H13" s="49">
        <v>0.10913</v>
      </c>
      <c r="I13" s="47">
        <v>0.11218</v>
      </c>
      <c r="J13" s="47">
        <v>0.1145</v>
      </c>
      <c r="K13" s="47">
        <v>0.11577</v>
      </c>
      <c r="L13" s="47">
        <v>0.11753</v>
      </c>
      <c r="M13" s="47">
        <f>0.04242*27.7032/100</f>
        <v>1.175169744E-2</v>
      </c>
      <c r="N13" s="47">
        <f>0.4429*27.7032/100</f>
        <v>0.12269747280000001</v>
      </c>
    </row>
    <row r="14" spans="1:14" x14ac:dyDescent="0.2">
      <c r="A14" s="45">
        <v>1981</v>
      </c>
      <c r="B14" s="72">
        <f t="shared" si="0"/>
        <v>0.12269747280000001</v>
      </c>
      <c r="C14" s="47">
        <v>0.12665999999999999</v>
      </c>
      <c r="D14" s="47">
        <v>0.12977</v>
      </c>
      <c r="E14" s="47">
        <v>0.13253999999999999</v>
      </c>
      <c r="F14" s="47">
        <v>0.13553000000000001</v>
      </c>
      <c r="G14" s="47">
        <v>0.13758000000000001</v>
      </c>
      <c r="H14" s="49">
        <v>0.13951</v>
      </c>
      <c r="I14" s="47">
        <v>0.14196</v>
      </c>
      <c r="J14" s="47">
        <v>0.14488999999999999</v>
      </c>
      <c r="K14" s="47">
        <v>0.14757999999999999</v>
      </c>
      <c r="L14" s="47">
        <v>0.15085999999999999</v>
      </c>
      <c r="M14" s="47">
        <f>0.555*27.7032/100</f>
        <v>0.15375276000000002</v>
      </c>
      <c r="N14" s="47">
        <f>0.57*27.7032/100</f>
        <v>0.15790823999999998</v>
      </c>
    </row>
    <row r="15" spans="1:14" x14ac:dyDescent="0.2">
      <c r="A15" s="45">
        <v>1982</v>
      </c>
      <c r="B15" s="72">
        <f t="shared" si="0"/>
        <v>0.15790823999999998</v>
      </c>
      <c r="C15" s="47">
        <v>0.16575000000000001</v>
      </c>
      <c r="D15" s="47">
        <v>0.17226</v>
      </c>
      <c r="E15" s="47">
        <v>0.17854999999999999</v>
      </c>
      <c r="F15" s="47">
        <v>0.18823000000000001</v>
      </c>
      <c r="G15" s="47">
        <v>0.19880999999999999</v>
      </c>
      <c r="H15" s="49">
        <v>0.20838000000000001</v>
      </c>
      <c r="I15" s="47">
        <v>0.21912000000000001</v>
      </c>
      <c r="J15" s="47">
        <v>0.24371000000000001</v>
      </c>
      <c r="K15" s="47">
        <v>0.25672</v>
      </c>
      <c r="L15" s="47">
        <v>0.27002999999999999</v>
      </c>
      <c r="M15" s="47">
        <f>1.024*27.7032/100</f>
        <v>0.28368076800000003</v>
      </c>
      <c r="N15" s="47">
        <f>1.1334*27.7032/100</f>
        <v>0.31398806879999996</v>
      </c>
    </row>
    <row r="16" spans="1:14" x14ac:dyDescent="0.2">
      <c r="A16" s="45">
        <v>1983</v>
      </c>
      <c r="B16" s="72">
        <f t="shared" si="0"/>
        <v>0.31398806879999996</v>
      </c>
      <c r="C16" s="47">
        <v>0.34814000000000001</v>
      </c>
      <c r="D16" s="47">
        <v>0.36681999999999998</v>
      </c>
      <c r="E16" s="47">
        <v>0.38457999999999998</v>
      </c>
      <c r="F16" s="47">
        <v>0.40893000000000002</v>
      </c>
      <c r="G16" s="47">
        <v>0.42665999999999998</v>
      </c>
      <c r="H16" s="49">
        <v>0.44281999999999999</v>
      </c>
      <c r="I16" s="47">
        <v>0.46471000000000001</v>
      </c>
      <c r="J16" s="47">
        <v>0.48275000000000001</v>
      </c>
      <c r="K16" s="47">
        <v>0.49761</v>
      </c>
      <c r="L16" s="47">
        <v>0.51412000000000002</v>
      </c>
      <c r="M16" s="47">
        <f>1.9648*27.7032/100</f>
        <v>0.54431247360000001</v>
      </c>
      <c r="N16" s="47">
        <f>2.0488*27.7032/100</f>
        <v>0.5675831616</v>
      </c>
    </row>
    <row r="17" spans="1:15" x14ac:dyDescent="0.2">
      <c r="A17" s="45">
        <v>1984</v>
      </c>
      <c r="B17" s="72">
        <f t="shared" si="0"/>
        <v>0.5675831616</v>
      </c>
      <c r="C17" s="47">
        <v>0.60365999999999997</v>
      </c>
      <c r="D17" s="47">
        <v>0.63551999999999997</v>
      </c>
      <c r="E17" s="47">
        <v>0.66268000000000005</v>
      </c>
      <c r="F17" s="47">
        <v>0.69135000000000002</v>
      </c>
      <c r="G17" s="47">
        <v>0.71426999999999996</v>
      </c>
      <c r="H17" s="49">
        <v>0.74012</v>
      </c>
      <c r="I17" s="47">
        <v>0.76437999999999995</v>
      </c>
      <c r="J17" s="47">
        <v>0.78610999999999998</v>
      </c>
      <c r="K17" s="47">
        <v>0.80952999999999997</v>
      </c>
      <c r="L17" s="47">
        <v>0.83781000000000005</v>
      </c>
      <c r="M17" s="47">
        <f>3.128*27.7032/100</f>
        <v>0.86655609600000005</v>
      </c>
      <c r="N17" s="47">
        <f>3.2609*27.7032/100</f>
        <v>0.90337364879999993</v>
      </c>
    </row>
    <row r="18" spans="1:15" x14ac:dyDescent="0.2">
      <c r="A18" s="45">
        <v>1985</v>
      </c>
      <c r="B18" s="72">
        <f t="shared" si="0"/>
        <v>0.90337364879999993</v>
      </c>
      <c r="C18" s="47">
        <v>0.97038000000000002</v>
      </c>
      <c r="D18" s="47">
        <v>1.0106999999999999</v>
      </c>
      <c r="E18" s="47">
        <v>1.0499000000000001</v>
      </c>
      <c r="F18" s="47">
        <v>1.0822000000000001</v>
      </c>
      <c r="G18" s="47">
        <v>1.1077999999999999</v>
      </c>
      <c r="H18" s="49">
        <v>1.1355</v>
      </c>
      <c r="I18" s="47">
        <v>1.1751</v>
      </c>
      <c r="J18" s="47">
        <v>1.2264999999999999</v>
      </c>
      <c r="K18" s="47">
        <v>1.2754000000000001</v>
      </c>
      <c r="L18" s="47">
        <v>1.3239000000000001</v>
      </c>
      <c r="M18" s="47">
        <f>4.9993*27.7032/100</f>
        <v>1.3849660775999999</v>
      </c>
      <c r="N18" s="47">
        <f>5.3397*27.7032/100</f>
        <v>1.4792677703999999</v>
      </c>
    </row>
    <row r="19" spans="1:15" x14ac:dyDescent="0.2">
      <c r="A19" s="45">
        <v>1986</v>
      </c>
      <c r="B19" s="72">
        <f t="shared" si="0"/>
        <v>1.4792677703999999</v>
      </c>
      <c r="C19" s="47">
        <v>1.61</v>
      </c>
      <c r="D19" s="47">
        <v>1.6816</v>
      </c>
      <c r="E19" s="47">
        <v>1.7598</v>
      </c>
      <c r="F19" s="47">
        <v>1.8516999999999999</v>
      </c>
      <c r="G19" s="47">
        <v>1.9545999999999999</v>
      </c>
      <c r="H19" s="49">
        <v>2.08</v>
      </c>
      <c r="I19" s="47">
        <v>2.1838000000000002</v>
      </c>
      <c r="J19" s="47">
        <v>2.3578999999999999</v>
      </c>
      <c r="K19" s="47">
        <v>2.4994000000000001</v>
      </c>
      <c r="L19" s="47">
        <v>2.6421999999999999</v>
      </c>
      <c r="M19" s="47">
        <f>10.1823*27.7032/100</f>
        <v>2.8208229336000001</v>
      </c>
      <c r="N19" s="47">
        <f>10.9862*27.7032/100</f>
        <v>3.0435289583999996</v>
      </c>
    </row>
    <row r="20" spans="1:15" x14ac:dyDescent="0.2">
      <c r="A20" s="45">
        <v>1987</v>
      </c>
      <c r="B20" s="72">
        <f t="shared" si="0"/>
        <v>3.0435289583999996</v>
      </c>
      <c r="C20" s="47">
        <v>3.29</v>
      </c>
      <c r="D20" s="47">
        <v>3.5274000000000001</v>
      </c>
      <c r="E20" s="47">
        <v>3.7605</v>
      </c>
      <c r="F20" s="47">
        <v>4.0895000000000001</v>
      </c>
      <c r="G20" s="47">
        <v>4.3978000000000002</v>
      </c>
      <c r="H20" s="49">
        <v>4.7160000000000002</v>
      </c>
      <c r="I20" s="47">
        <v>5.0979999999999999</v>
      </c>
      <c r="J20" s="47">
        <v>5.5145999999999997</v>
      </c>
      <c r="K20" s="47">
        <v>5.8779000000000003</v>
      </c>
      <c r="L20" s="47">
        <v>6.3677999999999999</v>
      </c>
      <c r="M20" s="47">
        <f>24.8087*27.7032/100</f>
        <v>6.8728037784000007</v>
      </c>
      <c r="N20" s="47">
        <f>28.4729*27.7032/100</f>
        <v>7.8879044328000001</v>
      </c>
    </row>
    <row r="21" spans="1:15" x14ac:dyDescent="0.2">
      <c r="A21" s="45">
        <v>1988</v>
      </c>
      <c r="B21" s="72">
        <f t="shared" si="0"/>
        <v>7.8879044328000001</v>
      </c>
      <c r="C21" s="47">
        <v>9.1075999999999997</v>
      </c>
      <c r="D21" s="47">
        <v>9.8673000000000002</v>
      </c>
      <c r="E21" s="47">
        <v>10.372999999999999</v>
      </c>
      <c r="F21" s="47">
        <v>10.692</v>
      </c>
      <c r="G21" s="47">
        <v>10.898999999999999</v>
      </c>
      <c r="H21" s="49">
        <v>11.121</v>
      </c>
      <c r="I21" s="47">
        <v>11.307</v>
      </c>
      <c r="J21" s="47">
        <v>11.411</v>
      </c>
      <c r="K21" s="47">
        <v>11.476000000000001</v>
      </c>
      <c r="L21" s="47">
        <v>11.563000000000001</v>
      </c>
      <c r="M21" s="47">
        <f>42.2989*27.7032/100</f>
        <v>11.7181488648</v>
      </c>
      <c r="N21" s="47">
        <f>43.1814*27.7032/100</f>
        <v>11.9626296048</v>
      </c>
    </row>
    <row r="22" spans="1:15" x14ac:dyDescent="0.2">
      <c r="A22" s="45">
        <v>1989</v>
      </c>
      <c r="B22" s="72">
        <f t="shared" si="0"/>
        <v>11.9626296048</v>
      </c>
      <c r="C22" s="47">
        <v>12.256</v>
      </c>
      <c r="D22" s="47">
        <v>12.422000000000001</v>
      </c>
      <c r="E22" s="47">
        <v>12.555999999999999</v>
      </c>
      <c r="F22" s="47">
        <v>12.744</v>
      </c>
      <c r="G22" s="47">
        <v>12.92</v>
      </c>
      <c r="H22" s="49">
        <v>13.077</v>
      </c>
      <c r="I22" s="47">
        <v>13.207000000000001</v>
      </c>
      <c r="J22" s="47">
        <v>13.333</v>
      </c>
      <c r="K22" s="47">
        <v>13.461</v>
      </c>
      <c r="L22" s="47">
        <v>13.66</v>
      </c>
      <c r="M22" s="47">
        <f>49.9996*27.7032/100</f>
        <v>13.8514891872</v>
      </c>
      <c r="N22" s="47">
        <f>51.687*27.7032/100</f>
        <v>14.318952983999997</v>
      </c>
    </row>
    <row r="23" spans="1:15" x14ac:dyDescent="0.2">
      <c r="A23" s="45">
        <v>1990</v>
      </c>
      <c r="B23" s="72">
        <f t="shared" si="0"/>
        <v>14.318952983999997</v>
      </c>
      <c r="C23" s="47">
        <v>15.01</v>
      </c>
      <c r="D23" s="47">
        <v>15.35</v>
      </c>
      <c r="E23" s="47">
        <v>15.621</v>
      </c>
      <c r="F23" s="47">
        <v>15.858000000000001</v>
      </c>
      <c r="G23" s="47">
        <v>16.135000000000002</v>
      </c>
      <c r="H23" s="49">
        <v>16.489999999999998</v>
      </c>
      <c r="I23" s="47">
        <v>16.791</v>
      </c>
      <c r="J23" s="47">
        <v>17.077000000000002</v>
      </c>
      <c r="K23" s="47">
        <v>17.321000000000002</v>
      </c>
      <c r="L23" s="47">
        <v>17.57</v>
      </c>
      <c r="M23" s="47">
        <f>65.1049*27.7032/100</f>
        <v>18.036140656799997</v>
      </c>
      <c r="N23" s="47">
        <f>67.1568*27.7032/100</f>
        <v>18.604582617600002</v>
      </c>
    </row>
    <row r="24" spans="1:15" x14ac:dyDescent="0.2">
      <c r="A24" s="45">
        <v>1991</v>
      </c>
      <c r="B24" s="72">
        <f t="shared" si="0"/>
        <v>18.604582617600002</v>
      </c>
      <c r="C24" s="47">
        <v>19.079000000000001</v>
      </c>
      <c r="D24" s="47">
        <v>19.411999999999999</v>
      </c>
      <c r="E24" s="47">
        <v>19.689</v>
      </c>
      <c r="F24" s="47">
        <v>19.895</v>
      </c>
      <c r="G24" s="47">
        <v>20.088999999999999</v>
      </c>
      <c r="H24" s="49">
        <v>20.3</v>
      </c>
      <c r="I24" s="47">
        <v>20.48</v>
      </c>
      <c r="J24" s="47">
        <v>20.622</v>
      </c>
      <c r="K24" s="47">
        <v>20.827999999999999</v>
      </c>
      <c r="L24" s="47">
        <v>21.07</v>
      </c>
      <c r="M24" s="47">
        <f>77.9438*27.7032/100</f>
        <v>21.592926801599997</v>
      </c>
      <c r="N24" s="47">
        <f>79.7786*27.7032/100</f>
        <v>22.101225115199998</v>
      </c>
    </row>
    <row r="25" spans="1:15" x14ac:dyDescent="0.2">
      <c r="A25" s="45">
        <v>1992</v>
      </c>
      <c r="B25" s="72">
        <f t="shared" si="0"/>
        <v>22.101225115199998</v>
      </c>
      <c r="C25" s="47">
        <v>22.503</v>
      </c>
      <c r="D25" s="47">
        <v>22.77</v>
      </c>
      <c r="E25" s="47">
        <v>23.001000000000001</v>
      </c>
      <c r="F25" s="47">
        <v>23.206</v>
      </c>
      <c r="G25" s="47">
        <v>23.359000000000002</v>
      </c>
      <c r="H25" s="49">
        <v>23.516999999999999</v>
      </c>
      <c r="I25" s="47">
        <v>23.666</v>
      </c>
      <c r="J25" s="47">
        <v>23.811</v>
      </c>
      <c r="K25" s="47">
        <v>24.018000000000001</v>
      </c>
      <c r="L25" s="47">
        <v>24.190999999999999</v>
      </c>
      <c r="M25" s="47">
        <v>24.391999999999999</v>
      </c>
      <c r="N25" s="47">
        <v>24.74</v>
      </c>
    </row>
    <row r="26" spans="1:15" x14ac:dyDescent="0.2">
      <c r="A26" s="45">
        <v>1993</v>
      </c>
      <c r="B26" s="72">
        <f>+N25</f>
        <v>24.74</v>
      </c>
      <c r="C26" s="47">
        <v>25.05</v>
      </c>
      <c r="D26" s="47">
        <v>25.254999999999999</v>
      </c>
      <c r="E26" s="47">
        <v>25.402000000000001</v>
      </c>
      <c r="F26" s="47">
        <v>25.547999999999998</v>
      </c>
      <c r="G26" s="47">
        <v>25.693999999999999</v>
      </c>
      <c r="H26" s="49">
        <v>25.838999999999999</v>
      </c>
      <c r="I26" s="47">
        <v>25.963000000000001</v>
      </c>
      <c r="J26" s="47">
        <v>26.102</v>
      </c>
      <c r="K26" s="47">
        <v>26.295000000000002</v>
      </c>
      <c r="L26" s="47">
        <v>26.402999999999999</v>
      </c>
      <c r="M26" s="47">
        <v>26.518999999999998</v>
      </c>
      <c r="N26" s="47">
        <v>26.721</v>
      </c>
    </row>
    <row r="27" spans="1:15" x14ac:dyDescent="0.2">
      <c r="A27" s="45">
        <v>1994</v>
      </c>
      <c r="B27" s="72">
        <f t="shared" ref="B27:B35" si="1">+N26</f>
        <v>26.721</v>
      </c>
      <c r="C27" s="47">
        <v>26.928000000000001</v>
      </c>
      <c r="D27" s="47">
        <v>27.067</v>
      </c>
      <c r="E27" s="47">
        <v>27.206</v>
      </c>
      <c r="F27" s="47">
        <v>27.338999999999999</v>
      </c>
      <c r="G27" s="47">
        <v>27.471</v>
      </c>
      <c r="H27" s="49">
        <v>27.609000000000002</v>
      </c>
      <c r="I27" s="47">
        <v>27.731000000000002</v>
      </c>
      <c r="J27" s="47">
        <v>27.861000000000001</v>
      </c>
      <c r="K27" s="47">
        <v>28.059000000000001</v>
      </c>
      <c r="L27" s="47">
        <v>28.206</v>
      </c>
      <c r="M27" s="47">
        <v>28.356999999999999</v>
      </c>
      <c r="N27" s="47">
        <v>28.606000000000002</v>
      </c>
    </row>
    <row r="28" spans="1:15" x14ac:dyDescent="0.2">
      <c r="A28" s="50">
        <v>1995</v>
      </c>
      <c r="B28" s="72">
        <f t="shared" si="1"/>
        <v>28.606000000000002</v>
      </c>
      <c r="C28" s="51">
        <v>29.681999999999999</v>
      </c>
      <c r="D28" s="51">
        <v>30.94</v>
      </c>
      <c r="E28" s="51">
        <v>32.764000000000003</v>
      </c>
      <c r="F28" s="51">
        <v>35.375</v>
      </c>
      <c r="G28" s="51">
        <v>36.853000000000002</v>
      </c>
      <c r="H28" s="52">
        <v>38.023000000000003</v>
      </c>
      <c r="I28" s="51">
        <v>37.798000000000002</v>
      </c>
      <c r="J28" s="51">
        <v>39.442</v>
      </c>
      <c r="K28" s="51">
        <v>40.258000000000003</v>
      </c>
      <c r="L28" s="51">
        <v>41.085999999999999</v>
      </c>
      <c r="M28" s="51">
        <v>42.098999999999997</v>
      </c>
      <c r="N28" s="51">
        <v>43.470999999999997</v>
      </c>
    </row>
    <row r="29" spans="1:15" x14ac:dyDescent="0.2">
      <c r="A29" s="45">
        <v>1996</v>
      </c>
      <c r="B29" s="72">
        <f t="shared" si="1"/>
        <v>43.470999999999997</v>
      </c>
      <c r="C29" s="47">
        <v>45.033000000000001</v>
      </c>
      <c r="D29" s="47">
        <v>46.084000000000003</v>
      </c>
      <c r="E29" s="47">
        <v>47.098999999999997</v>
      </c>
      <c r="F29" s="47">
        <v>48.438000000000002</v>
      </c>
      <c r="G29" s="47">
        <v>49.320999999999998</v>
      </c>
      <c r="H29" s="49">
        <v>50.124000000000002</v>
      </c>
      <c r="I29" s="47">
        <v>50.835999999999999</v>
      </c>
      <c r="J29" s="47">
        <v>51.512</v>
      </c>
      <c r="K29" s="47">
        <v>52.335999999999999</v>
      </c>
      <c r="L29" s="47">
        <v>52.988999999999997</v>
      </c>
      <c r="M29" s="47">
        <v>53.792000000000002</v>
      </c>
      <c r="N29" s="47">
        <v>55.514000000000003</v>
      </c>
    </row>
    <row r="30" spans="1:15" x14ac:dyDescent="0.2">
      <c r="A30" s="45">
        <v>1997</v>
      </c>
      <c r="B30" s="72">
        <f t="shared" si="1"/>
        <v>55.514000000000003</v>
      </c>
      <c r="C30" s="47">
        <v>56.942</v>
      </c>
      <c r="D30" s="47">
        <v>57.898000000000003</v>
      </c>
      <c r="E30" s="47">
        <v>58.619</v>
      </c>
      <c r="F30" s="47">
        <v>59.252000000000002</v>
      </c>
      <c r="G30" s="47">
        <v>59.792999999999999</v>
      </c>
      <c r="H30" s="49">
        <v>60.323999999999998</v>
      </c>
      <c r="I30" s="47">
        <v>60.848999999999997</v>
      </c>
      <c r="J30" s="47">
        <v>61.39</v>
      </c>
      <c r="K30" s="47">
        <v>62.155000000000001</v>
      </c>
      <c r="L30" s="47">
        <v>62.652000000000001</v>
      </c>
      <c r="M30" s="47">
        <v>63.351999999999997</v>
      </c>
      <c r="N30" s="47">
        <v>64.239999999999995</v>
      </c>
      <c r="O30" s="53"/>
    </row>
    <row r="31" spans="1:15" x14ac:dyDescent="0.2">
      <c r="A31" s="45">
        <v>1998</v>
      </c>
      <c r="B31" s="72">
        <f t="shared" si="1"/>
        <v>64.239999999999995</v>
      </c>
      <c r="C31" s="47">
        <v>65.638000000000005</v>
      </c>
      <c r="D31" s="47">
        <v>66.787000000000006</v>
      </c>
      <c r="E31" s="47">
        <v>67.569000000000003</v>
      </c>
      <c r="F31" s="47">
        <v>68.200999999999993</v>
      </c>
      <c r="G31" s="47">
        <v>68.745000000000005</v>
      </c>
      <c r="H31" s="49">
        <v>69.557000000000002</v>
      </c>
      <c r="I31" s="47">
        <v>70.227999999999994</v>
      </c>
      <c r="J31" s="47">
        <v>70.903000000000006</v>
      </c>
      <c r="K31" s="47">
        <v>72.052999999999997</v>
      </c>
      <c r="L31" s="47">
        <v>73.084999999999994</v>
      </c>
      <c r="M31" s="47">
        <v>74.38</v>
      </c>
      <c r="N31" s="47">
        <v>76.194000000000003</v>
      </c>
    </row>
    <row r="32" spans="1:15" x14ac:dyDescent="0.2">
      <c r="A32">
        <v>1999</v>
      </c>
      <c r="B32" s="72">
        <f t="shared" si="1"/>
        <v>76.194000000000003</v>
      </c>
      <c r="C32" s="47">
        <v>78.119</v>
      </c>
      <c r="D32" s="47">
        <v>79.168999999999997</v>
      </c>
      <c r="E32" s="47">
        <v>79.903999999999996</v>
      </c>
      <c r="F32" s="47">
        <v>80.637</v>
      </c>
      <c r="G32" s="47">
        <v>81.122</v>
      </c>
      <c r="H32" s="49">
        <v>81.655000000000001</v>
      </c>
      <c r="I32" s="47">
        <v>82.194999999999993</v>
      </c>
      <c r="J32" s="47">
        <v>82.658000000000001</v>
      </c>
      <c r="K32" s="47">
        <v>83.456000000000003</v>
      </c>
      <c r="L32" s="47">
        <v>83.984999999999999</v>
      </c>
      <c r="M32" s="47">
        <v>84.731999999999999</v>
      </c>
      <c r="N32" s="47">
        <v>85.581000000000003</v>
      </c>
    </row>
    <row r="33" spans="1:17" x14ac:dyDescent="0.2">
      <c r="A33">
        <v>2000</v>
      </c>
      <c r="B33" s="72">
        <f t="shared" si="1"/>
        <v>85.581000000000003</v>
      </c>
      <c r="C33" s="47">
        <v>86.73</v>
      </c>
      <c r="D33" s="47">
        <v>87.498999999999995</v>
      </c>
      <c r="E33" s="47">
        <v>87.983999999999995</v>
      </c>
      <c r="F33" s="47">
        <v>88.484999999999999</v>
      </c>
      <c r="G33" s="47">
        <v>88.816000000000003</v>
      </c>
      <c r="H33" s="49">
        <v>89.341999999999999</v>
      </c>
      <c r="I33" s="47">
        <v>89.69</v>
      </c>
      <c r="J33" s="47">
        <v>90.183000000000007</v>
      </c>
      <c r="K33" s="47">
        <v>90.841999999999999</v>
      </c>
      <c r="L33" s="47">
        <v>91.466999999999999</v>
      </c>
      <c r="M33" s="47">
        <v>92.248999999999995</v>
      </c>
      <c r="N33" s="47">
        <v>93.248000000000005</v>
      </c>
    </row>
    <row r="34" spans="1:17" x14ac:dyDescent="0.2">
      <c r="A34">
        <v>2001</v>
      </c>
      <c r="B34" s="72">
        <f t="shared" si="1"/>
        <v>93.248000000000005</v>
      </c>
      <c r="C34" s="47">
        <v>93.765000000000001</v>
      </c>
      <c r="D34" s="47">
        <v>93.703000000000003</v>
      </c>
      <c r="E34" s="47">
        <v>94.296999999999997</v>
      </c>
      <c r="F34" s="47">
        <v>94.772000000000006</v>
      </c>
      <c r="G34" s="47">
        <v>94.99</v>
      </c>
      <c r="H34" s="49">
        <v>95.215000000000003</v>
      </c>
      <c r="I34" s="47">
        <v>94.966999999999999</v>
      </c>
      <c r="J34" s="47">
        <v>95.53</v>
      </c>
      <c r="K34" s="47">
        <v>96.418999999999997</v>
      </c>
      <c r="L34" s="47">
        <v>96.855000000000004</v>
      </c>
      <c r="M34" s="47">
        <v>97.22</v>
      </c>
      <c r="N34" s="47">
        <v>97.353999999999999</v>
      </c>
    </row>
    <row r="35" spans="1:17" x14ac:dyDescent="0.2">
      <c r="A35">
        <v>2002</v>
      </c>
      <c r="B35" s="72">
        <f t="shared" si="1"/>
        <v>97.353999999999999</v>
      </c>
      <c r="C35" s="47">
        <v>98.253</v>
      </c>
      <c r="D35" s="47">
        <v>98.19</v>
      </c>
      <c r="E35" s="47">
        <v>98.691999999999993</v>
      </c>
      <c r="F35" s="47">
        <v>99.230999999999995</v>
      </c>
      <c r="G35" s="47">
        <v>99.432000000000002</v>
      </c>
      <c r="H35" s="49">
        <v>99.917000000000002</v>
      </c>
      <c r="I35" s="47">
        <v>100.20399999999999</v>
      </c>
      <c r="J35" s="47">
        <v>100.58499999999999</v>
      </c>
      <c r="K35" s="47">
        <v>101.19</v>
      </c>
      <c r="L35" s="47">
        <v>101.636</v>
      </c>
      <c r="M35" s="47">
        <v>102.458</v>
      </c>
      <c r="N35" s="47">
        <v>102.904</v>
      </c>
    </row>
    <row r="36" spans="1:17" x14ac:dyDescent="0.2">
      <c r="A36">
        <v>2003</v>
      </c>
      <c r="B36" s="72">
        <f>+N35</f>
        <v>102.904</v>
      </c>
      <c r="C36" s="45">
        <v>103.32</v>
      </c>
      <c r="D36" s="45">
        <v>103.607</v>
      </c>
      <c r="E36" s="45">
        <v>104.261</v>
      </c>
      <c r="F36" s="45">
        <v>104.43899999999999</v>
      </c>
      <c r="G36" s="45">
        <v>104.102</v>
      </c>
      <c r="H36" s="46">
        <v>104.188</v>
      </c>
      <c r="I36" s="45">
        <v>104.339</v>
      </c>
      <c r="J36" s="45">
        <v>104.652</v>
      </c>
      <c r="K36" s="45">
        <v>105.27500000000001</v>
      </c>
      <c r="L36" s="45">
        <v>105.661</v>
      </c>
      <c r="M36" s="45">
        <v>106.538</v>
      </c>
      <c r="N36" s="45">
        <v>106.996</v>
      </c>
      <c r="O36">
        <f>TRUNC(N36/N35,4)</f>
        <v>1.0397000000000001</v>
      </c>
      <c r="P36" s="54">
        <f t="shared" ref="P36:P46" si="2">+O36-1</f>
        <v>3.9700000000000069E-2</v>
      </c>
    </row>
    <row r="37" spans="1:17" s="55" customFormat="1" x14ac:dyDescent="0.2">
      <c r="A37" s="55">
        <v>2004</v>
      </c>
      <c r="B37" s="73">
        <v>73.783729734575999</v>
      </c>
      <c r="C37" s="56">
        <v>74.2423093102</v>
      </c>
      <c r="D37" s="56">
        <v>74.686407425541006</v>
      </c>
      <c r="E37" s="56">
        <v>74.939488183818</v>
      </c>
      <c r="F37" s="56">
        <v>75.052581492694003</v>
      </c>
      <c r="G37" s="56">
        <v>74.864322509016006</v>
      </c>
      <c r="H37" s="49">
        <v>74.984311751359996</v>
      </c>
      <c r="I37" s="56">
        <v>75.180845855198996</v>
      </c>
      <c r="J37" s="56">
        <v>75.644942177597997</v>
      </c>
      <c r="K37" s="56">
        <v>76.270403343148999</v>
      </c>
      <c r="L37" s="56">
        <v>76.798631846800006</v>
      </c>
      <c r="M37" s="56">
        <v>77.453745526263006</v>
      </c>
      <c r="N37" s="56">
        <v>77.613731182722006</v>
      </c>
      <c r="O37" s="55">
        <f t="shared" ref="O37:O42" si="3">TRUNC(N37/N36,4)</f>
        <v>0.72529999999999994</v>
      </c>
      <c r="P37" s="57">
        <f t="shared" si="2"/>
        <v>-0.27470000000000006</v>
      </c>
      <c r="Q37" s="55" t="s">
        <v>48</v>
      </c>
    </row>
    <row r="38" spans="1:17" x14ac:dyDescent="0.2">
      <c r="A38">
        <v>2005</v>
      </c>
      <c r="B38" s="72">
        <v>77.613731182722006</v>
      </c>
      <c r="C38" s="47">
        <v>77.616489556109002</v>
      </c>
      <c r="D38" s="47">
        <v>77.875087061160002</v>
      </c>
      <c r="E38" s="47">
        <v>78.226090074683</v>
      </c>
      <c r="F38" s="47">
        <v>78.504685786791995</v>
      </c>
      <c r="G38" s="47">
        <v>78.307462089606005</v>
      </c>
      <c r="H38" s="49">
        <v>78.232296414803997</v>
      </c>
      <c r="I38" s="47">
        <v>78.538475860784999</v>
      </c>
      <c r="J38" s="47">
        <v>78.632260555949998</v>
      </c>
      <c r="K38" s="47">
        <v>78.947404715439006</v>
      </c>
      <c r="L38" s="47">
        <v>79.141180445890996</v>
      </c>
      <c r="M38" s="47">
        <v>79.710784550350994</v>
      </c>
      <c r="N38" s="54">
        <v>80.200395826581001</v>
      </c>
      <c r="O38">
        <f t="shared" si="3"/>
        <v>1.0333000000000001</v>
      </c>
      <c r="P38" s="54">
        <f t="shared" si="2"/>
        <v>3.3300000000000107E-2</v>
      </c>
    </row>
    <row r="39" spans="1:17" x14ac:dyDescent="0.2">
      <c r="A39">
        <v>2006</v>
      </c>
      <c r="B39" s="72">
        <v>80.200395826581001</v>
      </c>
      <c r="C39" s="47">
        <v>80.670698489100999</v>
      </c>
      <c r="D39" s="47">
        <v>80.794135698179005</v>
      </c>
      <c r="E39" s="47">
        <v>80.895505920158996</v>
      </c>
      <c r="F39" s="47">
        <v>81.014115975809005</v>
      </c>
      <c r="G39" s="47">
        <v>80.653458655430995</v>
      </c>
      <c r="H39" s="49">
        <v>80.723107583458003</v>
      </c>
      <c r="I39" s="47">
        <v>80.944467047781998</v>
      </c>
      <c r="J39" s="47">
        <v>81.357533462516997</v>
      </c>
      <c r="K39" s="47">
        <v>82.178839138559994</v>
      </c>
      <c r="L39" s="47">
        <v>82.538117272245003</v>
      </c>
      <c r="M39" s="47">
        <v>82.971181894037002</v>
      </c>
      <c r="N39" s="47">
        <v>83.451138863411998</v>
      </c>
      <c r="O39">
        <f t="shared" si="3"/>
        <v>1.0405</v>
      </c>
      <c r="P39" s="54">
        <f t="shared" si="2"/>
        <v>4.049999999999998E-2</v>
      </c>
    </row>
    <row r="40" spans="1:17" x14ac:dyDescent="0.2">
      <c r="A40">
        <v>2007</v>
      </c>
      <c r="B40" s="72">
        <v>83.451138863411998</v>
      </c>
      <c r="C40" s="47">
        <v>83.882134705164006</v>
      </c>
      <c r="D40" s="47">
        <v>84.116596443077995</v>
      </c>
      <c r="E40" s="47">
        <v>84.298649086634001</v>
      </c>
      <c r="F40" s="47">
        <v>84.248308772317003</v>
      </c>
      <c r="G40" s="47">
        <v>83.837311137621995</v>
      </c>
      <c r="H40" s="49">
        <v>83.937991766254996</v>
      </c>
      <c r="I40" s="47">
        <v>84.294511526552995</v>
      </c>
      <c r="J40" s="47">
        <v>84.637929013261001</v>
      </c>
      <c r="K40" s="47">
        <v>85.295111472765001</v>
      </c>
      <c r="L40" s="47">
        <v>85.627495465924</v>
      </c>
      <c r="M40" s="47">
        <v>86.231579237724006</v>
      </c>
      <c r="N40" s="47">
        <v>86.588098998020996</v>
      </c>
      <c r="O40">
        <f>TRUNC(N40/N39,4)</f>
        <v>1.0375000000000001</v>
      </c>
      <c r="P40" s="54">
        <f t="shared" si="2"/>
        <v>3.7500000000000089E-2</v>
      </c>
      <c r="Q40" s="45"/>
    </row>
    <row r="41" spans="1:17" x14ac:dyDescent="0.2">
      <c r="A41">
        <v>2008</v>
      </c>
      <c r="B41" s="72">
        <v>86.588098998020996</v>
      </c>
      <c r="C41" s="47">
        <v>86.989442325859997</v>
      </c>
      <c r="D41" s="47">
        <v>87.248039830912006</v>
      </c>
      <c r="E41" s="47">
        <v>87.880396929930001</v>
      </c>
      <c r="F41" s="47">
        <v>88.080379000503001</v>
      </c>
      <c r="G41" s="47">
        <v>87.985215118645002</v>
      </c>
      <c r="H41" s="49">
        <v>88.349320405756998</v>
      </c>
      <c r="I41" s="47">
        <v>88.841690055374002</v>
      </c>
      <c r="J41" s="47">
        <v>89.354747505396006</v>
      </c>
      <c r="K41" s="47">
        <v>89.963658430622999</v>
      </c>
      <c r="L41" s="47">
        <v>90.576706915931993</v>
      </c>
      <c r="M41" s="56">
        <v>91.606269782709006</v>
      </c>
      <c r="N41" s="56">
        <v>92.240695661768001</v>
      </c>
      <c r="O41">
        <f t="shared" si="3"/>
        <v>1.0651999999999999</v>
      </c>
      <c r="P41" s="54">
        <f t="shared" si="2"/>
        <v>6.5199999999999925E-2</v>
      </c>
      <c r="Q41" s="47"/>
    </row>
    <row r="42" spans="1:17" x14ac:dyDescent="0.2">
      <c r="A42">
        <v>2009</v>
      </c>
      <c r="B42" s="72">
        <v>92.240695661768001</v>
      </c>
      <c r="C42" s="47">
        <v>92.454469599277004</v>
      </c>
      <c r="D42" s="47">
        <v>92.658589229930996</v>
      </c>
      <c r="E42" s="47">
        <v>93.19164488701</v>
      </c>
      <c r="F42" s="47">
        <v>93.517822540048002</v>
      </c>
      <c r="G42" s="47">
        <v>93.245433168060998</v>
      </c>
      <c r="H42" s="49">
        <v>93.417141911415001</v>
      </c>
      <c r="I42" s="47">
        <v>93.671601856384996</v>
      </c>
      <c r="J42" s="47">
        <v>93.895719694096002</v>
      </c>
      <c r="K42" s="47">
        <v>94.366711949963005</v>
      </c>
      <c r="L42" s="47">
        <v>94.652203595540001</v>
      </c>
      <c r="M42" s="56">
        <v>95.143194058464005</v>
      </c>
      <c r="N42" s="56">
        <v>95.536951859487999</v>
      </c>
      <c r="O42">
        <f t="shared" si="3"/>
        <v>1.0357000000000001</v>
      </c>
      <c r="P42" s="54">
        <f t="shared" si="2"/>
        <v>3.5700000000000065E-2</v>
      </c>
      <c r="Q42" s="47"/>
    </row>
    <row r="43" spans="1:17" s="58" customFormat="1" x14ac:dyDescent="0.2">
      <c r="A43" s="58">
        <v>2010</v>
      </c>
      <c r="B43" s="72">
        <f>+N42</f>
        <v>95.536951859487999</v>
      </c>
      <c r="C43" s="58">
        <v>96.575479439774</v>
      </c>
      <c r="D43" s="58">
        <v>97.134050050685005</v>
      </c>
      <c r="E43" s="58">
        <v>97.823643397488993</v>
      </c>
      <c r="F43" s="58">
        <v>97.511947204733005</v>
      </c>
      <c r="G43" s="58">
        <v>96.897519532732005</v>
      </c>
      <c r="H43" s="60">
        <v>96.867177425471994</v>
      </c>
      <c r="I43" s="58">
        <v>97.077503396246996</v>
      </c>
      <c r="J43" s="58">
        <v>97.347134394847004</v>
      </c>
      <c r="K43" s="58">
        <v>97.857433470000004</v>
      </c>
      <c r="L43" s="58">
        <v>98.461517243282003</v>
      </c>
      <c r="M43" s="87">
        <v>99.250412032024997</v>
      </c>
      <c r="N43" s="87">
        <v>99.742092088296005</v>
      </c>
      <c r="O43" s="59">
        <f>TRUNC(N43/N42,4)</f>
        <v>1.044</v>
      </c>
      <c r="P43" s="59">
        <f t="shared" si="2"/>
        <v>4.4000000000000039E-2</v>
      </c>
      <c r="Q43" s="47"/>
    </row>
    <row r="44" spans="1:17" x14ac:dyDescent="0.2">
      <c r="A44">
        <v>2011</v>
      </c>
      <c r="B44" s="72">
        <f>+N42</f>
        <v>95.536951859487999</v>
      </c>
      <c r="C44">
        <v>100.22799999999999</v>
      </c>
      <c r="D44">
        <v>100.604</v>
      </c>
      <c r="E44">
        <v>100.797</v>
      </c>
      <c r="F44">
        <v>100.789</v>
      </c>
      <c r="G44" s="61">
        <v>100.04600000000001</v>
      </c>
      <c r="H44" s="62">
        <v>100.041</v>
      </c>
      <c r="I44">
        <v>100.521</v>
      </c>
      <c r="J44">
        <v>100.68</v>
      </c>
      <c r="K44">
        <v>100.92700000000001</v>
      </c>
      <c r="L44">
        <v>101.608</v>
      </c>
      <c r="M44" s="55">
        <v>102.70699999999999</v>
      </c>
      <c r="N44" s="55">
        <v>103.551</v>
      </c>
      <c r="O44" s="54">
        <f>TRUNC(N44/N42,4)</f>
        <v>1.0838000000000001</v>
      </c>
      <c r="P44" s="63">
        <f t="shared" si="2"/>
        <v>8.3800000000000097E-2</v>
      </c>
      <c r="Q44" s="47"/>
    </row>
    <row r="45" spans="1:17" x14ac:dyDescent="0.2">
      <c r="A45">
        <v>2012</v>
      </c>
      <c r="B45" s="72">
        <f>+N44</f>
        <v>103.551</v>
      </c>
      <c r="C45">
        <v>104.28400000000001</v>
      </c>
      <c r="D45">
        <v>104.496</v>
      </c>
      <c r="E45">
        <v>104.556</v>
      </c>
      <c r="F45">
        <v>104.22799999999999</v>
      </c>
      <c r="G45">
        <v>103.899</v>
      </c>
      <c r="H45" s="62">
        <v>104.378</v>
      </c>
      <c r="I45">
        <v>104.964</v>
      </c>
      <c r="J45">
        <v>105.279</v>
      </c>
      <c r="K45">
        <v>105.74299999999999</v>
      </c>
      <c r="L45">
        <v>106.27800000000001</v>
      </c>
      <c r="M45" s="88">
        <v>107</v>
      </c>
      <c r="N45" s="88">
        <v>107.246</v>
      </c>
      <c r="O45" s="54">
        <f>TRUNC(N45/N44,4)</f>
        <v>1.0356000000000001</v>
      </c>
      <c r="P45" s="63">
        <f t="shared" si="2"/>
        <v>3.5600000000000076E-2</v>
      </c>
      <c r="Q45" s="47"/>
    </row>
    <row r="46" spans="1:17" x14ac:dyDescent="0.2">
      <c r="A46">
        <v>2013</v>
      </c>
      <c r="B46" s="74">
        <f>+N45</f>
        <v>107.246</v>
      </c>
      <c r="C46" s="65">
        <v>107.678</v>
      </c>
      <c r="D46" s="64">
        <v>108.208</v>
      </c>
      <c r="E46" s="64">
        <v>109.002</v>
      </c>
      <c r="F46" s="65">
        <v>109.074</v>
      </c>
      <c r="G46" s="64">
        <v>108.711</v>
      </c>
      <c r="H46" s="66">
        <v>108.645</v>
      </c>
      <c r="I46" s="64">
        <v>108.60899999999999</v>
      </c>
      <c r="J46" s="64">
        <v>108.91800000000001</v>
      </c>
      <c r="K46" s="64">
        <v>109.328</v>
      </c>
      <c r="L46" s="64">
        <v>109.848</v>
      </c>
      <c r="M46" s="89">
        <v>110.872</v>
      </c>
      <c r="N46" s="89">
        <v>111.508</v>
      </c>
      <c r="O46" s="54">
        <f>TRUNC(J46/N45,4)</f>
        <v>1.0155000000000001</v>
      </c>
      <c r="P46" s="63">
        <f t="shared" si="2"/>
        <v>1.5500000000000069E-2</v>
      </c>
      <c r="Q46" s="47"/>
    </row>
    <row r="47" spans="1:17" x14ac:dyDescent="0.2">
      <c r="A47">
        <v>2014</v>
      </c>
      <c r="B47" s="74">
        <f>+N46</f>
        <v>111.508</v>
      </c>
      <c r="C47">
        <v>112.505</v>
      </c>
      <c r="D47" s="61">
        <v>112.79</v>
      </c>
      <c r="E47">
        <v>113.099</v>
      </c>
      <c r="F47" s="61">
        <v>112.88800000000001</v>
      </c>
      <c r="G47">
        <v>112.527</v>
      </c>
      <c r="H47" s="62">
        <v>112.72199999999999</v>
      </c>
      <c r="I47">
        <v>113.032</v>
      </c>
      <c r="J47">
        <v>113.438</v>
      </c>
      <c r="K47">
        <v>113.93899999999999</v>
      </c>
      <c r="L47">
        <v>114.569</v>
      </c>
      <c r="M47">
        <v>115.43899999999999</v>
      </c>
      <c r="N47">
        <v>116.059</v>
      </c>
      <c r="O47" s="47"/>
      <c r="P47" s="47"/>
      <c r="Q47" s="47"/>
    </row>
    <row r="48" spans="1:17" x14ac:dyDescent="0.2">
      <c r="A48">
        <v>2015</v>
      </c>
      <c r="B48" s="74">
        <f>+N47</f>
        <v>116.059</v>
      </c>
      <c r="C48">
        <v>116.059</v>
      </c>
      <c r="D48">
        <v>116.17400000000001</v>
      </c>
      <c r="E48">
        <v>116.64700000000001</v>
      </c>
      <c r="F48">
        <v>116.345</v>
      </c>
      <c r="G48" s="64">
        <v>115.764</v>
      </c>
      <c r="H48" s="62">
        <v>115.958</v>
      </c>
      <c r="I48">
        <v>116.128</v>
      </c>
      <c r="J48">
        <v>116.373</v>
      </c>
      <c r="K48">
        <v>116.809</v>
      </c>
      <c r="L48">
        <v>117.41</v>
      </c>
      <c r="M48">
        <v>118.051</v>
      </c>
      <c r="N48">
        <v>118.532</v>
      </c>
      <c r="O48" s="47"/>
      <c r="P48" s="47"/>
      <c r="Q48" s="47"/>
    </row>
    <row r="49" spans="1:17" x14ac:dyDescent="0.2">
      <c r="A49">
        <v>2016</v>
      </c>
      <c r="B49">
        <v>118.532</v>
      </c>
      <c r="C49">
        <v>118.98399999999999</v>
      </c>
      <c r="D49">
        <v>119.505</v>
      </c>
      <c r="E49">
        <v>119.681</v>
      </c>
      <c r="O49" s="47"/>
      <c r="P49" s="47"/>
      <c r="Q49" s="47"/>
    </row>
    <row r="50" spans="1:17" x14ac:dyDescent="0.2">
      <c r="O50" s="47"/>
      <c r="P50" s="47"/>
      <c r="Q50" s="47"/>
    </row>
    <row r="51" spans="1:17" x14ac:dyDescent="0.2">
      <c r="O51" s="47"/>
      <c r="P51" s="47"/>
      <c r="Q51" s="47"/>
    </row>
    <row r="52" spans="1:17" x14ac:dyDescent="0.2">
      <c r="O52" s="47"/>
      <c r="P52" s="47"/>
      <c r="Q52" s="47"/>
    </row>
    <row r="53" spans="1:17" x14ac:dyDescent="0.2">
      <c r="O53" s="47"/>
      <c r="P53" s="47"/>
      <c r="Q53" s="47"/>
    </row>
    <row r="54" spans="1:17" x14ac:dyDescent="0.2">
      <c r="O54" s="47"/>
      <c r="P54" s="47"/>
      <c r="Q54" s="47"/>
    </row>
    <row r="65" spans="13:16" x14ac:dyDescent="0.2">
      <c r="M65" t="s">
        <v>47</v>
      </c>
    </row>
    <row r="66" spans="13:16" x14ac:dyDescent="0.2">
      <c r="M66" t="s">
        <v>47</v>
      </c>
    </row>
    <row r="67" spans="13:16" x14ac:dyDescent="0.2">
      <c r="M67" t="s">
        <v>47</v>
      </c>
    </row>
    <row r="68" spans="13:16" x14ac:dyDescent="0.2">
      <c r="M68" t="s">
        <v>47</v>
      </c>
    </row>
    <row r="69" spans="13:16" x14ac:dyDescent="0.2">
      <c r="M69" t="s">
        <v>47</v>
      </c>
    </row>
    <row r="70" spans="13:16" x14ac:dyDescent="0.2">
      <c r="M70" t="s">
        <v>47</v>
      </c>
    </row>
    <row r="71" spans="13:16" x14ac:dyDescent="0.2">
      <c r="M71" t="s">
        <v>47</v>
      </c>
    </row>
    <row r="72" spans="13:16" x14ac:dyDescent="0.2">
      <c r="M72" t="s">
        <v>47</v>
      </c>
    </row>
    <row r="73" spans="13:16" x14ac:dyDescent="0.2">
      <c r="M73" t="s">
        <v>47</v>
      </c>
    </row>
    <row r="74" spans="13:16" x14ac:dyDescent="0.2">
      <c r="M74" t="s">
        <v>47</v>
      </c>
    </row>
    <row r="75" spans="13:16" x14ac:dyDescent="0.2">
      <c r="M75" t="s">
        <v>47</v>
      </c>
      <c r="P75" t="s">
        <v>47</v>
      </c>
    </row>
    <row r="348" spans="5:5" x14ac:dyDescent="0.2">
      <c r="E348" s="67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calculo</vt:lpstr>
      <vt:lpstr>INDICES</vt:lpstr>
      <vt:lpstr>Hoja3</vt:lpstr>
      <vt:lpstr>calculo!Área_de_impresión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2015-02-01T00:59:20Z</cp:lastPrinted>
  <dcterms:created xsi:type="dcterms:W3CDTF">2014-04-01T16:50:44Z</dcterms:created>
  <dcterms:modified xsi:type="dcterms:W3CDTF">2016-07-08T22:39:41Z</dcterms:modified>
</cp:coreProperties>
</file>