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31.107.8.54\g\Grupo LMJS\CELAYA\Conciliacion de cuentas contables Celaya\AMARRE IVA\IVA 2014\"/>
    </mc:Choice>
  </mc:AlternateContent>
  <bookViews>
    <workbookView xWindow="0" yWindow="0" windowWidth="28800" windowHeight="12135"/>
  </bookViews>
  <sheets>
    <sheet name="Hoja1" sheetId="1" r:id="rId1"/>
    <sheet name="Hoja2" sheetId="2" r:id="rId2"/>
    <sheet name="Hoja3" sheetId="3" r:id="rId3"/>
    <sheet name="Hoja4" sheetId="4" r:id="rId4"/>
  </sheets>
  <externalReferences>
    <externalReference r:id="rId5"/>
  </externalReferences>
  <definedNames>
    <definedName name="_xlnm.Print_Area" localSheetId="0">Hoja1!$A$1:$N$56</definedName>
  </definedNames>
  <calcPr calcId="152511"/>
</workbook>
</file>

<file path=xl/calcChain.xml><?xml version="1.0" encoding="utf-8"?>
<calcChain xmlns="http://schemas.openxmlformats.org/spreadsheetml/2006/main">
  <c r="N41" i="1" l="1"/>
  <c r="M41" i="1"/>
  <c r="L41" i="1"/>
  <c r="K41" i="1"/>
  <c r="J41" i="1"/>
  <c r="I41" i="1"/>
  <c r="H41" i="1"/>
  <c r="G41" i="1"/>
  <c r="F41" i="1"/>
  <c r="E41" i="1"/>
  <c r="D41" i="1"/>
  <c r="C41" i="1"/>
  <c r="N4" i="1" l="1"/>
  <c r="O24" i="1"/>
  <c r="N6" i="1"/>
  <c r="M6" i="1"/>
  <c r="L6" i="1"/>
  <c r="K6" i="1"/>
  <c r="J6" i="1"/>
  <c r="I6" i="1"/>
  <c r="H6" i="1"/>
  <c r="G26" i="1"/>
  <c r="G6" i="1"/>
  <c r="F6" i="1"/>
  <c r="E26" i="1"/>
  <c r="E6" i="1"/>
  <c r="D26" i="1"/>
  <c r="D6" i="1"/>
  <c r="C6" i="1" l="1"/>
  <c r="O6" i="1"/>
  <c r="O7" i="1"/>
  <c r="O8" i="1"/>
  <c r="O9" i="1"/>
  <c r="O10" i="1"/>
  <c r="O11" i="1"/>
  <c r="O12" i="1"/>
  <c r="C13" i="1"/>
  <c r="D13" i="1"/>
  <c r="E13" i="1"/>
  <c r="F13" i="1"/>
  <c r="G13" i="1"/>
  <c r="H13" i="1"/>
  <c r="I13" i="1"/>
  <c r="J13" i="1"/>
  <c r="K13" i="1"/>
  <c r="L13" i="1"/>
  <c r="M13" i="1"/>
  <c r="N13" i="1"/>
  <c r="J23" i="1"/>
  <c r="C23" i="1"/>
  <c r="D23" i="1"/>
  <c r="E23" i="1"/>
  <c r="F23" i="1"/>
  <c r="G23" i="1"/>
  <c r="H23" i="1"/>
  <c r="I23" i="1"/>
  <c r="K23" i="1"/>
  <c r="L23" i="1"/>
  <c r="M23" i="1"/>
  <c r="N23" i="1"/>
  <c r="N24" i="1" s="1"/>
  <c r="N29" i="1" s="1"/>
  <c r="N31" i="1" s="1"/>
  <c r="N33" i="1" s="1"/>
  <c r="N35" i="1" s="1"/>
  <c r="N39" i="1" s="1"/>
  <c r="C48" i="1"/>
  <c r="D48" i="1"/>
  <c r="C63" i="1"/>
  <c r="D63" i="1"/>
  <c r="E63" i="1"/>
  <c r="F63" i="1"/>
  <c r="G63" i="1"/>
  <c r="H63" i="1"/>
  <c r="I63" i="1"/>
  <c r="J63" i="1"/>
  <c r="K63" i="1"/>
  <c r="L63" i="1"/>
  <c r="M63" i="1"/>
  <c r="N63" i="1"/>
  <c r="N78" i="1"/>
  <c r="M24" i="1" l="1"/>
  <c r="M29" i="1" s="1"/>
  <c r="M31" i="1" s="1"/>
  <c r="M33" i="1" s="1"/>
  <c r="M35" i="1" s="1"/>
  <c r="H24" i="1"/>
  <c r="H29" i="1" s="1"/>
  <c r="H31" i="1" s="1"/>
  <c r="H33" i="1" s="1"/>
  <c r="H35" i="1" s="1"/>
  <c r="E24" i="1"/>
  <c r="E29" i="1" s="1"/>
  <c r="E31" i="1" s="1"/>
  <c r="E33" i="1" s="1"/>
  <c r="E35" i="1" s="1"/>
  <c r="E39" i="1" s="1"/>
  <c r="E62" i="1" s="1"/>
  <c r="E64" i="1" s="1"/>
  <c r="D24" i="1"/>
  <c r="D29" i="1" s="1"/>
  <c r="D31" i="1" s="1"/>
  <c r="D33" i="1" s="1"/>
  <c r="D35" i="1" s="1"/>
  <c r="D39" i="1" s="1"/>
  <c r="D62" i="1" s="1"/>
  <c r="O63" i="1"/>
  <c r="F24" i="1"/>
  <c r="F29" i="1" s="1"/>
  <c r="F31" i="1" s="1"/>
  <c r="F33" i="1" s="1"/>
  <c r="F35" i="1" s="1"/>
  <c r="F39" i="1" s="1"/>
  <c r="F43" i="1" s="1"/>
  <c r="F49" i="1" s="1"/>
  <c r="F53" i="1" s="1"/>
  <c r="F55" i="1" s="1"/>
  <c r="F56" i="1" s="1"/>
  <c r="J24" i="1"/>
  <c r="J29" i="1" s="1"/>
  <c r="J31" i="1" s="1"/>
  <c r="J33" i="1" s="1"/>
  <c r="J35" i="1" s="1"/>
  <c r="I24" i="1"/>
  <c r="I29" i="1" s="1"/>
  <c r="I31" i="1" s="1"/>
  <c r="I33" i="1" s="1"/>
  <c r="I35" i="1" s="1"/>
  <c r="G24" i="1"/>
  <c r="G29" i="1" s="1"/>
  <c r="G31" i="1" s="1"/>
  <c r="G33" i="1" s="1"/>
  <c r="G35" i="1" s="1"/>
  <c r="G39" i="1" s="1"/>
  <c r="G62" i="1" s="1"/>
  <c r="G61" i="1" s="1"/>
  <c r="C24" i="1"/>
  <c r="C29" i="1" s="1"/>
  <c r="C31" i="1" s="1"/>
  <c r="C33" i="1" s="1"/>
  <c r="C35" i="1" s="1"/>
  <c r="C39" i="1" s="1"/>
  <c r="C62" i="1" s="1"/>
  <c r="N43" i="1"/>
  <c r="N49" i="1" s="1"/>
  <c r="N53" i="1" s="1"/>
  <c r="N55" i="1" s="1"/>
  <c r="N56" i="1" s="1"/>
  <c r="N62" i="1"/>
  <c r="K24" i="1"/>
  <c r="K29" i="1" s="1"/>
  <c r="K31" i="1" s="1"/>
  <c r="K33" i="1" s="1"/>
  <c r="K35" i="1" s="1"/>
  <c r="L24" i="1"/>
  <c r="L29" i="1" s="1"/>
  <c r="L31" i="1" s="1"/>
  <c r="L33" i="1" s="1"/>
  <c r="L35" i="1" s="1"/>
  <c r="H39" i="1" l="1"/>
  <c r="H43" i="1" s="1"/>
  <c r="H49" i="1" s="1"/>
  <c r="H53" i="1" s="1"/>
  <c r="H55" i="1" s="1"/>
  <c r="H56" i="1" s="1"/>
  <c r="G43" i="1"/>
  <c r="G49" i="1" s="1"/>
  <c r="G53" i="1" s="1"/>
  <c r="G55" i="1" s="1"/>
  <c r="G56" i="1" s="1"/>
  <c r="F62" i="1"/>
  <c r="E43" i="1"/>
  <c r="E49" i="1" s="1"/>
  <c r="E53" i="1" s="1"/>
  <c r="E55" i="1" s="1"/>
  <c r="E56" i="1" s="1"/>
  <c r="E61" i="1"/>
  <c r="D43" i="1"/>
  <c r="D49" i="1" s="1"/>
  <c r="D53" i="1" s="1"/>
  <c r="D55" i="1" s="1"/>
  <c r="D56" i="1" s="1"/>
  <c r="E67" i="1"/>
  <c r="M81" i="1" s="1"/>
  <c r="C61" i="1"/>
  <c r="C64" i="1"/>
  <c r="C69" i="1" s="1"/>
  <c r="C67" i="1"/>
  <c r="C43" i="1"/>
  <c r="C49" i="1" s="1"/>
  <c r="C53" i="1" s="1"/>
  <c r="C55" i="1" s="1"/>
  <c r="C56" i="1" s="1"/>
  <c r="G67" i="1"/>
  <c r="M83" i="1" s="1"/>
  <c r="N67" i="1"/>
  <c r="N64" i="1"/>
  <c r="N61" i="1"/>
  <c r="G64" i="1"/>
  <c r="E69" i="1"/>
  <c r="D64" i="1"/>
  <c r="D67" i="1"/>
  <c r="D61" i="1"/>
  <c r="M39" i="1" l="1"/>
  <c r="L39" i="1"/>
  <c r="K39" i="1"/>
  <c r="I39" i="1"/>
  <c r="H62" i="1"/>
  <c r="H61" i="1" s="1"/>
  <c r="J39" i="1"/>
  <c r="H64" i="1"/>
  <c r="H69" i="1" s="1"/>
  <c r="H67" i="1"/>
  <c r="M84" i="1" s="1"/>
  <c r="F67" i="1"/>
  <c r="M82" i="1" s="1"/>
  <c r="F61" i="1"/>
  <c r="F64" i="1"/>
  <c r="F68" i="1" s="1"/>
  <c r="E68" i="1"/>
  <c r="C68" i="1"/>
  <c r="D68" i="1" s="1"/>
  <c r="M79" i="1"/>
  <c r="N79" i="1" s="1"/>
  <c r="C71" i="1"/>
  <c r="D71" i="1" s="1"/>
  <c r="E71" i="1" s="1"/>
  <c r="M90" i="1"/>
  <c r="N69" i="1"/>
  <c r="N68" i="1"/>
  <c r="G68" i="1"/>
  <c r="G69" i="1"/>
  <c r="M80" i="1"/>
  <c r="D69" i="1"/>
  <c r="M62" i="1" l="1"/>
  <c r="M43" i="1"/>
  <c r="M49" i="1" s="1"/>
  <c r="M53" i="1" s="1"/>
  <c r="M55" i="1" s="1"/>
  <c r="M56" i="1" s="1"/>
  <c r="L62" i="1"/>
  <c r="L43" i="1"/>
  <c r="L49" i="1" s="1"/>
  <c r="L53" i="1" s="1"/>
  <c r="L55" i="1" s="1"/>
  <c r="L56" i="1" s="1"/>
  <c r="K43" i="1"/>
  <c r="K49" i="1" s="1"/>
  <c r="K53" i="1" s="1"/>
  <c r="K55" i="1" s="1"/>
  <c r="K56" i="1" s="1"/>
  <c r="K62" i="1"/>
  <c r="I62" i="1"/>
  <c r="I43" i="1"/>
  <c r="I49" i="1" s="1"/>
  <c r="I53" i="1" s="1"/>
  <c r="I55" i="1" s="1"/>
  <c r="I56" i="1" s="1"/>
  <c r="J43" i="1"/>
  <c r="J62" i="1"/>
  <c r="H68" i="1"/>
  <c r="F71" i="1"/>
  <c r="G71" i="1" s="1"/>
  <c r="H71" i="1" s="1"/>
  <c r="F69" i="1"/>
  <c r="N80" i="1"/>
  <c r="N81" i="1" s="1"/>
  <c r="N82" i="1" s="1"/>
  <c r="N83" i="1" s="1"/>
  <c r="N84" i="1" s="1"/>
  <c r="M67" i="1" l="1"/>
  <c r="M64" i="1"/>
  <c r="M61" i="1"/>
  <c r="L61" i="1"/>
  <c r="L64" i="1"/>
  <c r="L67" i="1"/>
  <c r="K67" i="1"/>
  <c r="K64" i="1"/>
  <c r="K61" i="1"/>
  <c r="I61" i="1"/>
  <c r="I64" i="1"/>
  <c r="I67" i="1"/>
  <c r="M85" i="1" s="1"/>
  <c r="N85" i="1" s="1"/>
  <c r="J64" i="1"/>
  <c r="J61" i="1"/>
  <c r="O62" i="1"/>
  <c r="O67" i="1" s="1"/>
  <c r="O70" i="1" s="1"/>
  <c r="J67" i="1"/>
  <c r="J49" i="1"/>
  <c r="J53" i="1" s="1"/>
  <c r="J55" i="1" s="1"/>
  <c r="J56" i="1" s="1"/>
  <c r="O43" i="1"/>
  <c r="M69" i="1" l="1"/>
  <c r="M68" i="1"/>
  <c r="M89" i="1"/>
  <c r="L69" i="1"/>
  <c r="M88" i="1"/>
  <c r="L68" i="1"/>
  <c r="K68" i="1"/>
  <c r="M87" i="1"/>
  <c r="K69" i="1"/>
  <c r="O61" i="1"/>
  <c r="I69" i="1"/>
  <c r="I68" i="1"/>
  <c r="I71" i="1"/>
  <c r="J71" i="1" s="1"/>
  <c r="K71" i="1" s="1"/>
  <c r="L71" i="1" s="1"/>
  <c r="M71" i="1" s="1"/>
  <c r="N71" i="1" s="1"/>
  <c r="J69" i="1"/>
  <c r="J68" i="1"/>
  <c r="M86" i="1"/>
  <c r="N86" i="1" s="1"/>
  <c r="N87" i="1" s="1"/>
  <c r="O64" i="1"/>
  <c r="O68" i="1" s="1"/>
  <c r="N88" i="1" l="1"/>
  <c r="N89" i="1" s="1"/>
  <c r="N90" i="1" s="1"/>
</calcChain>
</file>

<file path=xl/comments1.xml><?xml version="1.0" encoding="utf-8"?>
<comments xmlns="http://schemas.openxmlformats.org/spreadsheetml/2006/main">
  <authors>
    <author>Marisol Avila</author>
  </authors>
  <commentList>
    <comment ref="C41" authorId="0" shapeId="0">
      <text>
        <r>
          <rPr>
            <b/>
            <sz val="8"/>
            <color indexed="81"/>
            <rFont val="Tahoma"/>
            <family val="2"/>
          </rPr>
          <t>Marisol Avila:</t>
        </r>
        <r>
          <rPr>
            <sz val="8"/>
            <color indexed="81"/>
            <rFont val="Tahoma"/>
            <family val="2"/>
          </rPr>
          <t xml:space="preserve">
pendiente de checar si se va a efectuar ajuste
</t>
        </r>
      </text>
    </comment>
    <comment ref="D64" authorId="0" shapeId="0">
      <text>
        <r>
          <rPr>
            <b/>
            <sz val="8"/>
            <color indexed="81"/>
            <rFont val="Tahoma"/>
            <family val="2"/>
          </rPr>
          <t>Marisol Avila:</t>
        </r>
        <r>
          <rPr>
            <sz val="8"/>
            <color indexed="81"/>
            <rFont val="Tahoma"/>
            <family val="2"/>
          </rPr>
          <t xml:space="preserve">
COMPLEMENTARIA</t>
        </r>
      </text>
    </comment>
    <comment ref="C69" authorId="0" shapeId="0">
      <text>
        <r>
          <rPr>
            <b/>
            <sz val="8"/>
            <color indexed="81"/>
            <rFont val="Tahoma"/>
            <family val="2"/>
          </rPr>
          <t>Marisol Avila:</t>
        </r>
        <r>
          <rPr>
            <sz val="8"/>
            <color indexed="81"/>
            <rFont val="Tahoma"/>
            <family val="2"/>
          </rPr>
          <t xml:space="preserve">
BORRAR Y NO PRESENTAR COMPL</t>
        </r>
      </text>
    </comment>
  </commentList>
</comments>
</file>

<file path=xl/sharedStrings.xml><?xml version="1.0" encoding="utf-8"?>
<sst xmlns="http://schemas.openxmlformats.org/spreadsheetml/2006/main" count="90" uniqueCount="66">
  <si>
    <t>ALECSA CELAYA, S DE RL DE CV</t>
  </si>
  <si>
    <t>CONCEPTO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</si>
  <si>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</si>
  <si>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</si>
  <si>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</si>
  <si>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</si>
  <si>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</si>
  <si>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</si>
  <si>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</si>
  <si>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</si>
  <si>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</si>
  <si>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</si>
  <si>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</si>
  <si>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</si>
  <si>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VENTA DE AUTOS NUEVOS</t>
  </si>
  <si>
    <t>VENTA DE AUTOS NUEVOS INTERCAMBIOS</t>
  </si>
  <si>
    <t xml:space="preserve"> VENTA ACTIVO FIJO</t>
  </si>
  <si>
    <t>VENTA AUTO USADOS</t>
  </si>
  <si>
    <t>VENTA F &amp; I</t>
  </si>
  <si>
    <t>VENTA POR SERVICIOS</t>
  </si>
  <si>
    <t>VENTA DE REFACCIONES Y ACCESORIOS</t>
  </si>
  <si>
    <t>SUMA VENTAS</t>
  </si>
  <si>
    <t>600-</t>
  </si>
  <si>
    <t>805-GASTOS DE COBRANZA</t>
  </si>
  <si>
    <t>806- INGRESOS POR TRASLADOS</t>
  </si>
  <si>
    <t>809- COMISIONES PRODUC F&amp;I</t>
  </si>
  <si>
    <t>325-005 ISAN</t>
  </si>
  <si>
    <t>INTERCOMPAÑIAS</t>
  </si>
  <si>
    <t>SUMA FINANCIEROS Y OTROS</t>
  </si>
  <si>
    <t>SUBTOTAL</t>
  </si>
  <si>
    <t>DESCUENTOS</t>
  </si>
  <si>
    <t>BONIFICACION GTOS DE COBRANZA</t>
  </si>
  <si>
    <t>TOTAL INGRSOS NETOS</t>
  </si>
  <si>
    <t>BASE PARA IVA CON FLUJO</t>
  </si>
  <si>
    <t>IVA POR PAGAR</t>
  </si>
  <si>
    <t>IVA FACTURADO</t>
  </si>
  <si>
    <t>IVA ACREEDITABLE PAGADO 324-004</t>
  </si>
  <si>
    <t>IMPUESTO A CARGO O A FAVOR</t>
  </si>
  <si>
    <t>IVA PENDIENTE DE ACREEDITAR 324-003</t>
  </si>
  <si>
    <t>IVA POR PAGAR NO COBRADO (IVA FACTURADO)</t>
  </si>
  <si>
    <t>SALDO A FAVOR A CARGO</t>
  </si>
  <si>
    <t>SALDO A FAVOR ANTERIOR Y PP :</t>
  </si>
  <si>
    <t>Sdo Inicial 324 IVA+Debe324-004 IVA PAGADO/SALDO A FAVOR ANTERIOR Y PP</t>
  </si>
  <si>
    <t xml:space="preserve"> </t>
  </si>
  <si>
    <t>SALDO EN INTEGRACION</t>
  </si>
  <si>
    <t xml:space="preserve">SALDO EN LIBROS </t>
  </si>
  <si>
    <t>DIF</t>
  </si>
  <si>
    <t>TASA 16% IVA POR PAGAR</t>
  </si>
  <si>
    <t>PAGO</t>
  </si>
  <si>
    <t>FAVOR</t>
  </si>
  <si>
    <t>REMANENTE</t>
  </si>
  <si>
    <t>complementaria</t>
  </si>
  <si>
    <t>BASE</t>
  </si>
  <si>
    <t>IVA ACREEDITABLE</t>
  </si>
  <si>
    <t>SALDO A -FAVOR O CARGO</t>
  </si>
  <si>
    <t>SALDO 2008</t>
  </si>
  <si>
    <t>SALDO 2009</t>
  </si>
  <si>
    <t>SALDO 2010</t>
  </si>
  <si>
    <t>SALDO A FAVOR 2010</t>
  </si>
  <si>
    <t>APLICACIÓN DE REMANENTE A FAVOR</t>
  </si>
  <si>
    <t>BASE ANTES DE FLUJO</t>
  </si>
  <si>
    <t>PAGOS DE IVA</t>
  </si>
  <si>
    <t>CONCILIACION IVA 2014</t>
  </si>
  <si>
    <t>603-</t>
  </si>
  <si>
    <t>640-</t>
  </si>
  <si>
    <t>804-OTROS INGRESOS (INTERCIAS)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</si>
</sst>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_-;\-* #,##0_-;_-* &quot;-&quot;??_-;_-@_-"/>
    <numFmt numFmtId="165" formatCode="#,##0.00000000000"/>
    <numFmt numFmtId="166" formatCode="#,##0.0000000000"/>
  </numFmts>
  <fonts count="14" x14ac:knownFonts="1">
    <font>
      <sz val="10"/>
      <name val="Arial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Calibri"/>
      <family val="2"/>
    </font>
    <font>
      <b/>
      <sz val="10"/>
      <color indexed="20"/>
      <name val="Calibri"/>
      <family val="2"/>
    </font>
    <font>
      <b/>
      <sz val="10"/>
      <name val="Calibri"/>
      <family val="2"/>
    </font>
    <font>
      <b/>
      <sz val="10"/>
      <color indexed="12"/>
      <name val="Calibri"/>
      <family val="2"/>
    </font>
    <font>
      <b/>
      <sz val="10"/>
      <color indexed="61"/>
      <name val="Calibri"/>
      <family val="2"/>
    </font>
    <font>
      <sz val="10"/>
      <color indexed="10"/>
      <name val="Calibri"/>
      <family val="2"/>
    </font>
    <font>
      <sz val="10"/>
      <color indexed="9"/>
      <name val="Calibri"/>
      <family val="2"/>
    </font>
    <font>
      <b/>
      <sz val="10"/>
      <color indexed="10"/>
      <name val="Calibri"/>
      <family val="2"/>
    </font>
    <font>
      <sz val="10"/>
      <color indexed="21"/>
      <name val="Calibri"/>
      <family val="2"/>
    </font>
    <font>
      <b/>
      <sz val="12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4" fontId="4" fillId="0" borderId="0" xfId="0" applyNumberFormat="1" applyFont="1"/>
    <xf numFmtId="0" fontId="4" fillId="0" borderId="0" xfId="0" applyFont="1"/>
    <xf numFmtId="0" fontId="5" fillId="0" borderId="0" xfId="0" applyFont="1"/>
    <xf numFmtId="43" fontId="4" fillId="0" borderId="0" xfId="1" applyFont="1"/>
    <xf numFmtId="43" fontId="6" fillId="0" borderId="0" xfId="1" applyFont="1" applyFill="1" applyAlignment="1">
      <alignment horizontal="center"/>
    </xf>
    <xf numFmtId="43" fontId="4" fillId="0" borderId="0" xfId="1" applyFont="1" applyFill="1"/>
    <xf numFmtId="43" fontId="6" fillId="0" borderId="0" xfId="1" applyFont="1" applyFill="1" applyAlignment="1">
      <alignment horizontal="left"/>
    </xf>
    <xf numFmtId="43" fontId="7" fillId="0" borderId="0" xfId="1" applyFont="1" applyFill="1"/>
    <xf numFmtId="43" fontId="6" fillId="0" borderId="0" xfId="1" applyFont="1" applyFill="1"/>
    <xf numFmtId="43" fontId="8" fillId="0" borderId="0" xfId="1" applyFont="1" applyFill="1" applyAlignment="1">
      <alignment horizontal="right"/>
    </xf>
    <xf numFmtId="0" fontId="4" fillId="0" borderId="0" xfId="1" applyNumberFormat="1" applyFont="1" applyFill="1"/>
    <xf numFmtId="2" fontId="4" fillId="0" borderId="0" xfId="1" applyNumberFormat="1" applyFont="1" applyFill="1"/>
    <xf numFmtId="43" fontId="7" fillId="0" borderId="0" xfId="1" applyFont="1"/>
    <xf numFmtId="0" fontId="6" fillId="0" borderId="0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3" fontId="4" fillId="0" borderId="1" xfId="1" applyFont="1" applyBorder="1"/>
    <xf numFmtId="3" fontId="4" fillId="0" borderId="1" xfId="1" applyNumberFormat="1" applyFont="1" applyBorder="1"/>
    <xf numFmtId="3" fontId="4" fillId="0" borderId="1" xfId="0" applyNumberFormat="1" applyFont="1" applyBorder="1"/>
    <xf numFmtId="164" fontId="4" fillId="0" borderId="1" xfId="1" applyNumberFormat="1" applyFont="1" applyBorder="1"/>
    <xf numFmtId="3" fontId="4" fillId="0" borderId="0" xfId="0" applyNumberFormat="1" applyFont="1"/>
    <xf numFmtId="3" fontId="11" fillId="0" borderId="0" xfId="0" applyNumberFormat="1" applyFont="1"/>
    <xf numFmtId="3" fontId="12" fillId="0" borderId="1" xfId="0" applyNumberFormat="1" applyFont="1" applyBorder="1"/>
    <xf numFmtId="3" fontId="4" fillId="0" borderId="0" xfId="1" applyNumberFormat="1" applyFont="1"/>
    <xf numFmtId="3" fontId="4" fillId="0" borderId="0" xfId="1" applyNumberFormat="1" applyFont="1" applyFill="1"/>
    <xf numFmtId="3" fontId="6" fillId="2" borderId="2" xfId="1" applyNumberFormat="1" applyFont="1" applyFill="1" applyBorder="1"/>
    <xf numFmtId="3" fontId="4" fillId="0" borderId="0" xfId="0" applyNumberFormat="1" applyFont="1" applyFill="1"/>
    <xf numFmtId="3" fontId="7" fillId="0" borderId="0" xfId="1" applyNumberFormat="1" applyFont="1" applyFill="1"/>
    <xf numFmtId="3" fontId="6" fillId="3" borderId="3" xfId="1" applyNumberFormat="1" applyFont="1" applyFill="1" applyBorder="1"/>
    <xf numFmtId="3" fontId="6" fillId="0" borderId="0" xfId="1" applyNumberFormat="1" applyFont="1" applyFill="1"/>
    <xf numFmtId="3" fontId="6" fillId="4" borderId="3" xfId="1" applyNumberFormat="1" applyFont="1" applyFill="1" applyBorder="1"/>
    <xf numFmtId="3" fontId="6" fillId="4" borderId="0" xfId="1" applyNumberFormat="1" applyFont="1" applyFill="1"/>
    <xf numFmtId="3" fontId="8" fillId="0" borderId="0" xfId="1" applyNumberFormat="1" applyFont="1" applyAlignment="1">
      <alignment horizontal="right"/>
    </xf>
    <xf numFmtId="3" fontId="4" fillId="5" borderId="0" xfId="1" applyNumberFormat="1" applyFont="1" applyFill="1"/>
    <xf numFmtId="3" fontId="10" fillId="6" borderId="0" xfId="1" applyNumberFormat="1" applyFont="1" applyFill="1"/>
    <xf numFmtId="3" fontId="6" fillId="7" borderId="4" xfId="1" applyNumberFormat="1" applyFont="1" applyFill="1" applyBorder="1"/>
    <xf numFmtId="3" fontId="6" fillId="7" borderId="1" xfId="1" applyNumberFormat="1" applyFont="1" applyFill="1" applyBorder="1"/>
    <xf numFmtId="3" fontId="6" fillId="0" borderId="1" xfId="1" applyNumberFormat="1" applyFont="1" applyBorder="1" applyAlignment="1">
      <alignment horizontal="center"/>
    </xf>
    <xf numFmtId="3" fontId="9" fillId="0" borderId="0" xfId="1" applyNumberFormat="1" applyFont="1"/>
    <xf numFmtId="4" fontId="4" fillId="0" borderId="0" xfId="1" applyNumberFormat="1" applyFont="1" applyFill="1" applyAlignment="1">
      <alignment horizontal="center"/>
    </xf>
    <xf numFmtId="3" fontId="13" fillId="0" borderId="0" xfId="1" applyNumberFormat="1" applyFont="1" applyFill="1" applyBorder="1"/>
    <xf numFmtId="0" fontId="4" fillId="0" borderId="0" xfId="0" applyFont="1" applyFill="1"/>
    <xf numFmtId="3" fontId="9" fillId="7" borderId="0" xfId="0" applyNumberFormat="1" applyFont="1" applyFill="1"/>
    <xf numFmtId="3" fontId="4" fillId="7" borderId="0" xfId="1" applyNumberFormat="1" applyFont="1" applyFill="1"/>
    <xf numFmtId="3" fontId="4" fillId="7" borderId="0" xfId="0" applyNumberFormat="1" applyFont="1" applyFill="1"/>
    <xf numFmtId="3" fontId="4" fillId="8" borderId="0" xfId="1" applyNumberFormat="1" applyFont="1" applyFill="1"/>
    <xf numFmtId="3" fontId="4" fillId="8" borderId="0" xfId="0" applyNumberFormat="1" applyFont="1" applyFill="1"/>
    <xf numFmtId="43" fontId="0" fillId="0" borderId="0" xfId="0" applyNumberFormat="1"/>
    <xf numFmtId="4" fontId="0" fillId="0" borderId="0" xfId="0" applyNumberFormat="1"/>
    <xf numFmtId="43" fontId="0" fillId="0" borderId="0" xfId="1" applyFont="1"/>
    <xf numFmtId="165" fontId="4" fillId="0" borderId="0" xfId="0" applyNumberFormat="1" applyFont="1"/>
    <xf numFmtId="166" fontId="4" fillId="0" borderId="0" xfId="0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2505075</xdr:colOff>
      <xdr:row>68</xdr:row>
      <xdr:rowOff>47625</xdr:rowOff>
    </xdr:from>
    <xdr:to>
      <xdr:col>2</xdr:col>
      <xdr:colOff>628650</xdr:colOff>
      <xdr:row>69</xdr:row>
      <xdr:rowOff>123825</xdr:rowOff>
    </xdr:to>
    <xdr:sp macro="" textlink="">
      <xdr:nvSpPr>
        <xdr:cNvPr id="1028" name="Line 4"/>
        <xdr:cNvSpPr>
          <a:spLocks noChangeShapeType="1"/>
        </xdr:cNvSpPr>
      </xdr:nvSpPr>
      <xdr:spPr bwMode="auto">
        <a:xfrm flipV="1">
          <a:off x="2505075" y="10991850"/>
          <a:ext cx="1790700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68</xdr:row>
      <xdr:rowOff>95250</xdr:rowOff>
    </xdr:from>
    <xdr:to>
      <xdr:col>4</xdr:col>
      <xdr:colOff>314325</xdr:colOff>
      <xdr:row>70</xdr:row>
      <xdr:rowOff>152400</xdr:rowOff>
    </xdr:to>
    <xdr:sp macro="" textlink="">
      <xdr:nvSpPr>
        <xdr:cNvPr id="1031" name="Line 7"/>
        <xdr:cNvSpPr>
          <a:spLocks noChangeShapeType="1"/>
        </xdr:cNvSpPr>
      </xdr:nvSpPr>
      <xdr:spPr bwMode="auto">
        <a:xfrm flipV="1">
          <a:off x="4800600" y="11039475"/>
          <a:ext cx="1438275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AYOR%20CYA%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15">
          <cell r="G15">
            <v>3541460.2800000003</v>
          </cell>
        </row>
        <row r="25">
          <cell r="G25">
            <v>2967690.5100000002</v>
          </cell>
        </row>
        <row r="36">
          <cell r="G36">
            <v>3843803.31</v>
          </cell>
        </row>
        <row r="46">
          <cell r="G46">
            <v>2303780.75</v>
          </cell>
        </row>
        <row r="56">
          <cell r="G56">
            <v>4126948.75</v>
          </cell>
        </row>
        <row r="67">
          <cell r="G67">
            <v>2779689.73</v>
          </cell>
        </row>
        <row r="78">
          <cell r="G78">
            <v>3753899.99</v>
          </cell>
        </row>
        <row r="89">
          <cell r="G89">
            <v>2761575.69</v>
          </cell>
        </row>
        <row r="99">
          <cell r="G99">
            <v>3338153.4899999998</v>
          </cell>
        </row>
        <row r="109">
          <cell r="G109">
            <v>4366505.58</v>
          </cell>
        </row>
        <row r="119">
          <cell r="G119">
            <v>5503611.5700000003</v>
          </cell>
        </row>
        <row r="129">
          <cell r="G129">
            <v>5005414.75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96"/>
  <sheetViews>
    <sheetView tabSelected="1" topLeftCell="A7" zoomScaleNormal="100" workbookViewId="0">
      <selection activeCell="E52" sqref="E52"/>
    </sheetView>
  </sheetViews>
  <sheetFormatPr baseColWidth="10" defaultRowHeight="12.75" outlineLevelCol="1" x14ac:dyDescent="0.2"/>
  <cols>
    <col min="1" max="1" width="44.140625" style="2" customWidth="1"/>
    <col min="2" max="2" width="15.28515625" style="2" customWidth="1"/>
    <col min="3" max="3" width="16.42578125" style="2" customWidth="1" outlineLevel="1"/>
    <col min="4" max="4" width="17.42578125" style="4" customWidth="1" outlineLevel="1"/>
    <col min="5" max="5" width="16.28515625" style="2" customWidth="1" outlineLevel="1"/>
    <col min="6" max="6" width="19.140625" style="2" customWidth="1" outlineLevel="1"/>
    <col min="7" max="7" width="18.5703125" style="2" customWidth="1" outlineLevel="1"/>
    <col min="8" max="8" width="18.5703125" style="2" customWidth="1" outlineLevel="1" collapsed="1"/>
    <col min="9" max="9" width="16.28515625" style="4" customWidth="1" outlineLevel="1"/>
    <col min="10" max="10" width="18.5703125" style="2" customWidth="1" outlineLevel="1"/>
    <col min="11" max="11" width="16.28515625" style="2" customWidth="1" outlineLevel="1"/>
    <col min="12" max="12" width="18.5703125" style="4" bestFit="1" customWidth="1"/>
    <col min="13" max="13" width="18.5703125" style="2" bestFit="1" customWidth="1"/>
    <col min="14" max="14" width="19.140625" style="2" bestFit="1" customWidth="1"/>
    <col min="15" max="15" width="16" style="2" bestFit="1" customWidth="1"/>
    <col min="16" max="16" width="11.42578125" style="2"/>
    <col min="17" max="17" width="15.85546875" style="2" bestFit="1" customWidth="1"/>
    <col min="18" max="16384" width="11.42578125" style="2"/>
  </cols>
  <sheetData>
    <row r="1" spans="1:17" x14ac:dyDescent="0.2">
      <c r="A1" s="3" t="s">
        <v>0</v>
      </c>
    </row>
    <row r="2" spans="1:17" x14ac:dyDescent="0.2">
      <c r="A2" s="3" t="s">
        <v>62</v>
      </c>
    </row>
    <row r="4" spans="1:17" x14ac:dyDescent="0.2">
      <c r="M4" s="50"/>
      <c r="N4" s="51">
        <f>N7-6596428.24</f>
        <v>-12344.740000000224</v>
      </c>
    </row>
    <row r="5" spans="1:17" x14ac:dyDescent="0.2">
      <c r="A5" s="5" t="s">
        <v>1</v>
      </c>
      <c r="C5" s="5" t="s">
        <v>2</v>
      </c>
      <c r="D5" s="5" t="s">
        <v>3</v>
      </c>
      <c r="E5" s="5" t="s">
        <v>4</v>
      </c>
      <c r="F5" s="5" t="s">
        <v>5</v>
      </c>
      <c r="G5" s="5" t="s">
        <v>6</v>
      </c>
      <c r="H5" s="5" t="s">
        <v>7</v>
      </c>
      <c r="I5" s="5" t="s">
        <v>8</v>
      </c>
      <c r="J5" s="5" t="s">
        <v>9</v>
      </c>
      <c r="K5" s="5" t="s">
        <v>10</v>
      </c>
      <c r="L5" s="5" t="s">
        <v>11</v>
      </c>
      <c r="M5" s="5" t="s">
        <v>12</v>
      </c>
      <c r="N5" s="5" t="s">
        <v>13</v>
      </c>
    </row>
    <row r="6" spans="1:17" x14ac:dyDescent="0.2">
      <c r="A6" s="6" t="s">
        <v>14</v>
      </c>
      <c r="B6" s="2">
        <v>400</v>
      </c>
      <c r="C6" s="23">
        <f>10967975.94-C21</f>
        <v>10598515.939999999</v>
      </c>
      <c r="D6" s="23">
        <f>11876503.94-D21</f>
        <v>11446920.939999999</v>
      </c>
      <c r="E6" s="23">
        <f>10897280.94-E21</f>
        <v>10558900.939999999</v>
      </c>
      <c r="F6" s="24">
        <f>10872163.88-F21</f>
        <v>10535676.880000001</v>
      </c>
      <c r="G6" s="23">
        <f>7959353.25-G21</f>
        <v>7682750.25</v>
      </c>
      <c r="H6" s="23">
        <f>10789512-H21</f>
        <v>10343109</v>
      </c>
      <c r="I6" s="23">
        <f>10735473.88-I21</f>
        <v>10400522.880000001</v>
      </c>
      <c r="J6" s="23">
        <f>12168638.31-J21</f>
        <v>11793064.310000001</v>
      </c>
      <c r="K6" s="23">
        <f>15037341.06-K21</f>
        <v>14518031.060000001</v>
      </c>
      <c r="L6" s="23">
        <f>15092157.44-L21</f>
        <v>14433655.439999999</v>
      </c>
      <c r="M6" s="23">
        <f>16318164.75-M21</f>
        <v>15712663.75</v>
      </c>
      <c r="N6" s="23">
        <f>16423921.98-N21</f>
        <v>15815464.98</v>
      </c>
      <c r="O6" s="23">
        <f t="shared" ref="O6:O12" si="0">SUM(C6:N6)</f>
        <v>143839276.37</v>
      </c>
      <c r="P6" s="20"/>
    </row>
    <row r="7" spans="1:17" x14ac:dyDescent="0.2">
      <c r="A7" s="6" t="s">
        <v>15</v>
      </c>
      <c r="B7" s="2">
        <v>401</v>
      </c>
      <c r="C7" s="23">
        <v>8078011.8099999996</v>
      </c>
      <c r="D7" s="23">
        <v>4962740.43</v>
      </c>
      <c r="E7" s="23">
        <v>5365864.6900000004</v>
      </c>
      <c r="F7" s="24">
        <v>6558929.5599999996</v>
      </c>
      <c r="G7" s="23">
        <v>7719886.1299999999</v>
      </c>
      <c r="H7" s="23">
        <v>7117429.8099999996</v>
      </c>
      <c r="I7" s="23">
        <v>6293494.75</v>
      </c>
      <c r="J7" s="23">
        <v>7934572.5</v>
      </c>
      <c r="K7" s="23">
        <v>5079051</v>
      </c>
      <c r="L7" s="23">
        <v>12166084.880000001</v>
      </c>
      <c r="M7" s="23">
        <v>10251297.5</v>
      </c>
      <c r="N7" s="23">
        <v>6584083.5</v>
      </c>
      <c r="O7" s="23">
        <f t="shared" si="0"/>
        <v>88111446.560000002</v>
      </c>
      <c r="P7" s="20"/>
    </row>
    <row r="8" spans="1:17" x14ac:dyDescent="0.2">
      <c r="A8" s="6" t="s">
        <v>16</v>
      </c>
      <c r="C8" s="23"/>
      <c r="D8" s="23"/>
      <c r="E8" s="23"/>
      <c r="F8" s="24"/>
      <c r="G8" s="23"/>
      <c r="H8" s="23"/>
      <c r="I8" s="23"/>
      <c r="J8" s="23"/>
      <c r="K8" s="23"/>
      <c r="L8" s="23"/>
      <c r="M8" s="23"/>
      <c r="N8" s="23"/>
      <c r="O8" s="23">
        <f t="shared" si="0"/>
        <v>0</v>
      </c>
      <c r="P8" s="20"/>
    </row>
    <row r="9" spans="1:17" x14ac:dyDescent="0.2">
      <c r="A9" s="6" t="s">
        <v>17</v>
      </c>
      <c r="B9" s="2">
        <v>440</v>
      </c>
      <c r="C9" s="24">
        <v>823146.63</v>
      </c>
      <c r="D9" s="23">
        <v>300000.06</v>
      </c>
      <c r="E9" s="23">
        <v>231465.5</v>
      </c>
      <c r="F9" s="24">
        <v>389324.13</v>
      </c>
      <c r="G9" s="23">
        <v>446551.88</v>
      </c>
      <c r="H9" s="23">
        <v>675862.06</v>
      </c>
      <c r="I9" s="24">
        <v>467672.38</v>
      </c>
      <c r="J9" s="24">
        <v>871120.75</v>
      </c>
      <c r="K9" s="23">
        <v>466379.31</v>
      </c>
      <c r="L9" s="23">
        <v>108620.69</v>
      </c>
      <c r="M9" s="24">
        <v>2287068.94</v>
      </c>
      <c r="N9" s="23">
        <v>1395775.88</v>
      </c>
      <c r="O9" s="23">
        <f t="shared" si="0"/>
        <v>8462988.2100000009</v>
      </c>
      <c r="P9" s="20"/>
    </row>
    <row r="10" spans="1:17" x14ac:dyDescent="0.2">
      <c r="A10" s="6" t="s">
        <v>18</v>
      </c>
      <c r="B10" s="2">
        <v>403</v>
      </c>
      <c r="C10" s="23">
        <v>84205.31</v>
      </c>
      <c r="D10" s="23">
        <v>82806.12</v>
      </c>
      <c r="E10" s="23">
        <v>67903.38</v>
      </c>
      <c r="F10" s="24">
        <v>12319.81</v>
      </c>
      <c r="G10" s="23">
        <v>83539.38</v>
      </c>
      <c r="H10" s="23">
        <v>78310.880000000005</v>
      </c>
      <c r="I10" s="23">
        <v>68206.31</v>
      </c>
      <c r="J10" s="23">
        <v>37672.120000000003</v>
      </c>
      <c r="K10" s="23">
        <v>30258.63</v>
      </c>
      <c r="L10" s="23">
        <v>81046.81</v>
      </c>
      <c r="M10" s="23">
        <v>32022.13</v>
      </c>
      <c r="N10" s="23">
        <v>189528.81</v>
      </c>
      <c r="O10" s="23">
        <f t="shared" si="0"/>
        <v>847819.69</v>
      </c>
      <c r="P10" s="20"/>
      <c r="Q10" s="1"/>
    </row>
    <row r="11" spans="1:17" x14ac:dyDescent="0.2">
      <c r="A11" s="6" t="s">
        <v>19</v>
      </c>
      <c r="B11" s="2">
        <v>483</v>
      </c>
      <c r="C11" s="45">
        <v>1196355.75</v>
      </c>
      <c r="D11" s="45">
        <v>1123462</v>
      </c>
      <c r="E11" s="45">
        <v>1312620.31</v>
      </c>
      <c r="F11" s="45">
        <v>1227471.56</v>
      </c>
      <c r="G11" s="45">
        <v>1106704.1299999999</v>
      </c>
      <c r="H11" s="45">
        <v>1306023.19</v>
      </c>
      <c r="I11" s="45">
        <v>1433784.31</v>
      </c>
      <c r="J11" s="45">
        <v>1600475.75</v>
      </c>
      <c r="K11" s="45">
        <v>1696945.31</v>
      </c>
      <c r="L11" s="45">
        <v>1746554.94</v>
      </c>
      <c r="M11" s="45">
        <v>1523581</v>
      </c>
      <c r="N11" s="45">
        <v>1422186.44</v>
      </c>
      <c r="O11" s="23">
        <f t="shared" si="0"/>
        <v>16696164.689999999</v>
      </c>
      <c r="P11" s="20"/>
      <c r="Q11" s="1"/>
    </row>
    <row r="12" spans="1:17" ht="13.5" thickBot="1" x14ac:dyDescent="0.25">
      <c r="A12" s="6" t="s">
        <v>20</v>
      </c>
      <c r="B12" s="2">
        <v>470</v>
      </c>
      <c r="C12" s="23">
        <v>202590.75</v>
      </c>
      <c r="D12" s="23">
        <v>228234.31</v>
      </c>
      <c r="E12" s="23">
        <v>213532.44</v>
      </c>
      <c r="F12" s="24">
        <v>148560.31</v>
      </c>
      <c r="G12" s="23">
        <v>241985.56</v>
      </c>
      <c r="H12" s="23">
        <v>151110.88</v>
      </c>
      <c r="I12" s="23">
        <v>209322.56</v>
      </c>
      <c r="J12" s="23">
        <v>189058.19</v>
      </c>
      <c r="K12" s="23">
        <v>197422.81</v>
      </c>
      <c r="L12" s="23">
        <v>244812.81</v>
      </c>
      <c r="M12" s="23">
        <v>160382.06</v>
      </c>
      <c r="N12" s="23">
        <v>290108.81</v>
      </c>
      <c r="O12" s="23">
        <f t="shared" si="0"/>
        <v>2477121.4900000002</v>
      </c>
      <c r="P12" s="20"/>
      <c r="Q12" s="1"/>
    </row>
    <row r="13" spans="1:17" ht="13.5" thickBot="1" x14ac:dyDescent="0.25">
      <c r="A13" s="7" t="s">
        <v>21</v>
      </c>
      <c r="C13" s="25">
        <f t="shared" ref="C13:M13" si="1">SUM(C6:C12)</f>
        <v>20982826.189999998</v>
      </c>
      <c r="D13" s="25">
        <f t="shared" si="1"/>
        <v>18144163.859999999</v>
      </c>
      <c r="E13" s="25">
        <f t="shared" si="1"/>
        <v>17750287.260000002</v>
      </c>
      <c r="F13" s="25">
        <f t="shared" si="1"/>
        <v>18872282.249999996</v>
      </c>
      <c r="G13" s="25">
        <f t="shared" si="1"/>
        <v>17281417.329999998</v>
      </c>
      <c r="H13" s="25">
        <f t="shared" si="1"/>
        <v>19671845.819999997</v>
      </c>
      <c r="I13" s="25">
        <f t="shared" si="1"/>
        <v>18873003.189999998</v>
      </c>
      <c r="J13" s="25">
        <f t="shared" si="1"/>
        <v>22425963.620000005</v>
      </c>
      <c r="K13" s="25">
        <f t="shared" si="1"/>
        <v>21988088.119999997</v>
      </c>
      <c r="L13" s="25">
        <f t="shared" si="1"/>
        <v>28780775.57</v>
      </c>
      <c r="M13" s="25">
        <f t="shared" si="1"/>
        <v>29967015.379999999</v>
      </c>
      <c r="N13" s="25">
        <f>SUM(N6:N12)</f>
        <v>25697148.419999998</v>
      </c>
      <c r="O13" s="23"/>
      <c r="P13" s="20"/>
      <c r="Q13" s="1"/>
    </row>
    <row r="14" spans="1:17" x14ac:dyDescent="0.2">
      <c r="A14" s="6" t="s">
        <v>65</v>
      </c>
      <c r="C14" s="24">
        <v>124525</v>
      </c>
      <c r="D14" s="23">
        <v>122301</v>
      </c>
      <c r="E14" s="23">
        <v>108457.31</v>
      </c>
      <c r="F14" s="26">
        <v>184992.38</v>
      </c>
      <c r="G14" s="20">
        <v>146930.31</v>
      </c>
      <c r="H14" s="23">
        <v>113406.75</v>
      </c>
      <c r="I14" s="23">
        <v>146791.88</v>
      </c>
      <c r="J14" s="20">
        <v>153435.38</v>
      </c>
      <c r="K14" s="20">
        <v>135459.06</v>
      </c>
      <c r="L14" s="23">
        <v>134405.69</v>
      </c>
      <c r="M14" s="26">
        <v>136461.31</v>
      </c>
      <c r="N14" s="23">
        <v>96836.88</v>
      </c>
      <c r="O14" s="23"/>
      <c r="P14" s="20"/>
      <c r="Q14" s="1"/>
    </row>
    <row r="15" spans="1:17" x14ac:dyDescent="0.2">
      <c r="A15" s="6" t="s">
        <v>22</v>
      </c>
      <c r="C15" s="24">
        <v>63086.25</v>
      </c>
      <c r="D15" s="23">
        <v>32327.62</v>
      </c>
      <c r="E15" s="23">
        <v>47413.88</v>
      </c>
      <c r="F15" s="23">
        <v>106896.94</v>
      </c>
      <c r="G15" s="23">
        <v>47413.88</v>
      </c>
      <c r="H15" s="23"/>
      <c r="I15" s="23"/>
      <c r="J15" s="20"/>
      <c r="K15" s="23"/>
      <c r="L15" s="23"/>
      <c r="M15" s="24"/>
      <c r="N15" s="23"/>
      <c r="O15" s="23"/>
      <c r="P15" s="20"/>
      <c r="Q15" s="1"/>
    </row>
    <row r="16" spans="1:17" x14ac:dyDescent="0.2">
      <c r="A16" s="6" t="s">
        <v>63</v>
      </c>
      <c r="C16" s="45">
        <v>18090.63</v>
      </c>
      <c r="D16" s="45">
        <v>46992.56</v>
      </c>
      <c r="E16" s="46">
        <v>9813.25</v>
      </c>
      <c r="F16" s="46">
        <v>28887.94</v>
      </c>
      <c r="G16" s="46">
        <v>9412.75</v>
      </c>
      <c r="H16" s="45">
        <v>23754.38</v>
      </c>
      <c r="I16" s="45">
        <v>17064.689999999999</v>
      </c>
      <c r="J16" s="46">
        <v>2891.19</v>
      </c>
      <c r="K16" s="46">
        <v>27659.81</v>
      </c>
      <c r="L16" s="45">
        <v>30077.31</v>
      </c>
      <c r="M16" s="46">
        <v>50543.38</v>
      </c>
      <c r="N16" s="45">
        <v>71739.69</v>
      </c>
      <c r="O16" s="23"/>
      <c r="P16" s="20"/>
      <c r="Q16" s="1"/>
    </row>
    <row r="17" spans="1:17" x14ac:dyDescent="0.2">
      <c r="A17" s="6" t="s">
        <v>64</v>
      </c>
      <c r="C17" s="45">
        <v>41704.5</v>
      </c>
      <c r="D17" s="45">
        <v>17792.310000000001</v>
      </c>
      <c r="E17" s="46">
        <v>11860.56</v>
      </c>
      <c r="F17" s="46">
        <v>48646.81</v>
      </c>
      <c r="G17" s="46">
        <v>26122.63</v>
      </c>
      <c r="H17" s="45">
        <v>15895.69</v>
      </c>
      <c r="I17" s="45">
        <v>80250</v>
      </c>
      <c r="J17" s="46">
        <v>24230.19</v>
      </c>
      <c r="K17" s="46">
        <v>15034.31</v>
      </c>
      <c r="L17" s="45">
        <v>1255.69</v>
      </c>
      <c r="M17" s="46">
        <v>28372.69</v>
      </c>
      <c r="N17" s="45">
        <v>42362.44</v>
      </c>
      <c r="O17" s="23"/>
      <c r="P17" s="20"/>
      <c r="Q17" s="1"/>
    </row>
    <row r="18" spans="1:17" x14ac:dyDescent="0.2">
      <c r="A18" s="6" t="s">
        <v>23</v>
      </c>
      <c r="C18" s="24">
        <v>9529.25</v>
      </c>
      <c r="D18" s="23">
        <v>5019.68</v>
      </c>
      <c r="E18" s="23">
        <v>29653.88</v>
      </c>
      <c r="F18" s="23">
        <v>25037.63</v>
      </c>
      <c r="G18" s="23">
        <v>1353.5</v>
      </c>
      <c r="H18" s="23">
        <v>133502.94</v>
      </c>
      <c r="I18" s="23">
        <v>2999.81</v>
      </c>
      <c r="J18" s="23">
        <v>3017.13</v>
      </c>
      <c r="K18" s="20">
        <v>3025.75</v>
      </c>
      <c r="L18" s="20">
        <v>3056</v>
      </c>
      <c r="M18" s="26">
        <v>5031.6899999999996</v>
      </c>
      <c r="N18" s="23">
        <v>2970.94</v>
      </c>
      <c r="O18" s="23"/>
      <c r="P18" s="20"/>
      <c r="Q18" s="1"/>
    </row>
    <row r="19" spans="1:17" x14ac:dyDescent="0.2">
      <c r="A19" s="6" t="s">
        <v>24</v>
      </c>
      <c r="C19" s="24">
        <v>21689.69</v>
      </c>
      <c r="D19" s="20">
        <v>34263.629999999997</v>
      </c>
      <c r="E19" s="23">
        <v>1551.69</v>
      </c>
      <c r="F19" s="24">
        <v>-8773.3799999999992</v>
      </c>
      <c r="G19" s="23">
        <v>90491.56</v>
      </c>
      <c r="H19" s="23">
        <v>15923.56</v>
      </c>
      <c r="I19" s="23">
        <v>14920.44</v>
      </c>
      <c r="J19" s="23">
        <v>4624.88</v>
      </c>
      <c r="K19" s="20">
        <v>40622.5</v>
      </c>
      <c r="L19" s="20">
        <v>142010.81</v>
      </c>
      <c r="M19" s="26">
        <v>37076.559999999998</v>
      </c>
      <c r="N19" s="23">
        <v>8949.6299999999992</v>
      </c>
      <c r="O19" s="23"/>
      <c r="P19" s="20"/>
      <c r="Q19" s="1"/>
    </row>
    <row r="20" spans="1:17" x14ac:dyDescent="0.2">
      <c r="A20" s="6" t="s">
        <v>25</v>
      </c>
      <c r="C20" s="24">
        <v>747080</v>
      </c>
      <c r="D20" s="20">
        <v>590518.06000000006</v>
      </c>
      <c r="E20" s="23">
        <v>203067.81</v>
      </c>
      <c r="F20" s="24">
        <v>368899.25</v>
      </c>
      <c r="G20" s="23">
        <v>332930.31</v>
      </c>
      <c r="H20" s="23">
        <v>338801.06</v>
      </c>
      <c r="I20" s="23">
        <v>357052.31</v>
      </c>
      <c r="J20" s="23">
        <v>353668.19</v>
      </c>
      <c r="K20" s="20">
        <v>558494.68999999994</v>
      </c>
      <c r="L20" s="20">
        <v>295097.51</v>
      </c>
      <c r="M20" s="26">
        <v>359169.06</v>
      </c>
      <c r="N20" s="23">
        <v>561346.56000000006</v>
      </c>
      <c r="O20" s="23"/>
      <c r="P20" s="20"/>
    </row>
    <row r="21" spans="1:17" x14ac:dyDescent="0.2">
      <c r="A21" s="6" t="s">
        <v>26</v>
      </c>
      <c r="C21" s="24">
        <v>369460</v>
      </c>
      <c r="D21" s="23">
        <v>429583</v>
      </c>
      <c r="E21" s="23">
        <v>338380</v>
      </c>
      <c r="F21" s="24">
        <v>336487</v>
      </c>
      <c r="G21" s="23">
        <v>276603</v>
      </c>
      <c r="H21" s="23">
        <v>446403</v>
      </c>
      <c r="I21" s="23">
        <v>334951</v>
      </c>
      <c r="J21" s="23">
        <v>375574</v>
      </c>
      <c r="K21" s="23">
        <v>519310</v>
      </c>
      <c r="L21" s="23">
        <v>658502</v>
      </c>
      <c r="M21" s="24">
        <v>605501</v>
      </c>
      <c r="N21" s="23">
        <v>608457</v>
      </c>
      <c r="O21" s="23"/>
      <c r="P21" s="20"/>
    </row>
    <row r="22" spans="1:17" x14ac:dyDescent="0.2">
      <c r="A22" s="6" t="s">
        <v>27</v>
      </c>
      <c r="C22" s="24">
        <v>0</v>
      </c>
      <c r="D22" s="23"/>
      <c r="E22" s="20">
        <v>0</v>
      </c>
      <c r="F22" s="26"/>
      <c r="G22" s="20"/>
      <c r="H22" s="23"/>
      <c r="I22" s="23"/>
      <c r="J22" s="20"/>
      <c r="K22" s="20"/>
      <c r="L22" s="23"/>
      <c r="M22" s="26"/>
      <c r="N22" s="23"/>
      <c r="O22" s="23"/>
      <c r="P22" s="20"/>
    </row>
    <row r="23" spans="1:17" ht="13.5" thickBot="1" x14ac:dyDescent="0.25">
      <c r="A23" s="8" t="s">
        <v>28</v>
      </c>
      <c r="C23" s="27">
        <f t="shared" ref="C23:I23" si="2">SUM(C14:C22)</f>
        <v>1395165.32</v>
      </c>
      <c r="D23" s="27">
        <f t="shared" si="2"/>
        <v>1278797.8600000001</v>
      </c>
      <c r="E23" s="27">
        <f t="shared" si="2"/>
        <v>750198.38</v>
      </c>
      <c r="F23" s="27">
        <f t="shared" si="2"/>
        <v>1091074.57</v>
      </c>
      <c r="G23" s="27">
        <f t="shared" si="2"/>
        <v>931257.94</v>
      </c>
      <c r="H23" s="27">
        <f t="shared" si="2"/>
        <v>1087687.3799999999</v>
      </c>
      <c r="I23" s="27">
        <f t="shared" si="2"/>
        <v>954030.13</v>
      </c>
      <c r="J23" s="27">
        <f>SUM(J14:J22)</f>
        <v>917440.96</v>
      </c>
      <c r="K23" s="27">
        <f>SUM(K14:K22)</f>
        <v>1299606.1199999999</v>
      </c>
      <c r="L23" s="27">
        <f>SUM(L14:L22)</f>
        <v>1264405.01</v>
      </c>
      <c r="M23" s="27">
        <f>SUM(M14:M22)</f>
        <v>1222155.69</v>
      </c>
      <c r="N23" s="27">
        <f>SUM(N14:N22)</f>
        <v>1392663.1400000001</v>
      </c>
      <c r="O23" s="23"/>
      <c r="P23" s="20"/>
    </row>
    <row r="24" spans="1:17" ht="13.5" thickBot="1" x14ac:dyDescent="0.25">
      <c r="A24" s="9" t="s">
        <v>29</v>
      </c>
      <c r="C24" s="28">
        <f t="shared" ref="C24:N24" si="3">SUM(C23,C13)</f>
        <v>22377991.509999998</v>
      </c>
      <c r="D24" s="28">
        <f t="shared" si="3"/>
        <v>19422961.719999999</v>
      </c>
      <c r="E24" s="28">
        <f t="shared" si="3"/>
        <v>18500485.640000001</v>
      </c>
      <c r="F24" s="28">
        <f t="shared" si="3"/>
        <v>19963356.819999997</v>
      </c>
      <c r="G24" s="28">
        <f t="shared" si="3"/>
        <v>18212675.27</v>
      </c>
      <c r="H24" s="28">
        <f t="shared" si="3"/>
        <v>20759533.199999996</v>
      </c>
      <c r="I24" s="28">
        <f t="shared" si="3"/>
        <v>19827033.319999997</v>
      </c>
      <c r="J24" s="28">
        <f t="shared" si="3"/>
        <v>23343404.580000006</v>
      </c>
      <c r="K24" s="28">
        <f t="shared" si="3"/>
        <v>23287694.239999998</v>
      </c>
      <c r="L24" s="28">
        <f t="shared" si="3"/>
        <v>30045180.580000002</v>
      </c>
      <c r="M24" s="28">
        <f t="shared" si="3"/>
        <v>31189171.07</v>
      </c>
      <c r="N24" s="28">
        <f t="shared" si="3"/>
        <v>27089811.559999999</v>
      </c>
      <c r="O24" s="23">
        <f>M11+M16+M17-1602495.32</f>
        <v>1.7499999997671694</v>
      </c>
      <c r="P24" s="20"/>
    </row>
    <row r="25" spans="1:17" x14ac:dyDescent="0.2">
      <c r="A25" s="9"/>
      <c r="C25" s="29"/>
      <c r="D25" s="23"/>
      <c r="E25" s="20"/>
      <c r="F25" s="20"/>
      <c r="G25" s="20"/>
      <c r="H25" s="23"/>
      <c r="I25" s="23"/>
      <c r="J25" s="20"/>
      <c r="K25" s="20"/>
      <c r="L25" s="23"/>
      <c r="M25" s="20"/>
      <c r="N25" s="23"/>
      <c r="O25" s="23"/>
      <c r="P25" s="20"/>
    </row>
    <row r="26" spans="1:17" x14ac:dyDescent="0.2">
      <c r="A26" s="9" t="s">
        <v>30</v>
      </c>
      <c r="C26" s="23">
        <v>-31454.81</v>
      </c>
      <c r="D26" s="23">
        <f>-2590.5-21551.75</f>
        <v>-24142.25</v>
      </c>
      <c r="E26" s="20">
        <f>-3594.75-21551.75</f>
        <v>-25146.5</v>
      </c>
      <c r="F26" s="23">
        <v>-1996.75</v>
      </c>
      <c r="G26" s="23">
        <f>-11004.31-21551.75</f>
        <v>-32556.059999999998</v>
      </c>
      <c r="H26" s="23">
        <v>10775.88</v>
      </c>
      <c r="I26" s="23">
        <v>-11701.44</v>
      </c>
      <c r="J26" s="23">
        <v>120750.19</v>
      </c>
      <c r="K26" s="20">
        <v>58220</v>
      </c>
      <c r="L26" s="20">
        <v>4208</v>
      </c>
      <c r="M26" s="23">
        <v>38793.31</v>
      </c>
      <c r="N26" s="23">
        <v>53879.56</v>
      </c>
      <c r="O26" s="23"/>
      <c r="P26" s="20"/>
    </row>
    <row r="27" spans="1:17" x14ac:dyDescent="0.2">
      <c r="A27" s="9" t="s">
        <v>31</v>
      </c>
      <c r="C27" s="24">
        <v>0</v>
      </c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>
        <v>0</v>
      </c>
      <c r="O27" s="23"/>
      <c r="P27" s="20"/>
    </row>
    <row r="28" spans="1:17" ht="13.5" thickBot="1" x14ac:dyDescent="0.25">
      <c r="A28" s="9"/>
      <c r="C28" s="29"/>
      <c r="D28" s="29"/>
      <c r="E28" s="20"/>
      <c r="F28" s="20"/>
      <c r="G28" s="20"/>
      <c r="H28" s="23"/>
      <c r="I28" s="23"/>
      <c r="J28" s="20"/>
      <c r="K28" s="20"/>
      <c r="L28" s="23"/>
      <c r="M28" s="20"/>
      <c r="N28" s="23"/>
      <c r="O28" s="23"/>
      <c r="P28" s="20"/>
    </row>
    <row r="29" spans="1:17" ht="13.5" thickBot="1" x14ac:dyDescent="0.25">
      <c r="A29" s="9" t="s">
        <v>32</v>
      </c>
      <c r="C29" s="30">
        <f t="shared" ref="C29:K29" si="4">SUM(C24:C28)</f>
        <v>22346536.699999999</v>
      </c>
      <c r="D29" s="30">
        <f t="shared" si="4"/>
        <v>19398819.469999999</v>
      </c>
      <c r="E29" s="30">
        <f t="shared" si="4"/>
        <v>18475339.140000001</v>
      </c>
      <c r="F29" s="30">
        <f t="shared" si="4"/>
        <v>19961360.069999997</v>
      </c>
      <c r="G29" s="30">
        <f t="shared" si="4"/>
        <v>18180119.210000001</v>
      </c>
      <c r="H29" s="30">
        <f t="shared" si="4"/>
        <v>20770309.079999994</v>
      </c>
      <c r="I29" s="30">
        <f t="shared" si="4"/>
        <v>19815331.879999995</v>
      </c>
      <c r="J29" s="30">
        <f t="shared" si="4"/>
        <v>23464154.770000007</v>
      </c>
      <c r="K29" s="30">
        <f t="shared" si="4"/>
        <v>23345914.239999998</v>
      </c>
      <c r="L29" s="30">
        <f>SUM(L24:L28)</f>
        <v>30049388.580000002</v>
      </c>
      <c r="M29" s="30">
        <f>SUM(M24:M28)</f>
        <v>31227964.379999999</v>
      </c>
      <c r="N29" s="30">
        <f>SUM(N24:N28)</f>
        <v>27143691.119999997</v>
      </c>
      <c r="O29" s="23"/>
      <c r="P29" s="20"/>
    </row>
    <row r="30" spans="1:17" x14ac:dyDescent="0.2">
      <c r="A30" s="9"/>
      <c r="C30" s="29"/>
      <c r="D30" s="29"/>
      <c r="E30" s="20"/>
      <c r="F30" s="20"/>
      <c r="G30" s="20"/>
      <c r="H30" s="23"/>
      <c r="I30" s="23"/>
      <c r="J30" s="20"/>
      <c r="K30" s="20"/>
      <c r="L30" s="23"/>
      <c r="M30" s="20"/>
      <c r="N30" s="23"/>
      <c r="O30" s="23"/>
      <c r="P30" s="20"/>
    </row>
    <row r="31" spans="1:17" x14ac:dyDescent="0.2">
      <c r="A31" s="9" t="s">
        <v>60</v>
      </c>
      <c r="C31" s="29">
        <f t="shared" ref="C31:N31" si="5">+C29</f>
        <v>22346536.699999999</v>
      </c>
      <c r="D31" s="29">
        <f t="shared" si="5"/>
        <v>19398819.469999999</v>
      </c>
      <c r="E31" s="29">
        <f t="shared" si="5"/>
        <v>18475339.140000001</v>
      </c>
      <c r="F31" s="29">
        <f t="shared" si="5"/>
        <v>19961360.069999997</v>
      </c>
      <c r="G31" s="29">
        <f t="shared" si="5"/>
        <v>18180119.210000001</v>
      </c>
      <c r="H31" s="29">
        <f t="shared" si="5"/>
        <v>20770309.079999994</v>
      </c>
      <c r="I31" s="29">
        <f t="shared" si="5"/>
        <v>19815331.879999995</v>
      </c>
      <c r="J31" s="29">
        <f t="shared" si="5"/>
        <v>23464154.770000007</v>
      </c>
      <c r="K31" s="29">
        <f t="shared" si="5"/>
        <v>23345914.239999998</v>
      </c>
      <c r="L31" s="29">
        <f t="shared" si="5"/>
        <v>30049388.580000002</v>
      </c>
      <c r="M31" s="29">
        <f t="shared" si="5"/>
        <v>31227964.379999999</v>
      </c>
      <c r="N31" s="29">
        <f t="shared" si="5"/>
        <v>27143691.119999997</v>
      </c>
      <c r="O31" s="23"/>
      <c r="P31" s="20"/>
    </row>
    <row r="32" spans="1:17" x14ac:dyDescent="0.2">
      <c r="A32" s="6"/>
      <c r="C32" s="24"/>
      <c r="D32" s="24"/>
      <c r="E32" s="24"/>
      <c r="F32" s="24"/>
      <c r="G32" s="20"/>
      <c r="H32" s="23"/>
      <c r="I32" s="23"/>
      <c r="J32" s="20"/>
      <c r="K32" s="20"/>
      <c r="L32" s="23"/>
      <c r="M32" s="20"/>
      <c r="N32" s="23"/>
      <c r="O32" s="23"/>
      <c r="P32" s="20"/>
    </row>
    <row r="33" spans="1:16" x14ac:dyDescent="0.2">
      <c r="A33" s="9" t="s">
        <v>33</v>
      </c>
      <c r="C33" s="31">
        <f t="shared" ref="C33:N33" si="6">SUM(C31:C32)</f>
        <v>22346536.699999999</v>
      </c>
      <c r="D33" s="31">
        <f t="shared" si="6"/>
        <v>19398819.469999999</v>
      </c>
      <c r="E33" s="31">
        <f t="shared" si="6"/>
        <v>18475339.140000001</v>
      </c>
      <c r="F33" s="31">
        <f t="shared" si="6"/>
        <v>19961360.069999997</v>
      </c>
      <c r="G33" s="31">
        <f t="shared" si="6"/>
        <v>18180119.210000001</v>
      </c>
      <c r="H33" s="31">
        <f t="shared" si="6"/>
        <v>20770309.079999994</v>
      </c>
      <c r="I33" s="31">
        <f t="shared" si="6"/>
        <v>19815331.879999995</v>
      </c>
      <c r="J33" s="31">
        <f t="shared" si="6"/>
        <v>23464154.770000007</v>
      </c>
      <c r="K33" s="31">
        <f t="shared" si="6"/>
        <v>23345914.239999998</v>
      </c>
      <c r="L33" s="31">
        <f t="shared" si="6"/>
        <v>30049388.580000002</v>
      </c>
      <c r="M33" s="31">
        <f t="shared" si="6"/>
        <v>31227964.379999999</v>
      </c>
      <c r="N33" s="31">
        <f t="shared" si="6"/>
        <v>27143691.119999997</v>
      </c>
      <c r="O33" s="23"/>
      <c r="P33" s="20"/>
    </row>
    <row r="34" spans="1:16" x14ac:dyDescent="0.2">
      <c r="A34" s="7" t="s">
        <v>47</v>
      </c>
      <c r="C34" s="39">
        <v>0.16</v>
      </c>
      <c r="D34" s="39">
        <v>0.16</v>
      </c>
      <c r="E34" s="39">
        <v>0.16</v>
      </c>
      <c r="F34" s="39">
        <v>0.16</v>
      </c>
      <c r="G34" s="39">
        <v>0.16</v>
      </c>
      <c r="H34" s="39">
        <v>0.16</v>
      </c>
      <c r="I34" s="39">
        <v>0.16</v>
      </c>
      <c r="J34" s="39">
        <v>0.16</v>
      </c>
      <c r="K34" s="39">
        <v>0.16</v>
      </c>
      <c r="L34" s="39">
        <v>0.16</v>
      </c>
      <c r="M34" s="39">
        <v>0.16</v>
      </c>
      <c r="N34" s="39">
        <v>0.16</v>
      </c>
      <c r="O34" s="23"/>
      <c r="P34" s="20"/>
    </row>
    <row r="35" spans="1:16" x14ac:dyDescent="0.2">
      <c r="A35" s="9" t="s">
        <v>34</v>
      </c>
      <c r="C35" s="29">
        <f t="shared" ref="C35:N35" si="7">C33*0.16</f>
        <v>3575445.872</v>
      </c>
      <c r="D35" s="29">
        <f t="shared" si="7"/>
        <v>3103811.1151999999</v>
      </c>
      <c r="E35" s="29">
        <f t="shared" si="7"/>
        <v>2956054.2624000004</v>
      </c>
      <c r="F35" s="29">
        <f t="shared" si="7"/>
        <v>3193817.6111999997</v>
      </c>
      <c r="G35" s="29">
        <f t="shared" si="7"/>
        <v>2908819.0736000002</v>
      </c>
      <c r="H35" s="29">
        <f t="shared" si="7"/>
        <v>3323249.4527999992</v>
      </c>
      <c r="I35" s="29">
        <f t="shared" si="7"/>
        <v>3170453.1007999992</v>
      </c>
      <c r="J35" s="29">
        <f t="shared" si="7"/>
        <v>3754264.7632000013</v>
      </c>
      <c r="K35" s="29">
        <f t="shared" si="7"/>
        <v>3735346.2783999997</v>
      </c>
      <c r="L35" s="29">
        <f t="shared" si="7"/>
        <v>4807902.1728000008</v>
      </c>
      <c r="M35" s="29">
        <f t="shared" si="7"/>
        <v>4996474.3008000003</v>
      </c>
      <c r="N35" s="29">
        <f t="shared" si="7"/>
        <v>4342990.5791999996</v>
      </c>
      <c r="O35" s="23"/>
      <c r="P35" s="20"/>
    </row>
    <row r="36" spans="1:16" x14ac:dyDescent="0.2">
      <c r="A36" s="10"/>
      <c r="C36" s="32"/>
      <c r="D36" s="23"/>
      <c r="E36" s="23"/>
      <c r="F36" s="23"/>
      <c r="G36" s="23"/>
      <c r="H36" s="20"/>
      <c r="I36" s="47"/>
      <c r="J36" s="20"/>
      <c r="K36" s="20"/>
      <c r="L36" s="23"/>
      <c r="M36" s="49"/>
      <c r="N36" s="48"/>
      <c r="O36" s="23"/>
      <c r="P36" s="20"/>
    </row>
    <row r="37" spans="1:16" x14ac:dyDescent="0.2">
      <c r="A37" s="11" t="s">
        <v>35</v>
      </c>
      <c r="C37" s="24">
        <v>4080.41</v>
      </c>
      <c r="D37" s="23">
        <v>7064.66</v>
      </c>
      <c r="E37" s="23">
        <v>-179524.7</v>
      </c>
      <c r="F37" s="23">
        <v>1437.78</v>
      </c>
      <c r="G37" s="23">
        <v>-355520.63</v>
      </c>
      <c r="H37" s="23">
        <v>476821.25</v>
      </c>
      <c r="I37" s="23">
        <v>-137868.85999999999</v>
      </c>
      <c r="J37" s="23">
        <v>381982.07</v>
      </c>
      <c r="K37" s="23">
        <v>93864.02</v>
      </c>
      <c r="L37" s="23">
        <v>1151158.44</v>
      </c>
      <c r="M37" s="23">
        <v>207458.57</v>
      </c>
      <c r="N37" s="23">
        <v>-1276410.32</v>
      </c>
      <c r="O37" s="23"/>
      <c r="P37" s="20"/>
    </row>
    <row r="38" spans="1:16" x14ac:dyDescent="0.2">
      <c r="A38" s="11"/>
      <c r="C38" s="24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0"/>
    </row>
    <row r="39" spans="1:16" x14ac:dyDescent="0.2">
      <c r="A39" s="12" t="s">
        <v>34</v>
      </c>
      <c r="C39" s="24">
        <f t="shared" ref="C39:N39" si="8">C35-C37</f>
        <v>3571365.4619999998</v>
      </c>
      <c r="D39" s="24">
        <f t="shared" si="8"/>
        <v>3096746.4551999997</v>
      </c>
      <c r="E39" s="24">
        <f t="shared" si="8"/>
        <v>3135578.9624000005</v>
      </c>
      <c r="F39" s="24">
        <f t="shared" si="8"/>
        <v>3192379.8311999999</v>
      </c>
      <c r="G39" s="24">
        <f t="shared" si="8"/>
        <v>3264339.7036000001</v>
      </c>
      <c r="H39" s="24">
        <f t="shared" si="8"/>
        <v>2846428.2027999992</v>
      </c>
      <c r="I39" s="24">
        <f t="shared" si="8"/>
        <v>3308321.9607999991</v>
      </c>
      <c r="J39" s="24">
        <f t="shared" si="8"/>
        <v>3372282.6932000015</v>
      </c>
      <c r="K39" s="24">
        <f t="shared" si="8"/>
        <v>3641482.2583999997</v>
      </c>
      <c r="L39" s="24">
        <f t="shared" si="8"/>
        <v>3656743.7328000008</v>
      </c>
      <c r="M39" s="24">
        <f t="shared" si="8"/>
        <v>4789015.7308</v>
      </c>
      <c r="N39" s="24">
        <f t="shared" si="8"/>
        <v>5619400.8991999999</v>
      </c>
      <c r="O39" s="23"/>
      <c r="P39" s="20"/>
    </row>
    <row r="40" spans="1:16" x14ac:dyDescent="0.2">
      <c r="A40" s="11"/>
      <c r="C40" s="24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0"/>
    </row>
    <row r="41" spans="1:16" x14ac:dyDescent="0.2">
      <c r="A41" s="11" t="s">
        <v>36</v>
      </c>
      <c r="C41" s="42">
        <f>+[1]Hoja1!$G$15</f>
        <v>3541460.2800000003</v>
      </c>
      <c r="D41" s="43">
        <f>+[1]Hoja1!$G$25</f>
        <v>2967690.5100000002</v>
      </c>
      <c r="E41" s="43">
        <f>+[1]Hoja1!$G$36</f>
        <v>3843803.31</v>
      </c>
      <c r="F41" s="43">
        <f>+[1]Hoja1!$G$46</f>
        <v>2303780.75</v>
      </c>
      <c r="G41" s="43">
        <f>+[1]Hoja1!$G$56</f>
        <v>4126948.75</v>
      </c>
      <c r="H41" s="43">
        <f>+[1]Hoja1!$G$67</f>
        <v>2779689.73</v>
      </c>
      <c r="I41" s="44">
        <f>+[1]Hoja1!$G$78</f>
        <v>3753899.99</v>
      </c>
      <c r="J41" s="43">
        <f>+[1]Hoja1!$G$89</f>
        <v>2761575.69</v>
      </c>
      <c r="K41" s="43">
        <f>+[1]Hoja1!$G$99</f>
        <v>3338153.4899999998</v>
      </c>
      <c r="L41" s="43">
        <f>+[1]Hoja1!$G$109</f>
        <v>4366505.58</v>
      </c>
      <c r="M41" s="43">
        <f>+[1]Hoja1!$G$119</f>
        <v>5503611.5700000003</v>
      </c>
      <c r="N41" s="23">
        <f>+[1]Hoja1!$G$129</f>
        <v>5005414.75</v>
      </c>
      <c r="O41" s="23"/>
      <c r="P41" s="20"/>
    </row>
    <row r="42" spans="1:16" x14ac:dyDescent="0.2">
      <c r="A42" s="11"/>
      <c r="C42" s="24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0"/>
    </row>
    <row r="43" spans="1:16" x14ac:dyDescent="0.2">
      <c r="A43" s="11" t="s">
        <v>37</v>
      </c>
      <c r="B43" s="13"/>
      <c r="C43" s="33">
        <f t="shared" ref="C43:N43" si="9">C39-C41</f>
        <v>29905.181999999564</v>
      </c>
      <c r="D43" s="33">
        <f t="shared" si="9"/>
        <v>129055.94519999949</v>
      </c>
      <c r="E43" s="33">
        <f t="shared" si="9"/>
        <v>-708224.34759999951</v>
      </c>
      <c r="F43" s="33">
        <f t="shared" si="9"/>
        <v>888599.0811999999</v>
      </c>
      <c r="G43" s="33">
        <f t="shared" si="9"/>
        <v>-862609.04639999988</v>
      </c>
      <c r="H43" s="33">
        <f t="shared" si="9"/>
        <v>66738.472799999174</v>
      </c>
      <c r="I43" s="33">
        <f t="shared" si="9"/>
        <v>-445578.02920000115</v>
      </c>
      <c r="J43" s="33">
        <f t="shared" si="9"/>
        <v>610707.00320000155</v>
      </c>
      <c r="K43" s="33">
        <f t="shared" si="9"/>
        <v>303328.76839999994</v>
      </c>
      <c r="L43" s="33">
        <f t="shared" si="9"/>
        <v>-709761.84719999926</v>
      </c>
      <c r="M43" s="33">
        <f t="shared" si="9"/>
        <v>-714595.83920000028</v>
      </c>
      <c r="N43" s="33">
        <f t="shared" si="9"/>
        <v>613986.14919999987</v>
      </c>
      <c r="O43" s="34">
        <f>SUM(B43:N43)</f>
        <v>-798448.50760000059</v>
      </c>
      <c r="P43" s="20"/>
    </row>
    <row r="44" spans="1:16" x14ac:dyDescent="0.2">
      <c r="A44" s="11"/>
      <c r="C44" s="24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0"/>
    </row>
    <row r="45" spans="1:16" x14ac:dyDescent="0.2">
      <c r="A45" s="11"/>
      <c r="C45" s="5" t="s">
        <v>2</v>
      </c>
      <c r="D45" s="5" t="s">
        <v>3</v>
      </c>
      <c r="E45" s="5" t="s">
        <v>4</v>
      </c>
      <c r="F45" s="5" t="s">
        <v>5</v>
      </c>
      <c r="G45" s="5" t="s">
        <v>6</v>
      </c>
      <c r="H45" s="5" t="s">
        <v>7</v>
      </c>
      <c r="I45" s="5" t="s">
        <v>8</v>
      </c>
      <c r="J45" s="5" t="s">
        <v>9</v>
      </c>
      <c r="K45" s="5" t="s">
        <v>10</v>
      </c>
      <c r="L45" s="5" t="s">
        <v>11</v>
      </c>
      <c r="M45" s="5" t="s">
        <v>12</v>
      </c>
      <c r="N45" s="5" t="s">
        <v>13</v>
      </c>
      <c r="O45" s="23"/>
      <c r="P45" s="20"/>
    </row>
    <row r="46" spans="1:16" x14ac:dyDescent="0.2">
      <c r="A46" s="11" t="s">
        <v>38</v>
      </c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3"/>
      <c r="P46" s="20"/>
    </row>
    <row r="47" spans="1:16" x14ac:dyDescent="0.2">
      <c r="A47" s="11"/>
      <c r="C47" s="24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0"/>
    </row>
    <row r="48" spans="1:16" x14ac:dyDescent="0.2">
      <c r="A48" s="11" t="s">
        <v>39</v>
      </c>
      <c r="C48" s="24">
        <f>+C37</f>
        <v>4080.41</v>
      </c>
      <c r="D48" s="24">
        <f t="shared" ref="D48:N48" si="10">+D37</f>
        <v>7064.66</v>
      </c>
      <c r="E48" s="24">
        <v>-179524.7</v>
      </c>
      <c r="F48" s="24">
        <v>1437.78</v>
      </c>
      <c r="G48" s="24">
        <v>-355520.63</v>
      </c>
      <c r="H48" s="24">
        <v>476821.25</v>
      </c>
      <c r="I48" s="24">
        <v>-137868.85999999999</v>
      </c>
      <c r="J48" s="24">
        <v>381982.07</v>
      </c>
      <c r="K48" s="24">
        <v>93864.02</v>
      </c>
      <c r="L48" s="24">
        <v>1151158.44</v>
      </c>
      <c r="M48" s="24">
        <v>207458.57</v>
      </c>
      <c r="N48" s="24">
        <v>-1276410.32</v>
      </c>
      <c r="O48" s="23"/>
      <c r="P48" s="20"/>
    </row>
    <row r="49" spans="1:16" ht="15.75" x14ac:dyDescent="0.25">
      <c r="A49" s="11" t="s">
        <v>40</v>
      </c>
      <c r="C49" s="40">
        <f t="shared" ref="C49:N49" si="11">+C43-C46+C48</f>
        <v>33985.591999999568</v>
      </c>
      <c r="D49" s="40">
        <f t="shared" si="11"/>
        <v>136120.6051999995</v>
      </c>
      <c r="E49" s="40">
        <f t="shared" si="11"/>
        <v>-887749.04759999947</v>
      </c>
      <c r="F49" s="40">
        <f t="shared" si="11"/>
        <v>890036.86119999993</v>
      </c>
      <c r="G49" s="40">
        <f t="shared" si="11"/>
        <v>-1218129.6763999998</v>
      </c>
      <c r="H49" s="40">
        <f t="shared" si="11"/>
        <v>543559.72279999917</v>
      </c>
      <c r="I49" s="40">
        <f t="shared" si="11"/>
        <v>-583446.88920000114</v>
      </c>
      <c r="J49" s="40">
        <f t="shared" si="11"/>
        <v>992689.07320000161</v>
      </c>
      <c r="K49" s="40">
        <f t="shared" si="11"/>
        <v>397192.78839999996</v>
      </c>
      <c r="L49" s="40">
        <f t="shared" si="11"/>
        <v>441396.59280000068</v>
      </c>
      <c r="M49" s="40">
        <f t="shared" si="11"/>
        <v>-507137.26920000027</v>
      </c>
      <c r="N49" s="40">
        <f t="shared" si="11"/>
        <v>-662424.1708000002</v>
      </c>
      <c r="O49" s="23"/>
      <c r="P49" s="20"/>
    </row>
    <row r="50" spans="1:16" x14ac:dyDescent="0.2">
      <c r="A50" s="11" t="s">
        <v>41</v>
      </c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0"/>
    </row>
    <row r="51" spans="1:16" x14ac:dyDescent="0.2">
      <c r="A51" s="11" t="s">
        <v>42</v>
      </c>
      <c r="C51" s="20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0"/>
    </row>
    <row r="52" spans="1:16" x14ac:dyDescent="0.2">
      <c r="A52" s="11" t="s">
        <v>61</v>
      </c>
      <c r="C52" s="24"/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/>
      <c r="J52" s="24"/>
      <c r="K52" s="24"/>
      <c r="L52" s="24"/>
      <c r="M52" s="24"/>
      <c r="N52" s="24"/>
      <c r="O52" s="23"/>
      <c r="P52" s="20"/>
    </row>
    <row r="53" spans="1:16" x14ac:dyDescent="0.2">
      <c r="A53" s="11" t="s">
        <v>44</v>
      </c>
      <c r="C53" s="24">
        <f t="shared" ref="C53:H53" si="12">+C49-C51-C50</f>
        <v>33985.591999999568</v>
      </c>
      <c r="D53" s="24">
        <f t="shared" si="12"/>
        <v>136120.6051999995</v>
      </c>
      <c r="E53" s="24">
        <f t="shared" si="12"/>
        <v>-887749.04759999947</v>
      </c>
      <c r="F53" s="24">
        <f t="shared" si="12"/>
        <v>890036.86119999993</v>
      </c>
      <c r="G53" s="24">
        <f t="shared" si="12"/>
        <v>-1218129.6763999998</v>
      </c>
      <c r="H53" s="24">
        <f t="shared" si="12"/>
        <v>543559.72279999917</v>
      </c>
      <c r="I53" s="24">
        <f t="shared" ref="I53:N53" si="13">+I49-I51-I50-I52</f>
        <v>-583446.88920000114</v>
      </c>
      <c r="J53" s="24">
        <f t="shared" si="13"/>
        <v>992689.07320000161</v>
      </c>
      <c r="K53" s="24">
        <f t="shared" si="13"/>
        <v>397192.78839999996</v>
      </c>
      <c r="L53" s="24">
        <f t="shared" si="13"/>
        <v>441396.59280000068</v>
      </c>
      <c r="M53" s="24">
        <f t="shared" si="13"/>
        <v>-507137.26920000027</v>
      </c>
      <c r="N53" s="24">
        <f t="shared" si="13"/>
        <v>-662424.1708000002</v>
      </c>
      <c r="O53" s="23"/>
      <c r="P53" s="20"/>
    </row>
    <row r="54" spans="1:16" x14ac:dyDescent="0.2">
      <c r="A54" s="11" t="s">
        <v>45</v>
      </c>
      <c r="C54" s="23">
        <v>0</v>
      </c>
      <c r="D54" s="23">
        <v>0</v>
      </c>
      <c r="E54" s="23">
        <v>0</v>
      </c>
      <c r="F54" s="23">
        <v>0</v>
      </c>
      <c r="G54" s="23">
        <v>0</v>
      </c>
      <c r="H54" s="23">
        <v>0</v>
      </c>
      <c r="I54" s="23">
        <v>0</v>
      </c>
      <c r="J54" s="23">
        <v>0</v>
      </c>
      <c r="K54" s="20">
        <v>0</v>
      </c>
      <c r="L54" s="20">
        <v>0</v>
      </c>
      <c r="M54" s="23">
        <v>0</v>
      </c>
      <c r="N54" s="23">
        <v>0</v>
      </c>
      <c r="O54" s="23"/>
      <c r="P54" s="20"/>
    </row>
    <row r="55" spans="1:16" s="41" customFormat="1" x14ac:dyDescent="0.2">
      <c r="A55" s="11" t="s">
        <v>46</v>
      </c>
      <c r="C55" s="24">
        <f>C53+C54</f>
        <v>33985.591999999568</v>
      </c>
      <c r="D55" s="24">
        <f t="shared" ref="D55:K55" si="14">D53+D54</f>
        <v>136120.6051999995</v>
      </c>
      <c r="E55" s="24">
        <f t="shared" si="14"/>
        <v>-887749.04759999947</v>
      </c>
      <c r="F55" s="24">
        <f t="shared" si="14"/>
        <v>890036.86119999993</v>
      </c>
      <c r="G55" s="24">
        <f t="shared" si="14"/>
        <v>-1218129.6763999998</v>
      </c>
      <c r="H55" s="24">
        <f t="shared" si="14"/>
        <v>543559.72279999917</v>
      </c>
      <c r="I55" s="24">
        <f t="shared" si="14"/>
        <v>-583446.88920000114</v>
      </c>
      <c r="J55" s="24">
        <f t="shared" si="14"/>
        <v>992689.07320000161</v>
      </c>
      <c r="K55" s="24">
        <f t="shared" si="14"/>
        <v>397192.78839999996</v>
      </c>
      <c r="L55" s="24">
        <f>L53+L54</f>
        <v>441396.59280000068</v>
      </c>
      <c r="M55" s="24">
        <f>M53+M54</f>
        <v>-507137.26920000027</v>
      </c>
      <c r="N55" s="24">
        <f>N53+N54</f>
        <v>-662424.1708000002</v>
      </c>
      <c r="O55" s="24"/>
      <c r="P55" s="26"/>
    </row>
    <row r="56" spans="1:16" x14ac:dyDescent="0.2">
      <c r="B56" s="11"/>
      <c r="C56" s="24">
        <f t="shared" ref="C56:K56" si="15">C55*100/15</f>
        <v>226570.61333333046</v>
      </c>
      <c r="D56" s="24">
        <f t="shared" si="15"/>
        <v>907470.7013333299</v>
      </c>
      <c r="E56" s="24">
        <f t="shared" si="15"/>
        <v>-5918326.9839999964</v>
      </c>
      <c r="F56" s="24">
        <f t="shared" si="15"/>
        <v>5933579.0746666659</v>
      </c>
      <c r="G56" s="24">
        <f t="shared" si="15"/>
        <v>-8120864.5093333311</v>
      </c>
      <c r="H56" s="24">
        <f t="shared" si="15"/>
        <v>3623731.4853333281</v>
      </c>
      <c r="I56" s="24">
        <f t="shared" si="15"/>
        <v>-3889645.9280000078</v>
      </c>
      <c r="J56" s="24">
        <f t="shared" si="15"/>
        <v>6617927.1546666771</v>
      </c>
      <c r="K56" s="24">
        <f t="shared" si="15"/>
        <v>2647951.9226666666</v>
      </c>
      <c r="L56" s="24">
        <f>L55*100/15</f>
        <v>2942643.9520000047</v>
      </c>
      <c r="M56" s="24">
        <f>M55*100/15</f>
        <v>-3380915.1280000014</v>
      </c>
      <c r="N56" s="24">
        <f>N55*100/15</f>
        <v>-4416161.138666668</v>
      </c>
      <c r="O56" s="23"/>
      <c r="P56" s="20"/>
    </row>
    <row r="57" spans="1:16" x14ac:dyDescent="0.2">
      <c r="C57" s="20"/>
      <c r="D57" s="23"/>
      <c r="E57" s="20"/>
      <c r="F57" s="20"/>
      <c r="G57" s="20"/>
      <c r="H57" s="20"/>
      <c r="I57" s="23"/>
      <c r="J57" s="20"/>
      <c r="K57" s="20"/>
      <c r="L57" s="23"/>
      <c r="M57" s="20"/>
      <c r="N57" s="20"/>
      <c r="O57" s="23"/>
      <c r="P57" s="20"/>
    </row>
    <row r="58" spans="1:16" x14ac:dyDescent="0.2">
      <c r="C58" s="20"/>
      <c r="D58" s="23"/>
      <c r="E58" s="20"/>
      <c r="F58" s="20"/>
      <c r="G58" s="20"/>
      <c r="H58" s="20"/>
      <c r="I58" s="23"/>
      <c r="J58" s="20"/>
      <c r="K58" s="20"/>
      <c r="L58" s="23"/>
      <c r="M58" s="20"/>
      <c r="N58" s="20"/>
      <c r="O58" s="23"/>
      <c r="P58" s="20"/>
    </row>
    <row r="59" spans="1:16" x14ac:dyDescent="0.2">
      <c r="A59" s="14"/>
      <c r="C59" s="20"/>
      <c r="D59" s="23"/>
      <c r="E59" s="20"/>
      <c r="F59" s="20"/>
      <c r="G59" s="20"/>
      <c r="H59" s="20"/>
      <c r="I59" s="23"/>
      <c r="J59" s="20"/>
      <c r="K59" s="20"/>
      <c r="L59" s="23"/>
      <c r="M59" s="20"/>
      <c r="N59" s="20"/>
      <c r="O59" s="23"/>
      <c r="P59" s="20"/>
    </row>
    <row r="60" spans="1:16" x14ac:dyDescent="0.2">
      <c r="C60" s="20"/>
      <c r="D60" s="23"/>
      <c r="E60" s="20"/>
      <c r="F60" s="20"/>
      <c r="G60" s="20"/>
      <c r="H60" s="20"/>
      <c r="I60" s="23"/>
      <c r="J60" s="20"/>
      <c r="K60" s="20"/>
      <c r="L60" s="23"/>
      <c r="M60" s="20"/>
      <c r="N60" s="20"/>
      <c r="O60" s="23"/>
      <c r="P60" s="20"/>
    </row>
    <row r="61" spans="1:16" x14ac:dyDescent="0.2">
      <c r="A61" s="15" t="s">
        <v>52</v>
      </c>
      <c r="B61" s="16"/>
      <c r="C61" s="17">
        <f>(C62*100)/16</f>
        <v>22321034.137499999</v>
      </c>
      <c r="D61" s="17">
        <f t="shared" ref="D61:N61" si="16">(D62*100)/16</f>
        <v>19354665.344999999</v>
      </c>
      <c r="E61" s="17">
        <f t="shared" si="16"/>
        <v>19597368.515000004</v>
      </c>
      <c r="F61" s="17">
        <f t="shared" si="16"/>
        <v>19952373.945</v>
      </c>
      <c r="G61" s="17">
        <f t="shared" si="16"/>
        <v>20402123.147500001</v>
      </c>
      <c r="H61" s="17">
        <f t="shared" si="16"/>
        <v>17790176.267499994</v>
      </c>
      <c r="I61" s="17">
        <f t="shared" si="16"/>
        <v>20677012.254999995</v>
      </c>
      <c r="J61" s="17">
        <f t="shared" si="16"/>
        <v>21076766.832500011</v>
      </c>
      <c r="K61" s="17">
        <f t="shared" si="16"/>
        <v>22759264.114999998</v>
      </c>
      <c r="L61" s="17">
        <f t="shared" si="16"/>
        <v>22854648.330000006</v>
      </c>
      <c r="M61" s="17">
        <f t="shared" si="16"/>
        <v>29931348.317499999</v>
      </c>
      <c r="N61" s="17">
        <f t="shared" si="16"/>
        <v>35121255.619999997</v>
      </c>
      <c r="O61" s="17">
        <f>SUM(C61:N61)</f>
        <v>271838036.82750005</v>
      </c>
      <c r="P61" s="20"/>
    </row>
    <row r="62" spans="1:16" x14ac:dyDescent="0.2">
      <c r="A62" s="15" t="s">
        <v>34</v>
      </c>
      <c r="B62" s="16"/>
      <c r="C62" s="18">
        <f>+C39</f>
        <v>3571365.4619999998</v>
      </c>
      <c r="D62" s="18">
        <f>+D39</f>
        <v>3096746.4551999997</v>
      </c>
      <c r="E62" s="18">
        <f t="shared" ref="E62:N62" si="17">+E39</f>
        <v>3135578.9624000005</v>
      </c>
      <c r="F62" s="18">
        <f t="shared" si="17"/>
        <v>3192379.8311999999</v>
      </c>
      <c r="G62" s="18">
        <f t="shared" si="17"/>
        <v>3264339.7036000001</v>
      </c>
      <c r="H62" s="18">
        <f t="shared" si="17"/>
        <v>2846428.2027999992</v>
      </c>
      <c r="I62" s="18">
        <f t="shared" si="17"/>
        <v>3308321.9607999991</v>
      </c>
      <c r="J62" s="18">
        <f t="shared" si="17"/>
        <v>3372282.6932000015</v>
      </c>
      <c r="K62" s="18">
        <f t="shared" si="17"/>
        <v>3641482.2583999997</v>
      </c>
      <c r="L62" s="18">
        <f t="shared" si="17"/>
        <v>3656743.7328000008</v>
      </c>
      <c r="M62" s="18">
        <f t="shared" si="17"/>
        <v>4789015.7308</v>
      </c>
      <c r="N62" s="18">
        <f t="shared" si="17"/>
        <v>5619400.8991999999</v>
      </c>
      <c r="O62" s="17">
        <f>SUM(C62:N62)</f>
        <v>43494085.892400004</v>
      </c>
      <c r="P62" s="20"/>
    </row>
    <row r="63" spans="1:16" x14ac:dyDescent="0.2">
      <c r="A63" s="15" t="s">
        <v>53</v>
      </c>
      <c r="B63" s="19"/>
      <c r="C63" s="18">
        <f>+C41</f>
        <v>3541460.2800000003</v>
      </c>
      <c r="D63" s="18">
        <f>+D41</f>
        <v>2967690.5100000002</v>
      </c>
      <c r="E63" s="18">
        <f t="shared" ref="E63:N63" si="18">+E41</f>
        <v>3843803.31</v>
      </c>
      <c r="F63" s="18">
        <f t="shared" si="18"/>
        <v>2303780.75</v>
      </c>
      <c r="G63" s="18">
        <f t="shared" si="18"/>
        <v>4126948.75</v>
      </c>
      <c r="H63" s="18">
        <f t="shared" si="18"/>
        <v>2779689.73</v>
      </c>
      <c r="I63" s="18">
        <f t="shared" si="18"/>
        <v>3753899.99</v>
      </c>
      <c r="J63" s="18">
        <f t="shared" si="18"/>
        <v>2761575.69</v>
      </c>
      <c r="K63" s="18">
        <f t="shared" si="18"/>
        <v>3338153.4899999998</v>
      </c>
      <c r="L63" s="18">
        <f t="shared" si="18"/>
        <v>4366505.58</v>
      </c>
      <c r="M63" s="18">
        <f t="shared" si="18"/>
        <v>5503611.5700000003</v>
      </c>
      <c r="N63" s="18">
        <f t="shared" si="18"/>
        <v>5005414.75</v>
      </c>
      <c r="O63" s="17">
        <f>SUM(C63:N63)</f>
        <v>44292534.399999999</v>
      </c>
      <c r="P63" s="20"/>
    </row>
    <row r="64" spans="1:16" x14ac:dyDescent="0.2">
      <c r="A64" s="15" t="s">
        <v>54</v>
      </c>
      <c r="B64" s="19"/>
      <c r="C64" s="35">
        <f>+C62-C63</f>
        <v>29905.181999999564</v>
      </c>
      <c r="D64" s="35">
        <f t="shared" ref="D64:N64" si="19">+D62-D63</f>
        <v>129055.94519999949</v>
      </c>
      <c r="E64" s="35">
        <f t="shared" si="19"/>
        <v>-708224.34759999951</v>
      </c>
      <c r="F64" s="35">
        <f t="shared" si="19"/>
        <v>888599.0811999999</v>
      </c>
      <c r="G64" s="35">
        <f t="shared" si="19"/>
        <v>-862609.04639999988</v>
      </c>
      <c r="H64" s="35">
        <f t="shared" si="19"/>
        <v>66738.472799999174</v>
      </c>
      <c r="I64" s="35">
        <f t="shared" si="19"/>
        <v>-445578.02920000115</v>
      </c>
      <c r="J64" s="35">
        <f t="shared" si="19"/>
        <v>610707.00320000155</v>
      </c>
      <c r="K64" s="35">
        <f t="shared" si="19"/>
        <v>303328.76839999994</v>
      </c>
      <c r="L64" s="35">
        <f t="shared" si="19"/>
        <v>-709761.84719999926</v>
      </c>
      <c r="M64" s="35">
        <f t="shared" si="19"/>
        <v>-714595.83920000028</v>
      </c>
      <c r="N64" s="35">
        <f t="shared" si="19"/>
        <v>613986.14919999987</v>
      </c>
      <c r="O64" s="36">
        <f>SUM(C64:N64)</f>
        <v>-798448.50760000059</v>
      </c>
      <c r="P64" s="20"/>
    </row>
    <row r="65" spans="1:16" x14ac:dyDescent="0.2">
      <c r="A65" s="15" t="s">
        <v>48</v>
      </c>
      <c r="B65" s="16"/>
      <c r="C65" s="37">
        <v>0</v>
      </c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17"/>
      <c r="P65" s="20"/>
    </row>
    <row r="66" spans="1:16" x14ac:dyDescent="0.2">
      <c r="A66" s="14"/>
      <c r="C66" s="20" t="s">
        <v>48</v>
      </c>
      <c r="D66" s="20" t="s">
        <v>49</v>
      </c>
      <c r="E66" s="20" t="s">
        <v>48</v>
      </c>
      <c r="F66" s="20" t="s">
        <v>49</v>
      </c>
      <c r="G66" s="20" t="s">
        <v>49</v>
      </c>
      <c r="H66" s="20" t="s">
        <v>49</v>
      </c>
      <c r="I66" s="20" t="s">
        <v>49</v>
      </c>
      <c r="J66" s="20" t="s">
        <v>50</v>
      </c>
      <c r="K66" s="20" t="s">
        <v>50</v>
      </c>
      <c r="L66" s="20" t="s">
        <v>49</v>
      </c>
      <c r="M66" s="20" t="s">
        <v>49</v>
      </c>
      <c r="N66" s="20" t="s">
        <v>50</v>
      </c>
      <c r="O66" s="23"/>
      <c r="P66" s="20"/>
    </row>
    <row r="67" spans="1:16" x14ac:dyDescent="0.2">
      <c r="A67" s="14"/>
      <c r="C67" s="20">
        <f>+C62-C63</f>
        <v>29905.181999999564</v>
      </c>
      <c r="D67" s="20">
        <f t="shared" ref="D67:O67" si="20">+D62-D63</f>
        <v>129055.94519999949</v>
      </c>
      <c r="E67" s="20">
        <f t="shared" si="20"/>
        <v>-708224.34759999951</v>
      </c>
      <c r="F67" s="20">
        <f t="shared" si="20"/>
        <v>888599.0811999999</v>
      </c>
      <c r="G67" s="20">
        <f t="shared" si="20"/>
        <v>-862609.04639999988</v>
      </c>
      <c r="H67" s="20">
        <f t="shared" si="20"/>
        <v>66738.472799999174</v>
      </c>
      <c r="I67" s="20">
        <f t="shared" si="20"/>
        <v>-445578.02920000115</v>
      </c>
      <c r="J67" s="20">
        <f t="shared" si="20"/>
        <v>610707.00320000155</v>
      </c>
      <c r="K67" s="20">
        <f t="shared" si="20"/>
        <v>303328.76839999994</v>
      </c>
      <c r="L67" s="20">
        <f t="shared" si="20"/>
        <v>-709761.84719999926</v>
      </c>
      <c r="M67" s="20">
        <f t="shared" si="20"/>
        <v>-714595.83920000028</v>
      </c>
      <c r="N67" s="20">
        <f t="shared" si="20"/>
        <v>613986.14919999987</v>
      </c>
      <c r="O67" s="23">
        <f t="shared" si="20"/>
        <v>-798448.50759999454</v>
      </c>
      <c r="P67" s="20"/>
    </row>
    <row r="68" spans="1:16" x14ac:dyDescent="0.2">
      <c r="C68" s="20">
        <f>+B65+C64</f>
        <v>29905.181999999564</v>
      </c>
      <c r="D68" s="20">
        <f>+C68-D64</f>
        <v>-99150.763199999928</v>
      </c>
      <c r="E68" s="20">
        <f t="shared" ref="E68:O68" si="21">+E64-E67</f>
        <v>0</v>
      </c>
      <c r="F68" s="20">
        <f t="shared" si="21"/>
        <v>0</v>
      </c>
      <c r="G68" s="20">
        <f t="shared" si="21"/>
        <v>0</v>
      </c>
      <c r="H68" s="20">
        <f t="shared" si="21"/>
        <v>0</v>
      </c>
      <c r="I68" s="20">
        <f t="shared" si="21"/>
        <v>0</v>
      </c>
      <c r="J68" s="20">
        <f t="shared" si="21"/>
        <v>0</v>
      </c>
      <c r="K68" s="20">
        <f t="shared" si="21"/>
        <v>0</v>
      </c>
      <c r="L68" s="20">
        <f t="shared" si="21"/>
        <v>0</v>
      </c>
      <c r="M68" s="20">
        <f t="shared" si="21"/>
        <v>0</v>
      </c>
      <c r="N68" s="20">
        <f t="shared" si="21"/>
        <v>0</v>
      </c>
      <c r="O68" s="23">
        <f t="shared" si="21"/>
        <v>-6.0535967350006104E-9</v>
      </c>
      <c r="P68" s="20"/>
    </row>
    <row r="69" spans="1:16" x14ac:dyDescent="0.2">
      <c r="B69" s="2" t="s">
        <v>51</v>
      </c>
      <c r="C69" s="20">
        <f>+C64-C65</f>
        <v>29905.181999999564</v>
      </c>
      <c r="D69" s="20">
        <f>+D64-D65</f>
        <v>129055.94519999949</v>
      </c>
      <c r="E69" s="21">
        <f t="shared" ref="E69:N69" si="22">+E64-E65</f>
        <v>-708224.34759999951</v>
      </c>
      <c r="F69" s="20">
        <f t="shared" si="22"/>
        <v>888599.0811999999</v>
      </c>
      <c r="G69" s="20">
        <f t="shared" si="22"/>
        <v>-862609.04639999988</v>
      </c>
      <c r="H69" s="20">
        <f t="shared" si="22"/>
        <v>66738.472799999174</v>
      </c>
      <c r="I69" s="20">
        <f t="shared" si="22"/>
        <v>-445578.02920000115</v>
      </c>
      <c r="J69" s="20">
        <f t="shared" si="22"/>
        <v>610707.00320000155</v>
      </c>
      <c r="K69" s="20">
        <f t="shared" si="22"/>
        <v>303328.76839999994</v>
      </c>
      <c r="L69" s="20">
        <f t="shared" si="22"/>
        <v>-709761.84719999926</v>
      </c>
      <c r="M69" s="20">
        <f t="shared" si="22"/>
        <v>-714595.83920000028</v>
      </c>
      <c r="N69" s="22">
        <f t="shared" si="22"/>
        <v>613986.14919999987</v>
      </c>
      <c r="O69" s="23"/>
      <c r="P69" s="20"/>
    </row>
    <row r="70" spans="1:16" x14ac:dyDescent="0.2">
      <c r="A70" s="2" t="s">
        <v>59</v>
      </c>
      <c r="C70" s="20"/>
      <c r="D70" s="23"/>
      <c r="E70" s="20"/>
      <c r="F70" s="20"/>
      <c r="G70" s="20"/>
      <c r="H70" s="20"/>
      <c r="I70" s="23"/>
      <c r="J70" s="20"/>
      <c r="K70" s="20"/>
      <c r="L70" s="23"/>
      <c r="M70" s="20"/>
      <c r="N70" s="20"/>
      <c r="O70" s="23">
        <f>+O67-O69</f>
        <v>-798448.50759999454</v>
      </c>
      <c r="P70" s="20"/>
    </row>
    <row r="71" spans="1:16" x14ac:dyDescent="0.2">
      <c r="C71" s="20">
        <f>+B64-C64</f>
        <v>-29905.181999999564</v>
      </c>
      <c r="D71" s="23">
        <f>+C71-D64</f>
        <v>-158961.12719999906</v>
      </c>
      <c r="E71" s="23">
        <f t="shared" ref="E71:N71" si="23">+D71-E64</f>
        <v>549263.22040000046</v>
      </c>
      <c r="F71" s="23">
        <f t="shared" si="23"/>
        <v>-339335.86079999944</v>
      </c>
      <c r="G71" s="23">
        <f t="shared" si="23"/>
        <v>523273.18560000043</v>
      </c>
      <c r="H71" s="23">
        <f t="shared" si="23"/>
        <v>456534.71280000126</v>
      </c>
      <c r="I71" s="23">
        <f t="shared" si="23"/>
        <v>902112.74200000241</v>
      </c>
      <c r="J71" s="23">
        <f t="shared" si="23"/>
        <v>291405.73880000087</v>
      </c>
      <c r="K71" s="23">
        <f t="shared" si="23"/>
        <v>-11923.029599999078</v>
      </c>
      <c r="L71" s="23">
        <f t="shared" si="23"/>
        <v>697838.81760000018</v>
      </c>
      <c r="M71" s="23">
        <f>+L71-M64</f>
        <v>1412434.6568000005</v>
      </c>
      <c r="N71" s="23">
        <f t="shared" si="23"/>
        <v>798448.50760000059</v>
      </c>
      <c r="O71" s="23"/>
      <c r="P71" s="20"/>
    </row>
    <row r="72" spans="1:16" x14ac:dyDescent="0.2">
      <c r="C72" s="20"/>
      <c r="D72" s="23"/>
      <c r="E72" s="20"/>
      <c r="F72" s="20"/>
      <c r="G72" s="20"/>
      <c r="H72" s="20"/>
      <c r="I72" s="23"/>
      <c r="J72" s="20"/>
      <c r="K72" s="20"/>
      <c r="L72" s="23"/>
      <c r="M72" s="20"/>
      <c r="N72" s="20"/>
      <c r="O72" s="20"/>
      <c r="P72" s="20"/>
    </row>
    <row r="73" spans="1:16" x14ac:dyDescent="0.2">
      <c r="C73" s="20"/>
      <c r="D73" s="23"/>
      <c r="E73" s="20"/>
      <c r="F73" s="20"/>
      <c r="G73" s="20"/>
      <c r="H73" s="20"/>
      <c r="I73" s="23"/>
      <c r="J73" s="20"/>
      <c r="K73" s="20"/>
      <c r="L73" s="23"/>
      <c r="M73" s="20"/>
      <c r="N73" s="20"/>
      <c r="O73" s="20"/>
      <c r="P73" s="20"/>
    </row>
    <row r="74" spans="1:16" x14ac:dyDescent="0.2">
      <c r="C74" s="20"/>
      <c r="D74" s="23"/>
      <c r="E74" s="20"/>
      <c r="F74" s="20"/>
      <c r="G74" s="20"/>
      <c r="H74" s="20"/>
      <c r="I74" s="23"/>
      <c r="J74" s="20"/>
      <c r="K74" s="20"/>
      <c r="L74" s="23"/>
      <c r="M74" s="20"/>
      <c r="N74" s="20"/>
      <c r="O74" s="20"/>
      <c r="P74" s="20"/>
    </row>
    <row r="75" spans="1:16" x14ac:dyDescent="0.2">
      <c r="C75" s="20"/>
      <c r="D75" s="23"/>
      <c r="E75" s="20"/>
      <c r="F75" s="20"/>
      <c r="G75" s="20"/>
      <c r="H75" s="20"/>
      <c r="I75" s="23"/>
      <c r="J75" s="20"/>
      <c r="K75" s="20"/>
      <c r="L75" s="23"/>
      <c r="M75" s="20"/>
      <c r="N75" s="20"/>
      <c r="O75" s="20"/>
      <c r="P75" s="20"/>
    </row>
    <row r="76" spans="1:16" x14ac:dyDescent="0.2">
      <c r="C76" s="20"/>
      <c r="D76" s="23"/>
      <c r="E76" s="20"/>
      <c r="F76" s="20"/>
      <c r="G76" s="20"/>
      <c r="H76" s="20"/>
      <c r="I76" s="23"/>
      <c r="J76" s="20"/>
      <c r="K76" s="20"/>
      <c r="L76" s="23" t="s">
        <v>55</v>
      </c>
      <c r="M76" s="38">
        <v>8158</v>
      </c>
      <c r="N76" s="23"/>
      <c r="O76" s="20"/>
      <c r="P76" s="20"/>
    </row>
    <row r="77" spans="1:16" x14ac:dyDescent="0.2">
      <c r="C77" s="20"/>
      <c r="D77" s="23"/>
      <c r="E77" s="20"/>
      <c r="F77" s="20"/>
      <c r="G77" s="20"/>
      <c r="H77" s="20"/>
      <c r="I77" s="23"/>
      <c r="J77" s="20"/>
      <c r="K77" s="20"/>
      <c r="L77" s="23" t="s">
        <v>56</v>
      </c>
      <c r="M77" s="38">
        <v>2954508</v>
      </c>
      <c r="N77" s="23"/>
      <c r="O77" s="20"/>
      <c r="P77" s="20"/>
    </row>
    <row r="78" spans="1:16" x14ac:dyDescent="0.2">
      <c r="C78" s="20"/>
      <c r="D78" s="23"/>
      <c r="E78" s="20"/>
      <c r="F78" s="20"/>
      <c r="G78" s="20"/>
      <c r="H78" s="20"/>
      <c r="I78" s="23"/>
      <c r="J78" s="20"/>
      <c r="K78" s="20"/>
      <c r="L78" s="23" t="s">
        <v>57</v>
      </c>
      <c r="M78" s="38">
        <v>1410018</v>
      </c>
      <c r="N78" s="23">
        <f>+M78</f>
        <v>1410018</v>
      </c>
      <c r="O78" s="20"/>
      <c r="P78" s="20"/>
    </row>
    <row r="79" spans="1:16" x14ac:dyDescent="0.2">
      <c r="C79" s="20"/>
      <c r="D79" s="23"/>
      <c r="E79" s="20"/>
      <c r="F79" s="20"/>
      <c r="G79" s="20"/>
      <c r="H79" s="20"/>
      <c r="I79" s="23"/>
      <c r="J79" s="20"/>
      <c r="K79" s="20"/>
      <c r="L79" s="26">
        <v>40179</v>
      </c>
      <c r="M79" s="24">
        <f>-C64</f>
        <v>-29905.181999999564</v>
      </c>
      <c r="N79" s="24">
        <f>+N78+M79</f>
        <v>1380112.8180000004</v>
      </c>
      <c r="O79" s="20" t="s">
        <v>43</v>
      </c>
      <c r="P79" s="20"/>
    </row>
    <row r="80" spans="1:16" x14ac:dyDescent="0.2">
      <c r="C80" s="20"/>
      <c r="D80" s="23"/>
      <c r="E80" s="20"/>
      <c r="F80" s="20"/>
      <c r="G80" s="20"/>
      <c r="H80" s="20"/>
      <c r="I80" s="23"/>
      <c r="J80" s="20"/>
      <c r="K80" s="20"/>
      <c r="L80" s="26">
        <v>40210</v>
      </c>
      <c r="M80" s="24">
        <f>-D64</f>
        <v>-129055.94519999949</v>
      </c>
      <c r="N80" s="24">
        <f>+N79+M80</f>
        <v>1251056.8728000009</v>
      </c>
      <c r="O80" s="20"/>
      <c r="P80" s="20"/>
    </row>
    <row r="81" spans="3:16" x14ac:dyDescent="0.2">
      <c r="C81" s="20"/>
      <c r="D81" s="23"/>
      <c r="E81" s="20"/>
      <c r="F81" s="20"/>
      <c r="G81" s="20"/>
      <c r="H81" s="20"/>
      <c r="I81" s="23"/>
      <c r="J81" s="20"/>
      <c r="K81" s="20"/>
      <c r="L81" s="26">
        <v>40238</v>
      </c>
      <c r="M81" s="24">
        <f>-E67</f>
        <v>708224.34759999951</v>
      </c>
      <c r="N81" s="24">
        <f t="shared" ref="N81:N90" si="24">+N80+M81</f>
        <v>1959281.2204000005</v>
      </c>
      <c r="O81" s="20"/>
      <c r="P81" s="20"/>
    </row>
    <row r="82" spans="3:16" x14ac:dyDescent="0.2">
      <c r="C82" s="20"/>
      <c r="D82" s="23"/>
      <c r="E82" s="20"/>
      <c r="F82" s="20"/>
      <c r="G82" s="20"/>
      <c r="H82" s="20"/>
      <c r="I82" s="23"/>
      <c r="J82" s="20"/>
      <c r="K82" s="20"/>
      <c r="L82" s="26">
        <v>40269</v>
      </c>
      <c r="M82" s="23">
        <f>-F67</f>
        <v>-888599.0811999999</v>
      </c>
      <c r="N82" s="24">
        <f t="shared" si="24"/>
        <v>1070682.1392000006</v>
      </c>
      <c r="O82" s="20"/>
      <c r="P82" s="20"/>
    </row>
    <row r="83" spans="3:16" x14ac:dyDescent="0.2">
      <c r="C83" s="20"/>
      <c r="D83" s="23"/>
      <c r="E83" s="20"/>
      <c r="F83" s="20"/>
      <c r="G83" s="20"/>
      <c r="H83" s="20"/>
      <c r="I83" s="23"/>
      <c r="J83" s="20"/>
      <c r="K83" s="20"/>
      <c r="L83" s="26">
        <v>40299</v>
      </c>
      <c r="M83" s="23">
        <f>-G67</f>
        <v>862609.04639999988</v>
      </c>
      <c r="N83" s="24">
        <f t="shared" si="24"/>
        <v>1933291.1856000004</v>
      </c>
      <c r="O83" s="20"/>
      <c r="P83" s="20"/>
    </row>
    <row r="84" spans="3:16" x14ac:dyDescent="0.2">
      <c r="C84" s="20"/>
      <c r="D84" s="23"/>
      <c r="E84" s="20"/>
      <c r="F84" s="20"/>
      <c r="G84" s="20"/>
      <c r="H84" s="20"/>
      <c r="I84" s="23"/>
      <c r="J84" s="20"/>
      <c r="K84" s="20"/>
      <c r="L84" s="26">
        <v>40330</v>
      </c>
      <c r="M84" s="23">
        <f>-H67</f>
        <v>-66738.472799999174</v>
      </c>
      <c r="N84" s="24">
        <f t="shared" si="24"/>
        <v>1866552.7128000013</v>
      </c>
      <c r="O84" s="20"/>
      <c r="P84" s="20"/>
    </row>
    <row r="85" spans="3:16" x14ac:dyDescent="0.2">
      <c r="C85" s="20"/>
      <c r="D85" s="23"/>
      <c r="E85" s="20"/>
      <c r="F85" s="20"/>
      <c r="G85" s="20"/>
      <c r="H85" s="20"/>
      <c r="I85" s="23"/>
      <c r="J85" s="20"/>
      <c r="K85" s="20"/>
      <c r="L85" s="26">
        <v>40360</v>
      </c>
      <c r="M85" s="23">
        <f>-I67</f>
        <v>445578.02920000115</v>
      </c>
      <c r="N85" s="24">
        <f t="shared" si="24"/>
        <v>2312130.7420000024</v>
      </c>
      <c r="O85" s="20"/>
      <c r="P85" s="20"/>
    </row>
    <row r="86" spans="3:16" x14ac:dyDescent="0.2">
      <c r="C86" s="20"/>
      <c r="D86" s="23"/>
      <c r="E86" s="20"/>
      <c r="F86" s="20"/>
      <c r="G86" s="20"/>
      <c r="H86" s="20"/>
      <c r="I86" s="23"/>
      <c r="J86" s="20"/>
      <c r="K86" s="20"/>
      <c r="L86" s="26">
        <v>40391</v>
      </c>
      <c r="M86" s="23">
        <f>-J64</f>
        <v>-610707.00320000155</v>
      </c>
      <c r="N86" s="24">
        <f t="shared" si="24"/>
        <v>1701423.7388000009</v>
      </c>
      <c r="O86" s="20"/>
      <c r="P86" s="20"/>
    </row>
    <row r="87" spans="3:16" x14ac:dyDescent="0.2">
      <c r="C87" s="20"/>
      <c r="D87" s="23"/>
      <c r="E87" s="20"/>
      <c r="F87" s="20"/>
      <c r="G87" s="20"/>
      <c r="H87" s="20"/>
      <c r="I87" s="23"/>
      <c r="J87" s="20"/>
      <c r="K87" s="20"/>
      <c r="L87" s="26">
        <v>40422</v>
      </c>
      <c r="M87" s="23">
        <f>-K64</f>
        <v>-303328.76839999994</v>
      </c>
      <c r="N87" s="24">
        <f t="shared" si="24"/>
        <v>1398094.9704000009</v>
      </c>
      <c r="O87" s="20"/>
      <c r="P87" s="20"/>
    </row>
    <row r="88" spans="3:16" x14ac:dyDescent="0.2">
      <c r="C88" s="20"/>
      <c r="D88" s="23"/>
      <c r="E88" s="20"/>
      <c r="F88" s="20"/>
      <c r="G88" s="20"/>
      <c r="H88" s="20"/>
      <c r="I88" s="23"/>
      <c r="J88" s="20"/>
      <c r="K88" s="20"/>
      <c r="L88" s="26">
        <v>40452</v>
      </c>
      <c r="M88" s="23">
        <f>-L64</f>
        <v>709761.84719999926</v>
      </c>
      <c r="N88" s="24">
        <f t="shared" si="24"/>
        <v>2107856.8176000002</v>
      </c>
      <c r="O88" s="20"/>
      <c r="P88" s="20"/>
    </row>
    <row r="89" spans="3:16" x14ac:dyDescent="0.2">
      <c r="C89" s="20"/>
      <c r="D89" s="23"/>
      <c r="E89" s="20"/>
      <c r="F89" s="20"/>
      <c r="G89" s="20"/>
      <c r="H89" s="20"/>
      <c r="I89" s="23"/>
      <c r="J89" s="20"/>
      <c r="K89" s="20"/>
      <c r="L89" s="26">
        <v>40483</v>
      </c>
      <c r="M89" s="23">
        <f>-M64</f>
        <v>714595.83920000028</v>
      </c>
      <c r="N89" s="24">
        <f t="shared" si="24"/>
        <v>2822452.6568000005</v>
      </c>
      <c r="O89" s="20"/>
      <c r="P89" s="20"/>
    </row>
    <row r="90" spans="3:16" x14ac:dyDescent="0.2">
      <c r="C90" s="20"/>
      <c r="D90" s="23"/>
      <c r="E90" s="20"/>
      <c r="F90" s="20"/>
      <c r="G90" s="20"/>
      <c r="H90" s="20"/>
      <c r="I90" s="23"/>
      <c r="J90" s="20"/>
      <c r="K90" s="20"/>
      <c r="L90" s="26">
        <v>40513</v>
      </c>
      <c r="M90" s="23">
        <f>-N64</f>
        <v>-613986.14919999987</v>
      </c>
      <c r="N90" s="34">
        <f t="shared" si="24"/>
        <v>2208466.5076000006</v>
      </c>
      <c r="O90" s="20" t="s">
        <v>58</v>
      </c>
      <c r="P90" s="20"/>
    </row>
    <row r="91" spans="3:16" x14ac:dyDescent="0.2">
      <c r="C91" s="20"/>
      <c r="D91" s="23"/>
      <c r="E91" s="20"/>
      <c r="F91" s="20"/>
      <c r="G91" s="20"/>
      <c r="H91" s="20"/>
      <c r="I91" s="23"/>
      <c r="J91" s="20"/>
      <c r="K91" s="20"/>
      <c r="L91" s="23"/>
      <c r="M91" s="23"/>
      <c r="N91" s="23"/>
      <c r="O91" s="20"/>
      <c r="P91" s="20"/>
    </row>
    <row r="92" spans="3:16" x14ac:dyDescent="0.2">
      <c r="C92" s="20"/>
      <c r="D92" s="23"/>
      <c r="E92" s="20"/>
      <c r="F92" s="20"/>
      <c r="G92" s="20"/>
      <c r="H92" s="20"/>
      <c r="I92" s="23"/>
      <c r="J92" s="20"/>
      <c r="K92" s="20"/>
      <c r="L92" s="23"/>
      <c r="M92" s="23"/>
      <c r="N92" s="23"/>
      <c r="O92" s="20"/>
      <c r="P92" s="20"/>
    </row>
    <row r="93" spans="3:16" x14ac:dyDescent="0.2">
      <c r="C93" s="20"/>
      <c r="D93" s="23"/>
      <c r="E93" s="20"/>
      <c r="F93" s="20"/>
      <c r="G93" s="20"/>
      <c r="H93" s="20"/>
      <c r="I93" s="23"/>
      <c r="J93" s="20"/>
      <c r="K93" s="20"/>
      <c r="L93" s="23"/>
      <c r="M93" s="23"/>
      <c r="N93" s="23"/>
      <c r="O93" s="20"/>
      <c r="P93" s="20"/>
    </row>
    <row r="94" spans="3:16" x14ac:dyDescent="0.2">
      <c r="C94" s="20"/>
      <c r="D94" s="23"/>
      <c r="E94" s="20"/>
      <c r="F94" s="20"/>
      <c r="G94" s="20"/>
      <c r="H94" s="20"/>
      <c r="I94" s="23"/>
      <c r="J94" s="20"/>
      <c r="K94" s="20"/>
      <c r="L94" s="23"/>
      <c r="M94" s="23"/>
      <c r="N94" s="23"/>
      <c r="O94" s="20"/>
      <c r="P94" s="20"/>
    </row>
    <row r="95" spans="3:16" x14ac:dyDescent="0.2">
      <c r="C95" s="20"/>
      <c r="D95" s="23"/>
      <c r="E95" s="20"/>
      <c r="F95" s="20"/>
      <c r="G95" s="20"/>
      <c r="H95" s="20"/>
      <c r="I95" s="23"/>
      <c r="J95" s="20"/>
      <c r="K95" s="20"/>
      <c r="L95" s="23"/>
      <c r="M95" s="20"/>
      <c r="N95" s="20"/>
      <c r="O95" s="20"/>
      <c r="P95" s="20"/>
    </row>
    <row r="96" spans="3:16" x14ac:dyDescent="0.2">
      <c r="C96" s="20"/>
      <c r="D96" s="23"/>
      <c r="E96" s="20"/>
      <c r="F96" s="20"/>
      <c r="G96" s="20"/>
      <c r="H96" s="20"/>
      <c r="I96" s="23"/>
      <c r="J96" s="20"/>
      <c r="K96" s="20"/>
      <c r="L96" s="23"/>
      <c r="M96" s="20"/>
      <c r="N96" s="20"/>
      <c r="O96" s="20"/>
      <c r="P96" s="20"/>
    </row>
  </sheetData>
  <phoneticPr fontId="0" type="noConversion"/>
  <pageMargins left="0.75" right="0.75" top="1" bottom="1" header="0" footer="0"/>
  <pageSetup scale="51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5" right="0.75" top="1" bottom="1" header="0" footer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Hoja1</vt:lpstr>
      <vt:lpstr>Hoja2</vt:lpstr>
      <vt:lpstr>Hoja3</vt:lpstr>
      <vt:lpstr>Hoja4</vt:lpstr>
      <vt:lpstr>Hoja1!Área_de_impresión</vt:lpstr>
    </vt:vector>
  </TitlesOfParts>
  <Company>Queretaro Motors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Marisol Avila</dc:creator>
  <cp:lastModifiedBy>ljimenez</cp:lastModifiedBy>
  <cp:lastPrinted>2013-05-30T17:44:20Z</cp:lastPrinted>
  <dcterms:created xsi:type="dcterms:W3CDTF">2011-06-14T23:14:12Z</dcterms:created>
  <dcterms:modified xsi:type="dcterms:W3CDTF">2015-07-28T23:21:14Z</dcterms:modified>
</cp:coreProperties>
</file>