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REPORTE DFS 2018/"/>
    </mc:Choice>
  </mc:AlternateContent>
  <bookViews>
    <workbookView xWindow="0" yWindow="0" windowWidth="28800" windowHeight="12330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  <sheet name="SEP" sheetId="10" r:id="rId9"/>
    <sheet name="OCT" sheetId="11" r:id="rId10"/>
    <sheet name="NOV" sheetId="12" r:id="rId11"/>
    <sheet name="Hoja1" sheetId="13" r:id="rId12"/>
  </sheets>
  <definedNames>
    <definedName name="_xlnm._FilterDatabase" localSheetId="3" hidden="1">ABR!$A$4:$H$196</definedName>
    <definedName name="_xlnm._FilterDatabase" localSheetId="7" hidden="1">AGO!$A$4:$I$196</definedName>
    <definedName name="_xlnm._FilterDatabase" localSheetId="0" hidden="1">ENE!$A$4:$H$196</definedName>
    <definedName name="_xlnm._FilterDatabase" localSheetId="1" hidden="1">FEB!$A$4:$H$196</definedName>
    <definedName name="_xlnm._FilterDatabase" localSheetId="11" hidden="1">Hoja1!$A$4:$I$196</definedName>
    <definedName name="_xlnm._FilterDatabase" localSheetId="6" hidden="1">JUL!$A$4:$H$196</definedName>
    <definedName name="_xlnm._FilterDatabase" localSheetId="5" hidden="1">JUN!$A$4:$H$196</definedName>
    <definedName name="_xlnm._FilterDatabase" localSheetId="2" hidden="1">MAR!$A$4:$H$196</definedName>
    <definedName name="_xlnm._FilterDatabase" localSheetId="4" hidden="1">MAY!$A$4:$H$196</definedName>
    <definedName name="_xlnm._FilterDatabase" localSheetId="10" hidden="1">NOV!$A$4:$J$196</definedName>
    <definedName name="_xlnm._FilterDatabase" localSheetId="9" hidden="1">OCT!$A$4:$I$196</definedName>
    <definedName name="_xlnm._FilterDatabase" localSheetId="8" hidden="1">SEP!$A$4:$I$196</definedName>
  </definedNames>
  <calcPr calcId="152511"/>
</workbook>
</file>

<file path=xl/calcChain.xml><?xml version="1.0" encoding="utf-8"?>
<calcChain xmlns="http://schemas.openxmlformats.org/spreadsheetml/2006/main">
  <c r="F183" i="13" l="1"/>
  <c r="F86" i="13"/>
  <c r="F63" i="13"/>
  <c r="G63" i="13"/>
  <c r="F190" i="13"/>
  <c r="F67" i="13"/>
  <c r="G67" i="13" s="1"/>
  <c r="G87" i="13"/>
  <c r="F48" i="13"/>
  <c r="F51" i="13"/>
  <c r="G51" i="13"/>
  <c r="F164" i="13"/>
  <c r="F47" i="13"/>
  <c r="G48" i="13" s="1"/>
  <c r="F160" i="13"/>
  <c r="F74" i="13"/>
  <c r="G74" i="13" s="1"/>
  <c r="F123" i="13"/>
  <c r="G132" i="13" s="1"/>
  <c r="F206" i="13"/>
  <c r="F205" i="13"/>
  <c r="F203" i="13"/>
  <c r="F202" i="13"/>
  <c r="F201" i="13"/>
  <c r="F200" i="13"/>
  <c r="G196" i="13"/>
  <c r="G158" i="13"/>
  <c r="G156" i="13"/>
  <c r="G147" i="13"/>
  <c r="G141" i="13"/>
  <c r="G134" i="13"/>
  <c r="G133" i="13"/>
  <c r="G122" i="13"/>
  <c r="G116" i="13"/>
  <c r="G104" i="13"/>
  <c r="G102" i="13"/>
  <c r="G96" i="13"/>
  <c r="G90" i="13"/>
  <c r="G85" i="13"/>
  <c r="G84" i="13"/>
  <c r="G83" i="13"/>
  <c r="G81" i="13"/>
  <c r="G80" i="13"/>
  <c r="G79" i="13"/>
  <c r="G78" i="13"/>
  <c r="G77" i="13"/>
  <c r="G76" i="13"/>
  <c r="G75" i="13"/>
  <c r="G73" i="13"/>
  <c r="G71" i="13"/>
  <c r="G66" i="13"/>
  <c r="G65" i="13"/>
  <c r="G64" i="13"/>
  <c r="G62" i="13"/>
  <c r="G61" i="13"/>
  <c r="G60" i="13"/>
  <c r="G54" i="13"/>
  <c r="G53" i="13"/>
  <c r="G52" i="13"/>
  <c r="G50" i="13"/>
  <c r="G46" i="13"/>
  <c r="G42" i="13"/>
  <c r="G41" i="13"/>
  <c r="G38" i="13"/>
  <c r="G37" i="13"/>
  <c r="G34" i="13"/>
  <c r="G32" i="13"/>
  <c r="G30" i="13"/>
  <c r="G28" i="13"/>
  <c r="G27" i="13"/>
  <c r="G26" i="13"/>
  <c r="G22" i="13"/>
  <c r="G20" i="13"/>
  <c r="G18" i="13"/>
  <c r="G15" i="13"/>
  <c r="G13" i="13"/>
  <c r="G6" i="13"/>
  <c r="G191" i="13" l="1"/>
  <c r="G198" i="13" s="1"/>
  <c r="F198" i="13"/>
  <c r="H84" i="13"/>
  <c r="F207" i="13"/>
  <c r="H32" i="13"/>
  <c r="H67" i="13"/>
  <c r="F86" i="12"/>
  <c r="G87" i="12" s="1"/>
  <c r="F183" i="12"/>
  <c r="F127" i="12"/>
  <c r="F63" i="12"/>
  <c r="G63" i="12"/>
  <c r="F67" i="12"/>
  <c r="G67" i="12" s="1"/>
  <c r="F203" i="12"/>
  <c r="F94" i="12"/>
  <c r="F48" i="12"/>
  <c r="G48" i="12" s="1"/>
  <c r="F51" i="12"/>
  <c r="F164" i="12"/>
  <c r="F47" i="12"/>
  <c r="F160" i="12"/>
  <c r="F169" i="12"/>
  <c r="F74" i="12"/>
  <c r="G74" i="12" s="1"/>
  <c r="F10" i="12"/>
  <c r="F16" i="12"/>
  <c r="G18" i="12" s="1"/>
  <c r="F200" i="12"/>
  <c r="F207" i="12"/>
  <c r="G196" i="12"/>
  <c r="G158" i="12"/>
  <c r="G156" i="12"/>
  <c r="G147" i="12"/>
  <c r="G141" i="12"/>
  <c r="G134" i="12"/>
  <c r="G133" i="12"/>
  <c r="G132" i="12"/>
  <c r="G122" i="12"/>
  <c r="G116" i="12"/>
  <c r="G104" i="12"/>
  <c r="G102" i="12"/>
  <c r="G96" i="12"/>
  <c r="G90" i="12"/>
  <c r="G85" i="12"/>
  <c r="G84" i="12"/>
  <c r="G83" i="12"/>
  <c r="G81" i="12"/>
  <c r="G80" i="12"/>
  <c r="G79" i="12"/>
  <c r="G78" i="12"/>
  <c r="G77" i="12"/>
  <c r="G76" i="12"/>
  <c r="G75" i="12"/>
  <c r="G73" i="12"/>
  <c r="G71" i="12"/>
  <c r="G66" i="12"/>
  <c r="G65" i="12"/>
  <c r="G64" i="12"/>
  <c r="G62" i="12"/>
  <c r="G61" i="12"/>
  <c r="G60" i="12"/>
  <c r="G54" i="12"/>
  <c r="G53" i="12"/>
  <c r="G52" i="12"/>
  <c r="G51" i="12"/>
  <c r="G50" i="12"/>
  <c r="G46" i="12"/>
  <c r="G42" i="12"/>
  <c r="G41" i="12"/>
  <c r="G38" i="12"/>
  <c r="G37" i="12"/>
  <c r="G34" i="12"/>
  <c r="G32" i="12"/>
  <c r="G30" i="12"/>
  <c r="G28" i="12"/>
  <c r="G27" i="12"/>
  <c r="G26" i="12"/>
  <c r="G22" i="12"/>
  <c r="G20" i="12"/>
  <c r="G15" i="12"/>
  <c r="G6" i="12"/>
  <c r="F206" i="11"/>
  <c r="F183" i="11"/>
  <c r="F86" i="11"/>
  <c r="F127" i="11"/>
  <c r="F190" i="11"/>
  <c r="F141" i="11"/>
  <c r="F205" i="11"/>
  <c r="F63" i="11"/>
  <c r="F78" i="11"/>
  <c r="F188" i="11"/>
  <c r="F67" i="11"/>
  <c r="F71" i="11"/>
  <c r="F94" i="11"/>
  <c r="F137" i="11"/>
  <c r="F51" i="11"/>
  <c r="F198" i="12" l="1"/>
  <c r="H196" i="13"/>
  <c r="H198" i="13"/>
  <c r="F208" i="13" s="1"/>
  <c r="F209" i="13" s="1"/>
  <c r="G191" i="12"/>
  <c r="H196" i="12" s="1"/>
  <c r="H67" i="12"/>
  <c r="H84" i="12"/>
  <c r="G13" i="12"/>
  <c r="G198" i="12" s="1"/>
  <c r="F47" i="11"/>
  <c r="F160" i="11"/>
  <c r="F12" i="11"/>
  <c r="F169" i="11"/>
  <c r="G191" i="11" s="1"/>
  <c r="F69" i="11"/>
  <c r="G71" i="11" s="1"/>
  <c r="F135" i="11"/>
  <c r="F16" i="11"/>
  <c r="G18" i="11" s="1"/>
  <c r="F203" i="11"/>
  <c r="F207" i="11" s="1"/>
  <c r="F200" i="11"/>
  <c r="G196" i="11"/>
  <c r="G158" i="11"/>
  <c r="G156" i="11"/>
  <c r="G147" i="11"/>
  <c r="G141" i="11"/>
  <c r="G134" i="11"/>
  <c r="G133" i="11"/>
  <c r="G132" i="11"/>
  <c r="G122" i="11"/>
  <c r="G116" i="11"/>
  <c r="G104" i="11"/>
  <c r="G102" i="11"/>
  <c r="G96" i="11"/>
  <c r="G90" i="11"/>
  <c r="G87" i="11"/>
  <c r="G85" i="11"/>
  <c r="G84" i="11"/>
  <c r="G83" i="11"/>
  <c r="G81" i="11"/>
  <c r="G80" i="11"/>
  <c r="G79" i="11"/>
  <c r="G78" i="11"/>
  <c r="G77" i="11"/>
  <c r="G76" i="11"/>
  <c r="G75" i="11"/>
  <c r="G74" i="11"/>
  <c r="G73" i="11"/>
  <c r="G67" i="11"/>
  <c r="G66" i="11"/>
  <c r="G65" i="11"/>
  <c r="G64" i="11"/>
  <c r="G63" i="11"/>
  <c r="G62" i="11"/>
  <c r="G61" i="11"/>
  <c r="G60" i="11"/>
  <c r="G54" i="11"/>
  <c r="G53" i="11"/>
  <c r="G52" i="11"/>
  <c r="G51" i="11"/>
  <c r="G50" i="11"/>
  <c r="G48" i="11"/>
  <c r="G46" i="11"/>
  <c r="G42" i="11"/>
  <c r="G41" i="11"/>
  <c r="G38" i="11"/>
  <c r="G37" i="11"/>
  <c r="G34" i="11"/>
  <c r="G32" i="11"/>
  <c r="G30" i="11"/>
  <c r="G28" i="11"/>
  <c r="G27" i="11"/>
  <c r="G26" i="11"/>
  <c r="G22" i="11"/>
  <c r="G20" i="11"/>
  <c r="G15" i="11"/>
  <c r="G13" i="11"/>
  <c r="F198" i="11"/>
  <c r="G6" i="11"/>
  <c r="F200" i="10"/>
  <c r="F183" i="10"/>
  <c r="F86" i="10"/>
  <c r="F129" i="10"/>
  <c r="F63" i="10"/>
  <c r="F190" i="10"/>
  <c r="F54" i="10"/>
  <c r="F205" i="10"/>
  <c r="F67" i="10"/>
  <c r="H32" i="12" l="1"/>
  <c r="H198" i="12"/>
  <c r="F208" i="12" s="1"/>
  <c r="F209" i="12" s="1"/>
  <c r="G198" i="11"/>
  <c r="H84" i="11"/>
  <c r="H196" i="11"/>
  <c r="H67" i="11"/>
  <c r="H32" i="11"/>
  <c r="F51" i="10"/>
  <c r="F164" i="10"/>
  <c r="F47" i="10"/>
  <c r="G48" i="10" s="1"/>
  <c r="F160" i="10"/>
  <c r="G191" i="10" s="1"/>
  <c r="F12" i="10"/>
  <c r="F169" i="10"/>
  <c r="F10" i="10"/>
  <c r="G13" i="10" s="1"/>
  <c r="F207" i="10"/>
  <c r="G196" i="10"/>
  <c r="G158" i="10"/>
  <c r="G156" i="10"/>
  <c r="G147" i="10"/>
  <c r="G141" i="10"/>
  <c r="G134" i="10"/>
  <c r="G133" i="10"/>
  <c r="G132" i="10"/>
  <c r="G122" i="10"/>
  <c r="G116" i="10"/>
  <c r="G104" i="10"/>
  <c r="G102" i="10"/>
  <c r="G96" i="10"/>
  <c r="G90" i="10"/>
  <c r="G87" i="10"/>
  <c r="G85" i="10"/>
  <c r="G84" i="10"/>
  <c r="G83" i="10"/>
  <c r="G81" i="10"/>
  <c r="G80" i="10"/>
  <c r="G79" i="10"/>
  <c r="G78" i="10"/>
  <c r="G77" i="10"/>
  <c r="G76" i="10"/>
  <c r="G75" i="10"/>
  <c r="G74" i="10"/>
  <c r="G73" i="10"/>
  <c r="G71" i="10"/>
  <c r="G67" i="10"/>
  <c r="G66" i="10"/>
  <c r="G65" i="10"/>
  <c r="G64" i="10"/>
  <c r="G63" i="10"/>
  <c r="G62" i="10"/>
  <c r="G61" i="10"/>
  <c r="G60" i="10"/>
  <c r="G54" i="10"/>
  <c r="G53" i="10"/>
  <c r="G52" i="10"/>
  <c r="G51" i="10"/>
  <c r="G50" i="10"/>
  <c r="G46" i="10"/>
  <c r="G42" i="10"/>
  <c r="G41" i="10"/>
  <c r="G38" i="10"/>
  <c r="G37" i="10"/>
  <c r="G34" i="10"/>
  <c r="G32" i="10"/>
  <c r="G30" i="10"/>
  <c r="G28" i="10"/>
  <c r="G27" i="10"/>
  <c r="G26" i="10"/>
  <c r="G22" i="10"/>
  <c r="G20" i="10"/>
  <c r="G18" i="10"/>
  <c r="G15" i="10"/>
  <c r="G6" i="10"/>
  <c r="F190" i="9"/>
  <c r="F205" i="9"/>
  <c r="F200" i="9"/>
  <c r="F207" i="9" s="1"/>
  <c r="F183" i="9"/>
  <c r="F86" i="9"/>
  <c r="G87" i="9" s="1"/>
  <c r="F63" i="9"/>
  <c r="F141" i="9"/>
  <c r="F67" i="9"/>
  <c r="G67" i="9" s="1"/>
  <c r="F94" i="9"/>
  <c r="G96" i="9" s="1"/>
  <c r="F137" i="9"/>
  <c r="F48" i="9"/>
  <c r="F51" i="9"/>
  <c r="F47" i="9"/>
  <c r="F12" i="9"/>
  <c r="F135" i="9"/>
  <c r="G141" i="9" s="1"/>
  <c r="F10" i="9"/>
  <c r="F203" i="9"/>
  <c r="G196" i="9"/>
  <c r="G158" i="9"/>
  <c r="G156" i="9"/>
  <c r="G147" i="9"/>
  <c r="G134" i="9"/>
  <c r="G133" i="9"/>
  <c r="G132" i="9"/>
  <c r="G122" i="9"/>
  <c r="G116" i="9"/>
  <c r="G104" i="9"/>
  <c r="G102" i="9"/>
  <c r="G90" i="9"/>
  <c r="G85" i="9"/>
  <c r="G84" i="9"/>
  <c r="G83" i="9"/>
  <c r="G81" i="9"/>
  <c r="G80" i="9"/>
  <c r="G79" i="9"/>
  <c r="G78" i="9"/>
  <c r="G77" i="9"/>
  <c r="G76" i="9"/>
  <c r="G75" i="9"/>
  <c r="G74" i="9"/>
  <c r="G73" i="9"/>
  <c r="G71" i="9"/>
  <c r="G66" i="9"/>
  <c r="G65" i="9"/>
  <c r="G64" i="9"/>
  <c r="G63" i="9"/>
  <c r="G62" i="9"/>
  <c r="G61" i="9"/>
  <c r="G60" i="9"/>
  <c r="G54" i="9"/>
  <c r="G53" i="9"/>
  <c r="G52" i="9"/>
  <c r="G51" i="9"/>
  <c r="G50" i="9"/>
  <c r="G46" i="9"/>
  <c r="G42" i="9"/>
  <c r="G41" i="9"/>
  <c r="G38" i="9"/>
  <c r="G37" i="9"/>
  <c r="G34" i="9"/>
  <c r="G32" i="9"/>
  <c r="G30" i="9"/>
  <c r="G28" i="9"/>
  <c r="G27" i="9"/>
  <c r="G26" i="9"/>
  <c r="G22" i="9"/>
  <c r="G20" i="9"/>
  <c r="G18" i="9"/>
  <c r="G15" i="9"/>
  <c r="G6" i="9"/>
  <c r="F183" i="8"/>
  <c r="F86" i="8"/>
  <c r="G87" i="8" s="1"/>
  <c r="F63" i="8"/>
  <c r="G63" i="8" s="1"/>
  <c r="F67" i="8"/>
  <c r="F203" i="8"/>
  <c r="F48" i="8"/>
  <c r="G48" i="8" s="1"/>
  <c r="F51" i="8"/>
  <c r="G51" i="8" s="1"/>
  <c r="F47" i="8"/>
  <c r="F74" i="8"/>
  <c r="G74" i="8" s="1"/>
  <c r="F10" i="8"/>
  <c r="G13" i="8" s="1"/>
  <c r="F200" i="8"/>
  <c r="F16" i="8"/>
  <c r="I211" i="8"/>
  <c r="G196" i="8"/>
  <c r="G191" i="8"/>
  <c r="G158" i="8"/>
  <c r="G156" i="8"/>
  <c r="G147" i="8"/>
  <c r="G141" i="8"/>
  <c r="G134" i="8"/>
  <c r="G133" i="8"/>
  <c r="G132" i="8"/>
  <c r="G122" i="8"/>
  <c r="G116" i="8"/>
  <c r="G104" i="8"/>
  <c r="G102" i="8"/>
  <c r="G96" i="8"/>
  <c r="G90" i="8"/>
  <c r="G85" i="8"/>
  <c r="G84" i="8"/>
  <c r="G83" i="8"/>
  <c r="G81" i="8"/>
  <c r="G80" i="8"/>
  <c r="G79" i="8"/>
  <c r="G78" i="8"/>
  <c r="G77" i="8"/>
  <c r="G76" i="8"/>
  <c r="G75" i="8"/>
  <c r="G73" i="8"/>
  <c r="G71" i="8"/>
  <c r="G67" i="8"/>
  <c r="G66" i="8"/>
  <c r="G65" i="8"/>
  <c r="G64" i="8"/>
  <c r="G62" i="8"/>
  <c r="G61" i="8"/>
  <c r="G60" i="8"/>
  <c r="G54" i="8"/>
  <c r="G53" i="8"/>
  <c r="G52" i="8"/>
  <c r="G50" i="8"/>
  <c r="G46" i="8"/>
  <c r="G42" i="8"/>
  <c r="G41" i="8"/>
  <c r="G38" i="8"/>
  <c r="G37" i="8"/>
  <c r="G34" i="8"/>
  <c r="G32" i="8"/>
  <c r="G30" i="8"/>
  <c r="G28" i="8"/>
  <c r="G27" i="8"/>
  <c r="G26" i="8"/>
  <c r="G22" i="8"/>
  <c r="G20" i="8"/>
  <c r="G18" i="8"/>
  <c r="G15" i="8"/>
  <c r="G6" i="8"/>
  <c r="F203" i="7"/>
  <c r="F207" i="7" s="1"/>
  <c r="I211" i="7"/>
  <c r="F183" i="7"/>
  <c r="F86" i="7"/>
  <c r="G87" i="7" s="1"/>
  <c r="F63" i="7"/>
  <c r="F67" i="7"/>
  <c r="G67" i="7" s="1"/>
  <c r="F94" i="7"/>
  <c r="F200" i="7"/>
  <c r="F47" i="7"/>
  <c r="F10" i="7"/>
  <c r="G13" i="7" s="1"/>
  <c r="F16" i="7"/>
  <c r="G196" i="7"/>
  <c r="G191" i="7"/>
  <c r="G158" i="7"/>
  <c r="G156" i="7"/>
  <c r="G147" i="7"/>
  <c r="G141" i="7"/>
  <c r="G134" i="7"/>
  <c r="G133" i="7"/>
  <c r="G132" i="7"/>
  <c r="G122" i="7"/>
  <c r="G116" i="7"/>
  <c r="G104" i="7"/>
  <c r="G102" i="7"/>
  <c r="G96" i="7"/>
  <c r="G90" i="7"/>
  <c r="G85" i="7"/>
  <c r="G84" i="7"/>
  <c r="G83" i="7"/>
  <c r="G81" i="7"/>
  <c r="G80" i="7"/>
  <c r="G79" i="7"/>
  <c r="G78" i="7"/>
  <c r="G77" i="7"/>
  <c r="G76" i="7"/>
  <c r="G75" i="7"/>
  <c r="G74" i="7"/>
  <c r="G73" i="7"/>
  <c r="G71" i="7"/>
  <c r="G66" i="7"/>
  <c r="G65" i="7"/>
  <c r="G64" i="7"/>
  <c r="G63" i="7"/>
  <c r="G62" i="7"/>
  <c r="G61" i="7"/>
  <c r="G60" i="7"/>
  <c r="G54" i="7"/>
  <c r="G53" i="7"/>
  <c r="G52" i="7"/>
  <c r="G51" i="7"/>
  <c r="G50" i="7"/>
  <c r="G48" i="7"/>
  <c r="G46" i="7"/>
  <c r="G42" i="7"/>
  <c r="G41" i="7"/>
  <c r="G38" i="7"/>
  <c r="G37" i="7"/>
  <c r="G34" i="7"/>
  <c r="G32" i="7"/>
  <c r="G30" i="7"/>
  <c r="G28" i="7"/>
  <c r="G27" i="7"/>
  <c r="G26" i="7"/>
  <c r="G22" i="7"/>
  <c r="G20" i="7"/>
  <c r="G15" i="7"/>
  <c r="G6" i="7"/>
  <c r="F183" i="6"/>
  <c r="F86" i="6"/>
  <c r="G87" i="6" s="1"/>
  <c r="F205" i="6"/>
  <c r="F63" i="6"/>
  <c r="G63" i="6" s="1"/>
  <c r="F67" i="6"/>
  <c r="F204" i="6"/>
  <c r="F203" i="6"/>
  <c r="F202" i="6"/>
  <c r="F48" i="6"/>
  <c r="F51" i="6"/>
  <c r="F201" i="6"/>
  <c r="F123" i="6"/>
  <c r="G132" i="6" s="1"/>
  <c r="F200" i="6"/>
  <c r="F47" i="6"/>
  <c r="F12" i="6"/>
  <c r="F10" i="6"/>
  <c r="F198" i="6" s="1"/>
  <c r="G196" i="6"/>
  <c r="G191" i="6"/>
  <c r="G158" i="6"/>
  <c r="G156" i="6"/>
  <c r="G147" i="6"/>
  <c r="G141" i="6"/>
  <c r="G134" i="6"/>
  <c r="G133" i="6"/>
  <c r="G122" i="6"/>
  <c r="G116" i="6"/>
  <c r="G104" i="6"/>
  <c r="G102" i="6"/>
  <c r="G96" i="6"/>
  <c r="G90" i="6"/>
  <c r="G85" i="6"/>
  <c r="G84" i="6"/>
  <c r="G83" i="6"/>
  <c r="G81" i="6"/>
  <c r="G80" i="6"/>
  <c r="G79" i="6"/>
  <c r="G78" i="6"/>
  <c r="G77" i="6"/>
  <c r="G76" i="6"/>
  <c r="G75" i="6"/>
  <c r="G74" i="6"/>
  <c r="G73" i="6"/>
  <c r="G71" i="6"/>
  <c r="G67" i="6"/>
  <c r="G66" i="6"/>
  <c r="G65" i="6"/>
  <c r="G64" i="6"/>
  <c r="G62" i="6"/>
  <c r="G61" i="6"/>
  <c r="G60" i="6"/>
  <c r="G54" i="6"/>
  <c r="G53" i="6"/>
  <c r="G52" i="6"/>
  <c r="G51" i="6"/>
  <c r="G50" i="6"/>
  <c r="G48" i="6"/>
  <c r="G46" i="6"/>
  <c r="G42" i="6"/>
  <c r="G41" i="6"/>
  <c r="G38" i="6"/>
  <c r="G37" i="6"/>
  <c r="G34" i="6"/>
  <c r="G32" i="6"/>
  <c r="G30" i="6"/>
  <c r="G28" i="6"/>
  <c r="G27" i="6"/>
  <c r="G26" i="6"/>
  <c r="G22" i="6"/>
  <c r="G20" i="6"/>
  <c r="G18" i="6"/>
  <c r="G15" i="6"/>
  <c r="G6" i="6"/>
  <c r="F183" i="5"/>
  <c r="F86" i="5"/>
  <c r="F63" i="5"/>
  <c r="F131" i="5"/>
  <c r="F67" i="5"/>
  <c r="F128" i="5"/>
  <c r="F137" i="5"/>
  <c r="F47" i="5"/>
  <c r="F124" i="5"/>
  <c r="F135" i="5"/>
  <c r="F10" i="5"/>
  <c r="F200" i="5"/>
  <c r="G13" i="6" l="1"/>
  <c r="F198" i="7"/>
  <c r="F207" i="6"/>
  <c r="G191" i="9"/>
  <c r="F207" i="8"/>
  <c r="F198" i="9"/>
  <c r="F198" i="8"/>
  <c r="G18" i="7"/>
  <c r="G48" i="9"/>
  <c r="H198" i="11"/>
  <c r="F208" i="11" s="1"/>
  <c r="F209" i="11" s="1"/>
  <c r="H196" i="10"/>
  <c r="H84" i="10"/>
  <c r="G198" i="10"/>
  <c r="H67" i="10"/>
  <c r="F198" i="10"/>
  <c r="H32" i="10"/>
  <c r="H196" i="9"/>
  <c r="H84" i="9"/>
  <c r="H67" i="9"/>
  <c r="G13" i="9"/>
  <c r="H32" i="9" s="1"/>
  <c r="H32" i="8"/>
  <c r="H196" i="8"/>
  <c r="H84" i="8"/>
  <c r="G198" i="8"/>
  <c r="H67" i="8"/>
  <c r="H32" i="7"/>
  <c r="H196" i="7"/>
  <c r="H84" i="7"/>
  <c r="G198" i="7"/>
  <c r="H67" i="7"/>
  <c r="H196" i="6"/>
  <c r="H84" i="6"/>
  <c r="G198" i="6"/>
  <c r="H67" i="6"/>
  <c r="H32" i="6"/>
  <c r="F205" i="5"/>
  <c r="F203" i="5"/>
  <c r="F207" i="5"/>
  <c r="G196" i="5"/>
  <c r="G191" i="5"/>
  <c r="G158" i="5"/>
  <c r="G156" i="5"/>
  <c r="G147" i="5"/>
  <c r="G141" i="5"/>
  <c r="G134" i="5"/>
  <c r="G133" i="5"/>
  <c r="G132" i="5"/>
  <c r="G122" i="5"/>
  <c r="G116" i="5"/>
  <c r="G104" i="5"/>
  <c r="G102" i="5"/>
  <c r="G96" i="5"/>
  <c r="G90" i="5"/>
  <c r="G87" i="5"/>
  <c r="G85" i="5"/>
  <c r="G84" i="5"/>
  <c r="G83" i="5"/>
  <c r="G81" i="5"/>
  <c r="G80" i="5"/>
  <c r="G79" i="5"/>
  <c r="G78" i="5"/>
  <c r="G77" i="5"/>
  <c r="G76" i="5"/>
  <c r="G75" i="5"/>
  <c r="G74" i="5"/>
  <c r="G73" i="5"/>
  <c r="G71" i="5"/>
  <c r="G67" i="5"/>
  <c r="G66" i="5"/>
  <c r="G65" i="5"/>
  <c r="G64" i="5"/>
  <c r="G63" i="5"/>
  <c r="G62" i="5"/>
  <c r="G61" i="5"/>
  <c r="G60" i="5"/>
  <c r="G54" i="5"/>
  <c r="G53" i="5"/>
  <c r="G52" i="5"/>
  <c r="G51" i="5"/>
  <c r="G50" i="5"/>
  <c r="G48" i="5"/>
  <c r="G46" i="5"/>
  <c r="G42" i="5"/>
  <c r="G41" i="5"/>
  <c r="G38" i="5"/>
  <c r="G37" i="5"/>
  <c r="G34" i="5"/>
  <c r="G32" i="5"/>
  <c r="G30" i="5"/>
  <c r="G28" i="5"/>
  <c r="G27" i="5"/>
  <c r="G26" i="5"/>
  <c r="G22" i="5"/>
  <c r="G20" i="5"/>
  <c r="G18" i="5"/>
  <c r="G15" i="5"/>
  <c r="G13" i="5"/>
  <c r="G6" i="5"/>
  <c r="F183" i="4"/>
  <c r="F86" i="4"/>
  <c r="F206" i="4"/>
  <c r="F63" i="4"/>
  <c r="G63" i="4" s="1"/>
  <c r="F67" i="4"/>
  <c r="G67" i="4" s="1"/>
  <c r="F103" i="4"/>
  <c r="F166" i="4"/>
  <c r="F203" i="4"/>
  <c r="F51" i="4"/>
  <c r="F198" i="4" s="1"/>
  <c r="F47" i="4"/>
  <c r="F160" i="4"/>
  <c r="G191" i="4" s="1"/>
  <c r="F200" i="4"/>
  <c r="F207" i="4" s="1"/>
  <c r="G196" i="4"/>
  <c r="G158" i="4"/>
  <c r="G156" i="4"/>
  <c r="G147" i="4"/>
  <c r="G141" i="4"/>
  <c r="G134" i="4"/>
  <c r="G133" i="4"/>
  <c r="G132" i="4"/>
  <c r="G122" i="4"/>
  <c r="G116" i="4"/>
  <c r="G104" i="4"/>
  <c r="G102" i="4"/>
  <c r="G96" i="4"/>
  <c r="G90" i="4"/>
  <c r="G87" i="4"/>
  <c r="G85" i="4"/>
  <c r="G84" i="4"/>
  <c r="G83" i="4"/>
  <c r="G81" i="4"/>
  <c r="G80" i="4"/>
  <c r="G79" i="4"/>
  <c r="G78" i="4"/>
  <c r="G77" i="4"/>
  <c r="G76" i="4"/>
  <c r="G75" i="4"/>
  <c r="G74" i="4"/>
  <c r="G73" i="4"/>
  <c r="G71" i="4"/>
  <c r="G66" i="4"/>
  <c r="G65" i="4"/>
  <c r="G64" i="4"/>
  <c r="G62" i="4"/>
  <c r="G61" i="4"/>
  <c r="G60" i="4"/>
  <c r="G54" i="4"/>
  <c r="G53" i="4"/>
  <c r="G52" i="4"/>
  <c r="G51" i="4"/>
  <c r="G50" i="4"/>
  <c r="G48" i="4"/>
  <c r="G46" i="4"/>
  <c r="G42" i="4"/>
  <c r="G41" i="4"/>
  <c r="G38" i="4"/>
  <c r="G37" i="4"/>
  <c r="G34" i="4"/>
  <c r="G32" i="4"/>
  <c r="G30" i="4"/>
  <c r="G28" i="4"/>
  <c r="G27" i="4"/>
  <c r="G26" i="4"/>
  <c r="G22" i="4"/>
  <c r="G20" i="4"/>
  <c r="G18" i="4"/>
  <c r="G15" i="4"/>
  <c r="G13" i="4"/>
  <c r="G6" i="4"/>
  <c r="F63" i="3"/>
  <c r="G63" i="3" s="1"/>
  <c r="F205" i="3"/>
  <c r="F183" i="3"/>
  <c r="F203" i="3"/>
  <c r="F201" i="3"/>
  <c r="F200" i="3"/>
  <c r="F86" i="3"/>
  <c r="G87" i="3" s="1"/>
  <c r="F51" i="3"/>
  <c r="G51" i="3" s="1"/>
  <c r="F18" i="3"/>
  <c r="G18" i="3" s="1"/>
  <c r="F16" i="3"/>
  <c r="F47" i="3"/>
  <c r="F204" i="3"/>
  <c r="G196" i="3"/>
  <c r="F159" i="3"/>
  <c r="G191" i="3" s="1"/>
  <c r="G158" i="3"/>
  <c r="G156" i="3"/>
  <c r="G147" i="3"/>
  <c r="G141" i="3"/>
  <c r="G134" i="3"/>
  <c r="G133" i="3"/>
  <c r="F127" i="3"/>
  <c r="G132" i="3" s="1"/>
  <c r="G122" i="3"/>
  <c r="F110" i="3"/>
  <c r="F109" i="3"/>
  <c r="F107" i="3"/>
  <c r="F106" i="3"/>
  <c r="F105" i="3"/>
  <c r="G104" i="3"/>
  <c r="G102" i="3"/>
  <c r="F94" i="3"/>
  <c r="G96" i="3" s="1"/>
  <c r="G90" i="3"/>
  <c r="G85" i="3"/>
  <c r="G84" i="3"/>
  <c r="G83" i="3"/>
  <c r="G81" i="3"/>
  <c r="G80" i="3"/>
  <c r="G79" i="3"/>
  <c r="G78" i="3"/>
  <c r="G77" i="3"/>
  <c r="G76" i="3"/>
  <c r="G75" i="3"/>
  <c r="G74" i="3"/>
  <c r="G73" i="3"/>
  <c r="G71" i="3"/>
  <c r="F67" i="3"/>
  <c r="G67" i="3" s="1"/>
  <c r="G66" i="3"/>
  <c r="G65" i="3"/>
  <c r="G64" i="3"/>
  <c r="G62" i="3"/>
  <c r="G61" i="3"/>
  <c r="G60" i="3"/>
  <c r="G54" i="3"/>
  <c r="G53" i="3"/>
  <c r="G52" i="3"/>
  <c r="G50" i="3"/>
  <c r="G48" i="3"/>
  <c r="G46" i="3"/>
  <c r="G42" i="3"/>
  <c r="G41" i="3"/>
  <c r="G38" i="3"/>
  <c r="G37" i="3"/>
  <c r="G34" i="3"/>
  <c r="G32" i="3"/>
  <c r="G30" i="3"/>
  <c r="G28" i="3"/>
  <c r="G27" i="3"/>
  <c r="G26" i="3"/>
  <c r="G22" i="3"/>
  <c r="G20" i="3"/>
  <c r="G15" i="3"/>
  <c r="F10" i="3"/>
  <c r="F198" i="3" s="1"/>
  <c r="G6" i="3"/>
  <c r="F206" i="2"/>
  <c r="F203" i="2"/>
  <c r="F207" i="2" s="1"/>
  <c r="F200" i="2"/>
  <c r="G191" i="2"/>
  <c r="G13" i="2"/>
  <c r="G196" i="2"/>
  <c r="G158" i="2"/>
  <c r="G156" i="2"/>
  <c r="G147" i="2"/>
  <c r="G141" i="2"/>
  <c r="G134" i="2"/>
  <c r="G133" i="2"/>
  <c r="G132" i="2"/>
  <c r="G122" i="2"/>
  <c r="G116" i="2"/>
  <c r="G104" i="2"/>
  <c r="G102" i="2"/>
  <c r="G96" i="2"/>
  <c r="G90" i="2"/>
  <c r="G87" i="2"/>
  <c r="G85" i="2"/>
  <c r="G84" i="2"/>
  <c r="G83" i="2"/>
  <c r="G81" i="2"/>
  <c r="G80" i="2"/>
  <c r="G79" i="2"/>
  <c r="G78" i="2"/>
  <c r="G77" i="2"/>
  <c r="G76" i="2"/>
  <c r="G75" i="2"/>
  <c r="G74" i="2"/>
  <c r="G73" i="2"/>
  <c r="G71" i="2"/>
  <c r="G67" i="2"/>
  <c r="G66" i="2"/>
  <c r="G65" i="2"/>
  <c r="G64" i="2"/>
  <c r="G63" i="2"/>
  <c r="G62" i="2"/>
  <c r="G61" i="2"/>
  <c r="G60" i="2"/>
  <c r="G54" i="2"/>
  <c r="G53" i="2"/>
  <c r="G52" i="2"/>
  <c r="G51" i="2"/>
  <c r="G50" i="2"/>
  <c r="G48" i="2"/>
  <c r="G46" i="2"/>
  <c r="G42" i="2"/>
  <c r="G41" i="2"/>
  <c r="G38" i="2"/>
  <c r="G37" i="2"/>
  <c r="G34" i="2"/>
  <c r="G32" i="2"/>
  <c r="G30" i="2"/>
  <c r="G28" i="2"/>
  <c r="G27" i="2"/>
  <c r="G26" i="2"/>
  <c r="G22" i="2"/>
  <c r="G20" i="2"/>
  <c r="G18" i="2"/>
  <c r="G15" i="2"/>
  <c r="G6" i="2"/>
  <c r="F207" i="3" l="1"/>
  <c r="F198" i="2"/>
  <c r="G116" i="3"/>
  <c r="H196" i="3" s="1"/>
  <c r="H67" i="2"/>
  <c r="H198" i="10"/>
  <c r="F208" i="10" s="1"/>
  <c r="F209" i="10" s="1"/>
  <c r="G198" i="9"/>
  <c r="H198" i="9"/>
  <c r="F208" i="9" s="1"/>
  <c r="F209" i="9" s="1"/>
  <c r="H198" i="8"/>
  <c r="F208" i="8" s="1"/>
  <c r="F209" i="8" s="1"/>
  <c r="H198" i="7"/>
  <c r="F208" i="7" s="1"/>
  <c r="F209" i="7" s="1"/>
  <c r="H198" i="6"/>
  <c r="F208" i="6" s="1"/>
  <c r="F209" i="6" s="1"/>
  <c r="H84" i="5"/>
  <c r="H196" i="5"/>
  <c r="G198" i="5"/>
  <c r="H67" i="5"/>
  <c r="F198" i="5"/>
  <c r="H32" i="5"/>
  <c r="G198" i="4"/>
  <c r="H84" i="4"/>
  <c r="H67" i="4"/>
  <c r="H32" i="4"/>
  <c r="H196" i="4"/>
  <c r="H84" i="3"/>
  <c r="H67" i="3"/>
  <c r="G13" i="3"/>
  <c r="G198" i="3" s="1"/>
  <c r="H84" i="2"/>
  <c r="G198" i="2"/>
  <c r="H196" i="2"/>
  <c r="H32" i="2"/>
  <c r="H198" i="5" l="1"/>
  <c r="F208" i="5" s="1"/>
  <c r="F209" i="5" s="1"/>
  <c r="H198" i="4"/>
  <c r="F208" i="4" s="1"/>
  <c r="F209" i="4" s="1"/>
  <c r="H32" i="3"/>
  <c r="H198" i="3" s="1"/>
  <c r="F208" i="3" s="1"/>
  <c r="F209" i="3" s="1"/>
  <c r="H198" i="2"/>
  <c r="F208" i="2" s="1"/>
  <c r="F209" i="2" s="1"/>
</calcChain>
</file>

<file path=xl/sharedStrings.xml><?xml version="1.0" encoding="utf-8"?>
<sst xmlns="http://schemas.openxmlformats.org/spreadsheetml/2006/main" count="7044" uniqueCount="295">
  <si>
    <t xml:space="preserve"> </t>
  </si>
  <si>
    <t xml:space="preserve">  </t>
  </si>
  <si>
    <t>MENSUAL</t>
  </si>
  <si>
    <t>.</t>
  </si>
  <si>
    <t>GVN</t>
  </si>
  <si>
    <t>700-002</t>
  </si>
  <si>
    <t>COMISION POR VENTA</t>
  </si>
  <si>
    <t>700-006</t>
  </si>
  <si>
    <t>SERVICIOS ADMINISTRATIVOS</t>
  </si>
  <si>
    <t>700-005</t>
  </si>
  <si>
    <t>GASTOS DE ENTREGA</t>
  </si>
  <si>
    <t>700-071</t>
  </si>
  <si>
    <t>GASTOS POR TRASLADOS</t>
  </si>
  <si>
    <t>700-011</t>
  </si>
  <si>
    <t>SERVICIO DE PRE-ENTREGA</t>
  </si>
  <si>
    <t>700-014</t>
  </si>
  <si>
    <t>REACONDICIONAMIENTO NUEVOS</t>
  </si>
  <si>
    <t>700-015</t>
  </si>
  <si>
    <t>FLETES</t>
  </si>
  <si>
    <t>700-060</t>
  </si>
  <si>
    <t>GASOLINA Y LUBRICANTES</t>
  </si>
  <si>
    <t>701-060</t>
  </si>
  <si>
    <t>700-058</t>
  </si>
  <si>
    <t>PRIMAS DE SEGURO</t>
  </si>
  <si>
    <t>701-058</t>
  </si>
  <si>
    <t>700-007</t>
  </si>
  <si>
    <t>PUBLICIDAD</t>
  </si>
  <si>
    <t>703-007</t>
  </si>
  <si>
    <t>700-012</t>
  </si>
  <si>
    <t>CORTESIA CLIENTES</t>
  </si>
  <si>
    <t>GVU</t>
  </si>
  <si>
    <t>701-002</t>
  </si>
  <si>
    <t>COMISION POR VENTA SEMINUEVOS</t>
  </si>
  <si>
    <t>702-002</t>
  </si>
  <si>
    <t>COMISION POR VENTA F&amp;I</t>
  </si>
  <si>
    <t>701-007</t>
  </si>
  <si>
    <t>701-012</t>
  </si>
  <si>
    <t>701-005</t>
  </si>
  <si>
    <t>701-011</t>
  </si>
  <si>
    <t>ACONDICIONAMIENTO SEMINUEVOS</t>
  </si>
  <si>
    <t>701-013</t>
  </si>
  <si>
    <t>AVALUOS SEMINUEVOS</t>
  </si>
  <si>
    <t>701-014</t>
  </si>
  <si>
    <t>REACONDICIONAMIENTO USADOS</t>
  </si>
  <si>
    <t>701-008</t>
  </si>
  <si>
    <t>INTERESES PLAN PISO</t>
  </si>
  <si>
    <t>705-005</t>
  </si>
  <si>
    <t>GVS</t>
  </si>
  <si>
    <t>705-002</t>
  </si>
  <si>
    <t>704-002</t>
  </si>
  <si>
    <t>705-007</t>
  </si>
  <si>
    <t>704-007</t>
  </si>
  <si>
    <t>GON</t>
  </si>
  <si>
    <t>700-009</t>
  </si>
  <si>
    <t>MANTENIMIENTO DE INVENTARIO</t>
  </si>
  <si>
    <t>700-010</t>
  </si>
  <si>
    <t>CAPACITACION A PERSONAL</t>
  </si>
  <si>
    <t>701-010</t>
  </si>
  <si>
    <t>702-010</t>
  </si>
  <si>
    <t>700-020</t>
  </si>
  <si>
    <t>SUMINISTROS Y HERRTAS PEQUEÑA</t>
  </si>
  <si>
    <t>700-023</t>
  </si>
  <si>
    <t>UNIFORMES Y LAVANDERIA</t>
  </si>
  <si>
    <t>701-023</t>
  </si>
  <si>
    <t>704-023</t>
  </si>
  <si>
    <t>703-023</t>
  </si>
  <si>
    <t>700-040</t>
  </si>
  <si>
    <t>MTTO EQUIPO DE TRANSPORTE</t>
  </si>
  <si>
    <t>703-040</t>
  </si>
  <si>
    <t>700-016</t>
  </si>
  <si>
    <t>REPOSICION DE MOB Y EQUIPO</t>
  </si>
  <si>
    <t>700-055</t>
  </si>
  <si>
    <t>MTTO REP RTA MOB EQUIPO</t>
  </si>
  <si>
    <t>700-070</t>
  </si>
  <si>
    <t>SERVICIOS ADMVOS (SUELDOS)</t>
  </si>
  <si>
    <t>GOU</t>
  </si>
  <si>
    <t>702-070</t>
  </si>
  <si>
    <t>701-009</t>
  </si>
  <si>
    <t>701-055</t>
  </si>
  <si>
    <t>701-070</t>
  </si>
  <si>
    <t>701-020</t>
  </si>
  <si>
    <t>SIMINISTROS Y HERRTAS PEQUEÑA</t>
  </si>
  <si>
    <t>GOS</t>
  </si>
  <si>
    <t>705-014</t>
  </si>
  <si>
    <t>GARANTIAS Y RECLAMACIONES</t>
  </si>
  <si>
    <t>705-010</t>
  </si>
  <si>
    <t>705-002-020</t>
  </si>
  <si>
    <t>705-060</t>
  </si>
  <si>
    <t>705-009</t>
  </si>
  <si>
    <t>705-002-060</t>
  </si>
  <si>
    <t>704-060</t>
  </si>
  <si>
    <t>705-020</t>
  </si>
  <si>
    <t>705-023</t>
  </si>
  <si>
    <t>705-055</t>
  </si>
  <si>
    <t>MTTO REPARACION Y RENTA EQUIPO</t>
  </si>
  <si>
    <t>705-070</t>
  </si>
  <si>
    <t>GOR</t>
  </si>
  <si>
    <t>704-010</t>
  </si>
  <si>
    <t>704-020</t>
  </si>
  <si>
    <t>704-055</t>
  </si>
  <si>
    <t>704-070</t>
  </si>
  <si>
    <t>GIN</t>
  </si>
  <si>
    <t>700-056</t>
  </si>
  <si>
    <t>ARRENDAMIENTO EDIFICIO</t>
  </si>
  <si>
    <t>700-059</t>
  </si>
  <si>
    <t>ARRENDAMIENTO PMORAL</t>
  </si>
  <si>
    <t>703-056</t>
  </si>
  <si>
    <t>700-045</t>
  </si>
  <si>
    <t>COMUNIC-TEL-MENSAJ-INTERN-CORR</t>
  </si>
  <si>
    <t>702-045</t>
  </si>
  <si>
    <t>700-051</t>
  </si>
  <si>
    <t>AIRE, GAS, LUZ Y AGUA</t>
  </si>
  <si>
    <t>GIU</t>
  </si>
  <si>
    <t>701-056</t>
  </si>
  <si>
    <t>701-045</t>
  </si>
  <si>
    <t>701-051</t>
  </si>
  <si>
    <t>GIS</t>
  </si>
  <si>
    <t>705-056</t>
  </si>
  <si>
    <t>705-045</t>
  </si>
  <si>
    <t>705-011</t>
  </si>
  <si>
    <t>CUOTAS SINDICALES</t>
  </si>
  <si>
    <t>705-051</t>
  </si>
  <si>
    <t>705-002-051</t>
  </si>
  <si>
    <t>GIR</t>
  </si>
  <si>
    <t>704-056</t>
  </si>
  <si>
    <t>704-045</t>
  </si>
  <si>
    <t>ADM</t>
  </si>
  <si>
    <t>703-070</t>
  </si>
  <si>
    <t>703-006</t>
  </si>
  <si>
    <t xml:space="preserve">SERVICIOS ADMVOS </t>
  </si>
  <si>
    <t>703-005</t>
  </si>
  <si>
    <t>RELACION CON EMPLEADOS</t>
  </si>
  <si>
    <t>703-014</t>
  </si>
  <si>
    <t>SERVICIOS PERSONAL</t>
  </si>
  <si>
    <t>703-010</t>
  </si>
  <si>
    <t>CAPACITACION AL PERSONAL</t>
  </si>
  <si>
    <t>700-035</t>
  </si>
  <si>
    <t>PAPELERIA Y ARTICULOS OFNA</t>
  </si>
  <si>
    <t>701-035</t>
  </si>
  <si>
    <t>702-035</t>
  </si>
  <si>
    <t>703-035</t>
  </si>
  <si>
    <t>704-035</t>
  </si>
  <si>
    <t>705-035</t>
  </si>
  <si>
    <t>700-038</t>
  </si>
  <si>
    <t>SERVICIOS DE COMPUTO Y CONSUM</t>
  </si>
  <si>
    <t>701-038</t>
  </si>
  <si>
    <t>703-038</t>
  </si>
  <si>
    <t>704-038</t>
  </si>
  <si>
    <t>705-002-038</t>
  </si>
  <si>
    <t>705-038</t>
  </si>
  <si>
    <t>703-045</t>
  </si>
  <si>
    <t>703-067</t>
  </si>
  <si>
    <t>GATOS DE MENSAJERIA</t>
  </si>
  <si>
    <t>703-052</t>
  </si>
  <si>
    <t>GASTOS DE ASEO Y LIMPIEZA</t>
  </si>
  <si>
    <t>700-052</t>
  </si>
  <si>
    <t>701-052</t>
  </si>
  <si>
    <t>702-052</t>
  </si>
  <si>
    <t>704-052</t>
  </si>
  <si>
    <t>705-052</t>
  </si>
  <si>
    <t>703-061</t>
  </si>
  <si>
    <t>VIGILANICIA</t>
  </si>
  <si>
    <t>700-061</t>
  </si>
  <si>
    <t>VIGILANCIA</t>
  </si>
  <si>
    <t>701-061</t>
  </si>
  <si>
    <t>702-061</t>
  </si>
  <si>
    <t>704-061</t>
  </si>
  <si>
    <t>705-061</t>
  </si>
  <si>
    <t>700-043</t>
  </si>
  <si>
    <t>CUOTAS Y SUSCRIPCIONES</t>
  </si>
  <si>
    <t>701-043</t>
  </si>
  <si>
    <t>703-043</t>
  </si>
  <si>
    <t>704-043</t>
  </si>
  <si>
    <t>705-043</t>
  </si>
  <si>
    <t>705-002-043</t>
  </si>
  <si>
    <t>700-046</t>
  </si>
  <si>
    <t>GESTORIAS Y SERV PROFESIONALES</t>
  </si>
  <si>
    <t>700-048</t>
  </si>
  <si>
    <t>SERVICIOS LEGALES Y AUDITORIA</t>
  </si>
  <si>
    <t>700-062</t>
  </si>
  <si>
    <t>HONORARIOS</t>
  </si>
  <si>
    <t>702-046</t>
  </si>
  <si>
    <t>703-046</t>
  </si>
  <si>
    <t>SERVICIOS PROFESIONALES</t>
  </si>
  <si>
    <t>703-048</t>
  </si>
  <si>
    <t>703-062</t>
  </si>
  <si>
    <t>704-062</t>
  </si>
  <si>
    <t>705-048</t>
  </si>
  <si>
    <t>705-062</t>
  </si>
  <si>
    <t>703-060</t>
  </si>
  <si>
    <t>703-059</t>
  </si>
  <si>
    <t>700-027</t>
  </si>
  <si>
    <t>701-027</t>
  </si>
  <si>
    <t>703-027</t>
  </si>
  <si>
    <t>703-055</t>
  </si>
  <si>
    <t>MTTO, REP, RENTA MOB Y EQUIPO</t>
  </si>
  <si>
    <t>703-053</t>
  </si>
  <si>
    <t>RENTA DE MAQUINARIA</t>
  </si>
  <si>
    <t>704-027</t>
  </si>
  <si>
    <t>705-027</t>
  </si>
  <si>
    <t>700-025</t>
  </si>
  <si>
    <t>DEPRECIACION DE ACTIVOS</t>
  </si>
  <si>
    <t>703-024</t>
  </si>
  <si>
    <t>AMORTIZACION DEP GTIA</t>
  </si>
  <si>
    <t>703-025</t>
  </si>
  <si>
    <t>703-026</t>
  </si>
  <si>
    <t>AMORTIZACION DE MEJORAS</t>
  </si>
  <si>
    <t>704-025</t>
  </si>
  <si>
    <t>705-025</t>
  </si>
  <si>
    <t>700-049</t>
  </si>
  <si>
    <t>GASTOS DE VIAJE Y REPRESENTACI</t>
  </si>
  <si>
    <t>701-049</t>
  </si>
  <si>
    <t>700-050</t>
  </si>
  <si>
    <t>GASTOS DE TRANSPORTACION</t>
  </si>
  <si>
    <t>701-050</t>
  </si>
  <si>
    <t>703-049</t>
  </si>
  <si>
    <t>703-050</t>
  </si>
  <si>
    <t>704-049</t>
  </si>
  <si>
    <t>705-049</t>
  </si>
  <si>
    <t>705-050</t>
  </si>
  <si>
    <t>703-058</t>
  </si>
  <si>
    <t>705-058</t>
  </si>
  <si>
    <t>700-064</t>
  </si>
  <si>
    <t>PARTIDAS NO DEDUCIBLES</t>
  </si>
  <si>
    <t>700-090</t>
  </si>
  <si>
    <t>VARIOS</t>
  </si>
  <si>
    <t>700-095</t>
  </si>
  <si>
    <t>GTS NO GRAVABLES</t>
  </si>
  <si>
    <t>701-015</t>
  </si>
  <si>
    <t>701-064</t>
  </si>
  <si>
    <t>701-090</t>
  </si>
  <si>
    <t>702-090</t>
  </si>
  <si>
    <t>703-015</t>
  </si>
  <si>
    <t>703-020</t>
  </si>
  <si>
    <t>SUMINISTROS Y HERRTAS PEQUEÑAS</t>
  </si>
  <si>
    <t>703-051</t>
  </si>
  <si>
    <t>700-057</t>
  </si>
  <si>
    <t>MTTO A PROPIEDAD ARRENDADA</t>
  </si>
  <si>
    <t>701-057</t>
  </si>
  <si>
    <t>704-057</t>
  </si>
  <si>
    <t>705-057</t>
  </si>
  <si>
    <t>703-057</t>
  </si>
  <si>
    <t>703-063</t>
  </si>
  <si>
    <t>RECARGOS</t>
  </si>
  <si>
    <t>703-064</t>
  </si>
  <si>
    <t>700-065</t>
  </si>
  <si>
    <t>TRASLADO DE VALORES</t>
  </si>
  <si>
    <t>700-066</t>
  </si>
  <si>
    <t>DONATIVOS</t>
  </si>
  <si>
    <t>703-065</t>
  </si>
  <si>
    <t>703-066</t>
  </si>
  <si>
    <t>705-001-066</t>
  </si>
  <si>
    <t>704-066</t>
  </si>
  <si>
    <t>703-068</t>
  </si>
  <si>
    <t>MULTAS</t>
  </si>
  <si>
    <t>703-090</t>
  </si>
  <si>
    <t>703-095</t>
  </si>
  <si>
    <t>704-015</t>
  </si>
  <si>
    <t>704-064</t>
  </si>
  <si>
    <t>704-090</t>
  </si>
  <si>
    <t>705-015</t>
  </si>
  <si>
    <t>705-064</t>
  </si>
  <si>
    <t>705-090</t>
  </si>
  <si>
    <t>705-095</t>
  </si>
  <si>
    <t>PARTIDAS NO GRAVABLES</t>
  </si>
  <si>
    <t>700-047</t>
  </si>
  <si>
    <t>IMPUESTOS Y DERECHOS VARIOS</t>
  </si>
  <si>
    <t>701-047</t>
  </si>
  <si>
    <t>703-047</t>
  </si>
  <si>
    <t>704-047</t>
  </si>
  <si>
    <t>705-047</t>
  </si>
  <si>
    <t>700-</t>
  </si>
  <si>
    <t>701-</t>
  </si>
  <si>
    <t>702-</t>
  </si>
  <si>
    <t>703-</t>
  </si>
  <si>
    <t>704-</t>
  </si>
  <si>
    <t>705-</t>
  </si>
  <si>
    <t>706-</t>
  </si>
  <si>
    <t>ARRENDAMIENTO PERSONAS MORALES</t>
  </si>
  <si>
    <t>ARRENDAMIENTO DE TRANSPORTE</t>
  </si>
  <si>
    <t>ARRENDAMIENTO PFISICA</t>
  </si>
  <si>
    <t>02/2017</t>
  </si>
  <si>
    <t>03/2017</t>
  </si>
  <si>
    <t>ARRENDAMIENTO P F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</si>
  <si>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</si>
  <si>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</si>
  <si>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</si>
  <si>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</si>
  <si>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</si>
  <si>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</si>
  <si>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</si>
  <si>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</si>
  <si>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</si>
  <si>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01/2018</t>
  </si>
  <si>
    <t>RALLY CHAMPION,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</si>
</sst>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_-* #,##0.00_-;\-* #,##0.0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62"/>
      <name val="Arial"/>
      <family val="2"/>
    </font>
    <font>
      <sz val="10"/>
      <name val="Mang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48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5" fillId="0" borderId="0" applyFill="0" applyBorder="0" applyAlignment="0" applyProtection="0"/>
  </cellStyleXfs>
  <cellXfs count="120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Font="1" applyFill="1"/>
    <xf numFmtId="164" fontId="6" fillId="0" borderId="0" xfId="3" applyNumberFormat="1" applyFont="1" applyFill="1" applyBorder="1" applyAlignment="1" applyProtection="1"/>
    <xf numFmtId="49" fontId="3" fillId="0" borderId="0" xfId="2" applyNumberFormat="1" applyFont="1" applyBorder="1" applyAlignment="1">
      <alignment horizontal="center"/>
    </xf>
    <xf numFmtId="165" fontId="3" fillId="0" borderId="0" xfId="3" applyNumberFormat="1" applyFont="1" applyFill="1" applyBorder="1" applyAlignment="1" applyProtection="1"/>
    <xf numFmtId="0" fontId="3" fillId="0" borderId="0" xfId="2" applyFont="1" applyBorder="1"/>
    <xf numFmtId="0" fontId="7" fillId="0" borderId="0" xfId="2" applyFont="1"/>
    <xf numFmtId="165" fontId="7" fillId="0" borderId="0" xfId="3" applyNumberFormat="1" applyFont="1" applyFill="1" applyBorder="1" applyAlignment="1" applyProtection="1"/>
    <xf numFmtId="0" fontId="4" fillId="0" borderId="1" xfId="2" applyFont="1" applyFill="1" applyBorder="1" applyAlignment="1">
      <alignment horizontal="center"/>
    </xf>
    <xf numFmtId="0" fontId="7" fillId="2" borderId="2" xfId="2" applyFont="1" applyFill="1" applyBorder="1"/>
    <xf numFmtId="0" fontId="7" fillId="0" borderId="2" xfId="2" applyFont="1" applyFill="1" applyBorder="1"/>
    <xf numFmtId="164" fontId="7" fillId="0" borderId="2" xfId="3" applyNumberFormat="1" applyFont="1" applyFill="1" applyBorder="1" applyAlignment="1" applyProtection="1"/>
    <xf numFmtId="165" fontId="7" fillId="0" borderId="1" xfId="3" applyNumberFormat="1" applyFont="1" applyFill="1" applyBorder="1" applyAlignment="1" applyProtection="1"/>
    <xf numFmtId="165" fontId="7" fillId="0" borderId="3" xfId="3" applyNumberFormat="1" applyFont="1" applyFill="1" applyBorder="1" applyAlignment="1" applyProtection="1"/>
    <xf numFmtId="0" fontId="4" fillId="0" borderId="4" xfId="2" applyFont="1" applyFill="1" applyBorder="1" applyAlignment="1">
      <alignment horizontal="center"/>
    </xf>
    <xf numFmtId="0" fontId="7" fillId="2" borderId="5" xfId="2" applyFont="1" applyFill="1" applyBorder="1"/>
    <xf numFmtId="0" fontId="7" fillId="0" borderId="5" xfId="2" applyFont="1" applyFill="1" applyBorder="1"/>
    <xf numFmtId="165" fontId="7" fillId="0" borderId="5" xfId="3" applyNumberFormat="1" applyFont="1" applyFill="1" applyBorder="1" applyAlignment="1" applyProtection="1"/>
    <xf numFmtId="165" fontId="7" fillId="0" borderId="4" xfId="3" applyNumberFormat="1" applyFont="1" applyFill="1" applyBorder="1" applyAlignment="1" applyProtection="1"/>
    <xf numFmtId="4" fontId="8" fillId="0" borderId="0" xfId="0" applyNumberFormat="1" applyFont="1"/>
    <xf numFmtId="0" fontId="4" fillId="0" borderId="6" xfId="2" applyFont="1" applyFill="1" applyBorder="1" applyAlignment="1">
      <alignment horizontal="center"/>
    </xf>
    <xf numFmtId="0" fontId="7" fillId="2" borderId="0" xfId="2" applyFont="1" applyFill="1" applyBorder="1"/>
    <xf numFmtId="0" fontId="7" fillId="0" borderId="0" xfId="2" applyFont="1" applyFill="1" applyBorder="1"/>
    <xf numFmtId="165" fontId="7" fillId="0" borderId="6" xfId="3" applyNumberFormat="1" applyFont="1" applyFill="1" applyBorder="1" applyAlignment="1" applyProtection="1"/>
    <xf numFmtId="4" fontId="7" fillId="0" borderId="0" xfId="3" applyNumberFormat="1" applyFont="1" applyFill="1" applyBorder="1" applyAlignment="1" applyProtection="1"/>
    <xf numFmtId="0" fontId="7" fillId="3" borderId="5" xfId="2" applyFont="1" applyFill="1" applyBorder="1"/>
    <xf numFmtId="165" fontId="3" fillId="0" borderId="4" xfId="3" applyNumberFormat="1" applyFont="1" applyFill="1" applyBorder="1" applyAlignment="1" applyProtection="1"/>
    <xf numFmtId="4" fontId="7" fillId="0" borderId="7" xfId="3" applyNumberFormat="1" applyFont="1" applyFill="1" applyBorder="1" applyAlignment="1" applyProtection="1"/>
    <xf numFmtId="165" fontId="7" fillId="0" borderId="2" xfId="3" applyNumberFormat="1" applyFont="1" applyFill="1" applyBorder="1" applyAlignment="1" applyProtection="1"/>
    <xf numFmtId="165" fontId="7" fillId="0" borderId="8" xfId="3" applyNumberFormat="1" applyFont="1" applyFill="1" applyBorder="1" applyAlignment="1" applyProtection="1"/>
    <xf numFmtId="0" fontId="4" fillId="0" borderId="9" xfId="2" applyFont="1" applyFill="1" applyBorder="1" applyAlignment="1">
      <alignment horizontal="center"/>
    </xf>
    <xf numFmtId="0" fontId="7" fillId="4" borderId="10" xfId="2" applyFont="1" applyFill="1" applyBorder="1"/>
    <xf numFmtId="0" fontId="7" fillId="0" borderId="10" xfId="2" applyFont="1" applyFill="1" applyBorder="1"/>
    <xf numFmtId="165" fontId="7" fillId="0" borderId="10" xfId="3" applyNumberFormat="1" applyFont="1" applyFill="1" applyBorder="1" applyAlignment="1" applyProtection="1"/>
    <xf numFmtId="165" fontId="7" fillId="0" borderId="11" xfId="3" applyNumberFormat="1" applyFont="1" applyFill="1" applyBorder="1" applyAlignment="1" applyProtection="1"/>
    <xf numFmtId="165" fontId="7" fillId="0" borderId="12" xfId="3" applyNumberFormat="1" applyFont="1" applyFill="1" applyBorder="1" applyAlignment="1" applyProtection="1"/>
    <xf numFmtId="0" fontId="7" fillId="3" borderId="2" xfId="2" applyFont="1" applyFill="1" applyBorder="1"/>
    <xf numFmtId="165" fontId="7" fillId="0" borderId="13" xfId="3" applyNumberFormat="1" applyFont="1" applyFill="1" applyBorder="1" applyAlignment="1" applyProtection="1"/>
    <xf numFmtId="0" fontId="7" fillId="5" borderId="5" xfId="2" applyFont="1" applyFill="1" applyBorder="1"/>
    <xf numFmtId="0" fontId="7" fillId="3" borderId="0" xfId="2" applyFont="1" applyFill="1" applyBorder="1"/>
    <xf numFmtId="165" fontId="7" fillId="0" borderId="14" xfId="3" applyNumberFormat="1" applyFont="1" applyFill="1" applyBorder="1" applyAlignment="1" applyProtection="1"/>
    <xf numFmtId="0" fontId="4" fillId="0" borderId="15" xfId="2" applyFont="1" applyFill="1" applyBorder="1" applyAlignment="1">
      <alignment horizontal="center"/>
    </xf>
    <xf numFmtId="0" fontId="7" fillId="3" borderId="15" xfId="2" applyFont="1" applyFill="1" applyBorder="1"/>
    <xf numFmtId="0" fontId="7" fillId="0" borderId="15" xfId="2" applyFont="1" applyFill="1" applyBorder="1"/>
    <xf numFmtId="165" fontId="7" fillId="0" borderId="15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/>
    <xf numFmtId="0" fontId="7" fillId="6" borderId="0" xfId="2" applyFont="1" applyFill="1"/>
    <xf numFmtId="0" fontId="7" fillId="0" borderId="0" xfId="2" applyFont="1" applyFill="1"/>
    <xf numFmtId="0" fontId="7" fillId="6" borderId="2" xfId="2" applyFont="1" applyFill="1" applyBorder="1"/>
    <xf numFmtId="4" fontId="7" fillId="0" borderId="2" xfId="3" applyNumberFormat="1" applyFont="1" applyFill="1" applyBorder="1" applyAlignment="1" applyProtection="1"/>
    <xf numFmtId="0" fontId="7" fillId="7" borderId="5" xfId="2" applyFont="1" applyFill="1" applyBorder="1"/>
    <xf numFmtId="165" fontId="3" fillId="0" borderId="3" xfId="3" applyNumberFormat="1" applyFont="1" applyFill="1" applyBorder="1" applyAlignment="1" applyProtection="1"/>
    <xf numFmtId="0" fontId="7" fillId="2" borderId="0" xfId="2" applyFont="1" applyFill="1"/>
    <xf numFmtId="0" fontId="4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7" fillId="4" borderId="15" xfId="2" applyFont="1" applyFill="1" applyBorder="1"/>
    <xf numFmtId="165" fontId="7" fillId="0" borderId="17" xfId="3" applyNumberFormat="1" applyFont="1" applyFill="1" applyBorder="1" applyAlignment="1" applyProtection="1"/>
    <xf numFmtId="165" fontId="7" fillId="0" borderId="18" xfId="3" applyNumberFormat="1" applyFont="1" applyFill="1" applyBorder="1" applyAlignment="1" applyProtection="1"/>
    <xf numFmtId="0" fontId="7" fillId="4" borderId="0" xfId="2" applyFont="1" applyFill="1" applyBorder="1"/>
    <xf numFmtId="0" fontId="4" fillId="0" borderId="19" xfId="2" applyFont="1" applyFill="1" applyBorder="1" applyAlignment="1">
      <alignment horizontal="center"/>
    </xf>
    <xf numFmtId="0" fontId="7" fillId="3" borderId="0" xfId="2" applyFont="1" applyFill="1"/>
    <xf numFmtId="0" fontId="4" fillId="0" borderId="3" xfId="2" applyFont="1" applyFill="1" applyBorder="1" applyAlignment="1">
      <alignment horizontal="center"/>
    </xf>
    <xf numFmtId="0" fontId="7" fillId="0" borderId="0" xfId="2" applyFont="1" applyBorder="1"/>
    <xf numFmtId="0" fontId="7" fillId="8" borderId="2" xfId="2" applyFont="1" applyFill="1" applyBorder="1"/>
    <xf numFmtId="0" fontId="7" fillId="0" borderId="3" xfId="2" applyFont="1" applyBorder="1"/>
    <xf numFmtId="165" fontId="3" fillId="0" borderId="0" xfId="2" applyNumberFormat="1" applyFont="1"/>
    <xf numFmtId="0" fontId="7" fillId="8" borderId="0" xfId="2" applyFont="1" applyFill="1"/>
    <xf numFmtId="0" fontId="7" fillId="7" borderId="0" xfId="2" applyFont="1" applyFill="1" applyBorder="1"/>
    <xf numFmtId="0" fontId="4" fillId="0" borderId="20" xfId="2" applyFont="1" applyFill="1" applyBorder="1" applyAlignment="1">
      <alignment horizontal="center"/>
    </xf>
    <xf numFmtId="0" fontId="7" fillId="6" borderId="5" xfId="2" applyFont="1" applyFill="1" applyBorder="1"/>
    <xf numFmtId="0" fontId="7" fillId="7" borderId="2" xfId="2" applyFont="1" applyFill="1" applyBorder="1"/>
    <xf numFmtId="165" fontId="7" fillId="0" borderId="21" xfId="3" applyNumberFormat="1" applyFont="1" applyFill="1" applyBorder="1" applyAlignment="1" applyProtection="1"/>
    <xf numFmtId="0" fontId="7" fillId="7" borderId="0" xfId="2" applyFont="1" applyFill="1"/>
    <xf numFmtId="0" fontId="7" fillId="4" borderId="5" xfId="2" applyFont="1" applyFill="1" applyBorder="1"/>
    <xf numFmtId="0" fontId="7" fillId="2" borderId="15" xfId="2" applyFont="1" applyFill="1" applyBorder="1"/>
    <xf numFmtId="4" fontId="7" fillId="0" borderId="15" xfId="3" applyNumberFormat="1" applyFont="1" applyFill="1" applyBorder="1" applyAlignment="1" applyProtection="1"/>
    <xf numFmtId="0" fontId="4" fillId="0" borderId="22" xfId="2" applyFont="1" applyFill="1" applyBorder="1" applyAlignment="1">
      <alignment horizontal="center"/>
    </xf>
    <xf numFmtId="0" fontId="7" fillId="3" borderId="10" xfId="2" applyFont="1" applyFill="1" applyBorder="1"/>
    <xf numFmtId="0" fontId="7" fillId="8" borderId="5" xfId="2" applyFont="1" applyFill="1" applyBorder="1"/>
    <xf numFmtId="0" fontId="7" fillId="4" borderId="2" xfId="2" applyFont="1" applyFill="1" applyBorder="1"/>
    <xf numFmtId="165" fontId="3" fillId="0" borderId="13" xfId="3" applyNumberFormat="1" applyFont="1" applyFill="1" applyBorder="1" applyAlignment="1" applyProtection="1"/>
    <xf numFmtId="165" fontId="3" fillId="0" borderId="13" xfId="3" applyNumberFormat="1" applyFont="1" applyFill="1" applyBorder="1" applyAlignment="1" applyProtection="1">
      <alignment horizontal="center"/>
    </xf>
    <xf numFmtId="165" fontId="7" fillId="0" borderId="14" xfId="3" applyNumberFormat="1" applyFont="1" applyFill="1" applyBorder="1" applyAlignment="1" applyProtection="1">
      <alignment horizontal="center"/>
    </xf>
    <xf numFmtId="0" fontId="7" fillId="5" borderId="0" xfId="2" applyFont="1" applyFill="1" applyBorder="1"/>
    <xf numFmtId="165" fontId="3" fillId="0" borderId="6" xfId="3" applyNumberFormat="1" applyFont="1" applyFill="1" applyBorder="1" applyAlignment="1" applyProtection="1"/>
    <xf numFmtId="0" fontId="7" fillId="8" borderId="0" xfId="2" applyFont="1" applyFill="1" applyBorder="1"/>
    <xf numFmtId="165" fontId="3" fillId="0" borderId="5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/>
    <xf numFmtId="0" fontId="7" fillId="5" borderId="0" xfId="2" applyFont="1" applyFill="1"/>
    <xf numFmtId="0" fontId="7" fillId="6" borderId="0" xfId="2" applyFont="1" applyFill="1" applyBorder="1"/>
    <xf numFmtId="43" fontId="7" fillId="0" borderId="0" xfId="1" applyFont="1" applyFill="1" applyBorder="1" applyAlignment="1" applyProtection="1"/>
    <xf numFmtId="0" fontId="7" fillId="4" borderId="0" xfId="2" applyFont="1" applyFill="1"/>
    <xf numFmtId="4" fontId="7" fillId="0" borderId="0" xfId="0" applyNumberFormat="1" applyFont="1"/>
    <xf numFmtId="165" fontId="7" fillId="0" borderId="9" xfId="3" applyNumberFormat="1" applyFont="1" applyFill="1" applyBorder="1" applyAlignment="1" applyProtection="1"/>
    <xf numFmtId="0" fontId="4" fillId="0" borderId="23" xfId="2" applyFont="1" applyFill="1" applyBorder="1" applyAlignment="1">
      <alignment horizontal="center"/>
    </xf>
    <xf numFmtId="0" fontId="7" fillId="4" borderId="21" xfId="2" applyFont="1" applyFill="1" applyBorder="1"/>
    <xf numFmtId="165" fontId="7" fillId="0" borderId="24" xfId="3" applyNumberFormat="1" applyFont="1" applyFill="1" applyBorder="1" applyAlignment="1" applyProtection="1"/>
    <xf numFmtId="43" fontId="7" fillId="0" borderId="2" xfId="1" applyFont="1" applyFill="1" applyBorder="1" applyAlignment="1" applyProtection="1"/>
    <xf numFmtId="165" fontId="3" fillId="0" borderId="1" xfId="3" applyNumberFormat="1" applyFont="1" applyFill="1" applyBorder="1" applyAlignment="1" applyProtection="1"/>
    <xf numFmtId="165" fontId="7" fillId="0" borderId="7" xfId="3" applyNumberFormat="1" applyFont="1" applyFill="1" applyBorder="1" applyAlignment="1" applyProtection="1"/>
    <xf numFmtId="165" fontId="7" fillId="0" borderId="25" xfId="3" applyNumberFormat="1" applyFont="1" applyFill="1" applyBorder="1" applyAlignment="1" applyProtection="1"/>
    <xf numFmtId="4" fontId="7" fillId="0" borderId="25" xfId="3" applyNumberFormat="1" applyFont="1" applyFill="1" applyBorder="1" applyAlignment="1" applyProtection="1"/>
    <xf numFmtId="43" fontId="7" fillId="0" borderId="0" xfId="1" applyFont="1"/>
    <xf numFmtId="43" fontId="7" fillId="0" borderId="7" xfId="1" applyFont="1" applyFill="1" applyBorder="1" applyAlignment="1" applyProtection="1"/>
    <xf numFmtId="164" fontId="7" fillId="0" borderId="0" xfId="3" applyNumberFormat="1" applyFont="1" applyFill="1" applyBorder="1" applyAlignment="1" applyProtection="1"/>
    <xf numFmtId="165" fontId="7" fillId="0" borderId="0" xfId="2" applyNumberFormat="1" applyFont="1"/>
    <xf numFmtId="165" fontId="7" fillId="0" borderId="0" xfId="2" applyNumberFormat="1" applyFont="1" applyFill="1"/>
    <xf numFmtId="43" fontId="7" fillId="0" borderId="0" xfId="2" applyNumberFormat="1" applyFont="1"/>
    <xf numFmtId="164" fontId="7" fillId="0" borderId="0" xfId="2" applyNumberFormat="1" applyFont="1"/>
    <xf numFmtId="165" fontId="7" fillId="0" borderId="0" xfId="2" applyNumberFormat="1" applyFont="1" applyBorder="1"/>
    <xf numFmtId="0" fontId="7" fillId="0" borderId="0" xfId="2" applyFont="1" applyFill="1" applyAlignment="1">
      <alignment horizontal="right"/>
    </xf>
    <xf numFmtId="164" fontId="3" fillId="0" borderId="0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4" fontId="7" fillId="0" borderId="0" xfId="2" applyNumberFormat="1" applyFont="1"/>
    <xf numFmtId="165" fontId="10" fillId="0" borderId="25" xfId="3" applyNumberFormat="1" applyFont="1" applyFill="1" applyBorder="1" applyAlignment="1" applyProtection="1"/>
    <xf numFmtId="43" fontId="7" fillId="0" borderId="25" xfId="1" applyFont="1" applyFill="1" applyBorder="1" applyAlignment="1" applyProtection="1"/>
    <xf numFmtId="0" fontId="4" fillId="0" borderId="0" xfId="2" applyFont="1" applyAlignment="1">
      <alignment horizontal="right"/>
    </xf>
  </cellXfs>
  <cellStyles count="4">
    <cellStyle name="Millares" xfId="1" builtinId="3"/>
    <cellStyle name="Millares_DFS GASTOS PACHUCA 2012" xfId="3"/>
    <cellStyle name="Normal" xfId="0" builtinId="0"/>
    <cellStyle name="Normal_DFS GASTOS PACHUCA 20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workbookViewId="0">
      <selection activeCell="E22" sqref="E22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140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119"/>
      <c r="C1" s="2"/>
      <c r="E1" s="2" t="s">
        <v>294</v>
      </c>
      <c r="F1" s="5"/>
      <c r="G1" s="6" t="s">
        <v>293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/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/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/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0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/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/>
      <c r="G15" s="20">
        <f>SUM(F14:F15)</f>
        <v>0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/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/>
      <c r="G18" s="38">
        <f>SUM(F16:F18)</f>
        <v>0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0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/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0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/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/>
      <c r="G48" s="38">
        <f>SUM(F47:F48)</f>
        <v>0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/>
      <c r="G51" s="40">
        <f>SUM(F51)</f>
        <v>0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/>
      <c r="G54" s="43">
        <f>+F54</f>
        <v>0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/>
      <c r="G63" s="43">
        <f>+F63</f>
        <v>0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/>
      <c r="G67" s="43">
        <f>+F67</f>
        <v>0</v>
      </c>
      <c r="H67" s="54">
        <f>SUM(G34:G67)</f>
        <v>0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/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105</v>
      </c>
      <c r="F70" s="10"/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/>
      <c r="G71" s="38">
        <f>SUM(F69:F71)</f>
        <v>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/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0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/>
      <c r="G74" s="48">
        <f t="shared" ref="G74:G80" si="0">+F74</f>
        <v>0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/>
      <c r="G78" s="43">
        <f t="shared" si="0"/>
        <v>0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/>
      <c r="G79" s="43">
        <f t="shared" si="0"/>
        <v>0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/>
      <c r="G84" s="43">
        <f>+F84</f>
        <v>0</v>
      </c>
      <c r="H84" s="54">
        <f>SUM(G69:G84)</f>
        <v>0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/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0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/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/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/>
      <c r="G96" s="21">
        <f>SUM(F91:F96)</f>
        <v>0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/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0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/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/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/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/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/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0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/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/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/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/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0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G134" s="26">
        <f>+F134</f>
        <v>0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/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/>
      <c r="G141" s="21">
        <f>SUM(F135:F141)</f>
        <v>0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/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/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/>
      <c r="G147" s="21">
        <f>SUM(F142:F147)</f>
        <v>0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0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/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/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/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/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/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/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/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/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0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/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/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0</v>
      </c>
      <c r="H196" s="54">
        <f>SUM(G86:G196)</f>
        <v>0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0</v>
      </c>
      <c r="G198" s="7">
        <f>SUBTOTAL(9,G4:G197)</f>
        <v>0</v>
      </c>
      <c r="H198" s="7">
        <f>SUM(H3:H197)</f>
        <v>0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107">
        <f>3154326.15-2169.2</f>
        <v>3152156.9499999997</v>
      </c>
      <c r="G200" s="10"/>
      <c r="J200" s="105"/>
      <c r="M200" s="105"/>
    </row>
    <row r="201" spans="1:13" x14ac:dyDescent="0.2">
      <c r="E201" s="113" t="s">
        <v>272</v>
      </c>
      <c r="F201" s="107">
        <v>192390.98</v>
      </c>
      <c r="G201" s="10"/>
      <c r="J201" s="105"/>
      <c r="M201" s="105"/>
    </row>
    <row r="202" spans="1:13" x14ac:dyDescent="0.2">
      <c r="E202" s="113" t="s">
        <v>273</v>
      </c>
      <c r="F202" s="10">
        <v>119031.87</v>
      </c>
      <c r="G202" s="10"/>
      <c r="J202" s="105"/>
      <c r="M202" s="105"/>
    </row>
    <row r="203" spans="1:13" x14ac:dyDescent="0.2">
      <c r="E203" s="113" t="s">
        <v>274</v>
      </c>
      <c r="F203" s="10">
        <f>755126.54-22290.37</f>
        <v>732836.17</v>
      </c>
      <c r="G203" s="10"/>
      <c r="J203" s="105"/>
      <c r="M203" s="105"/>
    </row>
    <row r="204" spans="1:13" x14ac:dyDescent="0.2">
      <c r="E204" s="113" t="s">
        <v>275</v>
      </c>
      <c r="F204" s="107">
        <v>70117.789999999994</v>
      </c>
      <c r="G204" s="10"/>
      <c r="I204" s="108"/>
      <c r="J204" s="105"/>
      <c r="M204" s="105"/>
    </row>
    <row r="205" spans="1:13" x14ac:dyDescent="0.2">
      <c r="E205" s="113" t="s">
        <v>276</v>
      </c>
      <c r="F205" s="107">
        <v>418570.04</v>
      </c>
      <c r="G205" s="10"/>
      <c r="J205" s="105"/>
      <c r="M205" s="105"/>
    </row>
    <row r="206" spans="1:13" x14ac:dyDescent="0.2">
      <c r="E206" s="113" t="s">
        <v>277</v>
      </c>
      <c r="F206" s="107">
        <f>773999.46-5786</f>
        <v>768213.46</v>
      </c>
      <c r="G206" s="10"/>
      <c r="J206" s="105"/>
      <c r="M206" s="105"/>
    </row>
    <row r="207" spans="1:13" x14ac:dyDescent="0.2">
      <c r="F207" s="114">
        <f>SUM(F200:F206)</f>
        <v>5453317.2599999998</v>
      </c>
      <c r="I207" s="108"/>
      <c r="J207" s="105"/>
      <c r="M207" s="105"/>
    </row>
    <row r="208" spans="1:13" x14ac:dyDescent="0.2">
      <c r="F208" s="115">
        <f>+H198</f>
        <v>0</v>
      </c>
      <c r="J208" s="105"/>
    </row>
    <row r="209" spans="5:10" x14ac:dyDescent="0.2">
      <c r="F209" s="107">
        <f>+F207-F208</f>
        <v>5453317.2599999998</v>
      </c>
      <c r="J209" s="105"/>
    </row>
    <row r="210" spans="5:10" x14ac:dyDescent="0.2">
      <c r="J210" s="105"/>
    </row>
    <row r="211" spans="5:10" x14ac:dyDescent="0.2"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90" workbookViewId="0">
      <selection activeCell="A90"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290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40389.53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v>158001.89000000001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f>174460.5-39797.35</f>
        <v>134663.15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333054.57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107999.67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13657.74</v>
      </c>
      <c r="G15" s="20">
        <f>SUM(F14:F15)</f>
        <v>121657.41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262623.31-8318</f>
        <v>254305.31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43084.63</v>
      </c>
      <c r="G18" s="38">
        <f>SUM(F16:F18)</f>
        <v>297389.94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>
        <v>8456.89</v>
      </c>
      <c r="G22" s="38">
        <f>SUM(F21:F22)</f>
        <v>8456.89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760558.80999999994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/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0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F45" s="10">
        <v>6502.5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6502.5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957783.51+83934.27+365.75+3098.77</f>
        <v>1045182.3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104236.55</v>
      </c>
      <c r="G48" s="38">
        <f>SUM(F47:F48)</f>
        <v>1149418.8500000001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206371.41+11933.68</f>
        <v>218305.09</v>
      </c>
      <c r="G51" s="40">
        <f>SUM(F51)</f>
        <v>218305.09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11047.1</v>
      </c>
      <c r="G54" s="43">
        <f>+F54</f>
        <v>11047.1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>
        <v>386.21</v>
      </c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386.21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44730</v>
      </c>
      <c r="G61" s="43">
        <f>+F61</f>
        <v>44730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227668.73+18220.97+4400+1763.22</f>
        <v>252052.92</v>
      </c>
      <c r="G63" s="43">
        <f>+F63</f>
        <v>252052.92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6821.43</v>
      </c>
      <c r="G64" s="40">
        <f>+F64</f>
        <v>6821.43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56499.65+4865.69</f>
        <v>61365.340000000004</v>
      </c>
      <c r="G67" s="43">
        <f>+F67</f>
        <v>61365.340000000004</v>
      </c>
      <c r="H67" s="54">
        <f>SUM(G34:G67)</f>
        <v>1750629.4400000002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f>187807.89-53879.31</f>
        <v>133928.58000000002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170000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f>75123.14-21551.72</f>
        <v>53571.42</v>
      </c>
      <c r="G71" s="38">
        <f>SUM(F69:F71)</f>
        <v>357500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37072.959999999999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37072.959999999999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31054.61</v>
      </c>
      <c r="G74" s="48">
        <f t="shared" ref="G74:G80" si="0">+F74</f>
        <v>31054.61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f>112684.73-32327.59</f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2687.19</v>
      </c>
      <c r="G79" s="43">
        <f t="shared" si="0"/>
        <v>2687.19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8061.56</v>
      </c>
      <c r="G84" s="43">
        <f>+F84</f>
        <v>8061.56</v>
      </c>
      <c r="H84" s="54">
        <f>SUM(G69:G84)</f>
        <v>516733.46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399931.82+37545.12+3300+15741.53+484893.63</f>
        <v>941412.10000000009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941412.10000000009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>
        <v>8936.76</v>
      </c>
      <c r="G90" s="38">
        <f>SUM(F88:F90)</f>
        <v>8936.76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170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13925.93-76.53</f>
        <v>13849.4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14456.03</v>
      </c>
      <c r="G96" s="21">
        <f>SUM(F91:F96)</f>
        <v>28475.43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2101.25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2101.25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3706.04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4447.22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741.22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1482.4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4447.22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14824.099999999999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10000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10000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43755.53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v>3590.76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f>38044.61+16666.67</f>
        <v>54711.28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v>10772.31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51000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v>3590.76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167420.64000000001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G134" s="26">
        <f>+F134</f>
        <v>0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f>36336.5-1961.21</f>
        <v>34375.29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f>20294.55-1961.21</f>
        <v>18333.34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f>33764.93-1681.04</f>
        <v>32083.89</v>
      </c>
      <c r="G141" s="21">
        <f>SUM(F135:F141)</f>
        <v>84792.52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79199.97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14456</v>
      </c>
      <c r="G147" s="21">
        <f>SUM(F142:F147)</f>
        <v>107174.39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F150" s="10">
        <v>12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F151" s="10">
        <v>85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10390.530000000001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10487.53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69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f>41911.53+7544.6</f>
        <v>49456.13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>
        <v>1294</v>
      </c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158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v>13791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f>11463.46-6091.72</f>
        <v>5371.7399999999989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1268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19200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31980.67+84027.73-231.68</f>
        <v>115776.72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>
        <v>608.27</v>
      </c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>
        <v>343</v>
      </c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18">
        <f>1216.54-608.27</f>
        <v>608.27</v>
      </c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18">
        <v>1021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18">
        <f>46693.92-60</f>
        <v>46633.919999999998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255599.05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32555.62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65.040000000000006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>
        <v>119.49</v>
      </c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197.62</v>
      </c>
      <c r="G196" s="21">
        <f>SUM(F192:F196)</f>
        <v>32937.770000000004</v>
      </c>
      <c r="H196" s="54">
        <f>SUM(G86:G196)</f>
        <v>1664161.5400000003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4692083.2499999981</v>
      </c>
      <c r="G198" s="7">
        <f>SUBTOTAL(9,G4:G197)</f>
        <v>4692083.2499999991</v>
      </c>
      <c r="H198" s="7">
        <f>SUM(H3:H197)</f>
        <v>4692083.25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2458829.5-112567.19</f>
        <v>2346262.31</v>
      </c>
      <c r="G200" s="10"/>
      <c r="J200" s="105"/>
      <c r="M200" s="105"/>
    </row>
    <row r="201" spans="1:13" x14ac:dyDescent="0.2">
      <c r="E201" s="113" t="s">
        <v>272</v>
      </c>
      <c r="F201" s="93">
        <v>241403.94</v>
      </c>
      <c r="G201" s="10"/>
      <c r="J201" s="105"/>
      <c r="M201" s="105"/>
    </row>
    <row r="202" spans="1:13" x14ac:dyDescent="0.2">
      <c r="E202" s="113" t="s">
        <v>273</v>
      </c>
      <c r="F202" s="93">
        <v>104236.55</v>
      </c>
      <c r="G202" s="10"/>
      <c r="J202" s="105"/>
      <c r="M202" s="105"/>
    </row>
    <row r="203" spans="1:13" x14ac:dyDescent="0.2">
      <c r="E203" s="113" t="s">
        <v>274</v>
      </c>
      <c r="F203" s="93">
        <f>798446.14-26109.06</f>
        <v>772337.08</v>
      </c>
      <c r="G203" s="10"/>
      <c r="J203" s="105"/>
      <c r="M203" s="105"/>
    </row>
    <row r="204" spans="1:13" x14ac:dyDescent="0.2">
      <c r="E204" s="113" t="s">
        <v>275</v>
      </c>
      <c r="F204" s="93">
        <v>82731.75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544631.97-35876.7</f>
        <v>508755.26999999996</v>
      </c>
      <c r="G205" s="10"/>
      <c r="J205" s="105"/>
      <c r="M205" s="105"/>
    </row>
    <row r="206" spans="1:13" x14ac:dyDescent="0.2">
      <c r="E206" s="113" t="s">
        <v>277</v>
      </c>
      <c r="F206" s="107">
        <f>636588.03-231.68</f>
        <v>636356.35</v>
      </c>
      <c r="G206" s="10"/>
      <c r="J206" s="105"/>
      <c r="M206" s="105"/>
    </row>
    <row r="207" spans="1:13" x14ac:dyDescent="0.2">
      <c r="F207" s="114">
        <f>SUM(F200:F206)</f>
        <v>4692083.25</v>
      </c>
      <c r="I207" s="108"/>
      <c r="J207" s="105"/>
      <c r="M207" s="105"/>
    </row>
    <row r="208" spans="1:13" x14ac:dyDescent="0.2">
      <c r="F208" s="115">
        <f>+H198</f>
        <v>4692083.25</v>
      </c>
      <c r="J208" s="105"/>
    </row>
    <row r="209" spans="5:10" s="9" customFormat="1" x14ac:dyDescent="0.2">
      <c r="E209" s="50"/>
      <c r="F209" s="107">
        <f>+F207-F208</f>
        <v>0</v>
      </c>
      <c r="G209" s="65"/>
      <c r="H209" s="10"/>
      <c r="J209" s="105"/>
    </row>
    <row r="210" spans="5:10" s="9" customFormat="1" x14ac:dyDescent="0.2">
      <c r="E210" s="50"/>
      <c r="F210" s="107"/>
      <c r="G210" s="65"/>
      <c r="H210" s="10"/>
      <c r="J210" s="105"/>
    </row>
    <row r="211" spans="5:10" s="9" customFormat="1" x14ac:dyDescent="0.2">
      <c r="E211" s="50"/>
      <c r="F211" s="107"/>
      <c r="G211" s="65"/>
      <c r="H211" s="10"/>
      <c r="I211" s="108"/>
      <c r="J211" s="105"/>
    </row>
    <row r="214" spans="5:10" s="9" customFormat="1" x14ac:dyDescent="0.2">
      <c r="F214" s="116"/>
      <c r="G214" s="65"/>
      <c r="H214" s="10"/>
    </row>
  </sheetData>
  <autoFilter ref="A4:I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291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57781.38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192487.41-409.35</f>
        <v>192078.06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181338.5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431197.94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34533.57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14634.17</v>
      </c>
      <c r="G15" s="20">
        <f>SUM(F14:F15)</f>
        <v>49167.74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185598.03-2948.16</f>
        <v>182649.87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23933.759999999998</v>
      </c>
      <c r="G18" s="38">
        <f>SUM(F16:F18)</f>
        <v>206583.63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>
        <v>8490.52</v>
      </c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>
        <v>7426.28</v>
      </c>
      <c r="G22" s="38">
        <f>SUM(F21:F22)</f>
        <v>15916.8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>
        <v>3108.8</v>
      </c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3108.8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705974.91000000015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40928.5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>
        <v>1400</v>
      </c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42328.5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>
        <v>29025.88</v>
      </c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29025.88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>
        <v>11610.35</v>
      </c>
      <c r="G42" s="48">
        <f>SUM(F42)</f>
        <v>11610.35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1804920.07+80050.43+164592.26+365.75</f>
        <v>2049928.51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f>105836.01+8506.08+17100.54</f>
        <v>131442.63</v>
      </c>
      <c r="G48" s="38">
        <f>SUM(F47:F48)</f>
        <v>2181371.14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198066.86+16227.28+33693.73</f>
        <v>247987.87</v>
      </c>
      <c r="G51" s="40">
        <f>SUM(F51)</f>
        <v>247987.87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23026.17</v>
      </c>
      <c r="G54" s="43">
        <f>+F54</f>
        <v>23026.17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17415.53</v>
      </c>
      <c r="G61" s="43">
        <f>+F61</f>
        <v>17415.53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299397.66+18019.58+37660.71+6600+2811.07</f>
        <v>364489.02</v>
      </c>
      <c r="G63" s="43">
        <f>+F63</f>
        <v>364489.02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15928.79</v>
      </c>
      <c r="G64" s="40">
        <f>+F64</f>
        <v>15928.79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66526.87+5161.77+10165.07</f>
        <v>81853.709999999992</v>
      </c>
      <c r="G67" s="43">
        <f>+F67</f>
        <v>81853.709999999992</v>
      </c>
      <c r="H67" s="54">
        <f>SUM(G34:G67)</f>
        <v>3015036.96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170000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357499.99999999994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28062.99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28062.99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f>84400.61-57971.16</f>
        <v>26429.449999999997</v>
      </c>
      <c r="G74" s="48">
        <f t="shared" ref="G74:G80" si="0">+F74</f>
        <v>26429.449999999997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678.04</v>
      </c>
      <c r="G79" s="43">
        <f t="shared" si="0"/>
        <v>678.04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2034.11</v>
      </c>
      <c r="G84" s="43">
        <f>+F84</f>
        <v>2034.11</v>
      </c>
      <c r="H84" s="54">
        <f>SUM(G69:G84)</f>
        <v>495061.72999999992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454185+33433.01+72611.48+3300+321241.34</f>
        <v>884770.83000000007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884770.83000000007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/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25410.41-948</f>
        <v>24462.41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/>
      <c r="G96" s="21">
        <f>SUM(F91:F96)</f>
        <v>24462.41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8436.26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8436.26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2305.12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2766.13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461.04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922.05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2766.13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9220.4700000000012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4801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4801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72473.649999999994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f>6784.89+43842.4</f>
        <v>50627.29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51000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174100.94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G134" s="26">
        <f>+F134</f>
        <v>0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48867.13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26157.16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45419.94</v>
      </c>
      <c r="G141" s="21">
        <f>SUM(F135:F141)</f>
        <v>120444.23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13020.83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82716.28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18841.3</v>
      </c>
      <c r="G147" s="21">
        <f>SUM(F142:F147)</f>
        <v>119116.94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16609.41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F154" s="10">
        <v>475.08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17084.490000000002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11011.39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f>41911.54+16478.67</f>
        <v>58390.21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>
        <v>967.27</v>
      </c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f>6784.89+10308.66</f>
        <v>17093.55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v>15377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f>51498.29-3451.73</f>
        <v>48046.559999999998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/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5200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68001.79-391.33+79916.92+68374.76</f>
        <v>215902.14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>
        <v>7371.17</v>
      </c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18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18">
        <v>945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18">
        <v>18658.66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398962.94999999995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560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/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151.97999999999999</v>
      </c>
      <c r="G196" s="21">
        <f>SUM(F192:F196)</f>
        <v>711.98</v>
      </c>
      <c r="H196" s="54">
        <f>SUM(G86:G196)</f>
        <v>1762112.5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5978186.1000000006</v>
      </c>
      <c r="G198" s="7">
        <f>SUBTOTAL(9,G4:G197)</f>
        <v>5978186.1000000024</v>
      </c>
      <c r="H198" s="7">
        <f>SUM(H3:H197)</f>
        <v>5978186.0999999996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3471514.62-64792.4</f>
        <v>3406722.22</v>
      </c>
      <c r="G200" s="10"/>
      <c r="J200" s="105"/>
      <c r="M200" s="105"/>
    </row>
    <row r="201" spans="1:13" x14ac:dyDescent="0.2">
      <c r="E201" s="113" t="s">
        <v>272</v>
      </c>
      <c r="F201" s="93">
        <v>300602.23</v>
      </c>
      <c r="G201" s="10"/>
      <c r="J201" s="105"/>
      <c r="M201" s="105"/>
    </row>
    <row r="202" spans="1:13" x14ac:dyDescent="0.2">
      <c r="E202" s="113" t="s">
        <v>273</v>
      </c>
      <c r="F202" s="93">
        <v>131442.63</v>
      </c>
      <c r="G202" s="10"/>
      <c r="J202" s="105"/>
      <c r="M202" s="105"/>
    </row>
    <row r="203" spans="1:13" x14ac:dyDescent="0.2">
      <c r="E203" s="113" t="s">
        <v>274</v>
      </c>
      <c r="F203" s="93">
        <f>941510.58-1339.33</f>
        <v>940171.25</v>
      </c>
      <c r="G203" s="10"/>
      <c r="J203" s="105"/>
      <c r="M203" s="105"/>
    </row>
    <row r="204" spans="1:13" x14ac:dyDescent="0.2">
      <c r="E204" s="113" t="s">
        <v>275</v>
      </c>
      <c r="F204" s="93">
        <v>113123.44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v>572748.91</v>
      </c>
      <c r="G205" s="10"/>
      <c r="J205" s="105"/>
      <c r="M205" s="105"/>
    </row>
    <row r="206" spans="1:13" x14ac:dyDescent="0.2">
      <c r="E206" s="113" t="s">
        <v>277</v>
      </c>
      <c r="F206" s="107">
        <v>513375.42</v>
      </c>
      <c r="G206" s="10"/>
      <c r="J206" s="105"/>
      <c r="M206" s="105"/>
    </row>
    <row r="207" spans="1:13" x14ac:dyDescent="0.2">
      <c r="F207" s="114">
        <f>SUM(F200:F206)</f>
        <v>5978186.1000000006</v>
      </c>
      <c r="I207" s="108"/>
      <c r="J207" s="105"/>
      <c r="M207" s="105"/>
    </row>
    <row r="208" spans="1:13" x14ac:dyDescent="0.2">
      <c r="F208" s="115">
        <f>+H198</f>
        <v>5978186.0999999996</v>
      </c>
      <c r="J208" s="105"/>
    </row>
    <row r="209" spans="5:10" s="9" customFormat="1" x14ac:dyDescent="0.2">
      <c r="E209" s="50"/>
      <c r="F209" s="107">
        <f>+F207-F208</f>
        <v>0</v>
      </c>
      <c r="G209" s="65"/>
      <c r="H209" s="10"/>
      <c r="J209" s="105"/>
    </row>
    <row r="210" spans="5:10" s="9" customFormat="1" x14ac:dyDescent="0.2">
      <c r="E210" s="50"/>
      <c r="F210" s="107"/>
      <c r="G210" s="65"/>
      <c r="H210" s="10"/>
      <c r="J210" s="105"/>
    </row>
    <row r="211" spans="5:10" s="9" customFormat="1" x14ac:dyDescent="0.2">
      <c r="E211" s="50"/>
      <c r="F211" s="107"/>
      <c r="G211" s="65"/>
      <c r="H211" s="10"/>
      <c r="I211" s="108"/>
      <c r="J211" s="105"/>
    </row>
    <row r="214" spans="5:10" s="9" customFormat="1" x14ac:dyDescent="0.2">
      <c r="F214" s="116"/>
      <c r="G214" s="65"/>
      <c r="H214" s="10"/>
    </row>
  </sheetData>
  <autoFilter ref="A4:J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181" workbookViewId="0">
      <selection activeCell="O195" sqref="O195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292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70035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v>153479.91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112710.01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336224.92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75776.67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9684.8700000000008</v>
      </c>
      <c r="G15" s="20">
        <f>SUM(F14:F15)</f>
        <v>85461.54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212978.28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12416.7</v>
      </c>
      <c r="G18" s="38">
        <f>SUM(F16:F18)</f>
        <v>225394.98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>
        <v>39002</v>
      </c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>
        <v>1805.59</v>
      </c>
      <c r="G22" s="38">
        <f>SUM(F21:F22)</f>
        <v>40807.589999999997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687889.02999999991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F34" s="10">
        <v>150</v>
      </c>
      <c r="G34" s="43">
        <f>SUM(F34)</f>
        <v>150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14014.01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14014.01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>
        <v>2311.3200000000002</v>
      </c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2311.3200000000002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>
        <v>924.53</v>
      </c>
      <c r="G42" s="48">
        <f>SUM(F42)</f>
        <v>924.53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1205184.95-360000+89951.34+459666.79+16746.04</f>
        <v>1411549.1199999999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f>124141.59-60000+7713.49+40293.57+1225.32</f>
        <v>113373.97</v>
      </c>
      <c r="G48" s="38">
        <f>SUM(F47:F48)</f>
        <v>1524923.0899999999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240864.15-120000+22417.37+76462.57+3675.96</f>
        <v>223420.05</v>
      </c>
      <c r="G51" s="40">
        <f>SUM(F51)</f>
        <v>223420.05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/>
      <c r="G54" s="43">
        <f>+F54</f>
        <v>0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1386.79</v>
      </c>
      <c r="G61" s="43">
        <f>+F61</f>
        <v>1386.79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261559.48-180000+18364.65+140366.93+13876.8</f>
        <v>254167.86</v>
      </c>
      <c r="G63" s="43">
        <f>+F63</f>
        <v>254167.86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86163.11+4999.26+24795.26+816.88</f>
        <v>116774.51</v>
      </c>
      <c r="G67" s="43">
        <f>+F67</f>
        <v>116774.51</v>
      </c>
      <c r="H67" s="54">
        <f>SUM(G34:G67)</f>
        <v>2138072.1599999997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170000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357499.99999999994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26842.79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26842.79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f>93842.3-57971.16</f>
        <v>35871.14</v>
      </c>
      <c r="G74" s="48">
        <f t="shared" ref="G74:G80" si="0">+F74</f>
        <v>35871.14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1656.78</v>
      </c>
      <c r="G79" s="43">
        <f t="shared" si="0"/>
        <v>1656.78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>
        <v>1500</v>
      </c>
      <c r="G80" s="43">
        <f t="shared" si="0"/>
        <v>1500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4970.32</v>
      </c>
      <c r="G84" s="43">
        <f>+F84</f>
        <v>4970.32</v>
      </c>
      <c r="H84" s="54">
        <f>SUM(G69:G84)</f>
        <v>508698.17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404426.74-240000+37789.19+146924.75+10221+681864.38-240000</f>
        <v>801226.06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801226.06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>
        <v>5481.82</v>
      </c>
      <c r="G90" s="38">
        <f>SUM(F88:F90)</f>
        <v>5481.82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2250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1532.41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12850</v>
      </c>
      <c r="G96" s="21">
        <f>SUM(F91:F96)</f>
        <v>16632.41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620.04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620.04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1611.82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1934.18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322.37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644.73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1934.18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6447.2800000000007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500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f>142534.95-54002.54</f>
        <v>88532.41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/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51000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139532.41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G134" s="26">
        <f>+F134</f>
        <v>0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21760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10880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24230</v>
      </c>
      <c r="G141" s="21">
        <f>SUM(F135:F141)</f>
        <v>56870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13020.83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88221.94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19640.96</v>
      </c>
      <c r="G147" s="21">
        <f>SUM(F142:F147)</f>
        <v>125422.26000000001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7604.64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7604.64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366.91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f>41911.53+32800.02</f>
        <v>74711.549999999988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608.27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f>2758.2+337.5</f>
        <v>3095.7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7790.86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591.47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>
        <v>6895.5</v>
      </c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7693.72+70200.79</f>
        <v>77894.509999999995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>
        <v>1495</v>
      </c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>
        <v>2714.14</v>
      </c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18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18">
        <v>1555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18">
        <f>4137.3+10931.45</f>
        <v>15068.75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193787.66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81.790000000000006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125.8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207.59</v>
      </c>
      <c r="H196" s="54">
        <f>SUM(G86:G196)</f>
        <v>1354332.1700000002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4688991.5299999993</v>
      </c>
      <c r="G198" s="7">
        <f>SUBTOTAL(9,G4:G197)</f>
        <v>4688991.5299999984</v>
      </c>
      <c r="H198" s="7">
        <f>SUM(H3:H197)</f>
        <v>4688991.5299999993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3121381.26-471973.7</f>
        <v>2649407.5599999996</v>
      </c>
      <c r="G200" s="10"/>
      <c r="J200" s="105"/>
      <c r="M200" s="105"/>
    </row>
    <row r="201" spans="1:13" x14ac:dyDescent="0.2">
      <c r="E201" s="113" t="s">
        <v>272</v>
      </c>
      <c r="F201" s="93">
        <f>397938.85-120000</f>
        <v>277938.84999999998</v>
      </c>
      <c r="G201" s="10"/>
      <c r="J201" s="105"/>
      <c r="M201" s="105"/>
    </row>
    <row r="202" spans="1:13" x14ac:dyDescent="0.2">
      <c r="E202" s="113" t="s">
        <v>273</v>
      </c>
      <c r="F202" s="93">
        <f>173373.97-60000</f>
        <v>113373.97</v>
      </c>
      <c r="G202" s="10"/>
      <c r="J202" s="105"/>
      <c r="M202" s="105"/>
    </row>
    <row r="203" spans="1:13" x14ac:dyDescent="0.2">
      <c r="E203" s="113" t="s">
        <v>274</v>
      </c>
      <c r="F203" s="93">
        <f>781216.29-240000</f>
        <v>541216.29</v>
      </c>
      <c r="G203" s="10"/>
      <c r="J203" s="105"/>
      <c r="M203" s="105"/>
    </row>
    <row r="204" spans="1:13" x14ac:dyDescent="0.2">
      <c r="E204" s="113" t="s">
        <v>275</v>
      </c>
      <c r="F204" s="93">
        <v>129642.23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594347.46-180000</f>
        <v>414347.45999999996</v>
      </c>
      <c r="G205" s="10"/>
      <c r="J205" s="105"/>
      <c r="M205" s="105"/>
    </row>
    <row r="206" spans="1:13" x14ac:dyDescent="0.2">
      <c r="E206" s="113" t="s">
        <v>277</v>
      </c>
      <c r="F206" s="107">
        <f>803065.17-240000</f>
        <v>563065.17000000004</v>
      </c>
      <c r="G206" s="10"/>
      <c r="J206" s="105"/>
      <c r="M206" s="105"/>
    </row>
    <row r="207" spans="1:13" x14ac:dyDescent="0.2">
      <c r="F207" s="114">
        <f>SUM(F200:F206)</f>
        <v>4688991.53</v>
      </c>
      <c r="I207" s="108"/>
      <c r="J207" s="105"/>
      <c r="M207" s="105"/>
    </row>
    <row r="208" spans="1:13" x14ac:dyDescent="0.2">
      <c r="F208" s="115">
        <f>+H198</f>
        <v>4688991.5299999993</v>
      </c>
      <c r="J208" s="105"/>
    </row>
    <row r="209" spans="5:10" s="9" customFormat="1" x14ac:dyDescent="0.2">
      <c r="E209" s="50"/>
      <c r="F209" s="107">
        <f>+F207-F208</f>
        <v>0</v>
      </c>
      <c r="G209" s="65"/>
      <c r="H209" s="10"/>
      <c r="J209" s="105"/>
    </row>
    <row r="210" spans="5:10" s="9" customFormat="1" x14ac:dyDescent="0.2">
      <c r="E210" s="50"/>
      <c r="F210" s="107"/>
      <c r="G210" s="65"/>
      <c r="H210" s="10"/>
      <c r="J210" s="105"/>
    </row>
    <row r="211" spans="5:10" s="9" customFormat="1" x14ac:dyDescent="0.2">
      <c r="E211" s="50"/>
      <c r="F211" s="107"/>
      <c r="G211" s="65"/>
      <c r="H211" s="10"/>
      <c r="I211" s="108"/>
      <c r="J211" s="105"/>
    </row>
    <row r="214" spans="5:10" s="9" customFormat="1" x14ac:dyDescent="0.2">
      <c r="F214" s="116"/>
      <c r="G214" s="65"/>
      <c r="H214" s="10"/>
    </row>
  </sheetData>
  <autoFilter ref="A4:I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activeCell="G18" sqref="G18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281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>
        <v>3100</v>
      </c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71635.17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42768-11428.27</f>
        <v>31339.73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107654.2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213729.09999999998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79262.149999999994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8022.68</v>
      </c>
      <c r="G15" s="20">
        <f>SUM(F14:F15)</f>
        <v>87284.829999999987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275386.82-154068.28</f>
        <v>121318.54000000001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f>13745.73-1639.2</f>
        <v>12106.529999999999</v>
      </c>
      <c r="G18" s="38">
        <f>SUM(F16:F18)</f>
        <v>133425.07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434438.99999999994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3497.33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>
        <v>847.41</v>
      </c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>
        <v>2479.25</v>
      </c>
      <c r="G37" s="38">
        <f>SUM(F35:F37)</f>
        <v>6823.99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1918456.2-343515.92+43131.64</f>
        <v>1618071.92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93933.15</v>
      </c>
      <c r="G48" s="38">
        <f>SUM(F47:F48)</f>
        <v>1712005.0699999998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379879.86-61731.07</f>
        <v>318148.78999999998</v>
      </c>
      <c r="G51" s="40">
        <f>SUM(F51)</f>
        <v>318148.78999999998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6763.76</v>
      </c>
      <c r="G54" s="43">
        <f>+F54</f>
        <v>6763.76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273822+18233.85-29813.66</f>
        <v>262242.19</v>
      </c>
      <c r="G63" s="43">
        <f>+F63</f>
        <v>262242.19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43480.1+5110.39</f>
        <v>48590.49</v>
      </c>
      <c r="G67" s="43">
        <f>+F67</f>
        <v>48590.49</v>
      </c>
      <c r="H67" s="54">
        <f>SUM(G34:G67)</f>
        <v>2354574.29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138972.67000000001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280</v>
      </c>
      <c r="F70" s="10">
        <v>80000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272544.09000000003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32076.3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32076.3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28519</v>
      </c>
      <c r="G74" s="48">
        <f t="shared" ref="G74:G80" si="0">+F74</f>
        <v>28519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3483.18</v>
      </c>
      <c r="G79" s="43">
        <f t="shared" si="0"/>
        <v>3483.18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10449.52</v>
      </c>
      <c r="G84" s="43">
        <f>+F84</f>
        <v>10449.52</v>
      </c>
      <c r="H84" s="54">
        <f>SUM(G69:G84)</f>
        <v>427429.23000000004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383686.43-1916.25+22669.66+365.92+356755.32</f>
        <v>761561.08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>
        <v>630</v>
      </c>
      <c r="G87" s="38">
        <f>SUM(F86:F87)</f>
        <v>762191.08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>
        <v>7251.96</v>
      </c>
      <c r="G90" s="38">
        <f>SUM(F88:F90)</f>
        <v>7251.96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2844.83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11097.44-1378.98</f>
        <v>9718.4600000000009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/>
      <c r="G96" s="21">
        <f>SUM(F91:F96)</f>
        <v>12563.29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11425.91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11425.91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f>2786.5-736.84</f>
        <v>2049.66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f>3343.8-884.2</f>
        <v>2459.6000000000004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f>557.29-147.36</f>
        <v>409.92999999999995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f>1114.61-294.74</f>
        <v>819.86999999999989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f>3343.76-884.2</f>
        <v>2459.5600000000004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8198.6200000000008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>
        <v>375</v>
      </c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>
        <v>375</v>
      </c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22040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22790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16849.8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1600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f>28669.55+51000</f>
        <v>79669.55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1600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800</v>
      </c>
      <c r="G132" s="21">
        <f>SUM(F123:F132)</f>
        <v>100519.35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39951.07</v>
      </c>
      <c r="G134" s="26">
        <f>+F134</f>
        <v>39951.07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4317.6099999999997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4317.6099999999997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765.78</v>
      </c>
      <c r="G141" s="21">
        <f>SUM(F135:F141)</f>
        <v>9401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64396.04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4676.1899999999996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12061.19</v>
      </c>
      <c r="G147" s="21">
        <f>SUM(F142:F147)</f>
        <v>90113.31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>
        <v>1011.94</v>
      </c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5992.09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7004.0300000000007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f>10218.42-3152</f>
        <v>7066.42</v>
      </c>
      <c r="G159" s="15"/>
      <c r="H159" s="16"/>
    </row>
    <row r="160" spans="1:8" s="10" customFormat="1" ht="12.75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17"/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v>17239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2961.23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1167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11000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16329.21-30.17+30797.41+27641.98+6.62</f>
        <v>74745.049999999988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>
        <v>519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4844.41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119542.10999999999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58.99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30.76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117.74</v>
      </c>
      <c r="G196" s="21">
        <f>SUM(F192:F196)</f>
        <v>207.49</v>
      </c>
      <c r="H196" s="54">
        <f>SUM(G86:G196)</f>
        <v>1191159.22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4407601.7400000012</v>
      </c>
      <c r="G198" s="7">
        <f>SUBTOTAL(9,G4:G197)</f>
        <v>4407601.74</v>
      </c>
      <c r="H198" s="7">
        <f>SUM(H3:H197)</f>
        <v>4407601.74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2890766.72-703696.68+189008.81</f>
        <v>2376078.85</v>
      </c>
      <c r="G200" s="10"/>
      <c r="J200" s="105"/>
      <c r="M200" s="105"/>
    </row>
    <row r="201" spans="1:13" x14ac:dyDescent="0.2">
      <c r="E201" s="113" t="s">
        <v>272</v>
      </c>
      <c r="F201" s="93">
        <f>389682.24-61878.43</f>
        <v>327803.81</v>
      </c>
      <c r="G201" s="10"/>
      <c r="J201" s="105"/>
      <c r="M201" s="105"/>
    </row>
    <row r="202" spans="1:13" x14ac:dyDescent="0.2">
      <c r="E202" s="113" t="s">
        <v>273</v>
      </c>
      <c r="F202" s="93">
        <v>96412.4</v>
      </c>
      <c r="G202" s="10"/>
      <c r="J202" s="105"/>
      <c r="M202" s="105"/>
    </row>
    <row r="203" spans="1:13" x14ac:dyDescent="0.2">
      <c r="E203" s="113" t="s">
        <v>274</v>
      </c>
      <c r="F203" s="93">
        <f>666273.12-4062.24</f>
        <v>662210.88</v>
      </c>
      <c r="G203" s="10"/>
      <c r="J203" s="105"/>
      <c r="M203" s="105"/>
    </row>
    <row r="204" spans="1:13" x14ac:dyDescent="0.2">
      <c r="E204" s="113" t="s">
        <v>275</v>
      </c>
      <c r="F204" s="93">
        <f>64830.81-294.74</f>
        <v>64536.07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405111.81-30697.86</f>
        <v>374413.95</v>
      </c>
      <c r="G205" s="10"/>
      <c r="J205" s="105"/>
      <c r="M205" s="105"/>
    </row>
    <row r="206" spans="1:13" x14ac:dyDescent="0.2">
      <c r="E206" s="113" t="s">
        <v>277</v>
      </c>
      <c r="F206" s="107">
        <v>506145.78</v>
      </c>
      <c r="G206" s="10"/>
      <c r="J206" s="105"/>
      <c r="M206" s="105"/>
    </row>
    <row r="207" spans="1:13" x14ac:dyDescent="0.2">
      <c r="F207" s="114">
        <f>SUM(F200:F206)</f>
        <v>4407601.74</v>
      </c>
      <c r="I207" s="108"/>
      <c r="J207" s="105"/>
      <c r="M207" s="105"/>
    </row>
    <row r="208" spans="1:13" x14ac:dyDescent="0.2">
      <c r="F208" s="115">
        <f>+H198</f>
        <v>4407601.74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117" workbookViewId="0">
      <selection activeCell="F134" sqref="F134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282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55766.3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v>29289.54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154075.04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239130.88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36264.980000000003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9938.64</v>
      </c>
      <c r="G15" s="20">
        <f>SUM(F14:F15)</f>
        <v>46203.62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121287.79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42624.22</v>
      </c>
      <c r="G18" s="38">
        <f>SUM(F16:F18)</f>
        <v>163912.01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449246.51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59564.39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59564.39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>
        <v>9068.64</v>
      </c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9068.64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>
        <v>3627.46</v>
      </c>
      <c r="G42" s="48">
        <f>SUM(F42)</f>
        <v>3627.46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1957147.31-436976.9+65854.6+40446.37+15101.84</f>
        <v>1641573.2200000004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77156.259999999995</v>
      </c>
      <c r="G48" s="38">
        <f>SUM(F47:F48)</f>
        <v>1718729.4800000004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246892.73+1454.02</f>
        <v>248346.75</v>
      </c>
      <c r="G51" s="40">
        <f>SUM(F51)</f>
        <v>248346.75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/>
      <c r="G54" s="43">
        <f>+F54</f>
        <v>0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5441.18</v>
      </c>
      <c r="G61" s="43">
        <f>+F61</f>
        <v>5441.18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241561.59+27839.95+17098.66+7044.32</f>
        <v>293544.51999999996</v>
      </c>
      <c r="G63" s="43">
        <f>+F63</f>
        <v>293544.51999999996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44633.13+7802.68+4792.23</f>
        <v>57228.039999999994</v>
      </c>
      <c r="G67" s="43">
        <f>+F67</f>
        <v>57228.039999999994</v>
      </c>
      <c r="H67" s="54">
        <f>SUM(G34:G67)</f>
        <v>2395550.4600000004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280</v>
      </c>
      <c r="F70" s="10">
        <v>80000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267500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25370.18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25370.18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31804.04</v>
      </c>
      <c r="G74" s="48">
        <f t="shared" ref="G74:G80" si="0">+F74</f>
        <v>31804.04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1759.2</v>
      </c>
      <c r="G79" s="43">
        <f t="shared" si="0"/>
        <v>1759.2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5277.57</v>
      </c>
      <c r="G84" s="43">
        <f>+F84</f>
        <v>5277.57</v>
      </c>
      <c r="H84" s="54">
        <f>SUM(G69:G84)</f>
        <v>412068.13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379833.22+34612.68+21258.31+347659.58</f>
        <v>783363.79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>
        <v>887.94</v>
      </c>
      <c r="G87" s="38">
        <f>SUM(F86:F87)</f>
        <v>784251.73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/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28002.04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14250</v>
      </c>
      <c r="G96" s="21">
        <f>SUM(F91:F96)</f>
        <v>42252.04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f>2518.06-506.45</f>
        <v>2011.61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2011.61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1658.59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1990.29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331.73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663.43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1997.09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6641.13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5500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5500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7350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1600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90123.7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1600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800</v>
      </c>
      <c r="G132" s="21">
        <f>SUM(F123:F132)</f>
        <v>101473.7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44588.09</v>
      </c>
      <c r="G134" s="26">
        <f>+F134</f>
        <v>44588.09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6411.98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4918.09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2987.78</v>
      </c>
      <c r="G141" s="21">
        <f>SUM(F135:F141)</f>
        <v>14317.85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62668.86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4342.21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12634.21</v>
      </c>
      <c r="G147" s="21">
        <f>SUM(F142:F147)</f>
        <v>88625.170000000013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F149" s="10">
        <v>4341.22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8956.14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13297.36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10410.76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f>21237.67+44.71</f>
        <v>21282.379999999997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>
        <v>1160</v>
      </c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f>32189.08-16644.55</f>
        <v>15544.530000000002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/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2777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8000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31230.42-2540+52927.76-776.31</f>
        <v>80841.87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/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21400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161416.53999999998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171.82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6483.27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6655.09</v>
      </c>
      <c r="H196" s="54">
        <f>SUM(G86:G196)</f>
        <v>1271030.31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4527895.41</v>
      </c>
      <c r="G198" s="7">
        <f>SUBTOTAL(9,G4:G197)</f>
        <v>4527895.41</v>
      </c>
      <c r="H198" s="7">
        <f>SUM(H3:H197)</f>
        <v>4527895.41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2916950.94-436976.9</f>
        <v>2479974.04</v>
      </c>
      <c r="G200" s="10"/>
      <c r="J200" s="105"/>
      <c r="M200" s="105"/>
    </row>
    <row r="201" spans="1:13" x14ac:dyDescent="0.2">
      <c r="E201" s="113" t="s">
        <v>272</v>
      </c>
      <c r="F201" s="93">
        <v>262958.34000000003</v>
      </c>
      <c r="G201" s="10"/>
      <c r="J201" s="105"/>
      <c r="M201" s="105"/>
    </row>
    <row r="202" spans="1:13" x14ac:dyDescent="0.2">
      <c r="E202" s="113" t="s">
        <v>273</v>
      </c>
      <c r="F202" s="93">
        <v>77156.259999999995</v>
      </c>
      <c r="G202" s="10"/>
      <c r="J202" s="105"/>
      <c r="M202" s="105"/>
    </row>
    <row r="203" spans="1:13" x14ac:dyDescent="0.2">
      <c r="E203" s="113" t="s">
        <v>274</v>
      </c>
      <c r="F203" s="93">
        <f>780416.28-19691</f>
        <v>760725.28</v>
      </c>
      <c r="G203" s="10"/>
      <c r="J203" s="105"/>
      <c r="M203" s="105"/>
    </row>
    <row r="204" spans="1:13" x14ac:dyDescent="0.2">
      <c r="E204" s="113" t="s">
        <v>275</v>
      </c>
      <c r="F204" s="93">
        <v>67511.25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v>435171.12</v>
      </c>
      <c r="G205" s="10"/>
      <c r="J205" s="105"/>
      <c r="M205" s="105"/>
    </row>
    <row r="206" spans="1:13" x14ac:dyDescent="0.2">
      <c r="E206" s="113" t="s">
        <v>277</v>
      </c>
      <c r="F206" s="107">
        <f>445175.43-776.31</f>
        <v>444399.12</v>
      </c>
      <c r="G206" s="10"/>
      <c r="J206" s="105"/>
      <c r="M206" s="105"/>
    </row>
    <row r="207" spans="1:13" x14ac:dyDescent="0.2">
      <c r="F207" s="114">
        <f>SUM(F200:F206)</f>
        <v>4527895.41</v>
      </c>
      <c r="I207" s="108"/>
      <c r="J207" s="105"/>
      <c r="M207" s="105"/>
    </row>
    <row r="208" spans="1:13" x14ac:dyDescent="0.2">
      <c r="F208" s="115">
        <f>+H198</f>
        <v>4527895.41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activeCell="E34" sqref="E34:E35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284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127445.77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109310.82-6105.6</f>
        <v>103205.22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113997.24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344648.23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93142.33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8259.6</v>
      </c>
      <c r="G15" s="20">
        <f>SUM(F14:F15)</f>
        <v>101401.93000000001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138998.10999999999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8349.92</v>
      </c>
      <c r="G18" s="38">
        <f>SUM(F16:F18)</f>
        <v>147348.03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593398.18999999994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6608.71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6608.71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1244802.53+81797.56+365.92+603.45+29517.27</f>
        <v>1357086.73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48122.44</v>
      </c>
      <c r="G48" s="38">
        <f>SUM(F47:F48)</f>
        <v>1405209.17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v>261776.27</v>
      </c>
      <c r="G51" s="40">
        <f>SUM(F51)</f>
        <v>261776.27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8591.4</v>
      </c>
      <c r="G54" s="43">
        <f>+F54</f>
        <v>8591.4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183383.89+34579.82+11532.41+5918.22</f>
        <v>235414.34000000003</v>
      </c>
      <c r="G63" s="43">
        <f>+F63</f>
        <v>235414.34000000003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47775.51+9691.65</f>
        <v>57467.16</v>
      </c>
      <c r="G67" s="43">
        <f>+F67</f>
        <v>57467.16</v>
      </c>
      <c r="H67" s="54">
        <f>SUM(G34:G67)</f>
        <v>1975067.0499999998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80000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267500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30898.37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30898.37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32429.52</v>
      </c>
      <c r="G74" s="48">
        <f t="shared" ref="G74:G80" si="0">+F74</f>
        <v>32429.52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2673.82</v>
      </c>
      <c r="G79" s="43">
        <f t="shared" si="0"/>
        <v>2673.82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8021.43</v>
      </c>
      <c r="G84" s="43">
        <f>+F84</f>
        <v>8021.43</v>
      </c>
      <c r="H84" s="54">
        <f>SUM(G69:G84)</f>
        <v>421880.28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385426.64+42992.17+4749.14+360882.97</f>
        <v>794050.91999999993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794050.91999999993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11250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13731.69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/>
      <c r="G96" s="21">
        <f>SUM(F91:F96)</f>
        <v>24981.690000000002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7900.37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7900.37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1617.11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1940.54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323.43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646.84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1940.54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6468.4599999999991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5000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5000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24594.400000000001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f>4553.74-1504.58</f>
        <v>3049.16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10140.4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66801.240000000005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f>13661.19-4513.73</f>
        <v>9147.4600000000009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10140.4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f>4553.74-1504.58</f>
        <v>3049.16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5070.2</v>
      </c>
      <c r="G132" s="21">
        <f>SUM(F123:F132)</f>
        <v>131992.42000000001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39958.46</v>
      </c>
      <c r="G134" s="26">
        <f>+F134</f>
        <v>39958.46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f>3527.81-3424.2</f>
        <v>103.61000000000013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f>3527.81-3424.2</f>
        <v>103.61000000000013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/>
      <c r="G141" s="21">
        <f>SUM(F135:F141)</f>
        <v>207.22000000000025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66406.86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4674.8999999999996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12688.81</v>
      </c>
      <c r="G147" s="21">
        <f>SUM(F142:F147)</f>
        <v>92750.459999999992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F149" s="10">
        <v>1456.2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6796.39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8252.59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3256.47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v>1500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3952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v>6582.92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/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840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13165.69-323.02+384334.81</f>
        <v>397177.48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>
        <v>1199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5451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420958.87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108.89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/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177.23</v>
      </c>
      <c r="G196" s="21">
        <f>SUM(F192:F196)</f>
        <v>286.12</v>
      </c>
      <c r="H196" s="54">
        <f>SUM(G86:G196)</f>
        <v>1532807.58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4523153.1000000006</v>
      </c>
      <c r="G198" s="7">
        <f>SUBTOTAL(9,G4:G197)</f>
        <v>4523153.0999999996</v>
      </c>
      <c r="H198" s="7">
        <f>SUM(H3:H197)</f>
        <v>4523153.0999999996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2302048.24-42068.86+31034.48</f>
        <v>2291013.8600000003</v>
      </c>
      <c r="G200" s="10"/>
      <c r="J200" s="105"/>
      <c r="M200" s="105"/>
    </row>
    <row r="201" spans="1:13" x14ac:dyDescent="0.2">
      <c r="E201" s="113" t="s">
        <v>272</v>
      </c>
      <c r="F201" s="93">
        <v>282350.42</v>
      </c>
      <c r="G201" s="10"/>
      <c r="J201" s="105"/>
      <c r="M201" s="105"/>
    </row>
    <row r="202" spans="1:13" x14ac:dyDescent="0.2">
      <c r="E202" s="113" t="s">
        <v>273</v>
      </c>
      <c r="F202" s="93">
        <v>48122.44</v>
      </c>
      <c r="G202" s="10"/>
      <c r="J202" s="105"/>
      <c r="M202" s="105"/>
    </row>
    <row r="203" spans="1:13" x14ac:dyDescent="0.2">
      <c r="E203" s="113" t="s">
        <v>274</v>
      </c>
      <c r="F203" s="93">
        <f>697328.12-8260.95</f>
        <v>689067.17</v>
      </c>
      <c r="G203" s="10"/>
      <c r="J203" s="105"/>
      <c r="M203" s="105"/>
    </row>
    <row r="204" spans="1:13" x14ac:dyDescent="0.2">
      <c r="E204" s="113" t="s">
        <v>275</v>
      </c>
      <c r="F204" s="93">
        <v>70810.33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358117.22-1504.58</f>
        <v>356612.63999999996</v>
      </c>
      <c r="G205" s="10"/>
      <c r="J205" s="105"/>
      <c r="M205" s="105"/>
    </row>
    <row r="206" spans="1:13" x14ac:dyDescent="0.2">
      <c r="E206" s="113" t="s">
        <v>277</v>
      </c>
      <c r="F206" s="107">
        <v>785176.24</v>
      </c>
      <c r="G206" s="10"/>
      <c r="J206" s="105"/>
      <c r="M206" s="105"/>
    </row>
    <row r="207" spans="1:13" x14ac:dyDescent="0.2">
      <c r="F207" s="114">
        <f>SUM(F200:F206)</f>
        <v>4523153.1000000006</v>
      </c>
      <c r="I207" s="108"/>
      <c r="J207" s="105"/>
      <c r="M207" s="105"/>
    </row>
    <row r="208" spans="1:13" x14ac:dyDescent="0.2">
      <c r="F208" s="115">
        <f>+H198</f>
        <v>4523153.0999999996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285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99004.95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141728.88-1148.4</f>
        <v>140580.48000000001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f>84868.9-36713.31</f>
        <v>48155.59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287741.02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87427.4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11298.31</v>
      </c>
      <c r="G15" s="20">
        <f>SUM(F14:F15)</f>
        <v>98725.709999999992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213247.8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13941.82</v>
      </c>
      <c r="G18" s="38">
        <f>SUM(F16:F18)</f>
        <v>227189.62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613656.35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32407.46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32407.46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1455490.06-194101.53+158857.16+81147.07+19187.36</f>
        <v>1520580.12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f>85178.77-13080.41</f>
        <v>72098.36</v>
      </c>
      <c r="G48" s="38">
        <f>SUM(F47:F48)</f>
        <v>1592678.4800000002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208085.5-36532.48</f>
        <v>171553.02</v>
      </c>
      <c r="G51" s="40">
        <f>SUM(F51)</f>
        <v>171553.02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15500</v>
      </c>
      <c r="G54" s="43">
        <f>+F54</f>
        <v>15500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258139.15-42385.73+67156.68+34304.83+13640+27942.94</f>
        <v>358797.87</v>
      </c>
      <c r="G63" s="43">
        <f>+F63</f>
        <v>358797.87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48313.32-6060.88+18821.94+9614.58</f>
        <v>70688.960000000006</v>
      </c>
      <c r="G67" s="43">
        <f>+F67</f>
        <v>70688.960000000006</v>
      </c>
      <c r="H67" s="54">
        <f>SUM(G34:G67)</f>
        <v>2241625.79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120000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307500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33035.17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33035.17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29381.119999999999</v>
      </c>
      <c r="G74" s="48">
        <f t="shared" ref="G74:G80" si="0">+F74</f>
        <v>29381.119999999999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3876.92</v>
      </c>
      <c r="G79" s="43">
        <f t="shared" si="0"/>
        <v>3876.92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11630.75</v>
      </c>
      <c r="G84" s="43">
        <f>+F84</f>
        <v>11630.75</v>
      </c>
      <c r="H84" s="54">
        <f>SUM(G69:G84)</f>
        <v>465781.1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395669.66-32588.57+83494.12+42650.29+6380+408297.87</f>
        <v>903903.36999999988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903903.36999999988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2250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7240.29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11100</v>
      </c>
      <c r="G96" s="21">
        <f>SUM(F91:F96)</f>
        <v>20590.29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1823.42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1823.42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2547.33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3056.76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509.47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1018.93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3056.75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10189.240000000002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500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f>20898.39-2</f>
        <v>20896.39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1600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97330.95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/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1600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800</v>
      </c>
      <c r="G132" s="21">
        <f>SUM(F123:F132)</f>
        <v>122227.34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39958.449999999997</v>
      </c>
      <c r="G134" s="26">
        <f>+F134</f>
        <v>39958.449999999997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4904.1099999999997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4404.1099999999997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1000</v>
      </c>
      <c r="G141" s="21">
        <f>SUM(F135:F141)</f>
        <v>10308.219999999999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/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67359.649999999994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5122.3500000000004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12518.03</v>
      </c>
      <c r="G147" s="21">
        <f>SUM(F142:F147)</f>
        <v>85000.03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F149" s="10">
        <v>14743.3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8790.24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23533.54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4761.8100000000004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v>990.51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7000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v>396.21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>
        <v>396.21</v>
      </c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3500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896.17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6200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13698.07-301.72+142571.53</f>
        <v>155967.88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/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25028.63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205137.42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28.99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/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28.99</v>
      </c>
      <c r="H196" s="54">
        <f>SUM(G86:G196)</f>
        <v>1423200.3099999998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4744263.55</v>
      </c>
      <c r="G198" s="7">
        <f>SUBTOTAL(9,G4:G197)</f>
        <v>4744263.5500000007</v>
      </c>
      <c r="H198" s="7">
        <f>SUM(H3:H197)</f>
        <v>4744263.55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2745642.3-231963.24</f>
        <v>2513679.0599999996</v>
      </c>
      <c r="G200" s="10"/>
      <c r="J200" s="105"/>
      <c r="M200" s="105"/>
    </row>
    <row r="201" spans="1:13" x14ac:dyDescent="0.2">
      <c r="E201" s="113" t="s">
        <v>272</v>
      </c>
      <c r="F201" s="93">
        <f>242032.79-36532.48</f>
        <v>205500.31</v>
      </c>
      <c r="G201" s="10"/>
      <c r="J201" s="105"/>
      <c r="M201" s="105"/>
    </row>
    <row r="202" spans="1:13" x14ac:dyDescent="0.2">
      <c r="E202" s="113" t="s">
        <v>273</v>
      </c>
      <c r="F202" s="93">
        <f>85574.98-13080.41</f>
        <v>72494.569999999992</v>
      </c>
      <c r="G202" s="10"/>
      <c r="J202" s="105"/>
      <c r="M202" s="105"/>
    </row>
    <row r="203" spans="1:13" x14ac:dyDescent="0.2">
      <c r="E203" s="113" t="s">
        <v>274</v>
      </c>
      <c r="F203" s="93">
        <f>794155.72-32890.29</f>
        <v>761265.42999999993</v>
      </c>
      <c r="G203" s="10"/>
      <c r="J203" s="105"/>
      <c r="M203" s="105"/>
    </row>
    <row r="204" spans="1:13" x14ac:dyDescent="0.2">
      <c r="E204" s="113" t="s">
        <v>275</v>
      </c>
      <c r="F204" s="93">
        <f>94521.87-6060.88</f>
        <v>88460.989999999991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554421.07-42385.73</f>
        <v>512035.33999999997</v>
      </c>
      <c r="G205" s="10"/>
      <c r="J205" s="105"/>
      <c r="M205" s="105"/>
    </row>
    <row r="206" spans="1:13" x14ac:dyDescent="0.2">
      <c r="E206" s="113" t="s">
        <v>277</v>
      </c>
      <c r="F206" s="107">
        <v>590827.85</v>
      </c>
      <c r="G206" s="10"/>
      <c r="J206" s="105"/>
      <c r="M206" s="105"/>
    </row>
    <row r="207" spans="1:13" x14ac:dyDescent="0.2">
      <c r="F207" s="114">
        <f>SUM(F200:F206)</f>
        <v>4744263.5499999989</v>
      </c>
      <c r="I207" s="108"/>
      <c r="J207" s="105"/>
      <c r="M207" s="105"/>
    </row>
    <row r="208" spans="1:13" x14ac:dyDescent="0.2">
      <c r="F208" s="115">
        <f>+H198</f>
        <v>4744263.55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286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111731.35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166584.92-27358.86</f>
        <v>139226.06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209218.71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460176.12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42484.37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17595.71</v>
      </c>
      <c r="G15" s="20">
        <f>SUM(F14:F15)</f>
        <v>60080.08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109649.56-25400</f>
        <v>84249.56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11899.77</v>
      </c>
      <c r="G18" s="38">
        <f>SUM(F16:F18)</f>
        <v>96149.33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616405.53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36763.800000000003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36763.800000000003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>
        <v>5981.28</v>
      </c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5981.28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>
        <v>2392.16</v>
      </c>
      <c r="G42" s="48">
        <f>SUM(F42)</f>
        <v>2392.16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1709445.02+81855.43+19982.4</f>
        <v>1811282.8499999999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79480.009999999995</v>
      </c>
      <c r="G48" s="38">
        <f>SUM(F47:F48)</f>
        <v>1890762.8599999999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v>332069.06</v>
      </c>
      <c r="G51" s="40">
        <f>SUM(F51)</f>
        <v>332069.06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16530.86</v>
      </c>
      <c r="G54" s="43">
        <f>+F54</f>
        <v>16530.86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3588.77</v>
      </c>
      <c r="G61" s="43">
        <f>+F61</f>
        <v>3588.77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297700.45+34604.29+16401</f>
        <v>348705.74</v>
      </c>
      <c r="G63" s="43">
        <f>+F63</f>
        <v>348705.74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/>
      <c r="G64" s="40">
        <f>+F64</f>
        <v>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52115.56+9698.51</f>
        <v>61814.07</v>
      </c>
      <c r="G67" s="43">
        <f>+F67</f>
        <v>61814.07</v>
      </c>
      <c r="H67" s="54">
        <f>SUM(G34:G67)</f>
        <v>2698608.5999999992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120000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307500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42454.27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42454.27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31086.84</v>
      </c>
      <c r="G74" s="48">
        <f t="shared" ref="G74:G80" si="0">+F74</f>
        <v>31086.84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2919.42</v>
      </c>
      <c r="G79" s="43">
        <f t="shared" si="0"/>
        <v>2919.42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8758.23</v>
      </c>
      <c r="G84" s="43">
        <f>+F84</f>
        <v>8758.23</v>
      </c>
      <c r="H84" s="54">
        <f>SUM(G69:G84)</f>
        <v>473075.9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415951.21+43022.6+9130+351914.89</f>
        <v>820018.7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820018.7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>
        <v>2419.16</v>
      </c>
      <c r="G90" s="38">
        <f>SUM(F88:F90)</f>
        <v>2419.16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1000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>
        <v>1000</v>
      </c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20054.26-283.62</f>
        <v>19770.64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1201.45</v>
      </c>
      <c r="G96" s="21">
        <f>SUM(F91:F96)</f>
        <v>22972.09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9343.36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9343.36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2426.56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2911.87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485.31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970.62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2911.9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9706.26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16500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16500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13064.28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/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1600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83161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v>68571.44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1600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/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800</v>
      </c>
      <c r="G132" s="21">
        <f>SUM(F123:F132)</f>
        <v>168796.72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>
        <v>1362.88</v>
      </c>
      <c r="G133" s="99">
        <f>+F133</f>
        <v>1362.88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79916.899999999994</v>
      </c>
      <c r="G134" s="26">
        <f>+F134</f>
        <v>79916.899999999994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3526.55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3526.55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/>
      <c r="G141" s="21">
        <f>SUM(F135:F141)</f>
        <v>7053.1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72567.59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5107.6499999999996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12356.04</v>
      </c>
      <c r="G147" s="21">
        <f>SUM(F142:F147)</f>
        <v>99011.169999999984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F149" s="10">
        <v>9477.44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5752.77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15230.210000000001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257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v>134.51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>
        <v>106.12</v>
      </c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v>16681.7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9826.89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1649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6000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34225.86-10092.11+45654.68</f>
        <v>69788.429999999993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>
        <v>600.54999999999995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2700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107744.2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/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48.78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180.36</v>
      </c>
      <c r="G196" s="21">
        <f>SUM(F192:F196)</f>
        <v>229.14000000000001</v>
      </c>
      <c r="H196" s="54">
        <f>SUM(G86:G196)</f>
        <v>1360303.8899999997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5148393.92</v>
      </c>
      <c r="G198" s="7">
        <f>SUBTOTAL(9,G4:G197)</f>
        <v>5148393.919999999</v>
      </c>
      <c r="H198" s="7">
        <f>SUM(H3:H197)</f>
        <v>5148393.9199999981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2874367.29-52758.86</f>
        <v>2821608.43</v>
      </c>
      <c r="G200" s="10"/>
      <c r="J200" s="105"/>
      <c r="M200" s="105"/>
    </row>
    <row r="201" spans="1:13" x14ac:dyDescent="0.2">
      <c r="E201" s="113" t="s">
        <v>272</v>
      </c>
      <c r="F201" s="93">
        <v>360733.64</v>
      </c>
      <c r="G201" s="10"/>
      <c r="J201" s="105"/>
      <c r="M201" s="105"/>
    </row>
    <row r="202" spans="1:13" x14ac:dyDescent="0.2">
      <c r="E202" s="113" t="s">
        <v>273</v>
      </c>
      <c r="F202" s="93">
        <v>79480.009999999995</v>
      </c>
      <c r="G202" s="10"/>
      <c r="J202" s="105"/>
      <c r="M202" s="105"/>
    </row>
    <row r="203" spans="1:13" x14ac:dyDescent="0.2">
      <c r="E203" s="113" t="s">
        <v>274</v>
      </c>
      <c r="F203" s="93">
        <f>869958.3-10375.73</f>
        <v>859582.57000000007</v>
      </c>
      <c r="G203" s="10"/>
      <c r="J203" s="105"/>
      <c r="M203" s="105"/>
    </row>
    <row r="204" spans="1:13" x14ac:dyDescent="0.2">
      <c r="E204" s="113" t="s">
        <v>275</v>
      </c>
      <c r="F204" s="93">
        <v>76650.570000000007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v>472852.23</v>
      </c>
      <c r="G205" s="10"/>
      <c r="J205" s="105"/>
      <c r="M205" s="105"/>
    </row>
    <row r="206" spans="1:13" x14ac:dyDescent="0.2">
      <c r="E206" s="113" t="s">
        <v>277</v>
      </c>
      <c r="F206" s="107">
        <v>477486.47</v>
      </c>
      <c r="G206" s="10"/>
      <c r="J206" s="105"/>
      <c r="M206" s="105"/>
    </row>
    <row r="207" spans="1:13" x14ac:dyDescent="0.2">
      <c r="F207" s="114">
        <f>SUM(F200:F206)</f>
        <v>5148393.9200000009</v>
      </c>
      <c r="I207" s="108"/>
      <c r="J207" s="105"/>
      <c r="M207" s="105"/>
    </row>
    <row r="208" spans="1:13" x14ac:dyDescent="0.2">
      <c r="F208" s="115">
        <f>+H198</f>
        <v>5148393.9199999981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G211" s="65">
        <v>5211528.51</v>
      </c>
      <c r="H211" s="10">
        <v>63134.59</v>
      </c>
      <c r="I211" s="108">
        <f>+G211-H211</f>
        <v>5148393.92</v>
      </c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activeCell="G13" sqref="G13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287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116741.66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281071.09-16815.18</f>
        <v>264255.91000000003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119563.08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500560.65000000008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41222.879999999997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10450.040000000001</v>
      </c>
      <c r="G15" s="20">
        <f>SUM(F14:F15)</f>
        <v>51672.92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54849.5-2920</f>
        <v>51929.5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366.03</v>
      </c>
      <c r="G18" s="38">
        <f>SUM(F16:F18)</f>
        <v>52295.53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604529.10000000009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3300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/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3300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1208903.89+122136.77+62291.72+731.84+27969.1</f>
        <v>1422033.32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f>103682.19+12492.1</f>
        <v>116174.29000000001</v>
      </c>
      <c r="G48" s="38">
        <f>SUM(F47:F48)</f>
        <v>1538207.61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302769.51+19965.37+10182.66</f>
        <v>332917.53999999998</v>
      </c>
      <c r="G51" s="40">
        <f>SUM(F51)</f>
        <v>332917.53999999998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12174.72</v>
      </c>
      <c r="G54" s="43">
        <f>+F54</f>
        <v>12174.72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227216.62+65354.53+33331.86+6688+6147.03</f>
        <v>338738.04000000004</v>
      </c>
      <c r="G63" s="43">
        <f>+F63</f>
        <v>338738.04000000004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4400</v>
      </c>
      <c r="G64" s="40">
        <f>+F64</f>
        <v>4400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46584.4+18316.85+9341.89</f>
        <v>74243.14</v>
      </c>
      <c r="G67" s="43">
        <f>+F67</f>
        <v>74243.14</v>
      </c>
      <c r="H67" s="54">
        <f>SUM(G34:G67)</f>
        <v>2303981.0500000003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120000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307500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37517.58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37517.58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f>39061.46-3048.38</f>
        <v>36013.08</v>
      </c>
      <c r="G74" s="48">
        <f t="shared" ref="G74:G80" si="0">+F74</f>
        <v>36013.08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2875.73</v>
      </c>
      <c r="G79" s="43">
        <f t="shared" si="0"/>
        <v>2875.73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8466.2000000000007</v>
      </c>
      <c r="G84" s="43">
        <f>+F84</f>
        <v>8466.2000000000007</v>
      </c>
      <c r="H84" s="54">
        <f>SUM(G69:G84)</f>
        <v>472729.73000000004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408658.57+81253.56+47811.78374+1377+3000+3740+411489.66</f>
        <v>957330.57373999991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957330.57373999991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>
        <v>9617.8700000000008</v>
      </c>
      <c r="G90" s="38">
        <f>SUM(F88:F90)</f>
        <v>9617.8700000000008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/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12236.51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6895</v>
      </c>
      <c r="G96" s="21">
        <f>SUM(F91:F96)</f>
        <v>19131.510000000002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2049.0500000000002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2049.0500000000002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2988.52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3586.19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597.70000000000005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1195.3900000000001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3586.19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11953.99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10181.25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10181.25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44060.23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v>2060.0700000000002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42442.26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v>6180.2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51000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v>2060.0700000000002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147802.83000000002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85085</v>
      </c>
      <c r="G134" s="26">
        <f>+F134</f>
        <v>85085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v>5636.37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v>5066.37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v>1140</v>
      </c>
      <c r="G141" s="21">
        <f>SUM(F135:F141)</f>
        <v>11842.74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70419.88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13480.35</v>
      </c>
      <c r="G147" s="21">
        <f>SUM(F142:F147)</f>
        <v>97418.650000000009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>
        <v>126.21</v>
      </c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F149" s="10">
        <v>6977.26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5170.99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F155" s="10">
        <v>126.21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12400.669999999998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91767.45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/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/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>
        <v>15106.3</v>
      </c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3451.72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3371.28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/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1200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41294.21-68.96+59876.97</f>
        <v>101102.22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/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v>21723.87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237722.84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22725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162.6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22887.599999999999</v>
      </c>
      <c r="H196" s="54">
        <f>SUM(G86:G196)</f>
        <v>1625424.5737399999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5006664.4537400007</v>
      </c>
      <c r="G198" s="7">
        <f>SUBTOTAL(9,G4:G197)</f>
        <v>5006664.4537400007</v>
      </c>
      <c r="H198" s="7">
        <f>SUM(H3:H197)</f>
        <v>5006664.4537400007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2552048.31-22783.56</f>
        <v>2529264.75</v>
      </c>
      <c r="G200" s="10"/>
      <c r="J200" s="105"/>
      <c r="M200" s="105"/>
    </row>
    <row r="201" spans="1:13" x14ac:dyDescent="0.2">
      <c r="E201" s="113" t="s">
        <v>272</v>
      </c>
      <c r="F201" s="93">
        <v>350942.54</v>
      </c>
      <c r="G201" s="10"/>
      <c r="J201" s="105"/>
      <c r="M201" s="105"/>
    </row>
    <row r="202" spans="1:13" x14ac:dyDescent="0.2">
      <c r="E202" s="113" t="s">
        <v>273</v>
      </c>
      <c r="F202" s="93">
        <v>116174.29</v>
      </c>
      <c r="G202" s="10"/>
      <c r="J202" s="105"/>
      <c r="M202" s="105"/>
    </row>
    <row r="203" spans="1:13" x14ac:dyDescent="0.2">
      <c r="E203" s="113" t="s">
        <v>274</v>
      </c>
      <c r="F203" s="93">
        <f>877899.62-68.96</f>
        <v>877830.66</v>
      </c>
      <c r="G203" s="10"/>
      <c r="J203" s="105"/>
      <c r="M203" s="105"/>
    </row>
    <row r="204" spans="1:13" x14ac:dyDescent="0.2">
      <c r="E204" s="113" t="s">
        <v>275</v>
      </c>
      <c r="F204" s="93">
        <v>92843.26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v>483157.32</v>
      </c>
      <c r="G205" s="10"/>
      <c r="J205" s="105"/>
      <c r="M205" s="105"/>
    </row>
    <row r="206" spans="1:13" x14ac:dyDescent="0.2">
      <c r="E206" s="113" t="s">
        <v>277</v>
      </c>
      <c r="F206" s="107">
        <v>556451.63</v>
      </c>
      <c r="G206" s="10"/>
      <c r="J206" s="105"/>
      <c r="M206" s="105"/>
    </row>
    <row r="207" spans="1:13" x14ac:dyDescent="0.2">
      <c r="F207" s="114">
        <f>SUM(F200:F206)</f>
        <v>5006664.45</v>
      </c>
      <c r="I207" s="108"/>
      <c r="J207" s="105"/>
      <c r="M207" s="105"/>
    </row>
    <row r="208" spans="1:13" x14ac:dyDescent="0.2">
      <c r="F208" s="115">
        <f>+H198</f>
        <v>5006664.4537400007</v>
      </c>
      <c r="J208" s="105"/>
    </row>
    <row r="209" spans="5:10" x14ac:dyDescent="0.2">
      <c r="F209" s="107">
        <f>+F207-F208</f>
        <v>-3.7400005385279655E-3</v>
      </c>
      <c r="J209" s="105"/>
    </row>
    <row r="210" spans="5:10" x14ac:dyDescent="0.2">
      <c r="J210" s="105"/>
    </row>
    <row r="211" spans="5:10" x14ac:dyDescent="0.2">
      <c r="G211" s="65">
        <v>5211528.51</v>
      </c>
      <c r="H211" s="10">
        <v>63134.59</v>
      </c>
      <c r="I211" s="108">
        <f>+G211-H211</f>
        <v>5148393.92</v>
      </c>
      <c r="J211" s="105"/>
    </row>
    <row r="214" spans="5:10" x14ac:dyDescent="0.2">
      <c r="E214" s="9"/>
      <c r="F214" s="116"/>
    </row>
  </sheetData>
  <autoFilter ref="A4:H196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178" workbookViewId="0">
      <selection activeCell="A178"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288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>
        <v>287.31</v>
      </c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94271.07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304015.42-568.56</f>
        <v>303446.86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f>189656.03-29174.67</f>
        <v>160481.35999999999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>
        <v>8400</v>
      </c>
      <c r="G13" s="29">
        <f>SUM(F7:F13)</f>
        <v>566886.6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65621.710000000006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14050.66</v>
      </c>
      <c r="G15" s="20">
        <f>SUM(F14:F15)</f>
        <v>79672.37000000001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98689.69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405.95</v>
      </c>
      <c r="G18" s="38">
        <f>SUM(F16:F18)</f>
        <v>99095.64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>
        <v>4438.79</v>
      </c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4438.79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750093.4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62260.41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>
        <v>2924.46</v>
      </c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65184.87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1127187.5+105741.94+365.75+156219.11</f>
        <v>1389514.2999999998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f>80038.44+6739.15</f>
        <v>86777.59</v>
      </c>
      <c r="G48" s="38">
        <f>SUM(F47:F48)</f>
        <v>1476291.89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140618+19930.13+6093.97</f>
        <v>166642.1</v>
      </c>
      <c r="G51" s="40">
        <f>SUM(F51)</f>
        <v>166642.1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15317.43</v>
      </c>
      <c r="G54" s="43">
        <f>+F54</f>
        <v>15317.43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>
        <v>3092.86</v>
      </c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3092.86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194362.56+20388.09+8946.3+93276.73</f>
        <v>316973.68</v>
      </c>
      <c r="G63" s="43">
        <f>+F63</f>
        <v>316973.68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1849.75</v>
      </c>
      <c r="G64" s="40">
        <f>+F64</f>
        <v>1849.75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62561.41+4586.43</f>
        <v>67147.839999999997</v>
      </c>
      <c r="G67" s="43">
        <f>+F67</f>
        <v>67147.839999999997</v>
      </c>
      <c r="H67" s="54">
        <f>SUM(G34:G67)</f>
        <v>2112500.42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120000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307500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36205.89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36205.89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36803.910000000003</v>
      </c>
      <c r="G74" s="48">
        <f t="shared" ref="G74:G80" si="0">+F74</f>
        <v>36803.910000000003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3185.15</v>
      </c>
      <c r="G79" s="43">
        <f t="shared" si="0"/>
        <v>3185.15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9555.42</v>
      </c>
      <c r="G84" s="43">
        <f>+F84</f>
        <v>9555.42</v>
      </c>
      <c r="H84" s="54">
        <f>SUM(G69:G84)</f>
        <v>473607.51000000007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402463.83+38363.94+2200+563085.1</f>
        <v>1006112.87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1006112.87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2250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9723.93-17.67</f>
        <v>9706.26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274.89999999999998</v>
      </c>
      <c r="G96" s="21">
        <f>SUM(F91:F96)</f>
        <v>12231.16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8778.84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8778.84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2051.41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2461.71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410.29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820.58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2461.7199999999998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8205.7099999999991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500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500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34106.31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v>3099.91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50804.24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v>9299.74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v>51000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v>3099.91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151410.11000000002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F134" s="10">
        <v>39958.449999999997</v>
      </c>
      <c r="G134" s="26">
        <f>+F134</f>
        <v>39958.449999999997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>
        <f>862.37-463.12</f>
        <v>399.25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F137" s="10">
        <f>862.37-463.12</f>
        <v>399.25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>
        <f>739.18-396.96</f>
        <v>342.21999999999997</v>
      </c>
      <c r="G141" s="21">
        <f>SUM(F135:F141)</f>
        <v>1140.72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73794.2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13552.52</v>
      </c>
      <c r="G147" s="21">
        <f>SUM(F142:F147)</f>
        <v>100865.14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13046.03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13046.03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3861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v>42221.88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362.5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v>1436.48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v>8280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>
        <v>357.01</v>
      </c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>
        <v>5281.26</v>
      </c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6200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33561.79-3332.76+52467.59</f>
        <v>82696.62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>
        <v>243.03</v>
      </c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>
        <v>450</v>
      </c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>
        <v>1053.25</v>
      </c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>
        <v>2010.27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f>3168.76+10498.84</f>
        <v>13667.6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168120.9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188.19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>
        <v>35.29</v>
      </c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/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>
        <v>13.28</v>
      </c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>
        <v>48.78</v>
      </c>
      <c r="G196" s="21">
        <f>SUM(F192:F196)</f>
        <v>285.53999999999996</v>
      </c>
      <c r="H196" s="54">
        <f>SUM(G86:G196)</f>
        <v>1510655.4699999997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4846856.8000000007</v>
      </c>
      <c r="G198" s="7">
        <f>SUBTOTAL(9,G4:G197)</f>
        <v>4846856.8000000007</v>
      </c>
      <c r="H198" s="7">
        <f>SUM(H3:H197)</f>
        <v>4846856.8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2643252.79-30206.35</f>
        <v>2613046.44</v>
      </c>
      <c r="G200" s="10"/>
      <c r="J200" s="105"/>
      <c r="M200" s="105"/>
    </row>
    <row r="201" spans="1:13" x14ac:dyDescent="0.2">
      <c r="E201" s="113" t="s">
        <v>272</v>
      </c>
      <c r="F201" s="93">
        <v>198700.57</v>
      </c>
      <c r="G201" s="10"/>
      <c r="J201" s="105"/>
      <c r="M201" s="105"/>
    </row>
    <row r="202" spans="1:13" x14ac:dyDescent="0.2">
      <c r="E202" s="113" t="s">
        <v>273</v>
      </c>
      <c r="F202" s="93">
        <v>86777.59</v>
      </c>
      <c r="G202" s="10"/>
      <c r="J202" s="105"/>
      <c r="M202" s="105"/>
    </row>
    <row r="203" spans="1:13" x14ac:dyDescent="0.2">
      <c r="E203" s="113" t="s">
        <v>274</v>
      </c>
      <c r="F203" s="93">
        <f>705821.78-3813.55</f>
        <v>702008.23</v>
      </c>
      <c r="G203" s="10"/>
      <c r="J203" s="105"/>
      <c r="M203" s="105"/>
    </row>
    <row r="204" spans="1:13" x14ac:dyDescent="0.2">
      <c r="E204" s="113" t="s">
        <v>275</v>
      </c>
      <c r="F204" s="93">
        <v>85428.65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454781.14-396.96</f>
        <v>454384.18</v>
      </c>
      <c r="G205" s="10"/>
      <c r="J205" s="105"/>
      <c r="M205" s="105"/>
    </row>
    <row r="206" spans="1:13" x14ac:dyDescent="0.2">
      <c r="E206" s="113" t="s">
        <v>277</v>
      </c>
      <c r="F206" s="107">
        <v>706511.14</v>
      </c>
      <c r="G206" s="10"/>
      <c r="J206" s="105"/>
      <c r="M206" s="105"/>
    </row>
    <row r="207" spans="1:13" x14ac:dyDescent="0.2">
      <c r="F207" s="114">
        <f>SUM(F200:F206)</f>
        <v>4846856.8</v>
      </c>
      <c r="I207" s="108"/>
      <c r="J207" s="105"/>
      <c r="M207" s="105"/>
    </row>
    <row r="208" spans="1:13" x14ac:dyDescent="0.2">
      <c r="F208" s="115">
        <f>+H198</f>
        <v>4846856.8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I211" s="108"/>
      <c r="J211" s="105"/>
    </row>
    <row r="214" spans="5:10" x14ac:dyDescent="0.2">
      <c r="E214" s="9"/>
      <c r="F214" s="116"/>
    </row>
  </sheetData>
  <autoFilter ref="A4:I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sqref="A1:XFD1048576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1.28515625" style="107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289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72380.149999999994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f>107433.51-6105.6</f>
        <v>101327.90999999999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>
        <v>7795.8</v>
      </c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f>128014.9-22036.36</f>
        <v>105978.54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287482.39999999997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60824.17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5914.52</v>
      </c>
      <c r="G15" s="20">
        <f>SUM(F14:F15)</f>
        <v>66738.69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v>30450.95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2671.8</v>
      </c>
      <c r="G18" s="38">
        <f>SUM(F16:F18)</f>
        <v>33122.75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/>
      <c r="G22" s="38">
        <f>SUM(F21:F22)</f>
        <v>0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>
        <v>989.21</v>
      </c>
      <c r="G28" s="43">
        <f>SUM(F28)</f>
        <v>989.21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388333.05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33109.9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>
        <v>2918.1</v>
      </c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36028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F38" s="10">
        <v>355.17</v>
      </c>
      <c r="G38" s="43">
        <f>SUM(F38)</f>
        <v>355.17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/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0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/>
      <c r="G42" s="48">
        <f>SUM(F42)</f>
        <v>0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1702613.12-510006.19+101462.48+200142.67+365.75+232940.67</f>
        <v>1727518.5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76582.289999999994</v>
      </c>
      <c r="G48" s="38">
        <f>SUM(F47:F48)</f>
        <v>1804100.79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296847.95+14646.22+30886.44+50146.67</f>
        <v>392527.27999999997</v>
      </c>
      <c r="G51" s="40">
        <f>SUM(F51)</f>
        <v>392527.27999999997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f>13559.9-6142.23</f>
        <v>7417.67</v>
      </c>
      <c r="G54" s="43">
        <f>+F54</f>
        <v>7417.67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/>
      <c r="G61" s="43">
        <f>+F61</f>
        <v>0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278596.88+23670.6+47503.51+10560+2565.87</f>
        <v>362896.86</v>
      </c>
      <c r="G63" s="43">
        <f>+F63</f>
        <v>362896.86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11491.12</v>
      </c>
      <c r="G64" s="40">
        <f>+F64</f>
        <v>11491.12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57284.17+4647.79+9477.93</f>
        <v>71409.89</v>
      </c>
      <c r="G67" s="43">
        <f>+F67</f>
        <v>71409.89</v>
      </c>
      <c r="H67" s="54">
        <f>SUM(G34:G67)</f>
        <v>2686226.78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283</v>
      </c>
      <c r="F70" s="10">
        <v>170000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357499.99999999994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47273.27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47273.27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30411.71</v>
      </c>
      <c r="G74" s="48">
        <f t="shared" ref="G74:G80" si="0">+F74</f>
        <v>30411.71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4202.25</v>
      </c>
      <c r="G79" s="43">
        <f t="shared" si="0"/>
        <v>4202.25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12606.72</v>
      </c>
      <c r="G84" s="43">
        <f>+F84</f>
        <v>12606.72</v>
      </c>
      <c r="H84" s="54">
        <f>SUM(G69:G84)</f>
        <v>532351.09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399315.33+33042.1+70502.98+1980+5747.14+262224.95</f>
        <v>772812.5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/>
      <c r="G87" s="38">
        <f>SUM(F86:F87)</f>
        <v>772812.5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/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>
        <v>4300</v>
      </c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v>14686.31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3300</v>
      </c>
      <c r="G96" s="21">
        <f>SUM(F91:F96)</f>
        <v>22286.309999999998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2526.02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2526.02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3682.65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4419.1499999999996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736.54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1473.05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4419.1499999999996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10">
        <v>14882</v>
      </c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29612.54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10">
        <v>22436.21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22436.21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110078.39999999999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v>496.61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>
        <v>1600</v>
      </c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10">
        <v>10297.59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95">
        <v>1489.82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>
        <f>1600+51000</f>
        <v>52600</v>
      </c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v>496.61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>
        <v>800</v>
      </c>
      <c r="G132" s="21">
        <f>SUM(F123:F132)</f>
        <v>177859.02999999997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279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190</v>
      </c>
      <c r="E134" s="50" t="s">
        <v>278</v>
      </c>
      <c r="G134" s="26">
        <f>+F134</f>
        <v>0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191</v>
      </c>
      <c r="E135" s="13" t="s">
        <v>94</v>
      </c>
      <c r="F135" s="100"/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192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193</v>
      </c>
      <c r="E137" s="25" t="s">
        <v>94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194</v>
      </c>
      <c r="E138" s="25" t="s">
        <v>195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196</v>
      </c>
      <c r="E139" s="25" t="s">
        <v>197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198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199</v>
      </c>
      <c r="E141" s="19" t="s">
        <v>94</v>
      </c>
      <c r="F141" s="20"/>
      <c r="G141" s="21">
        <f>SUM(F135:F141)</f>
        <v>0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200</v>
      </c>
      <c r="E142" s="13" t="s">
        <v>201</v>
      </c>
      <c r="F142" s="31">
        <v>8979.89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202</v>
      </c>
      <c r="E143" s="25" t="s">
        <v>203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204</v>
      </c>
      <c r="E144" s="25" t="s">
        <v>201</v>
      </c>
      <c r="F144" s="10">
        <v>74319.039999999994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205</v>
      </c>
      <c r="E145" s="25" t="s">
        <v>206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207</v>
      </c>
      <c r="E146" s="25" t="s">
        <v>201</v>
      </c>
      <c r="F146" s="27">
        <v>4538.53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208</v>
      </c>
      <c r="E147" s="19" t="s">
        <v>201</v>
      </c>
      <c r="F147" s="20">
        <v>14756</v>
      </c>
      <c r="G147" s="21">
        <f>SUM(F142:F147)</f>
        <v>102593.45999999999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209</v>
      </c>
      <c r="E148" s="13" t="s">
        <v>210</v>
      </c>
      <c r="F148" s="31">
        <v>4643</v>
      </c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211</v>
      </c>
      <c r="E149" s="25" t="s">
        <v>210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212</v>
      </c>
      <c r="E150" s="25" t="s">
        <v>213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214</v>
      </c>
      <c r="E151" s="25" t="s">
        <v>213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215</v>
      </c>
      <c r="E152" s="25" t="s">
        <v>210</v>
      </c>
      <c r="F152" s="10">
        <v>9115.2800000000007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216</v>
      </c>
      <c r="E153" s="25" t="s">
        <v>213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217</v>
      </c>
      <c r="E154" s="25" t="s">
        <v>210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218</v>
      </c>
      <c r="E155" s="25" t="s">
        <v>210</v>
      </c>
      <c r="F155" s="10">
        <v>4643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219</v>
      </c>
      <c r="E156" s="19" t="s">
        <v>213</v>
      </c>
      <c r="F156" s="20"/>
      <c r="G156" s="26">
        <f>SUM(F148:F156)</f>
        <v>18401.28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220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221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222</v>
      </c>
      <c r="E159" s="13" t="s">
        <v>223</v>
      </c>
      <c r="F159" s="102">
        <v>18137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224</v>
      </c>
      <c r="E160" s="25" t="s">
        <v>225</v>
      </c>
      <c r="F160" s="103">
        <f>41911.53+2183.7</f>
        <v>44095.229999999996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226</v>
      </c>
      <c r="E161" s="25" t="s">
        <v>227</v>
      </c>
      <c r="F161" s="103">
        <v>59.09</v>
      </c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228</v>
      </c>
      <c r="E162" s="25" t="s">
        <v>18</v>
      </c>
      <c r="F162" s="103">
        <v>1694.42</v>
      </c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229</v>
      </c>
      <c r="E163" s="25" t="s">
        <v>223</v>
      </c>
      <c r="F163" s="103">
        <v>239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230</v>
      </c>
      <c r="E164" s="25" t="s">
        <v>225</v>
      </c>
      <c r="F164" s="103">
        <f>6297.59+500</f>
        <v>6797.59</v>
      </c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231</v>
      </c>
      <c r="E165" s="25" t="s">
        <v>225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232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233</v>
      </c>
      <c r="E167" s="25" t="s">
        <v>234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235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236</v>
      </c>
      <c r="E169" s="25" t="s">
        <v>237</v>
      </c>
      <c r="F169" s="103">
        <f>12604.81-713.09</f>
        <v>11891.72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238</v>
      </c>
      <c r="E170" s="25" t="s">
        <v>237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239</v>
      </c>
      <c r="E171" s="25" t="s">
        <v>237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240</v>
      </c>
      <c r="E172" s="25" t="s">
        <v>237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241</v>
      </c>
      <c r="E173" s="25" t="s">
        <v>237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242</v>
      </c>
      <c r="E174" s="25" t="s">
        <v>243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244</v>
      </c>
      <c r="E175" s="25" t="s">
        <v>223</v>
      </c>
      <c r="F175" s="103"/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245</v>
      </c>
      <c r="E176" s="25" t="s">
        <v>246</v>
      </c>
      <c r="F176" s="103">
        <v>8472.08</v>
      </c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247</v>
      </c>
      <c r="E177" s="25" t="s">
        <v>248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249</v>
      </c>
      <c r="E178" s="25" t="s">
        <v>246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250</v>
      </c>
      <c r="E179" s="25" t="s">
        <v>248</v>
      </c>
      <c r="F179" s="104">
        <v>1000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251</v>
      </c>
      <c r="E180" s="25" t="s">
        <v>248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252</v>
      </c>
      <c r="E181" s="25" t="s">
        <v>248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253</v>
      </c>
      <c r="E182" s="25" t="s">
        <v>254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255</v>
      </c>
      <c r="E183" s="25" t="s">
        <v>225</v>
      </c>
      <c r="F183" s="95">
        <f>11257.99+86081.81</f>
        <v>97339.8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256</v>
      </c>
      <c r="E184" s="25" t="s">
        <v>227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257</v>
      </c>
      <c r="E185" s="25" t="s">
        <v>18</v>
      </c>
      <c r="F185" s="103">
        <v>2299.56</v>
      </c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258</v>
      </c>
      <c r="E186" s="25" t="s">
        <v>223</v>
      </c>
      <c r="F186" s="103">
        <v>412</v>
      </c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259</v>
      </c>
      <c r="E187" s="25" t="s">
        <v>225</v>
      </c>
      <c r="F187" s="103"/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260</v>
      </c>
      <c r="E188" s="25" t="s">
        <v>18</v>
      </c>
      <c r="F188" s="103">
        <v>5083.25</v>
      </c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261</v>
      </c>
      <c r="E189" s="25" t="s">
        <v>223</v>
      </c>
      <c r="F189" s="103"/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262</v>
      </c>
      <c r="E190" s="25" t="s">
        <v>225</v>
      </c>
      <c r="F190" s="104">
        <f>27493.7-705.17</f>
        <v>26788.530000000002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263</v>
      </c>
      <c r="E191" s="19" t="s">
        <v>264</v>
      </c>
      <c r="F191" s="32"/>
      <c r="G191" s="21">
        <f>SUM(F159:F191)</f>
        <v>224309.27</v>
      </c>
      <c r="H191" s="16"/>
      <c r="M191" s="105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265</v>
      </c>
      <c r="E192" s="13" t="s">
        <v>266</v>
      </c>
      <c r="F192" s="106">
        <v>9962.02</v>
      </c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267</v>
      </c>
      <c r="E193" s="25" t="s">
        <v>266</v>
      </c>
      <c r="F193" s="103">
        <v>63</v>
      </c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268</v>
      </c>
      <c r="E194" s="25" t="s">
        <v>266</v>
      </c>
      <c r="F194" s="103">
        <v>122.09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269</v>
      </c>
      <c r="E195" s="25" t="s">
        <v>266</v>
      </c>
      <c r="F195" s="103">
        <v>81.3</v>
      </c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270</v>
      </c>
      <c r="E196" s="19" t="s">
        <v>266</v>
      </c>
      <c r="F196" s="32"/>
      <c r="G196" s="21">
        <f>SUM(F192:F196)</f>
        <v>10228.41</v>
      </c>
      <c r="H196" s="54">
        <f>SUM(G86:G196)</f>
        <v>1383065.03</v>
      </c>
      <c r="M196" s="105"/>
    </row>
    <row r="197" spans="1:13" x14ac:dyDescent="0.2">
      <c r="D197" s="50"/>
      <c r="G197" s="10"/>
      <c r="I197" s="108"/>
      <c r="M197" s="105"/>
    </row>
    <row r="198" spans="1:13" x14ac:dyDescent="0.2">
      <c r="D198" s="50"/>
      <c r="E198" s="109"/>
      <c r="F198" s="7">
        <f>SUBTOTAL(9,F4:F197)</f>
        <v>4989975.95</v>
      </c>
      <c r="G198" s="7">
        <f>SUBTOTAL(9,G4:G197)</f>
        <v>4989975.9499999993</v>
      </c>
      <c r="H198" s="7">
        <f>SUM(H3:H197)</f>
        <v>4989975.9499999993</v>
      </c>
      <c r="I198" s="110"/>
      <c r="J198" s="111"/>
      <c r="M198" s="105"/>
    </row>
    <row r="199" spans="1:13" x14ac:dyDescent="0.2">
      <c r="B199" s="57"/>
      <c r="D199" s="50"/>
      <c r="G199" s="112"/>
      <c r="M199" s="105"/>
    </row>
    <row r="200" spans="1:13" x14ac:dyDescent="0.2">
      <c r="B200" s="57"/>
      <c r="D200" s="50"/>
      <c r="E200" s="113" t="s">
        <v>271</v>
      </c>
      <c r="F200" s="93">
        <f>3285721.88-538861.24</f>
        <v>2746860.6399999997</v>
      </c>
      <c r="G200" s="10"/>
      <c r="J200" s="105"/>
      <c r="M200" s="105"/>
    </row>
    <row r="201" spans="1:13" x14ac:dyDescent="0.2">
      <c r="E201" s="113" t="s">
        <v>272</v>
      </c>
      <c r="F201" s="93">
        <v>415190.45</v>
      </c>
      <c r="G201" s="10"/>
      <c r="J201" s="105"/>
      <c r="M201" s="105"/>
    </row>
    <row r="202" spans="1:13" x14ac:dyDescent="0.2">
      <c r="E202" s="113" t="s">
        <v>273</v>
      </c>
      <c r="F202" s="93">
        <v>76582.289999999994</v>
      </c>
      <c r="G202" s="10"/>
      <c r="J202" s="105"/>
      <c r="M202" s="105"/>
    </row>
    <row r="203" spans="1:13" x14ac:dyDescent="0.2">
      <c r="E203" s="113" t="s">
        <v>274</v>
      </c>
      <c r="F203" s="93">
        <v>731451.88</v>
      </c>
      <c r="G203" s="10"/>
      <c r="J203" s="105"/>
      <c r="M203" s="105"/>
    </row>
    <row r="204" spans="1:13" x14ac:dyDescent="0.2">
      <c r="E204" s="113" t="s">
        <v>275</v>
      </c>
      <c r="F204" s="93">
        <v>104312.17</v>
      </c>
      <c r="G204" s="10"/>
      <c r="I204" s="108"/>
      <c r="J204" s="105"/>
      <c r="M204" s="105"/>
    </row>
    <row r="205" spans="1:13" x14ac:dyDescent="0.2">
      <c r="E205" s="113" t="s">
        <v>276</v>
      </c>
      <c r="F205" s="93">
        <f>522997.07-6847.4</f>
        <v>516149.67</v>
      </c>
      <c r="G205" s="10"/>
      <c r="J205" s="105"/>
      <c r="M205" s="105"/>
    </row>
    <row r="206" spans="1:13" x14ac:dyDescent="0.2">
      <c r="E206" s="113" t="s">
        <v>277</v>
      </c>
      <c r="F206" s="107">
        <v>399428.85</v>
      </c>
      <c r="G206" s="10"/>
      <c r="J206" s="105"/>
      <c r="M206" s="105"/>
    </row>
    <row r="207" spans="1:13" x14ac:dyDescent="0.2">
      <c r="F207" s="114">
        <f>SUM(F200:F206)</f>
        <v>4989975.9499999993</v>
      </c>
      <c r="I207" s="108"/>
      <c r="J207" s="105"/>
      <c r="M207" s="105"/>
    </row>
    <row r="208" spans="1:13" x14ac:dyDescent="0.2">
      <c r="F208" s="115">
        <f>+H198</f>
        <v>4989975.9499999993</v>
      </c>
      <c r="J208" s="105"/>
    </row>
    <row r="209" spans="5:10" x14ac:dyDescent="0.2">
      <c r="F209" s="107">
        <f>+F207-F208</f>
        <v>0</v>
      </c>
      <c r="J209" s="105"/>
    </row>
    <row r="210" spans="5:10" x14ac:dyDescent="0.2">
      <c r="J210" s="105"/>
    </row>
    <row r="211" spans="5:10" x14ac:dyDescent="0.2">
      <c r="I211" s="108"/>
      <c r="J211" s="105"/>
    </row>
    <row r="214" spans="5:10" x14ac:dyDescent="0.2">
      <c r="E214" s="9"/>
      <c r="F214" s="116"/>
    </row>
  </sheetData>
  <autoFilter ref="A4:I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ljimenez</cp:lastModifiedBy>
  <cp:lastPrinted>2018-01-10T00:14:28Z</cp:lastPrinted>
  <dcterms:created xsi:type="dcterms:W3CDTF">2017-02-09T23:55:30Z</dcterms:created>
  <dcterms:modified xsi:type="dcterms:W3CDTF">2018-02-12T23:38:06Z</dcterms:modified>
</cp:coreProperties>
</file>