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/>
  </bookViews>
  <sheets>
    <sheet name="FORMATO NOMINA" sheetId="4" r:id="rId1"/>
    <sheet name="Hoja2" sheetId="6" r:id="rId2"/>
  </sheets>
  <definedNames>
    <definedName name="_xlnm._FilterDatabase" localSheetId="0" hidden="1">'FORMATO NOMINA'!$A$5:$AH$57</definedName>
  </definedNames>
  <calcPr calcId="144525"/>
</workbook>
</file>

<file path=xl/calcChain.xml><?xml version="1.0" encoding="utf-8"?>
<calcChain xmlns="http://schemas.openxmlformats.org/spreadsheetml/2006/main">
  <c r="F37" i="4" l="1"/>
  <c r="F30" i="4"/>
  <c r="F65" i="4" l="1"/>
  <c r="F84" i="4"/>
  <c r="F86" i="4"/>
  <c r="F80" i="4"/>
  <c r="F78" i="4"/>
  <c r="F100" i="4"/>
  <c r="F92" i="4"/>
  <c r="F93" i="4"/>
  <c r="F70" i="4"/>
  <c r="F73" i="4"/>
  <c r="F69" i="4"/>
  <c r="F87" i="4"/>
  <c r="F71" i="4"/>
  <c r="F97" i="4"/>
  <c r="F67" i="4"/>
  <c r="F98" i="4"/>
  <c r="F83" i="4"/>
  <c r="F64" i="4"/>
  <c r="F94" i="4"/>
  <c r="F99" i="4"/>
  <c r="F79" i="4"/>
  <c r="F85" i="4"/>
  <c r="F88" i="4"/>
  <c r="F91" i="4"/>
  <c r="F75" i="4"/>
  <c r="F82" i="4"/>
  <c r="F72" i="4"/>
  <c r="F77" i="4"/>
  <c r="F63" i="4"/>
  <c r="J16" i="4" l="1"/>
  <c r="W16" i="4" s="1"/>
  <c r="AB48" i="4" l="1"/>
  <c r="J48" i="4"/>
  <c r="W48" i="4" s="1"/>
  <c r="X48" i="4" l="1"/>
  <c r="Y48" i="4" s="1"/>
  <c r="AF48" i="4" s="1"/>
  <c r="Z48" i="4"/>
  <c r="AC48" i="4" s="1"/>
  <c r="J44" i="4" l="1"/>
  <c r="W44" i="4" s="1"/>
  <c r="J12" i="4"/>
  <c r="K104" i="4" l="1"/>
  <c r="J20" i="4" l="1"/>
  <c r="F59" i="4" l="1"/>
  <c r="G59" i="4"/>
  <c r="H59" i="4"/>
  <c r="I59" i="4"/>
  <c r="K59" i="4"/>
  <c r="L59" i="4"/>
  <c r="M59" i="4"/>
  <c r="N59" i="4"/>
  <c r="O59" i="4"/>
  <c r="P59" i="4"/>
  <c r="Q59" i="4"/>
  <c r="R59" i="4"/>
  <c r="S59" i="4"/>
  <c r="T59" i="4"/>
  <c r="U59" i="4"/>
  <c r="V59" i="4"/>
  <c r="E59" i="4"/>
  <c r="W20" i="4"/>
  <c r="J35" i="4"/>
  <c r="W35" i="4" s="1"/>
  <c r="J95" i="4" l="1"/>
  <c r="W95" i="4" s="1"/>
  <c r="J96" i="4"/>
  <c r="W96" i="4" s="1"/>
  <c r="J97" i="4" l="1"/>
  <c r="U104" i="4" l="1"/>
  <c r="V104" i="4" l="1"/>
  <c r="J73" i="4"/>
  <c r="J74" i="4"/>
  <c r="W74" i="4" s="1"/>
  <c r="J75" i="4"/>
  <c r="W75" i="4" s="1"/>
  <c r="J76" i="4"/>
  <c r="W76" i="4" s="1"/>
  <c r="J77" i="4"/>
  <c r="W77" i="4" s="1"/>
  <c r="J78" i="4"/>
  <c r="W78" i="4" s="1"/>
  <c r="J79" i="4"/>
  <c r="W79" i="4" s="1"/>
  <c r="J80" i="4"/>
  <c r="W80" i="4" s="1"/>
  <c r="J81" i="4"/>
  <c r="W81" i="4" s="1"/>
  <c r="F104" i="4"/>
  <c r="G104" i="4"/>
  <c r="H104" i="4"/>
  <c r="I104" i="4"/>
  <c r="L104" i="4"/>
  <c r="M104" i="4"/>
  <c r="N104" i="4"/>
  <c r="O104" i="4"/>
  <c r="P104" i="4"/>
  <c r="Q104" i="4"/>
  <c r="R104" i="4"/>
  <c r="S104" i="4"/>
  <c r="T104" i="4"/>
  <c r="E104" i="4"/>
  <c r="J102" i="4"/>
  <c r="W102" i="4" s="1"/>
  <c r="J34" i="4" l="1"/>
  <c r="W34" i="4" s="1"/>
  <c r="J19" i="4"/>
  <c r="W19" i="4" s="1"/>
  <c r="J55" i="4"/>
  <c r="W55" i="4" s="1"/>
  <c r="J56" i="4"/>
  <c r="J57" i="4"/>
  <c r="W57" i="4" s="1"/>
  <c r="J38" i="4"/>
  <c r="W38" i="4" s="1"/>
  <c r="J39" i="4"/>
  <c r="W39" i="4" s="1"/>
  <c r="J40" i="4"/>
  <c r="W40" i="4" s="1"/>
  <c r="J41" i="4"/>
  <c r="W41" i="4" s="1"/>
  <c r="J42" i="4"/>
  <c r="W42" i="4" s="1"/>
  <c r="J43" i="4"/>
  <c r="W43" i="4" s="1"/>
  <c r="J45" i="4"/>
  <c r="W45" i="4" s="1"/>
  <c r="J46" i="4"/>
  <c r="W46" i="4" s="1"/>
  <c r="J47" i="4"/>
  <c r="W47" i="4" s="1"/>
  <c r="J49" i="4"/>
  <c r="W49" i="4" s="1"/>
  <c r="J50" i="4"/>
  <c r="W50" i="4" s="1"/>
  <c r="J51" i="4"/>
  <c r="W51" i="4" s="1"/>
  <c r="J52" i="4"/>
  <c r="W52" i="4" s="1"/>
  <c r="J53" i="4"/>
  <c r="W53" i="4" s="1"/>
  <c r="J54" i="4"/>
  <c r="W54" i="4" s="1"/>
  <c r="J25" i="4"/>
  <c r="W25" i="4" s="1"/>
  <c r="J26" i="4"/>
  <c r="W26" i="4" s="1"/>
  <c r="J27" i="4"/>
  <c r="W27" i="4" s="1"/>
  <c r="J28" i="4"/>
  <c r="W28" i="4" s="1"/>
  <c r="J29" i="4"/>
  <c r="W29" i="4" s="1"/>
  <c r="J30" i="4"/>
  <c r="W30" i="4" s="1"/>
  <c r="J31" i="4"/>
  <c r="W31" i="4" s="1"/>
  <c r="J32" i="4"/>
  <c r="W32" i="4" s="1"/>
  <c r="J33" i="4"/>
  <c r="W33" i="4" s="1"/>
  <c r="J36" i="4"/>
  <c r="W36" i="4" s="1"/>
  <c r="J37" i="4"/>
  <c r="W37" i="4" s="1"/>
  <c r="J9" i="4"/>
  <c r="W9" i="4" s="1"/>
  <c r="J10" i="4"/>
  <c r="W10" i="4" s="1"/>
  <c r="J11" i="4"/>
  <c r="W11" i="4" s="1"/>
  <c r="J13" i="4"/>
  <c r="W13" i="4" s="1"/>
  <c r="J14" i="4"/>
  <c r="W14" i="4" s="1"/>
  <c r="J15" i="4"/>
  <c r="W15" i="4" s="1"/>
  <c r="J17" i="4"/>
  <c r="W17" i="4" s="1"/>
  <c r="J18" i="4"/>
  <c r="W18" i="4" s="1"/>
  <c r="J21" i="4"/>
  <c r="W21" i="4" s="1"/>
  <c r="J22" i="4"/>
  <c r="J23" i="4"/>
  <c r="W23" i="4" s="1"/>
  <c r="J24" i="4"/>
  <c r="W24" i="4" s="1"/>
  <c r="W22" i="4" l="1"/>
  <c r="J101" i="4"/>
  <c r="W101" i="4" s="1"/>
  <c r="J91" i="4" l="1"/>
  <c r="J98" i="4" l="1"/>
  <c r="J94" i="4"/>
  <c r="W94" i="4" s="1"/>
  <c r="J62" i="4"/>
  <c r="W62" i="4" l="1"/>
  <c r="J99" i="4"/>
  <c r="W99" i="4" s="1"/>
  <c r="J114" i="4" l="1"/>
  <c r="W114" i="4" s="1"/>
  <c r="J65" i="4" l="1"/>
  <c r="J8" i="4" l="1"/>
  <c r="J7" i="4"/>
  <c r="W8" i="4" l="1"/>
  <c r="J59" i="4"/>
  <c r="J85" i="4"/>
  <c r="W85" i="4" s="1"/>
  <c r="J86" i="4"/>
  <c r="W86" i="4" s="1"/>
  <c r="J87" i="4"/>
  <c r="J82" i="4"/>
  <c r="W82" i="4" s="1"/>
  <c r="J83" i="4" l="1"/>
  <c r="W83" i="4" s="1"/>
  <c r="J84" i="4"/>
  <c r="W84" i="4" s="1"/>
  <c r="J88" i="4"/>
  <c r="W88" i="4" s="1"/>
  <c r="J89" i="4"/>
  <c r="W89" i="4" s="1"/>
  <c r="J90" i="4"/>
  <c r="W90" i="4" s="1"/>
  <c r="W91" i="4"/>
  <c r="J67" i="4"/>
  <c r="W67" i="4" s="1"/>
  <c r="J68" i="4"/>
  <c r="W68" i="4" s="1"/>
  <c r="J69" i="4"/>
  <c r="W69" i="4" s="1"/>
  <c r="J70" i="4"/>
  <c r="W70" i="4" s="1"/>
  <c r="AB82" i="4" l="1"/>
  <c r="Z24" i="4"/>
  <c r="X24" i="4" l="1"/>
  <c r="J72" i="4" l="1"/>
  <c r="W72" i="4" s="1"/>
  <c r="J113" i="4" l="1"/>
  <c r="W113" i="4" s="1"/>
  <c r="J110" i="4"/>
  <c r="W110" i="4" s="1"/>
  <c r="J111" i="4"/>
  <c r="W111" i="4" s="1"/>
  <c r="J112" i="4"/>
  <c r="W112" i="4" s="1"/>
  <c r="J64" i="4"/>
  <c r="W65" i="4"/>
  <c r="J66" i="4"/>
  <c r="W66" i="4" s="1"/>
  <c r="J71" i="4"/>
  <c r="W71" i="4" s="1"/>
  <c r="W73" i="4"/>
  <c r="J92" i="4"/>
  <c r="W92" i="4" s="1"/>
  <c r="J93" i="4"/>
  <c r="W93" i="4" s="1"/>
  <c r="W97" i="4"/>
  <c r="W98" i="4"/>
  <c r="J100" i="4"/>
  <c r="W100" i="4" s="1"/>
  <c r="J103" i="4"/>
  <c r="W64" i="4" l="1"/>
  <c r="W87" i="4"/>
  <c r="X84" i="4" l="1"/>
  <c r="Y36" i="4"/>
  <c r="Z36" i="4"/>
  <c r="AC36" i="4" s="1"/>
  <c r="X36" i="4"/>
  <c r="Y84" i="4" l="1"/>
  <c r="X97" i="4"/>
  <c r="Y97" i="4" l="1"/>
  <c r="X82" i="4" l="1"/>
  <c r="Y82" i="4" l="1"/>
  <c r="X56" i="4" l="1"/>
  <c r="W56" i="4" l="1"/>
  <c r="Y56" i="4" l="1"/>
  <c r="X69" i="4" l="1"/>
  <c r="Y69" i="4" s="1"/>
  <c r="X46" i="4" l="1"/>
  <c r="Y46" i="4" l="1"/>
  <c r="X89" i="4"/>
  <c r="Y89" i="4" l="1"/>
  <c r="AB53" i="4" l="1"/>
  <c r="Z53" i="4" l="1"/>
  <c r="AC53" i="4" s="1"/>
  <c r="X53" i="4"/>
  <c r="Y53" i="4" s="1"/>
  <c r="AB22" i="4" l="1"/>
  <c r="AB23" i="4"/>
  <c r="AB73" i="4"/>
  <c r="AB26" i="4"/>
  <c r="AB28" i="4"/>
  <c r="Z28" i="4" l="1"/>
  <c r="AC28" i="4" s="1"/>
  <c r="X28" i="4"/>
  <c r="Y28" i="4" l="1"/>
  <c r="X73" i="4" l="1"/>
  <c r="Z73" i="4"/>
  <c r="AC73" i="4" s="1"/>
  <c r="Y73" i="4" l="1"/>
  <c r="AB55" i="4" l="1"/>
  <c r="AB41" i="4"/>
  <c r="Z23" i="4" l="1"/>
  <c r="AC23" i="4" s="1"/>
  <c r="X23" i="4"/>
  <c r="Z55" i="4"/>
  <c r="AC55" i="4" s="1"/>
  <c r="X41" i="4"/>
  <c r="Z41" i="4"/>
  <c r="AC41" i="4" s="1"/>
  <c r="X55" i="4"/>
  <c r="AB45" i="4"/>
  <c r="Z45" i="4"/>
  <c r="Y23" i="4" l="1"/>
  <c r="AF23" i="4" s="1"/>
  <c r="Y55" i="4"/>
  <c r="Y41" i="4"/>
  <c r="AC45" i="4"/>
  <c r="X45" i="4"/>
  <c r="Y45" i="4" l="1"/>
  <c r="AF55" i="4" l="1"/>
  <c r="AF41" i="4" l="1"/>
  <c r="AB50" i="4"/>
  <c r="AB18" i="4" l="1"/>
  <c r="X18" i="4" l="1"/>
  <c r="Z18" i="4"/>
  <c r="AC18" i="4" s="1"/>
  <c r="Y18" i="4" l="1"/>
  <c r="AF18" i="4" l="1"/>
  <c r="AB51" i="4" l="1"/>
  <c r="Z51" i="4" l="1"/>
  <c r="X51" i="4" l="1"/>
  <c r="AC51" i="4"/>
  <c r="Y51" i="4" l="1"/>
  <c r="AF51" i="4" s="1"/>
  <c r="X87" i="4" l="1"/>
  <c r="Z87" i="4"/>
  <c r="AB100" i="4"/>
  <c r="AB92" i="4"/>
  <c r="AB47" i="4"/>
  <c r="AB86" i="4"/>
  <c r="AB84" i="4"/>
  <c r="AB34" i="4"/>
  <c r="AB80" i="4"/>
  <c r="AB29" i="4"/>
  <c r="AB17" i="4"/>
  <c r="AB15" i="4"/>
  <c r="AB10" i="4"/>
  <c r="AB8" i="4"/>
  <c r="AB7" i="4"/>
  <c r="AB87" i="4" l="1"/>
  <c r="AC87" i="4" l="1"/>
  <c r="Y87" i="4"/>
  <c r="AF87" i="4" s="1"/>
  <c r="X86" i="4" l="1"/>
  <c r="Z86" i="4"/>
  <c r="AC86" i="4" s="1"/>
  <c r="AA59" i="4"/>
  <c r="J63" i="4"/>
  <c r="J104" i="4" s="1"/>
  <c r="AE59" i="4"/>
  <c r="AD59" i="4"/>
  <c r="Z50" i="4"/>
  <c r="Y86" i="4" l="1"/>
  <c r="AF86" i="4" s="1"/>
  <c r="X26" i="4"/>
  <c r="Z26" i="4"/>
  <c r="AC26" i="4" s="1"/>
  <c r="X29" i="4"/>
  <c r="Z29" i="4"/>
  <c r="X34" i="4"/>
  <c r="Z34" i="4"/>
  <c r="X8" i="4"/>
  <c r="Z8" i="4"/>
  <c r="AC8" i="4" s="1"/>
  <c r="X15" i="4"/>
  <c r="Z15" i="4"/>
  <c r="AC15" i="4" s="1"/>
  <c r="X65" i="4"/>
  <c r="Z65" i="4"/>
  <c r="Z84" i="4"/>
  <c r="AC84" i="4" s="1"/>
  <c r="X67" i="4"/>
  <c r="Z67" i="4"/>
  <c r="X83" i="4"/>
  <c r="Z83" i="4"/>
  <c r="X64" i="4"/>
  <c r="Z64" i="4"/>
  <c r="X70" i="4"/>
  <c r="Z70" i="4"/>
  <c r="X80" i="4"/>
  <c r="Z80" i="4"/>
  <c r="AC80" i="4" s="1"/>
  <c r="X98" i="4"/>
  <c r="Z98" i="4"/>
  <c r="X92" i="4"/>
  <c r="Z92" i="4"/>
  <c r="AC92" i="4" s="1"/>
  <c r="X100" i="4"/>
  <c r="Z100" i="4"/>
  <c r="AC100" i="4" s="1"/>
  <c r="X47" i="4"/>
  <c r="Z47" i="4"/>
  <c r="AC47" i="4" s="1"/>
  <c r="X91" i="4"/>
  <c r="Z91" i="4"/>
  <c r="X90" i="4"/>
  <c r="Z90" i="4"/>
  <c r="X79" i="4"/>
  <c r="Z79" i="4"/>
  <c r="X77" i="4"/>
  <c r="Z77" i="4"/>
  <c r="X71" i="4"/>
  <c r="Z71" i="4"/>
  <c r="X50" i="4"/>
  <c r="AB77" i="4"/>
  <c r="AC50" i="4"/>
  <c r="AB70" i="4"/>
  <c r="AB67" i="4"/>
  <c r="AB79" i="4"/>
  <c r="AB65" i="4"/>
  <c r="AB71" i="4"/>
  <c r="AB64" i="4"/>
  <c r="AF45" i="4"/>
  <c r="AB83" i="4"/>
  <c r="AB98" i="4"/>
  <c r="AB90" i="4"/>
  <c r="AB91" i="4"/>
  <c r="Z22" i="4" l="1"/>
  <c r="AC22" i="4" s="1"/>
  <c r="X22" i="4"/>
  <c r="Y26" i="4"/>
  <c r="Y100" i="4"/>
  <c r="AF100" i="4" s="1"/>
  <c r="Y80" i="4"/>
  <c r="AF80" i="4" s="1"/>
  <c r="X17" i="4"/>
  <c r="Z17" i="4"/>
  <c r="AC17" i="4" s="1"/>
  <c r="Z10" i="4"/>
  <c r="AC10" i="4" s="1"/>
  <c r="X7" i="4"/>
  <c r="Z7" i="4"/>
  <c r="AC7" i="4" s="1"/>
  <c r="W63" i="4"/>
  <c r="W104" i="4" s="1"/>
  <c r="X10" i="4"/>
  <c r="AF73" i="4"/>
  <c r="Y15" i="4"/>
  <c r="AF15" i="4" s="1"/>
  <c r="AF84" i="4"/>
  <c r="Y92" i="4"/>
  <c r="AF92" i="4" s="1"/>
  <c r="Y47" i="4"/>
  <c r="AF47" i="4" s="1"/>
  <c r="Y8" i="4"/>
  <c r="AF8" i="4" s="1"/>
  <c r="Y50" i="4"/>
  <c r="AF50" i="4" s="1"/>
  <c r="AC71" i="4"/>
  <c r="AC98" i="4"/>
  <c r="AC91" i="4"/>
  <c r="AC77" i="4"/>
  <c r="AC79" i="4"/>
  <c r="AC67" i="4"/>
  <c r="AC64" i="4"/>
  <c r="AC83" i="4"/>
  <c r="AC70" i="4"/>
  <c r="AC65" i="4"/>
  <c r="AC90" i="4"/>
  <c r="AB59" i="4"/>
  <c r="Y77" i="4"/>
  <c r="AF77" i="4" s="1"/>
  <c r="Y79" i="4"/>
  <c r="AF79" i="4" s="1"/>
  <c r="Y91" i="4"/>
  <c r="AF91" i="4" s="1"/>
  <c r="Y70" i="4"/>
  <c r="AF70" i="4" s="1"/>
  <c r="AC29" i="4"/>
  <c r="AC34" i="4"/>
  <c r="Y67" i="4"/>
  <c r="AF67" i="4" s="1"/>
  <c r="Y83" i="4"/>
  <c r="AF83" i="4" s="1"/>
  <c r="Y71" i="4"/>
  <c r="AF71" i="4" s="1"/>
  <c r="Y65" i="4"/>
  <c r="AF65" i="4" s="1"/>
  <c r="Y98" i="4"/>
  <c r="AF98" i="4" s="1"/>
  <c r="W7" i="4"/>
  <c r="W59" i="4" s="1"/>
  <c r="Y64" i="4"/>
  <c r="AF64" i="4" s="1"/>
  <c r="Y90" i="4"/>
  <c r="AF90" i="4" s="1"/>
  <c r="X63" i="4" l="1"/>
  <c r="X104" i="4" s="1"/>
  <c r="Y22" i="4"/>
  <c r="AF22" i="4" s="1"/>
  <c r="Y17" i="4"/>
  <c r="AF17" i="4" s="1"/>
  <c r="Y63" i="4"/>
  <c r="Y104" i="4" s="1"/>
  <c r="Z63" i="4"/>
  <c r="AC63" i="4" s="1"/>
  <c r="AC105" i="4" s="1"/>
  <c r="Y10" i="4"/>
  <c r="AF10" i="4" s="1"/>
  <c r="AF26" i="4"/>
  <c r="Y29" i="4"/>
  <c r="AF29" i="4" s="1"/>
  <c r="Y34" i="4"/>
  <c r="AF34" i="4" s="1"/>
  <c r="Y7" i="4"/>
  <c r="AF7" i="4" s="1"/>
  <c r="Z59" i="4" l="1"/>
  <c r="X59" i="4"/>
  <c r="AC59" i="4" l="1"/>
  <c r="Y59" i="4" l="1"/>
  <c r="AF59" i="4"/>
  <c r="AC60" i="4"/>
  <c r="AC61" i="4" s="1"/>
</calcChain>
</file>

<file path=xl/comments1.xml><?xml version="1.0" encoding="utf-8"?>
<comments xmlns="http://schemas.openxmlformats.org/spreadsheetml/2006/main">
  <authors>
    <author>usuario</author>
    <author>..</author>
  </authors>
  <commentList>
    <comment ref="N65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300</t>
        </r>
      </text>
    </comment>
    <comment ref="N70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500 A LA SEMANA PERO ESTA DE INCAPACIDAD</t>
        </r>
      </text>
    </comment>
    <comment ref="I91" authorId="1">
      <text>
        <r>
          <rPr>
            <b/>
            <sz val="9"/>
            <color indexed="81"/>
            <rFont val="Tahoma"/>
            <family val="2"/>
          </rPr>
          <t>..:</t>
        </r>
        <r>
          <rPr>
            <sz val="9"/>
            <color indexed="81"/>
            <rFont val="Tahoma"/>
            <family val="2"/>
          </rPr>
          <t xml:space="preserve">
PAGO DE 4 DIAS NO DISFRUTADOS</t>
        </r>
      </text>
    </comment>
  </commentList>
</comments>
</file>

<file path=xl/sharedStrings.xml><?xml version="1.0" encoding="utf-8"?>
<sst xmlns="http://schemas.openxmlformats.org/spreadsheetml/2006/main" count="393" uniqueCount="185">
  <si>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</si>
  <si>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</si>
  <si>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</si>
  <si>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</si>
  <si>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</si>
  <si>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</si>
  <si>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</si>
  <si>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</si>
  <si>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</si>
  <si>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</si>
  <si>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</si>
  <si>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</si>
  <si>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</si>
  <si>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</si>
  <si>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</si>
  <si>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</si>
  <si>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</si>
  <si>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</si>
  <si>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</si>
  <si>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</si>
  <si>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</si>
  <si>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</si>
  <si>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</si>
  <si>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</si>
  <si>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</si>
  <si>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</si>
  <si>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</si>
  <si>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</si>
  <si>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</si>
  <si>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</si>
  <si>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</si>
  <si>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</si>
  <si>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</si>
  <si>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</si>
  <si>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</si>
  <si>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ARENAS VARGAS MOISES</t>
  </si>
  <si>
    <t>RUIZ RODRIGUEZ OMAR</t>
  </si>
  <si>
    <t>SERVICIO</t>
  </si>
  <si>
    <t>HOJALATERIA</t>
  </si>
  <si>
    <t>ADMINISTRACION</t>
  </si>
  <si>
    <t>COSTO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</si>
  <si>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</si>
  <si>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</si>
  <si>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</si>
  <si>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</si>
  <si>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</si>
  <si>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</si>
  <si>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</si>
  <si>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</si>
  <si>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</si>
  <si>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</si>
  <si>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ALAVEZ LOPEZ INOCENCIO</t>
  </si>
  <si>
    <t>CANCINO RODRIGUEZ GREGORIO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</si>
  <si>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</si>
  <si>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</si>
  <si>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</si>
  <si>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</si>
  <si>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</si>
  <si>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</si>
  <si>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</si>
  <si>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</si>
  <si>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</si>
  <si>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</si>
  <si>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</si>
  <si>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RIVERA AGUILAR GABRIEL</t>
  </si>
  <si>
    <t>FECHA DE INICIO</t>
  </si>
  <si>
    <t>ADMON VENTAS</t>
  </si>
  <si>
    <t>CUENTA</t>
  </si>
  <si>
    <t>OBSERVACIONES</t>
  </si>
  <si>
    <t>MARTINEZ GALLEGOS LUIS FERNANDO</t>
  </si>
  <si>
    <t>CARRASCO TOVAR ARTURO</t>
  </si>
  <si>
    <t>RESENDIZ CAMPUZANO ISRAEL</t>
  </si>
  <si>
    <t>UNIFORMES</t>
  </si>
  <si>
    <t>ESPECIALES</t>
  </si>
  <si>
    <t>MORALES SANCHEZ ANGEL</t>
  </si>
  <si>
    <t>SERENO CUELLAR JUVENAL</t>
  </si>
  <si>
    <t>DISPERSION</t>
  </si>
  <si>
    <t>RESENDIZ ECHEVERRIA MARIO ALBERTO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</si>
  <si>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</si>
  <si>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</si>
  <si>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</si>
  <si>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</si>
  <si>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</si>
  <si>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</si>
  <si>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</si>
  <si>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</si>
  <si>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</si>
  <si>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</si>
  <si>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JEFE DE TALLER</t>
  </si>
  <si>
    <t>FALTAS</t>
  </si>
  <si>
    <t>SOLORZANO LUNA MARIANA</t>
  </si>
  <si>
    <t>SIFONTES SARDUA DAYAN JESUS</t>
  </si>
  <si>
    <t>VALDEZ MARTINEZ MARTIN</t>
  </si>
  <si>
    <t>AYUDANTE</t>
  </si>
  <si>
    <t>MANTENIMIENTO</t>
  </si>
  <si>
    <t>TECNICO A</t>
  </si>
  <si>
    <t>TECNICO B</t>
  </si>
  <si>
    <t>SANCHEZ DE SANTIAGO RICARDO</t>
  </si>
  <si>
    <t>WEB MASTER</t>
  </si>
  <si>
    <t>GUZMAN NAVARRO EDUARDO</t>
  </si>
  <si>
    <t>SALAS MARTINEZ OSCAR JESUS</t>
  </si>
  <si>
    <t>RODRIGUEZ PINACHO CESAR OCTAVIO</t>
  </si>
  <si>
    <t>GAYTAN MARTINEZ RAUL</t>
  </si>
  <si>
    <t>DOMINGUEZ GUDIÑO OMAR</t>
  </si>
  <si>
    <t>VARGAS GOMEZ RAUL ARMANDO</t>
  </si>
  <si>
    <t>Ingenieria Fiscal Laboral S.C.</t>
  </si>
  <si>
    <t>TECNICO</t>
  </si>
  <si>
    <t>VALDEZ BERNAL JUAN PABLO</t>
  </si>
  <si>
    <t>FERRER GONZALEZ MARIA ELENA</t>
  </si>
  <si>
    <t>AUX. ADMON.</t>
  </si>
  <si>
    <t>TOTAL DE LA NOMINA</t>
  </si>
  <si>
    <t>BAUTISTA RAMIREZ MARIO ALEXIS</t>
  </si>
  <si>
    <t>JUAREZ URIBE MICHEL</t>
  </si>
  <si>
    <t>DE JESUS PADILLA ALFREDO</t>
  </si>
  <si>
    <t>SAUCEDO MAGAÑA VICTOR HUGO</t>
  </si>
  <si>
    <t>BANCOMER</t>
  </si>
  <si>
    <t>HERNANDEZ MATA AURELIANO</t>
  </si>
  <si>
    <t>HURTADO PAJARO JOSE EDUARDO</t>
  </si>
  <si>
    <t>GUTIERREZ LARA GEOVANNI</t>
  </si>
  <si>
    <t>SOLANO PEREZ JOSE ANTONIO</t>
  </si>
  <si>
    <t>HERNANDEZ SOLIS GUMECINDO</t>
  </si>
  <si>
    <t>XX</t>
  </si>
  <si>
    <t>JUAREZ MARTINEZ LUIS MIGUEL</t>
  </si>
  <si>
    <t>BERDEJA LEON FRANCISCO GERARDO</t>
  </si>
  <si>
    <t>PADILLA RUIZ JOSE ANTONIO</t>
  </si>
  <si>
    <t>COACH DE VENTAS SEM</t>
  </si>
  <si>
    <t>MECANICO NOCTURNO</t>
  </si>
  <si>
    <t>RAMIREZ MONTES MISSAEL GUILLERMO</t>
  </si>
  <si>
    <t>HERNANDEZ RAMOS LUIS FELIPE</t>
  </si>
  <si>
    <t>DURAN GUERRA VICTOR MANUEL</t>
  </si>
  <si>
    <t>LANDAVERDE GARCIA JUAN</t>
  </si>
  <si>
    <t>MORENO VALERA NORMA</t>
  </si>
  <si>
    <t>ONTIVEROS PLIEGO LUIS GERARDO</t>
  </si>
  <si>
    <t>SUEDO BASE</t>
  </si>
  <si>
    <t>NAVA RUBIO JAVIER (-$461.01)</t>
  </si>
  <si>
    <t>RODRIGUEZ RODRIGUEZ RODOLFO ANUAR</t>
  </si>
  <si>
    <t>TORRES IBARRA LUIS GERARDO</t>
  </si>
  <si>
    <t>AGUILAR PEREZ MARCOS ARTEMIO</t>
  </si>
  <si>
    <t>MARTINEZ GARCIA JOSE JUAN</t>
  </si>
  <si>
    <t>OLIVAS MANCILLA JESUS SADIEL</t>
  </si>
  <si>
    <t>LOYOLA SANDOVAL JOSE ANDRES</t>
  </si>
  <si>
    <t>CARDENAS CASAS MARIA DEL ROCIO</t>
  </si>
  <si>
    <t>BECERRA JIMENEZ ALEJANDRO BONIFACIO</t>
  </si>
  <si>
    <t>JARDINERO</t>
  </si>
  <si>
    <t>PEREZ LOPEZ JIMMY FLORENTINO</t>
  </si>
  <si>
    <t>CUATZON APARICIO GELASIO</t>
  </si>
  <si>
    <t>AYUDANTE MECANICO HYP</t>
  </si>
  <si>
    <t>0462465140</t>
  </si>
  <si>
    <t>GARCIA TORRES JUAN MANUEL</t>
  </si>
  <si>
    <t>1543342964</t>
  </si>
  <si>
    <t>ARIAS GONZALEZ LUIS IGNACIO</t>
  </si>
  <si>
    <t>COMPENSACION</t>
  </si>
  <si>
    <t>ROCHA MORENO HUGO AMADO</t>
  </si>
  <si>
    <t>VIDAL REYES EDGAR OMAR</t>
  </si>
  <si>
    <t>PINTOR</t>
  </si>
  <si>
    <t>ABOYTES MAQUEDA FRANCISCO</t>
  </si>
  <si>
    <t>AYUDANTE HYP</t>
  </si>
  <si>
    <t>SIMBRON CRUZ DANIEL</t>
  </si>
  <si>
    <t>SAENZ JUAREZ JOSUE</t>
  </si>
  <si>
    <t>CONTACT CENTER</t>
  </si>
  <si>
    <t>LOPEZ PEDROZA MIROSLAVA</t>
  </si>
  <si>
    <t>HURRLE SALZMANN CARLOS ABELARDO</t>
  </si>
  <si>
    <t>LOZANO PEREZ JOSE ENRIQUE</t>
  </si>
  <si>
    <t>TECNICO MANTENIMIENTO</t>
  </si>
  <si>
    <t>AYUDANTE GENERAL</t>
  </si>
  <si>
    <t>VILLEGAS CRUZ ANDRES</t>
  </si>
  <si>
    <t>VILLARREAL LOPEZ CARLOS ALBERTO</t>
  </si>
  <si>
    <t>AVALOS RUDAMAS MARTHA KATHERINE</t>
  </si>
  <si>
    <t>RAMIREZ GONZALEZ JOSE SALVADOR</t>
  </si>
  <si>
    <t>VILLEGAS GONZALEZ JUAN FRANCISCO</t>
  </si>
  <si>
    <t>PULIDOR</t>
  </si>
  <si>
    <t>HURTADO VAZQUEZ JUAN DE DIOS</t>
  </si>
  <si>
    <t>MENDOZA BRIONES ASAEL ALEJANDRO</t>
  </si>
  <si>
    <t>Infonavit 2017</t>
  </si>
  <si>
    <t>TREJO LUGO GUSTAVO</t>
  </si>
  <si>
    <t>TREJO ROBLES JOSE DARINEL</t>
  </si>
  <si>
    <t>FLORES GOMEZ PATRICIA</t>
  </si>
  <si>
    <t>MIRANDA LARA CESAR</t>
  </si>
  <si>
    <t>AVILES ANG ISAAC ROBERTO</t>
  </si>
  <si>
    <t>RAMOS BALLESTEROS DANIEL ALEJANDRO</t>
  </si>
  <si>
    <t>2 DIAS INCAP</t>
  </si>
  <si>
    <t>Periodo Semana 9</t>
  </si>
  <si>
    <t>21/02/18 AL 27/02/18</t>
  </si>
  <si>
    <t>DESC CTA 254 16/16 PRESTAMO</t>
  </si>
  <si>
    <t>INCAPACIDAD 26-28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</si>
</sst>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"/>
  </numFmts>
  <fonts count="3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19">
    <xf numFmtId="0" fontId="0" fillId="0" borderId="0"/>
    <xf numFmtId="0" fontId="17" fillId="0" borderId="0"/>
    <xf numFmtId="43" fontId="15" fillId="0" borderId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10">
    <xf numFmtId="0" fontId="0" fillId="0" borderId="0" xfId="0"/>
    <xf numFmtId="43" fontId="15" fillId="0" borderId="0" xfId="2"/>
    <xf numFmtId="0" fontId="18" fillId="0" borderId="0" xfId="3" applyFont="1" applyFill="1" applyAlignment="1" applyProtection="1">
      <alignment horizontal="left"/>
    </xf>
    <xf numFmtId="0" fontId="18" fillId="0" borderId="0" xfId="3" applyFont="1" applyFill="1" applyAlignment="1" applyProtection="1">
      <alignment horizontal="center"/>
    </xf>
    <xf numFmtId="43" fontId="19" fillId="0" borderId="0" xfId="2" applyFont="1" applyFill="1" applyAlignment="1" applyProtection="1">
      <alignment horizontal="center"/>
    </xf>
    <xf numFmtId="43" fontId="20" fillId="0" borderId="0" xfId="2" applyFont="1" applyFill="1" applyAlignment="1" applyProtection="1">
      <alignment horizontal="center"/>
    </xf>
    <xf numFmtId="0" fontId="19" fillId="0" borderId="0" xfId="0" applyFont="1" applyFill="1" applyProtection="1"/>
    <xf numFmtId="0" fontId="19" fillId="0" borderId="0" xfId="0" applyFont="1" applyProtection="1"/>
    <xf numFmtId="0" fontId="21" fillId="0" borderId="0" xfId="3" applyFont="1" applyFill="1" applyAlignment="1" applyProtection="1">
      <alignment horizontal="left"/>
    </xf>
    <xf numFmtId="0" fontId="21" fillId="0" borderId="0" xfId="3" applyFont="1" applyFill="1" applyAlignment="1" applyProtection="1">
      <alignment horizontal="center"/>
    </xf>
    <xf numFmtId="15" fontId="18" fillId="0" borderId="0" xfId="3" applyNumberFormat="1" applyFont="1" applyFill="1" applyAlignment="1" applyProtection="1">
      <alignment horizontal="left"/>
    </xf>
    <xf numFmtId="15" fontId="18" fillId="0" borderId="0" xfId="3" applyNumberFormat="1" applyFont="1" applyFill="1" applyAlignment="1" applyProtection="1">
      <alignment horizontal="center"/>
    </xf>
    <xf numFmtId="0" fontId="20" fillId="0" borderId="0" xfId="0" applyFont="1"/>
    <xf numFmtId="43" fontId="19" fillId="0" borderId="0" xfId="2" applyFont="1"/>
    <xf numFmtId="43" fontId="20" fillId="0" borderId="0" xfId="2" applyFont="1"/>
    <xf numFmtId="43" fontId="19" fillId="0" borderId="0" xfId="2" applyFont="1" applyFill="1"/>
    <xf numFmtId="0" fontId="20" fillId="0" borderId="0" xfId="0" applyFont="1" applyFill="1"/>
    <xf numFmtId="0" fontId="19" fillId="0" borderId="1" xfId="0" applyFont="1" applyBorder="1"/>
    <xf numFmtId="0" fontId="19" fillId="0" borderId="0" xfId="0" applyFont="1" applyFill="1"/>
    <xf numFmtId="0" fontId="19" fillId="0" borderId="0" xfId="0" applyFont="1"/>
    <xf numFmtId="0" fontId="22" fillId="0" borderId="0" xfId="0" applyFont="1"/>
    <xf numFmtId="43" fontId="15" fillId="0" borderId="0" xfId="2" applyProtection="1"/>
    <xf numFmtId="43" fontId="15" fillId="0" borderId="0" xfId="2" applyFill="1"/>
    <xf numFmtId="43" fontId="20" fillId="5" borderId="1" xfId="2" applyFont="1" applyFill="1" applyBorder="1" applyAlignment="1">
      <alignment horizontal="center" wrapText="1"/>
    </xf>
    <xf numFmtId="0" fontId="20" fillId="0" borderId="6" xfId="0" applyFont="1" applyFill="1" applyBorder="1"/>
    <xf numFmtId="0" fontId="19" fillId="0" borderId="8" xfId="0" applyFont="1" applyFill="1" applyBorder="1"/>
    <xf numFmtId="43" fontId="19" fillId="0" borderId="8" xfId="2" applyFont="1" applyFill="1" applyBorder="1"/>
    <xf numFmtId="43" fontId="20" fillId="0" borderId="8" xfId="2" applyFont="1" applyFill="1" applyBorder="1"/>
    <xf numFmtId="0" fontId="19" fillId="0" borderId="7" xfId="0" applyFont="1" applyBorder="1"/>
    <xf numFmtId="0" fontId="19" fillId="2" borderId="7" xfId="0" applyFont="1" applyFill="1" applyBorder="1"/>
    <xf numFmtId="43" fontId="19" fillId="0" borderId="7" xfId="2" applyFont="1" applyBorder="1"/>
    <xf numFmtId="43" fontId="19" fillId="2" borderId="7" xfId="2" applyFont="1" applyFill="1" applyBorder="1"/>
    <xf numFmtId="43" fontId="19" fillId="0" borderId="7" xfId="2" applyFont="1" applyFill="1" applyBorder="1" applyAlignment="1">
      <alignment horizontal="center"/>
    </xf>
    <xf numFmtId="0" fontId="19" fillId="0" borderId="7" xfId="0" applyFont="1" applyFill="1" applyBorder="1"/>
    <xf numFmtId="43" fontId="19" fillId="0" borderId="7" xfId="2" applyFont="1" applyFill="1" applyBorder="1"/>
    <xf numFmtId="0" fontId="20" fillId="0" borderId="7" xfId="0" applyFont="1" applyFill="1" applyBorder="1"/>
    <xf numFmtId="43" fontId="19" fillId="0" borderId="8" xfId="2" applyFont="1" applyFill="1" applyBorder="1" applyAlignment="1">
      <alignment horizontal="center"/>
    </xf>
    <xf numFmtId="0" fontId="20" fillId="0" borderId="7" xfId="0" applyFont="1" applyBorder="1"/>
    <xf numFmtId="43" fontId="20" fillId="0" borderId="7" xfId="2" applyFont="1" applyBorder="1"/>
    <xf numFmtId="43" fontId="15" fillId="0" borderId="7" xfId="2" applyBorder="1"/>
    <xf numFmtId="43" fontId="15" fillId="3" borderId="7" xfId="2" applyFill="1" applyBorder="1"/>
    <xf numFmtId="43" fontId="24" fillId="0" borderId="0" xfId="2" applyFont="1" applyProtection="1"/>
    <xf numFmtId="43" fontId="24" fillId="0" borderId="0" xfId="2" applyFont="1"/>
    <xf numFmtId="43" fontId="24" fillId="0" borderId="0" xfId="2" applyFont="1" applyFill="1"/>
    <xf numFmtId="43" fontId="24" fillId="0" borderId="7" xfId="2" applyFont="1" applyBorder="1"/>
    <xf numFmtId="43" fontId="24" fillId="3" borderId="7" xfId="2" applyFont="1" applyFill="1" applyBorder="1"/>
    <xf numFmtId="43" fontId="20" fillId="0" borderId="7" xfId="2" applyFont="1" applyFill="1" applyBorder="1"/>
    <xf numFmtId="43" fontId="25" fillId="0" borderId="7" xfId="2" applyFont="1" applyFill="1" applyBorder="1"/>
    <xf numFmtId="2" fontId="19" fillId="0" borderId="7" xfId="0" applyNumberFormat="1" applyFont="1" applyFill="1" applyBorder="1"/>
    <xf numFmtId="164" fontId="25" fillId="0" borderId="7" xfId="0" applyNumberFormat="1" applyFont="1" applyFill="1" applyBorder="1"/>
    <xf numFmtId="0" fontId="25" fillId="0" borderId="7" xfId="0" applyFont="1" applyFill="1" applyBorder="1" applyAlignment="1">
      <alignment wrapText="1"/>
    </xf>
    <xf numFmtId="4" fontId="25" fillId="0" borderId="7" xfId="0" applyNumberFormat="1" applyFont="1" applyFill="1" applyBorder="1" applyAlignment="1">
      <alignment wrapText="1"/>
    </xf>
    <xf numFmtId="0" fontId="26" fillId="0" borderId="7" xfId="0" applyFont="1" applyFill="1" applyBorder="1"/>
    <xf numFmtId="43" fontId="20" fillId="7" borderId="7" xfId="2" applyFont="1" applyFill="1" applyBorder="1"/>
    <xf numFmtId="43" fontId="19" fillId="7" borderId="7" xfId="2" applyFont="1" applyFill="1" applyBorder="1" applyAlignment="1">
      <alignment horizontal="center"/>
    </xf>
    <xf numFmtId="0" fontId="25" fillId="0" borderId="7" xfId="0" applyFont="1" applyFill="1" applyBorder="1"/>
    <xf numFmtId="4" fontId="25" fillId="0" borderId="7" xfId="0" applyNumberFormat="1" applyFont="1" applyFill="1" applyBorder="1"/>
    <xf numFmtId="4" fontId="19" fillId="0" borderId="7" xfId="0" applyNumberFormat="1" applyFont="1" applyFill="1" applyBorder="1"/>
    <xf numFmtId="43" fontId="19" fillId="0" borderId="7" xfId="0" applyNumberFormat="1" applyFont="1" applyFill="1" applyBorder="1"/>
    <xf numFmtId="14" fontId="19" fillId="0" borderId="7" xfId="0" applyNumberFormat="1" applyFont="1" applyBorder="1"/>
    <xf numFmtId="0" fontId="20" fillId="0" borderId="7" xfId="2" applyNumberFormat="1" applyFont="1" applyFill="1" applyBorder="1" applyAlignment="1">
      <alignment horizontal="center"/>
    </xf>
    <xf numFmtId="43" fontId="20" fillId="0" borderId="7" xfId="2" applyFont="1" applyFill="1" applyBorder="1" applyAlignment="1">
      <alignment horizontal="center"/>
    </xf>
    <xf numFmtId="43" fontId="27" fillId="0" borderId="7" xfId="2" applyFont="1" applyFill="1" applyBorder="1" applyAlignment="1">
      <alignment horizontal="center"/>
    </xf>
    <xf numFmtId="43" fontId="28" fillId="0" borderId="7" xfId="2" applyFont="1" applyFill="1" applyBorder="1"/>
    <xf numFmtId="0" fontId="19" fillId="7" borderId="7" xfId="0" applyFont="1" applyFill="1" applyBorder="1"/>
    <xf numFmtId="0" fontId="20" fillId="7" borderId="7" xfId="0" applyFont="1" applyFill="1" applyBorder="1" applyAlignment="1">
      <alignment wrapText="1"/>
    </xf>
    <xf numFmtId="9" fontId="27" fillId="0" borderId="7" xfId="2" applyNumberFormat="1" applyFont="1" applyFill="1" applyBorder="1" applyAlignment="1">
      <alignment horizontal="center"/>
    </xf>
    <xf numFmtId="43" fontId="20" fillId="5" borderId="2" xfId="2" applyFont="1" applyFill="1" applyBorder="1" applyAlignment="1">
      <alignment horizontal="center" wrapText="1"/>
    </xf>
    <xf numFmtId="43" fontId="23" fillId="5" borderId="2" xfId="2" applyFont="1" applyFill="1" applyBorder="1" applyAlignment="1">
      <alignment horizontal="center" wrapText="1"/>
    </xf>
    <xf numFmtId="0" fontId="20" fillId="0" borderId="0" xfId="0" applyFont="1" applyFill="1" applyAlignment="1">
      <alignment horizontal="center" wrapText="1"/>
    </xf>
    <xf numFmtId="0" fontId="20" fillId="0" borderId="0" xfId="0" applyFont="1" applyAlignment="1">
      <alignment horizontal="center" wrapText="1"/>
    </xf>
    <xf numFmtId="0" fontId="19" fillId="8" borderId="7" xfId="0" applyFont="1" applyFill="1" applyBorder="1"/>
    <xf numFmtId="0" fontId="19" fillId="0" borderId="7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right"/>
    </xf>
    <xf numFmtId="43" fontId="20" fillId="0" borderId="7" xfId="2" applyFont="1" applyBorder="1" applyAlignment="1">
      <alignment horizontal="center"/>
    </xf>
    <xf numFmtId="0" fontId="19" fillId="9" borderId="7" xfId="0" applyFont="1" applyFill="1" applyBorder="1"/>
    <xf numFmtId="164" fontId="25" fillId="9" borderId="7" xfId="0" applyNumberFormat="1" applyFont="1" applyFill="1" applyBorder="1"/>
    <xf numFmtId="43" fontId="19" fillId="9" borderId="7" xfId="2" applyFont="1" applyFill="1" applyBorder="1"/>
    <xf numFmtId="43" fontId="20" fillId="9" borderId="7" xfId="2" applyFont="1" applyFill="1" applyBorder="1"/>
    <xf numFmtId="0" fontId="20" fillId="9" borderId="7" xfId="2" applyNumberFormat="1" applyFont="1" applyFill="1" applyBorder="1" applyAlignment="1">
      <alignment horizontal="center"/>
    </xf>
    <xf numFmtId="43" fontId="20" fillId="9" borderId="7" xfId="2" applyFont="1" applyFill="1" applyBorder="1" applyAlignment="1">
      <alignment horizontal="center"/>
    </xf>
    <xf numFmtId="43" fontId="19" fillId="9" borderId="7" xfId="2" applyFont="1" applyFill="1" applyBorder="1" applyAlignment="1">
      <alignment horizontal="center"/>
    </xf>
    <xf numFmtId="0" fontId="25" fillId="9" borderId="7" xfId="0" applyFont="1" applyFill="1" applyBorder="1" applyAlignment="1">
      <alignment wrapText="1"/>
    </xf>
    <xf numFmtId="4" fontId="25" fillId="9" borderId="7" xfId="0" applyNumberFormat="1" applyFont="1" applyFill="1" applyBorder="1" applyAlignment="1">
      <alignment wrapText="1"/>
    </xf>
    <xf numFmtId="43" fontId="25" fillId="9" borderId="7" xfId="2" applyFont="1" applyFill="1" applyBorder="1"/>
    <xf numFmtId="0" fontId="20" fillId="9" borderId="7" xfId="0" applyFont="1" applyFill="1" applyBorder="1"/>
    <xf numFmtId="0" fontId="19" fillId="9" borderId="0" xfId="0" applyFont="1" applyFill="1"/>
    <xf numFmtId="9" fontId="27" fillId="9" borderId="7" xfId="2" applyNumberFormat="1" applyFont="1" applyFill="1" applyBorder="1" applyAlignment="1">
      <alignment horizontal="center"/>
    </xf>
    <xf numFmtId="43" fontId="28" fillId="9" borderId="7" xfId="2" applyFont="1" applyFill="1" applyBorder="1"/>
    <xf numFmtId="2" fontId="19" fillId="9" borderId="7" xfId="0" applyNumberFormat="1" applyFont="1" applyFill="1" applyBorder="1"/>
    <xf numFmtId="0" fontId="19" fillId="9" borderId="7" xfId="0" applyFont="1" applyFill="1" applyBorder="1" applyAlignment="1">
      <alignment horizontal="center"/>
    </xf>
    <xf numFmtId="0" fontId="20" fillId="9" borderId="7" xfId="0" applyFont="1" applyFill="1" applyBorder="1" applyAlignment="1">
      <alignment horizontal="right"/>
    </xf>
    <xf numFmtId="0" fontId="20" fillId="4" borderId="5" xfId="0" applyFont="1" applyFill="1" applyBorder="1" applyAlignment="1">
      <alignment horizontal="center" vertical="center"/>
    </xf>
    <xf numFmtId="43" fontId="20" fillId="5" borderId="1" xfId="2" applyFont="1" applyFill="1" applyBorder="1" applyAlignment="1">
      <alignment horizontal="center" vertical="center" wrapText="1"/>
    </xf>
    <xf numFmtId="43" fontId="20" fillId="5" borderId="2" xfId="2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43" fontId="20" fillId="5" borderId="1" xfId="2" applyFont="1" applyFill="1" applyBorder="1" applyAlignment="1">
      <alignment horizontal="center" wrapText="1"/>
    </xf>
    <xf numFmtId="43" fontId="20" fillId="5" borderId="2" xfId="2" applyFont="1" applyFill="1" applyBorder="1" applyAlignment="1">
      <alignment horizontal="center" wrapText="1"/>
    </xf>
    <xf numFmtId="43" fontId="23" fillId="5" borderId="3" xfId="2" applyFont="1" applyFill="1" applyBorder="1" applyAlignment="1">
      <alignment horizontal="center" wrapText="1"/>
    </xf>
    <xf numFmtId="43" fontId="23" fillId="5" borderId="4" xfId="2" applyFont="1" applyFill="1" applyBorder="1" applyAlignment="1">
      <alignment horizontal="center" wrapText="1"/>
    </xf>
    <xf numFmtId="43" fontId="15" fillId="4" borderId="5" xfId="2" applyFill="1" applyBorder="1" applyAlignment="1">
      <alignment horizontal="center"/>
    </xf>
    <xf numFmtId="43" fontId="20" fillId="5" borderId="9" xfId="2" applyFont="1" applyFill="1" applyBorder="1" applyAlignment="1">
      <alignment horizontal="center" vertical="center" wrapText="1"/>
    </xf>
    <xf numFmtId="0" fontId="29" fillId="0" borderId="7" xfId="0" applyFont="1" applyBorder="1" applyAlignment="1">
      <alignment horizontal="center"/>
    </xf>
    <xf numFmtId="43" fontId="20" fillId="5" borderId="8" xfId="2" applyFont="1" applyFill="1" applyBorder="1" applyAlignment="1">
      <alignment horizontal="center" vertical="center" wrapText="1"/>
    </xf>
    <xf numFmtId="3" fontId="20" fillId="5" borderId="2" xfId="0" applyNumberFormat="1" applyFont="1" applyFill="1" applyBorder="1" applyAlignment="1">
      <alignment horizontal="center" vertical="center"/>
    </xf>
    <xf numFmtId="3" fontId="20" fillId="5" borderId="9" xfId="0" applyNumberFormat="1" applyFont="1" applyFill="1" applyBorder="1" applyAlignment="1">
      <alignment horizontal="center" vertical="center"/>
    </xf>
    <xf numFmtId="3" fontId="20" fillId="5" borderId="2" xfId="0" applyNumberFormat="1" applyFont="1" applyFill="1" applyBorder="1" applyAlignment="1">
      <alignment horizontal="center" vertical="center" wrapText="1"/>
    </xf>
    <xf numFmtId="3" fontId="20" fillId="5" borderId="9" xfId="0" applyNumberFormat="1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/>
    </xf>
  </cellXfs>
  <cellStyles count="19">
    <cellStyle name="Excel Built-in Normal" xfId="1"/>
    <cellStyle name="Millares" xfId="2" builtinId="3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2" xfId="5"/>
    <cellStyle name="Normal 3" xfId="6"/>
    <cellStyle name="Normal 4" xfId="4"/>
    <cellStyle name="Normal 5" xfId="7"/>
    <cellStyle name="Normal 6" xfId="8"/>
    <cellStyle name="Normal 7" xfId="9"/>
    <cellStyle name="Normal 8" xfId="10"/>
    <cellStyle name="Normal 9" xfId="11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129"/>
  <sheetViews>
    <sheetView tabSelected="1" zoomScale="110" zoomScaleNormal="11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0" sqref="C10"/>
    </sheetView>
  </sheetViews>
  <sheetFormatPr baseColWidth="10" defaultColWidth="11.5703125" defaultRowHeight="15"/>
  <cols>
    <col min="1" max="1" width="17.140625" style="19" customWidth="1"/>
    <col min="2" max="2" width="40" style="19" customWidth="1"/>
    <col min="3" max="3" width="22.42578125" style="19" bestFit="1" customWidth="1"/>
    <col min="4" max="5" width="13.28515625" style="19" customWidth="1"/>
    <col min="6" max="6" width="13.85546875" style="13" customWidth="1"/>
    <col min="7" max="7" width="15.85546875" style="13" bestFit="1" customWidth="1"/>
    <col min="8" max="9" width="13.5703125" style="13" customWidth="1"/>
    <col min="10" max="10" width="17" style="14" customWidth="1"/>
    <col min="11" max="13" width="13.5703125" style="13" customWidth="1"/>
    <col min="14" max="14" width="13.5703125" style="15" customWidth="1"/>
    <col min="15" max="15" width="19.28515625" style="15" customWidth="1"/>
    <col min="16" max="16" width="16.85546875" style="15" customWidth="1"/>
    <col min="17" max="17" width="16.140625" style="15" customWidth="1"/>
    <col min="18" max="22" width="13.5703125" style="13" customWidth="1"/>
    <col min="23" max="23" width="16.7109375" style="14" customWidth="1"/>
    <col min="24" max="24" width="16.7109375" style="13" hidden="1" customWidth="1"/>
    <col min="25" max="25" width="15.42578125" style="14" hidden="1" customWidth="1"/>
    <col min="26" max="28" width="13.5703125" style="13" hidden="1" customWidth="1"/>
    <col min="29" max="29" width="15.42578125" style="14" hidden="1" customWidth="1"/>
    <col min="30" max="30" width="15.28515625" style="42" hidden="1" customWidth="1"/>
    <col min="31" max="31" width="12.7109375" style="42" hidden="1" customWidth="1"/>
    <col min="32" max="32" width="11.5703125" style="1" hidden="1" customWidth="1"/>
    <col min="33" max="33" width="19.28515625" style="19" bestFit="1" customWidth="1"/>
    <col min="34" max="34" width="35" style="19" bestFit="1" customWidth="1"/>
    <col min="35" max="35" width="11.85546875" style="18" bestFit="1" customWidth="1"/>
    <col min="36" max="16384" width="11.5703125" style="19"/>
  </cols>
  <sheetData>
    <row r="1" spans="1:35" s="7" customFormat="1">
      <c r="A1" s="2" t="s">
        <v>105</v>
      </c>
      <c r="B1" s="2"/>
      <c r="C1" s="3"/>
      <c r="D1" s="3"/>
      <c r="E1" s="3"/>
      <c r="F1" s="4"/>
      <c r="G1" s="4"/>
      <c r="H1" s="4"/>
      <c r="I1" s="4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41"/>
      <c r="AE1" s="41"/>
      <c r="AF1" s="21"/>
      <c r="AI1" s="6"/>
    </row>
    <row r="2" spans="1:35" s="7" customFormat="1">
      <c r="A2" s="8" t="s">
        <v>33</v>
      </c>
      <c r="B2" s="8"/>
      <c r="C2" s="9"/>
      <c r="D2" s="9"/>
      <c r="E2" s="9"/>
      <c r="F2" s="4"/>
      <c r="G2" s="4"/>
      <c r="H2" s="4"/>
      <c r="I2" s="4"/>
      <c r="J2" s="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41"/>
      <c r="AE2" s="41"/>
      <c r="AF2" s="21"/>
      <c r="AI2" s="6"/>
    </row>
    <row r="3" spans="1:35" s="7" customFormat="1">
      <c r="A3" s="10" t="s">
        <v>181</v>
      </c>
      <c r="B3" s="10"/>
      <c r="C3" s="11"/>
      <c r="D3" s="11"/>
      <c r="E3" s="11"/>
      <c r="F3" s="4"/>
      <c r="G3" s="4"/>
      <c r="H3" s="4"/>
      <c r="I3" s="4"/>
      <c r="J3" s="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41"/>
      <c r="AE3" s="41"/>
      <c r="AF3" s="21"/>
      <c r="AI3" s="6"/>
    </row>
    <row r="4" spans="1:35" s="12" customFormat="1">
      <c r="A4" s="12" t="s">
        <v>182</v>
      </c>
      <c r="F4" s="13"/>
      <c r="G4" s="13"/>
      <c r="H4" s="13"/>
      <c r="I4" s="13"/>
      <c r="J4" s="14"/>
      <c r="K4" s="13"/>
      <c r="L4" s="13"/>
      <c r="M4" s="13"/>
      <c r="N4" s="15"/>
      <c r="O4" s="15"/>
      <c r="P4" s="15"/>
      <c r="Q4" s="15"/>
      <c r="R4" s="13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42"/>
      <c r="AE4" s="42"/>
      <c r="AF4" s="1"/>
      <c r="AI4" s="16"/>
    </row>
    <row r="5" spans="1:35" s="12" customFormat="1" ht="28.5" customHeight="1">
      <c r="A5" s="105" t="s">
        <v>13</v>
      </c>
      <c r="B5" s="105" t="s">
        <v>14</v>
      </c>
      <c r="C5" s="105" t="s">
        <v>0</v>
      </c>
      <c r="D5" s="107" t="s">
        <v>65</v>
      </c>
      <c r="E5" s="107" t="s">
        <v>133</v>
      </c>
      <c r="F5" s="94" t="s">
        <v>32</v>
      </c>
      <c r="G5" s="94" t="s">
        <v>151</v>
      </c>
      <c r="H5" s="93" t="s">
        <v>9</v>
      </c>
      <c r="I5" s="93" t="s">
        <v>10</v>
      </c>
      <c r="J5" s="93" t="s">
        <v>11</v>
      </c>
      <c r="K5" s="93" t="s">
        <v>12</v>
      </c>
      <c r="L5" s="94" t="s">
        <v>89</v>
      </c>
      <c r="M5" s="94" t="s">
        <v>72</v>
      </c>
      <c r="N5" s="95" t="s">
        <v>46</v>
      </c>
      <c r="O5" s="95" t="s">
        <v>58</v>
      </c>
      <c r="P5" s="95" t="s">
        <v>57</v>
      </c>
      <c r="Q5" s="95" t="s">
        <v>47</v>
      </c>
      <c r="R5" s="93" t="s">
        <v>6</v>
      </c>
      <c r="S5" s="93" t="s">
        <v>16</v>
      </c>
      <c r="T5" s="93" t="s">
        <v>15</v>
      </c>
      <c r="U5" s="93" t="s">
        <v>173</v>
      </c>
      <c r="V5" s="93" t="s">
        <v>8</v>
      </c>
      <c r="W5" s="93" t="s">
        <v>23</v>
      </c>
      <c r="X5" s="97" t="s">
        <v>3</v>
      </c>
      <c r="Y5" s="97" t="s">
        <v>7</v>
      </c>
      <c r="Z5" s="97" t="s">
        <v>2</v>
      </c>
      <c r="AA5" s="97" t="s">
        <v>4</v>
      </c>
      <c r="AB5" s="23"/>
      <c r="AC5" s="97" t="s">
        <v>5</v>
      </c>
      <c r="AD5" s="99" t="s">
        <v>76</v>
      </c>
      <c r="AE5" s="100"/>
      <c r="AF5" s="101" t="s">
        <v>48</v>
      </c>
      <c r="AG5" s="92" t="s">
        <v>67</v>
      </c>
      <c r="AH5" s="92" t="s">
        <v>68</v>
      </c>
      <c r="AI5" s="16"/>
    </row>
    <row r="6" spans="1:35" s="70" customFormat="1" ht="39" customHeight="1">
      <c r="A6" s="106"/>
      <c r="B6" s="106"/>
      <c r="C6" s="106"/>
      <c r="D6" s="108"/>
      <c r="E6" s="108"/>
      <c r="F6" s="104"/>
      <c r="G6" s="102"/>
      <c r="H6" s="94"/>
      <c r="I6" s="94"/>
      <c r="J6" s="94"/>
      <c r="K6" s="94"/>
      <c r="L6" s="102"/>
      <c r="M6" s="102"/>
      <c r="N6" s="96"/>
      <c r="O6" s="96"/>
      <c r="P6" s="96"/>
      <c r="Q6" s="96"/>
      <c r="R6" s="94"/>
      <c r="S6" s="94"/>
      <c r="T6" s="94"/>
      <c r="U6" s="94"/>
      <c r="V6" s="94"/>
      <c r="W6" s="94"/>
      <c r="X6" s="98"/>
      <c r="Y6" s="98"/>
      <c r="Z6" s="98"/>
      <c r="AA6" s="98"/>
      <c r="AB6" s="67"/>
      <c r="AC6" s="98"/>
      <c r="AD6" s="68" t="s">
        <v>24</v>
      </c>
      <c r="AE6" s="68" t="s">
        <v>25</v>
      </c>
      <c r="AF6" s="101"/>
      <c r="AG6" s="92"/>
      <c r="AH6" s="92"/>
      <c r="AI6" s="69"/>
    </row>
    <row r="7" spans="1:35" s="18" customFormat="1">
      <c r="A7" s="71" t="s">
        <v>37</v>
      </c>
      <c r="B7" s="33" t="s">
        <v>63</v>
      </c>
      <c r="C7" s="33" t="s">
        <v>29</v>
      </c>
      <c r="D7" s="49">
        <v>42062</v>
      </c>
      <c r="E7" s="34">
        <v>1166.27</v>
      </c>
      <c r="F7" s="34">
        <v>4098.0200000000004</v>
      </c>
      <c r="G7" s="34"/>
      <c r="H7" s="34"/>
      <c r="I7" s="34"/>
      <c r="J7" s="46">
        <f t="shared" ref="J7:J57" si="0">SUM(F7:I7)</f>
        <v>4098.0200000000004</v>
      </c>
      <c r="K7" s="34"/>
      <c r="L7" s="60"/>
      <c r="M7" s="34"/>
      <c r="N7" s="34"/>
      <c r="O7" s="61"/>
      <c r="P7" s="61"/>
      <c r="Q7" s="34"/>
      <c r="R7" s="32"/>
      <c r="S7" s="32"/>
      <c r="T7" s="33"/>
      <c r="U7" s="33"/>
      <c r="V7" s="33"/>
      <c r="W7" s="46">
        <f t="shared" ref="W7:W55" si="1">+J7-SUM(K7:V7)</f>
        <v>4098.0200000000004</v>
      </c>
      <c r="X7" s="32">
        <f t="shared" ref="X7:X22" si="2">IF(J7&gt;2250,J7*0.1,0)</f>
        <v>409.80200000000008</v>
      </c>
      <c r="Y7" s="46">
        <f t="shared" ref="Y7:Y22" si="3">+W7-X7</f>
        <v>3688.2180000000003</v>
      </c>
      <c r="Z7" s="32">
        <f t="shared" ref="Z7:Z22" si="4">IF(J7&lt;2250,J7*0.1,0)</f>
        <v>0</v>
      </c>
      <c r="AA7" s="32">
        <v>10.23</v>
      </c>
      <c r="AB7" s="32">
        <f t="shared" ref="AB7:AB22" si="5">+O7</f>
        <v>0</v>
      </c>
      <c r="AC7" s="46">
        <f t="shared" ref="AC7:AC22" si="6">+J7+Z7+AA7+AB7</f>
        <v>4108.25</v>
      </c>
      <c r="AD7" s="50"/>
      <c r="AE7" s="51"/>
      <c r="AF7" s="47">
        <f t="shared" ref="AF7:AF10" si="7">+AD7+AE7-Y7</f>
        <v>-3688.2180000000003</v>
      </c>
      <c r="AG7" s="35">
        <v>56708844887</v>
      </c>
      <c r="AH7" s="33"/>
    </row>
    <row r="8" spans="1:35" s="18" customFormat="1">
      <c r="A8" s="71" t="s">
        <v>28</v>
      </c>
      <c r="B8" s="33" t="s">
        <v>35</v>
      </c>
      <c r="C8" s="33" t="s">
        <v>31</v>
      </c>
      <c r="D8" s="49">
        <v>39508</v>
      </c>
      <c r="E8" s="34">
        <v>4666.6899999999996</v>
      </c>
      <c r="F8" s="34">
        <v>10813.01</v>
      </c>
      <c r="G8" s="34"/>
      <c r="H8" s="34"/>
      <c r="I8" s="34"/>
      <c r="J8" s="46">
        <f t="shared" si="0"/>
        <v>10813.01</v>
      </c>
      <c r="K8" s="34"/>
      <c r="L8" s="60"/>
      <c r="M8" s="34"/>
      <c r="N8" s="34"/>
      <c r="O8" s="61"/>
      <c r="P8" s="61"/>
      <c r="Q8" s="34"/>
      <c r="R8" s="32"/>
      <c r="S8" s="32"/>
      <c r="T8" s="33"/>
      <c r="U8" s="33"/>
      <c r="V8" s="33">
        <v>199.97</v>
      </c>
      <c r="W8" s="46">
        <f t="shared" si="1"/>
        <v>10613.04</v>
      </c>
      <c r="X8" s="32">
        <f t="shared" si="2"/>
        <v>1081.3010000000002</v>
      </c>
      <c r="Y8" s="46">
        <f t="shared" si="3"/>
        <v>9531.7390000000014</v>
      </c>
      <c r="Z8" s="32">
        <f t="shared" si="4"/>
        <v>0</v>
      </c>
      <c r="AA8" s="32">
        <v>10.23</v>
      </c>
      <c r="AB8" s="32">
        <f t="shared" si="5"/>
        <v>0</v>
      </c>
      <c r="AC8" s="46">
        <f t="shared" si="6"/>
        <v>10823.24</v>
      </c>
      <c r="AD8" s="50"/>
      <c r="AE8" s="51"/>
      <c r="AF8" s="47">
        <f t="shared" si="7"/>
        <v>-9531.7390000000014</v>
      </c>
      <c r="AG8" s="35">
        <v>56708881292</v>
      </c>
      <c r="AH8" s="33"/>
    </row>
    <row r="9" spans="1:35" s="86" customFormat="1">
      <c r="A9" s="75" t="s">
        <v>27</v>
      </c>
      <c r="B9" s="75" t="s">
        <v>150</v>
      </c>
      <c r="C9" s="75" t="s">
        <v>44</v>
      </c>
      <c r="D9" s="76">
        <v>43017</v>
      </c>
      <c r="E9" s="77">
        <v>1026.69</v>
      </c>
      <c r="F9" s="77"/>
      <c r="G9" s="77"/>
      <c r="H9" s="77"/>
      <c r="I9" s="77"/>
      <c r="J9" s="78">
        <f t="shared" si="0"/>
        <v>0</v>
      </c>
      <c r="K9" s="77"/>
      <c r="L9" s="79"/>
      <c r="M9" s="77"/>
      <c r="N9" s="77"/>
      <c r="O9" s="80"/>
      <c r="P9" s="80"/>
      <c r="Q9" s="77"/>
      <c r="R9" s="81"/>
      <c r="S9" s="81"/>
      <c r="T9" s="75"/>
      <c r="U9" s="75"/>
      <c r="V9" s="90"/>
      <c r="W9" s="78">
        <f t="shared" si="1"/>
        <v>0</v>
      </c>
      <c r="X9" s="81"/>
      <c r="Y9" s="78"/>
      <c r="Z9" s="81"/>
      <c r="AA9" s="81"/>
      <c r="AB9" s="81"/>
      <c r="AC9" s="78"/>
      <c r="AD9" s="82"/>
      <c r="AE9" s="83"/>
      <c r="AF9" s="84"/>
      <c r="AG9" s="91" t="s">
        <v>149</v>
      </c>
      <c r="AH9" s="85"/>
    </row>
    <row r="10" spans="1:35" s="18" customFormat="1">
      <c r="A10" s="71" t="s">
        <v>28</v>
      </c>
      <c r="B10" s="33" t="s">
        <v>59</v>
      </c>
      <c r="C10" s="33" t="s">
        <v>30</v>
      </c>
      <c r="D10" s="49">
        <v>42383</v>
      </c>
      <c r="E10" s="34">
        <v>1026.69</v>
      </c>
      <c r="F10" s="34"/>
      <c r="G10" s="34"/>
      <c r="H10" s="34"/>
      <c r="I10" s="34"/>
      <c r="J10" s="46">
        <f t="shared" si="0"/>
        <v>0</v>
      </c>
      <c r="K10" s="34"/>
      <c r="L10" s="60"/>
      <c r="M10" s="34"/>
      <c r="N10" s="34"/>
      <c r="O10" s="61"/>
      <c r="P10" s="61"/>
      <c r="Q10" s="34"/>
      <c r="R10" s="32">
        <v>400</v>
      </c>
      <c r="S10" s="32"/>
      <c r="T10" s="33"/>
      <c r="U10" s="33"/>
      <c r="V10" s="33">
        <v>370.48</v>
      </c>
      <c r="W10" s="46">
        <f t="shared" si="1"/>
        <v>-770.48</v>
      </c>
      <c r="X10" s="32">
        <f t="shared" si="2"/>
        <v>0</v>
      </c>
      <c r="Y10" s="46">
        <f t="shared" si="3"/>
        <v>-770.48</v>
      </c>
      <c r="Z10" s="32">
        <f t="shared" si="4"/>
        <v>0</v>
      </c>
      <c r="AA10" s="32">
        <v>10.23</v>
      </c>
      <c r="AB10" s="32">
        <f t="shared" si="5"/>
        <v>0</v>
      </c>
      <c r="AC10" s="46">
        <f t="shared" si="6"/>
        <v>10.23</v>
      </c>
      <c r="AD10" s="50"/>
      <c r="AE10" s="51"/>
      <c r="AF10" s="47">
        <f t="shared" si="7"/>
        <v>770.48</v>
      </c>
      <c r="AG10" s="35">
        <v>56708881304</v>
      </c>
      <c r="AH10" s="33"/>
    </row>
    <row r="11" spans="1:35" s="18" customFormat="1">
      <c r="A11" s="71" t="s">
        <v>37</v>
      </c>
      <c r="B11" s="33" t="s">
        <v>167</v>
      </c>
      <c r="C11" s="33" t="s">
        <v>159</v>
      </c>
      <c r="D11" s="49">
        <v>43054</v>
      </c>
      <c r="E11" s="34">
        <v>1400</v>
      </c>
      <c r="F11" s="34"/>
      <c r="G11" s="34"/>
      <c r="H11" s="34"/>
      <c r="I11" s="34"/>
      <c r="J11" s="46">
        <f t="shared" si="0"/>
        <v>0</v>
      </c>
      <c r="K11" s="34"/>
      <c r="L11" s="60"/>
      <c r="M11" s="34"/>
      <c r="N11" s="34"/>
      <c r="O11" s="61"/>
      <c r="P11" s="61"/>
      <c r="Q11" s="34"/>
      <c r="R11" s="32"/>
      <c r="S11" s="32"/>
      <c r="T11" s="33"/>
      <c r="U11" s="33"/>
      <c r="V11" s="72"/>
      <c r="W11" s="46">
        <f t="shared" si="1"/>
        <v>0</v>
      </c>
      <c r="X11" s="32"/>
      <c r="Y11" s="46"/>
      <c r="Z11" s="32"/>
      <c r="AA11" s="32"/>
      <c r="AB11" s="32"/>
      <c r="AC11" s="46"/>
      <c r="AD11" s="50"/>
      <c r="AE11" s="51"/>
      <c r="AF11" s="47"/>
      <c r="AG11" s="35">
        <v>60597130077</v>
      </c>
      <c r="AH11" s="33"/>
    </row>
    <row r="12" spans="1:35" s="18" customFormat="1">
      <c r="A12" s="71" t="s">
        <v>27</v>
      </c>
      <c r="B12" s="33" t="s">
        <v>178</v>
      </c>
      <c r="C12" s="33" t="s">
        <v>30</v>
      </c>
      <c r="D12" s="49">
        <v>43133</v>
      </c>
      <c r="E12" s="34">
        <v>1026.69</v>
      </c>
      <c r="F12" s="34"/>
      <c r="G12" s="34"/>
      <c r="H12" s="34"/>
      <c r="I12" s="34"/>
      <c r="J12" s="46">
        <f t="shared" si="0"/>
        <v>0</v>
      </c>
      <c r="K12" s="34"/>
      <c r="L12" s="60"/>
      <c r="M12" s="34"/>
      <c r="N12" s="34"/>
      <c r="O12" s="61"/>
      <c r="P12" s="61"/>
      <c r="Q12" s="34"/>
      <c r="R12" s="32"/>
      <c r="S12" s="32"/>
      <c r="T12" s="33"/>
      <c r="U12" s="33"/>
      <c r="V12" s="72"/>
      <c r="W12" s="46"/>
      <c r="X12" s="32"/>
      <c r="Y12" s="46"/>
      <c r="Z12" s="32"/>
      <c r="AA12" s="32"/>
      <c r="AB12" s="32"/>
      <c r="AC12" s="46"/>
      <c r="AD12" s="50"/>
      <c r="AE12" s="51"/>
      <c r="AF12" s="47"/>
      <c r="AG12" s="35">
        <v>60599123025</v>
      </c>
      <c r="AH12" s="33"/>
    </row>
    <row r="13" spans="1:35" s="18" customFormat="1" ht="15.75">
      <c r="A13" s="71" t="s">
        <v>28</v>
      </c>
      <c r="B13" s="33" t="s">
        <v>123</v>
      </c>
      <c r="C13" s="33" t="s">
        <v>30</v>
      </c>
      <c r="D13" s="49">
        <v>42878</v>
      </c>
      <c r="E13" s="34">
        <v>1026.69</v>
      </c>
      <c r="F13" s="34"/>
      <c r="G13" s="34"/>
      <c r="H13" s="34"/>
      <c r="I13" s="34"/>
      <c r="J13" s="46">
        <f t="shared" si="0"/>
        <v>0</v>
      </c>
      <c r="K13" s="34"/>
      <c r="L13" s="60"/>
      <c r="M13" s="34"/>
      <c r="N13" s="34"/>
      <c r="O13" s="61"/>
      <c r="P13" s="61"/>
      <c r="Q13" s="34"/>
      <c r="R13" s="32"/>
      <c r="S13" s="66">
        <v>0.3</v>
      </c>
      <c r="T13" s="33"/>
      <c r="U13" s="33"/>
      <c r="V13" s="72">
        <v>300</v>
      </c>
      <c r="W13" s="46">
        <f t="shared" si="1"/>
        <v>-300.3</v>
      </c>
      <c r="X13" s="32"/>
      <c r="Y13" s="46"/>
      <c r="Z13" s="32"/>
      <c r="AA13" s="32"/>
      <c r="AB13" s="32"/>
      <c r="AC13" s="46"/>
      <c r="AD13" s="50"/>
      <c r="AE13" s="51"/>
      <c r="AF13" s="47"/>
      <c r="AG13" s="35">
        <v>53917427816</v>
      </c>
      <c r="AH13" s="33"/>
    </row>
    <row r="14" spans="1:35" s="18" customFormat="1">
      <c r="A14" s="71" t="s">
        <v>37</v>
      </c>
      <c r="B14" s="33" t="s">
        <v>141</v>
      </c>
      <c r="C14" s="33" t="s">
        <v>42</v>
      </c>
      <c r="D14" s="49">
        <v>42977</v>
      </c>
      <c r="E14" s="34">
        <v>933.31</v>
      </c>
      <c r="F14" s="34">
        <v>1740</v>
      </c>
      <c r="G14" s="34"/>
      <c r="H14" s="34"/>
      <c r="I14" s="34"/>
      <c r="J14" s="46">
        <f t="shared" si="0"/>
        <v>1740</v>
      </c>
      <c r="K14" s="34"/>
      <c r="L14" s="60"/>
      <c r="M14" s="34"/>
      <c r="N14" s="34"/>
      <c r="O14" s="61"/>
      <c r="P14" s="61"/>
      <c r="Q14" s="34"/>
      <c r="R14" s="32"/>
      <c r="S14" s="32"/>
      <c r="T14" s="33"/>
      <c r="U14" s="33"/>
      <c r="V14" s="33"/>
      <c r="W14" s="46">
        <f t="shared" si="1"/>
        <v>1740</v>
      </c>
      <c r="X14" s="32"/>
      <c r="Y14" s="46"/>
      <c r="Z14" s="32"/>
      <c r="AA14" s="32"/>
      <c r="AB14" s="32"/>
      <c r="AC14" s="46"/>
      <c r="AD14" s="50"/>
      <c r="AE14" s="51"/>
      <c r="AF14" s="47"/>
      <c r="AG14" s="35">
        <v>60594701908</v>
      </c>
      <c r="AH14" s="33"/>
    </row>
    <row r="15" spans="1:35" s="18" customFormat="1">
      <c r="A15" s="71" t="s">
        <v>28</v>
      </c>
      <c r="B15" s="33" t="s">
        <v>70</v>
      </c>
      <c r="C15" s="33" t="s">
        <v>31</v>
      </c>
      <c r="D15" s="49">
        <v>39699</v>
      </c>
      <c r="E15" s="34">
        <v>4666.6899999999996</v>
      </c>
      <c r="F15" s="34">
        <v>15366.03</v>
      </c>
      <c r="G15" s="34"/>
      <c r="H15" s="34"/>
      <c r="I15" s="34"/>
      <c r="J15" s="46">
        <f t="shared" si="0"/>
        <v>15366.03</v>
      </c>
      <c r="K15" s="34">
        <v>1250</v>
      </c>
      <c r="L15" s="60"/>
      <c r="M15" s="34"/>
      <c r="N15" s="34">
        <v>1000</v>
      </c>
      <c r="O15" s="61"/>
      <c r="P15" s="61"/>
      <c r="Q15" s="34"/>
      <c r="R15" s="32">
        <v>7323.5</v>
      </c>
      <c r="S15" s="32"/>
      <c r="T15" s="33"/>
      <c r="U15" s="33"/>
      <c r="V15" s="33"/>
      <c r="W15" s="46">
        <f t="shared" si="1"/>
        <v>5792.5300000000007</v>
      </c>
      <c r="X15" s="32">
        <f t="shared" si="2"/>
        <v>1536.6030000000001</v>
      </c>
      <c r="Y15" s="46">
        <f t="shared" si="3"/>
        <v>4255.9270000000006</v>
      </c>
      <c r="Z15" s="32">
        <f t="shared" si="4"/>
        <v>0</v>
      </c>
      <c r="AA15" s="32">
        <v>10.23</v>
      </c>
      <c r="AB15" s="32">
        <f t="shared" si="5"/>
        <v>0</v>
      </c>
      <c r="AC15" s="46">
        <f t="shared" si="6"/>
        <v>15376.26</v>
      </c>
      <c r="AD15" s="50"/>
      <c r="AE15" s="51"/>
      <c r="AF15" s="47">
        <f t="shared" ref="AF15" si="8">+AD15+AE15-Y15</f>
        <v>-4255.9270000000006</v>
      </c>
      <c r="AG15" s="35">
        <v>56708881349</v>
      </c>
      <c r="AH15" s="35" t="s">
        <v>183</v>
      </c>
    </row>
    <row r="16" spans="1:35" s="18" customFormat="1" ht="15.75">
      <c r="A16" s="71" t="s">
        <v>27</v>
      </c>
      <c r="B16" s="33" t="s">
        <v>145</v>
      </c>
      <c r="C16" s="33" t="s">
        <v>30</v>
      </c>
      <c r="D16" s="49">
        <v>43005</v>
      </c>
      <c r="E16" s="34">
        <v>1026.69</v>
      </c>
      <c r="F16" s="34">
        <v>1000</v>
      </c>
      <c r="G16" s="34"/>
      <c r="H16" s="34"/>
      <c r="I16" s="34"/>
      <c r="J16" s="46">
        <f t="shared" si="0"/>
        <v>1000</v>
      </c>
      <c r="K16" s="34"/>
      <c r="L16" s="60"/>
      <c r="M16" s="34"/>
      <c r="N16" s="34"/>
      <c r="O16" s="61"/>
      <c r="P16" s="61"/>
      <c r="Q16" s="34"/>
      <c r="R16" s="32">
        <v>318.17</v>
      </c>
      <c r="S16" s="66"/>
      <c r="T16" s="33"/>
      <c r="U16" s="33"/>
      <c r="V16" s="33">
        <v>313.26</v>
      </c>
      <c r="W16" s="46">
        <f t="shared" si="1"/>
        <v>368.56999999999994</v>
      </c>
      <c r="X16" s="32"/>
      <c r="Y16" s="46"/>
      <c r="Z16" s="32"/>
      <c r="AA16" s="32"/>
      <c r="AB16" s="32"/>
      <c r="AC16" s="46"/>
      <c r="AD16" s="50"/>
      <c r="AE16" s="51"/>
      <c r="AF16" s="47"/>
      <c r="AG16" s="35">
        <v>60595911850</v>
      </c>
      <c r="AH16" s="33"/>
    </row>
    <row r="17" spans="1:35" s="18" customFormat="1" ht="15.75">
      <c r="A17" s="71" t="s">
        <v>66</v>
      </c>
      <c r="B17" s="33" t="s">
        <v>53</v>
      </c>
      <c r="C17" s="33" t="s">
        <v>43</v>
      </c>
      <c r="D17" s="49">
        <v>42205</v>
      </c>
      <c r="E17" s="34">
        <v>1869</v>
      </c>
      <c r="F17" s="34"/>
      <c r="G17" s="34"/>
      <c r="H17" s="34"/>
      <c r="I17" s="34"/>
      <c r="J17" s="46">
        <f t="shared" si="0"/>
        <v>0</v>
      </c>
      <c r="K17" s="34"/>
      <c r="L17" s="60">
        <v>1</v>
      </c>
      <c r="M17" s="34"/>
      <c r="N17" s="34">
        <v>300</v>
      </c>
      <c r="O17" s="61"/>
      <c r="P17" s="61"/>
      <c r="Q17" s="34"/>
      <c r="R17" s="32"/>
      <c r="S17" s="66">
        <v>0.3</v>
      </c>
      <c r="T17" s="33"/>
      <c r="U17" s="33"/>
      <c r="V17" s="33"/>
      <c r="W17" s="46">
        <f t="shared" si="1"/>
        <v>-301.3</v>
      </c>
      <c r="X17" s="32">
        <f t="shared" si="2"/>
        <v>0</v>
      </c>
      <c r="Y17" s="46">
        <f t="shared" si="3"/>
        <v>-301.3</v>
      </c>
      <c r="Z17" s="32">
        <f t="shared" si="4"/>
        <v>0</v>
      </c>
      <c r="AA17" s="32">
        <v>10.23</v>
      </c>
      <c r="AB17" s="32">
        <f t="shared" si="5"/>
        <v>0</v>
      </c>
      <c r="AC17" s="46">
        <f t="shared" si="6"/>
        <v>10.23</v>
      </c>
      <c r="AD17" s="50"/>
      <c r="AE17" s="51"/>
      <c r="AF17" s="47">
        <f t="shared" ref="AF17" si="9">+AD17+AE17-Y17</f>
        <v>301.3</v>
      </c>
      <c r="AG17" s="35">
        <v>56708844950</v>
      </c>
      <c r="AH17" s="35"/>
    </row>
    <row r="18" spans="1:35" s="18" customFormat="1" ht="15.75">
      <c r="A18" s="71" t="s">
        <v>66</v>
      </c>
      <c r="B18" s="33" t="s">
        <v>82</v>
      </c>
      <c r="C18" s="33" t="s">
        <v>43</v>
      </c>
      <c r="D18" s="49">
        <v>42476</v>
      </c>
      <c r="E18" s="34">
        <v>1869</v>
      </c>
      <c r="F18" s="34"/>
      <c r="G18" s="34">
        <v>70</v>
      </c>
      <c r="H18" s="34"/>
      <c r="I18" s="34"/>
      <c r="J18" s="46">
        <f t="shared" si="0"/>
        <v>70</v>
      </c>
      <c r="K18" s="34"/>
      <c r="L18" s="60"/>
      <c r="M18" s="34"/>
      <c r="N18" s="34"/>
      <c r="O18" s="61"/>
      <c r="P18" s="61"/>
      <c r="Q18" s="34"/>
      <c r="R18" s="32"/>
      <c r="S18" s="66"/>
      <c r="T18" s="33"/>
      <c r="U18" s="33"/>
      <c r="V18" s="33"/>
      <c r="W18" s="46">
        <f t="shared" si="1"/>
        <v>70</v>
      </c>
      <c r="X18" s="32">
        <f t="shared" ref="X18" si="10">IF(J18&gt;2250,J18*0.1,0)</f>
        <v>0</v>
      </c>
      <c r="Y18" s="46">
        <f t="shared" ref="Y18" si="11">+W18-X18</f>
        <v>70</v>
      </c>
      <c r="Z18" s="32">
        <f t="shared" si="4"/>
        <v>7</v>
      </c>
      <c r="AA18" s="32">
        <v>10.23</v>
      </c>
      <c r="AB18" s="32">
        <f t="shared" si="5"/>
        <v>0</v>
      </c>
      <c r="AC18" s="46">
        <f t="shared" si="6"/>
        <v>87.23</v>
      </c>
      <c r="AD18" s="50"/>
      <c r="AE18" s="51"/>
      <c r="AF18" s="47" t="e">
        <f>+AD18+AE18-#REF!</f>
        <v>#REF!</v>
      </c>
      <c r="AG18" s="35">
        <v>56708844964</v>
      </c>
      <c r="AH18" s="35"/>
    </row>
    <row r="19" spans="1:35" s="18" customFormat="1" ht="15.75">
      <c r="A19" s="71" t="s">
        <v>28</v>
      </c>
      <c r="B19" s="33" t="s">
        <v>129</v>
      </c>
      <c r="C19" s="33" t="s">
        <v>30</v>
      </c>
      <c r="D19" s="49">
        <v>42916</v>
      </c>
      <c r="E19" s="34">
        <v>1026.69</v>
      </c>
      <c r="F19" s="34">
        <v>4292.8100000000004</v>
      </c>
      <c r="G19" s="34"/>
      <c r="H19" s="34"/>
      <c r="I19" s="34"/>
      <c r="J19" s="46">
        <f t="shared" si="0"/>
        <v>4292.8100000000004</v>
      </c>
      <c r="K19" s="34"/>
      <c r="L19" s="60"/>
      <c r="M19" s="34"/>
      <c r="N19" s="34"/>
      <c r="O19" s="61"/>
      <c r="P19" s="61"/>
      <c r="Q19" s="34"/>
      <c r="R19" s="32"/>
      <c r="S19" s="66"/>
      <c r="T19" s="33"/>
      <c r="U19" s="33"/>
      <c r="V19" s="33">
        <v>446.91</v>
      </c>
      <c r="W19" s="46">
        <f t="shared" si="1"/>
        <v>3845.9000000000005</v>
      </c>
      <c r="X19" s="32"/>
      <c r="Y19" s="46"/>
      <c r="Z19" s="32"/>
      <c r="AA19" s="32"/>
      <c r="AB19" s="32"/>
      <c r="AC19" s="46"/>
      <c r="AD19" s="50"/>
      <c r="AE19" s="51"/>
      <c r="AF19" s="47"/>
      <c r="AG19" s="35">
        <v>60592609882</v>
      </c>
      <c r="AH19" s="33"/>
    </row>
    <row r="20" spans="1:35" s="18" customFormat="1" ht="15.75">
      <c r="A20" s="71" t="s">
        <v>28</v>
      </c>
      <c r="B20" s="33" t="s">
        <v>176</v>
      </c>
      <c r="C20" s="33" t="s">
        <v>159</v>
      </c>
      <c r="D20" s="49">
        <v>43130</v>
      </c>
      <c r="E20" s="34">
        <v>1400</v>
      </c>
      <c r="F20" s="34"/>
      <c r="G20" s="34"/>
      <c r="H20" s="34"/>
      <c r="I20" s="34"/>
      <c r="J20" s="46">
        <f t="shared" si="0"/>
        <v>0</v>
      </c>
      <c r="K20" s="34"/>
      <c r="L20" s="60"/>
      <c r="M20" s="34"/>
      <c r="N20" s="34"/>
      <c r="O20" s="61"/>
      <c r="P20" s="61"/>
      <c r="Q20" s="34"/>
      <c r="R20" s="32"/>
      <c r="S20" s="66"/>
      <c r="T20" s="33"/>
      <c r="U20" s="33"/>
      <c r="V20" s="33">
        <v>420</v>
      </c>
      <c r="W20" s="46">
        <f t="shared" si="1"/>
        <v>-420</v>
      </c>
      <c r="X20" s="32"/>
      <c r="Y20" s="46"/>
      <c r="Z20" s="32"/>
      <c r="AA20" s="32"/>
      <c r="AB20" s="32"/>
      <c r="AC20" s="46"/>
      <c r="AD20" s="50"/>
      <c r="AE20" s="51"/>
      <c r="AF20" s="47"/>
      <c r="AG20" s="35">
        <v>60597731747</v>
      </c>
      <c r="AH20" s="33"/>
    </row>
    <row r="21" spans="1:35" s="18" customFormat="1">
      <c r="A21" s="71" t="s">
        <v>28</v>
      </c>
      <c r="B21" s="33" t="s">
        <v>148</v>
      </c>
      <c r="C21" s="33" t="s">
        <v>30</v>
      </c>
      <c r="D21" s="49">
        <v>43012</v>
      </c>
      <c r="E21" s="34">
        <v>1026.69</v>
      </c>
      <c r="F21" s="34">
        <v>12557.24</v>
      </c>
      <c r="G21" s="34"/>
      <c r="H21" s="34"/>
      <c r="I21" s="34"/>
      <c r="J21" s="46">
        <f t="shared" si="0"/>
        <v>12557.24</v>
      </c>
      <c r="K21" s="34"/>
      <c r="L21" s="60"/>
      <c r="M21" s="34"/>
      <c r="N21" s="34"/>
      <c r="O21" s="61"/>
      <c r="P21" s="61"/>
      <c r="Q21" s="34"/>
      <c r="R21" s="32"/>
      <c r="S21" s="32"/>
      <c r="T21" s="33"/>
      <c r="U21" s="33"/>
      <c r="V21" s="72"/>
      <c r="W21" s="46">
        <f t="shared" si="1"/>
        <v>12557.24</v>
      </c>
      <c r="X21" s="32"/>
      <c r="Y21" s="46"/>
      <c r="Z21" s="32"/>
      <c r="AA21" s="32"/>
      <c r="AB21" s="32"/>
      <c r="AC21" s="46"/>
      <c r="AD21" s="50"/>
      <c r="AE21" s="51"/>
      <c r="AF21" s="47"/>
      <c r="AG21" s="73" t="s">
        <v>147</v>
      </c>
      <c r="AH21" s="35"/>
      <c r="AI21" s="18" t="s">
        <v>115</v>
      </c>
    </row>
    <row r="22" spans="1:35" s="18" customFormat="1" ht="15.75">
      <c r="A22" s="71" t="s">
        <v>28</v>
      </c>
      <c r="B22" s="33" t="s">
        <v>81</v>
      </c>
      <c r="C22" s="33" t="s">
        <v>30</v>
      </c>
      <c r="D22" s="49">
        <v>42413</v>
      </c>
      <c r="E22" s="34">
        <v>1026.69</v>
      </c>
      <c r="F22" s="34">
        <v>4860.9399999999996</v>
      </c>
      <c r="G22" s="34"/>
      <c r="H22" s="34"/>
      <c r="I22" s="34"/>
      <c r="J22" s="46">
        <f t="shared" si="0"/>
        <v>4860.9399999999996</v>
      </c>
      <c r="K22" s="34"/>
      <c r="L22" s="60"/>
      <c r="M22" s="34"/>
      <c r="N22" s="34"/>
      <c r="O22" s="61"/>
      <c r="P22" s="61"/>
      <c r="Q22" s="34"/>
      <c r="R22" s="32"/>
      <c r="S22" s="66"/>
      <c r="T22" s="33"/>
      <c r="U22" s="33"/>
      <c r="V22" s="33"/>
      <c r="W22" s="46">
        <f t="shared" si="1"/>
        <v>4860.9399999999996</v>
      </c>
      <c r="X22" s="32">
        <f t="shared" si="2"/>
        <v>486.09399999999999</v>
      </c>
      <c r="Y22" s="46">
        <f t="shared" si="3"/>
        <v>4374.8459999999995</v>
      </c>
      <c r="Z22" s="32">
        <f t="shared" si="4"/>
        <v>0</v>
      </c>
      <c r="AA22" s="32">
        <v>13.23</v>
      </c>
      <c r="AB22" s="32">
        <f t="shared" si="5"/>
        <v>0</v>
      </c>
      <c r="AC22" s="46">
        <f t="shared" si="6"/>
        <v>4874.1699999999992</v>
      </c>
      <c r="AD22" s="50"/>
      <c r="AE22" s="51"/>
      <c r="AF22" s="47">
        <f>+AD22+AE22-Y22</f>
        <v>-4374.8459999999995</v>
      </c>
      <c r="AG22" s="35">
        <v>60590329504</v>
      </c>
      <c r="AH22" s="33"/>
    </row>
    <row r="23" spans="1:35" s="18" customFormat="1" ht="15.75">
      <c r="A23" s="71" t="s">
        <v>28</v>
      </c>
      <c r="B23" s="33" t="s">
        <v>87</v>
      </c>
      <c r="C23" s="33" t="s">
        <v>94</v>
      </c>
      <c r="D23" s="49">
        <v>42480</v>
      </c>
      <c r="E23" s="34">
        <v>2800</v>
      </c>
      <c r="F23" s="34"/>
      <c r="G23" s="34"/>
      <c r="H23" s="34"/>
      <c r="I23" s="34"/>
      <c r="J23" s="46">
        <f t="shared" si="0"/>
        <v>0</v>
      </c>
      <c r="K23" s="34"/>
      <c r="L23" s="60"/>
      <c r="M23" s="34"/>
      <c r="N23" s="34"/>
      <c r="O23" s="61"/>
      <c r="P23" s="61"/>
      <c r="Q23" s="34"/>
      <c r="R23" s="32"/>
      <c r="S23" s="66"/>
      <c r="T23" s="33"/>
      <c r="U23" s="33"/>
      <c r="V23" s="33"/>
      <c r="W23" s="46">
        <f t="shared" si="1"/>
        <v>0</v>
      </c>
      <c r="X23" s="32">
        <f t="shared" ref="X23:X41" si="12">IF(J23&gt;2250,J23*0.1,0)</f>
        <v>0</v>
      </c>
      <c r="Y23" s="46">
        <f t="shared" ref="Y23:Y41" si="13">+W23-X23</f>
        <v>0</v>
      </c>
      <c r="Z23" s="32">
        <f t="shared" ref="Z23:Z41" si="14">IF(J23&lt;2250,J23*0.1,0)</f>
        <v>0</v>
      </c>
      <c r="AA23" s="32">
        <v>17.23</v>
      </c>
      <c r="AB23" s="32">
        <f t="shared" ref="AB23:AB41" si="15">+O23</f>
        <v>0</v>
      </c>
      <c r="AC23" s="46">
        <f t="shared" ref="AC23:AC41" si="16">+J23+Z23+AA23+AB23</f>
        <v>17.23</v>
      </c>
      <c r="AD23" s="50"/>
      <c r="AE23" s="51"/>
      <c r="AF23" s="47">
        <f>+AD23+AE23-Y23</f>
        <v>0</v>
      </c>
      <c r="AG23" s="35">
        <v>56708845010</v>
      </c>
      <c r="AH23" s="33"/>
    </row>
    <row r="24" spans="1:35" s="18" customFormat="1" ht="15.75">
      <c r="A24" s="71" t="s">
        <v>39</v>
      </c>
      <c r="B24" s="33" t="s">
        <v>116</v>
      </c>
      <c r="C24" s="33" t="s">
        <v>43</v>
      </c>
      <c r="D24" s="49">
        <v>42826</v>
      </c>
      <c r="E24" s="34">
        <v>1633.31</v>
      </c>
      <c r="F24" s="34"/>
      <c r="G24" s="34"/>
      <c r="H24" s="34"/>
      <c r="I24" s="34"/>
      <c r="J24" s="46">
        <f t="shared" si="0"/>
        <v>0</v>
      </c>
      <c r="K24" s="34"/>
      <c r="L24" s="60"/>
      <c r="M24" s="34"/>
      <c r="N24" s="34"/>
      <c r="O24" s="61"/>
      <c r="P24" s="61"/>
      <c r="Q24" s="34"/>
      <c r="R24" s="32"/>
      <c r="S24" s="66"/>
      <c r="T24" s="33"/>
      <c r="U24" s="33"/>
      <c r="V24" s="33"/>
      <c r="W24" s="46">
        <f t="shared" si="1"/>
        <v>0</v>
      </c>
      <c r="X24" s="32">
        <f t="shared" si="12"/>
        <v>0</v>
      </c>
      <c r="Y24" s="46"/>
      <c r="Z24" s="32">
        <f t="shared" si="14"/>
        <v>0</v>
      </c>
      <c r="AA24" s="32"/>
      <c r="AB24" s="32"/>
      <c r="AC24" s="46"/>
      <c r="AD24" s="50"/>
      <c r="AE24" s="51"/>
      <c r="AF24" s="47"/>
      <c r="AG24" s="35">
        <v>60590035118</v>
      </c>
      <c r="AH24" s="35"/>
    </row>
    <row r="25" spans="1:35" s="18" customFormat="1" ht="15.75">
      <c r="A25" s="71" t="s">
        <v>27</v>
      </c>
      <c r="B25" s="33" t="s">
        <v>128</v>
      </c>
      <c r="C25" s="33" t="s">
        <v>44</v>
      </c>
      <c r="D25" s="49">
        <v>42916</v>
      </c>
      <c r="E25" s="34">
        <v>1026.69</v>
      </c>
      <c r="F25" s="34"/>
      <c r="G25" s="34"/>
      <c r="H25" s="34"/>
      <c r="I25" s="34"/>
      <c r="J25" s="46">
        <f t="shared" si="0"/>
        <v>0</v>
      </c>
      <c r="K25" s="34"/>
      <c r="L25" s="60"/>
      <c r="M25" s="34"/>
      <c r="N25" s="34"/>
      <c r="O25" s="61"/>
      <c r="P25" s="61"/>
      <c r="Q25" s="34"/>
      <c r="R25" s="32"/>
      <c r="S25" s="66"/>
      <c r="T25" s="33"/>
      <c r="U25" s="33"/>
      <c r="V25" s="33">
        <v>661.74</v>
      </c>
      <c r="W25" s="46">
        <f t="shared" si="1"/>
        <v>-661.74</v>
      </c>
      <c r="X25" s="32"/>
      <c r="Y25" s="46"/>
      <c r="Z25" s="32"/>
      <c r="AA25" s="32"/>
      <c r="AB25" s="32"/>
      <c r="AC25" s="46"/>
      <c r="AD25" s="50"/>
      <c r="AE25" s="51"/>
      <c r="AF25" s="47"/>
      <c r="AG25" s="35">
        <v>60584074827</v>
      </c>
      <c r="AH25" s="33"/>
    </row>
    <row r="26" spans="1:35" s="18" customFormat="1" ht="15.75">
      <c r="A26" s="71" t="s">
        <v>28</v>
      </c>
      <c r="B26" s="33" t="s">
        <v>120</v>
      </c>
      <c r="C26" s="33" t="s">
        <v>30</v>
      </c>
      <c r="D26" s="49">
        <v>41463</v>
      </c>
      <c r="E26" s="34">
        <v>1026.69</v>
      </c>
      <c r="F26" s="34"/>
      <c r="G26" s="34"/>
      <c r="H26" s="34"/>
      <c r="I26" s="34"/>
      <c r="J26" s="46">
        <f t="shared" si="0"/>
        <v>0</v>
      </c>
      <c r="K26" s="34"/>
      <c r="L26" s="60"/>
      <c r="M26" s="34"/>
      <c r="N26" s="34"/>
      <c r="O26" s="61"/>
      <c r="P26" s="61"/>
      <c r="Q26" s="34"/>
      <c r="R26" s="32"/>
      <c r="S26" s="66"/>
      <c r="T26" s="33"/>
      <c r="U26" s="33"/>
      <c r="V26" s="33"/>
      <c r="W26" s="46">
        <f t="shared" si="1"/>
        <v>0</v>
      </c>
      <c r="X26" s="32">
        <f t="shared" si="12"/>
        <v>0</v>
      </c>
      <c r="Y26" s="46">
        <f t="shared" si="13"/>
        <v>0</v>
      </c>
      <c r="Z26" s="32">
        <f t="shared" si="14"/>
        <v>0</v>
      </c>
      <c r="AA26" s="32">
        <v>20.23</v>
      </c>
      <c r="AB26" s="32">
        <f t="shared" si="15"/>
        <v>0</v>
      </c>
      <c r="AC26" s="46">
        <f t="shared" si="16"/>
        <v>20.23</v>
      </c>
      <c r="AD26" s="50"/>
      <c r="AE26" s="51"/>
      <c r="AF26" s="47">
        <f>+AD26+AE26-Y26</f>
        <v>0</v>
      </c>
      <c r="AG26" s="35">
        <v>56708881457</v>
      </c>
      <c r="AH26" s="33"/>
    </row>
    <row r="27" spans="1:35" s="86" customFormat="1" ht="15.75">
      <c r="A27" s="75" t="s">
        <v>28</v>
      </c>
      <c r="B27" s="75" t="s">
        <v>161</v>
      </c>
      <c r="C27" s="75" t="s">
        <v>30</v>
      </c>
      <c r="D27" s="76">
        <v>43052</v>
      </c>
      <c r="E27" s="77">
        <v>1026.69</v>
      </c>
      <c r="F27" s="77"/>
      <c r="G27" s="77"/>
      <c r="H27" s="77"/>
      <c r="I27" s="77"/>
      <c r="J27" s="78">
        <f t="shared" si="0"/>
        <v>0</v>
      </c>
      <c r="K27" s="77"/>
      <c r="L27" s="79"/>
      <c r="M27" s="77"/>
      <c r="N27" s="77"/>
      <c r="O27" s="80"/>
      <c r="P27" s="80"/>
      <c r="Q27" s="77"/>
      <c r="R27" s="81"/>
      <c r="S27" s="87"/>
      <c r="T27" s="75"/>
      <c r="U27" s="75"/>
      <c r="V27" s="75"/>
      <c r="W27" s="78">
        <f t="shared" si="1"/>
        <v>0</v>
      </c>
      <c r="X27" s="81"/>
      <c r="Y27" s="78"/>
      <c r="Z27" s="81"/>
      <c r="AA27" s="81"/>
      <c r="AB27" s="81"/>
      <c r="AC27" s="78"/>
      <c r="AD27" s="82"/>
      <c r="AE27" s="83"/>
      <c r="AF27" s="84"/>
      <c r="AG27" s="85">
        <v>60597082882</v>
      </c>
      <c r="AH27" s="75"/>
    </row>
    <row r="28" spans="1:35" s="18" customFormat="1" ht="15.75">
      <c r="A28" s="71" t="s">
        <v>26</v>
      </c>
      <c r="B28" s="33" t="s">
        <v>117</v>
      </c>
      <c r="C28" s="33" t="s">
        <v>88</v>
      </c>
      <c r="D28" s="49">
        <v>40618</v>
      </c>
      <c r="E28" s="34">
        <v>1633.31</v>
      </c>
      <c r="F28" s="34">
        <v>3535.92</v>
      </c>
      <c r="G28" s="34"/>
      <c r="H28" s="34"/>
      <c r="I28" s="34"/>
      <c r="J28" s="46">
        <f t="shared" si="0"/>
        <v>3535.92</v>
      </c>
      <c r="K28" s="34"/>
      <c r="L28" s="60"/>
      <c r="M28" s="34"/>
      <c r="N28" s="34"/>
      <c r="O28" s="61"/>
      <c r="P28" s="61"/>
      <c r="Q28" s="34"/>
      <c r="R28" s="32"/>
      <c r="S28" s="66"/>
      <c r="T28" s="33"/>
      <c r="U28" s="33"/>
      <c r="V28" s="33">
        <v>1338.48</v>
      </c>
      <c r="W28" s="46">
        <f t="shared" si="1"/>
        <v>2197.44</v>
      </c>
      <c r="X28" s="32">
        <f t="shared" si="12"/>
        <v>353.59200000000004</v>
      </c>
      <c r="Y28" s="46">
        <f t="shared" si="13"/>
        <v>1843.848</v>
      </c>
      <c r="Z28" s="32">
        <f t="shared" si="14"/>
        <v>0</v>
      </c>
      <c r="AA28" s="32">
        <v>21.23</v>
      </c>
      <c r="AB28" s="32">
        <f t="shared" si="15"/>
        <v>0</v>
      </c>
      <c r="AC28" s="46">
        <f t="shared" si="16"/>
        <v>3557.15</v>
      </c>
      <c r="AD28" s="50"/>
      <c r="AE28" s="51"/>
      <c r="AF28" s="47"/>
      <c r="AG28" s="35">
        <v>56708845038</v>
      </c>
      <c r="AH28" s="33"/>
    </row>
    <row r="29" spans="1:35" s="18" customFormat="1" ht="15.75">
      <c r="A29" s="71" t="s">
        <v>28</v>
      </c>
      <c r="B29" s="33" t="s">
        <v>80</v>
      </c>
      <c r="C29" s="33" t="s">
        <v>30</v>
      </c>
      <c r="D29" s="49">
        <v>42296</v>
      </c>
      <c r="E29" s="34">
        <v>1026.69</v>
      </c>
      <c r="F29" s="34">
        <v>7427.26</v>
      </c>
      <c r="G29" s="34"/>
      <c r="H29" s="34"/>
      <c r="I29" s="34"/>
      <c r="J29" s="46">
        <f t="shared" si="0"/>
        <v>7427.26</v>
      </c>
      <c r="K29" s="34"/>
      <c r="L29" s="60"/>
      <c r="M29" s="34"/>
      <c r="N29" s="34"/>
      <c r="O29" s="61"/>
      <c r="P29" s="61"/>
      <c r="Q29" s="34"/>
      <c r="R29" s="32">
        <v>5000</v>
      </c>
      <c r="S29" s="66"/>
      <c r="T29" s="33"/>
      <c r="U29" s="33"/>
      <c r="V29" s="33">
        <v>886.08</v>
      </c>
      <c r="W29" s="46">
        <f t="shared" si="1"/>
        <v>1541.1800000000003</v>
      </c>
      <c r="X29" s="32">
        <f t="shared" si="12"/>
        <v>742.72600000000011</v>
      </c>
      <c r="Y29" s="46">
        <f t="shared" si="13"/>
        <v>798.45400000000018</v>
      </c>
      <c r="Z29" s="32">
        <f t="shared" si="14"/>
        <v>0</v>
      </c>
      <c r="AA29" s="32">
        <v>10.23</v>
      </c>
      <c r="AB29" s="32">
        <f t="shared" si="15"/>
        <v>0</v>
      </c>
      <c r="AC29" s="46">
        <f t="shared" si="16"/>
        <v>7437.49</v>
      </c>
      <c r="AD29" s="50"/>
      <c r="AE29" s="51"/>
      <c r="AF29" s="47">
        <f>+AD29+AE29-Y29</f>
        <v>-798.45400000000018</v>
      </c>
      <c r="AG29" s="35">
        <v>56708881460</v>
      </c>
      <c r="AH29" s="33"/>
    </row>
    <row r="30" spans="1:35" s="18" customFormat="1" ht="15.75">
      <c r="A30" s="71" t="s">
        <v>27</v>
      </c>
      <c r="B30" s="33" t="s">
        <v>130</v>
      </c>
      <c r="C30" s="33" t="s">
        <v>44</v>
      </c>
      <c r="D30" s="49">
        <v>42916</v>
      </c>
      <c r="E30" s="34">
        <v>1026.69</v>
      </c>
      <c r="F30" s="34">
        <f>4376.92+2735.35</f>
        <v>7112.27</v>
      </c>
      <c r="G30" s="34"/>
      <c r="H30" s="34"/>
      <c r="I30" s="34"/>
      <c r="J30" s="46">
        <f t="shared" si="0"/>
        <v>7112.27</v>
      </c>
      <c r="K30" s="34"/>
      <c r="L30" s="60"/>
      <c r="M30" s="34"/>
      <c r="N30" s="34"/>
      <c r="O30" s="61"/>
      <c r="P30" s="61"/>
      <c r="Q30" s="34"/>
      <c r="R30" s="32"/>
      <c r="S30" s="66"/>
      <c r="T30" s="33"/>
      <c r="U30" s="33"/>
      <c r="V30" s="33"/>
      <c r="W30" s="46">
        <f t="shared" si="1"/>
        <v>7112.27</v>
      </c>
      <c r="X30" s="32"/>
      <c r="Y30" s="46"/>
      <c r="Z30" s="32"/>
      <c r="AA30" s="32"/>
      <c r="AB30" s="32"/>
      <c r="AC30" s="46"/>
      <c r="AD30" s="50"/>
      <c r="AE30" s="51"/>
      <c r="AF30" s="47"/>
      <c r="AG30" s="35">
        <v>60592636121</v>
      </c>
      <c r="AH30" s="33"/>
    </row>
    <row r="31" spans="1:35" s="86" customFormat="1" ht="15.75">
      <c r="A31" s="75" t="s">
        <v>28</v>
      </c>
      <c r="B31" s="75" t="s">
        <v>160</v>
      </c>
      <c r="C31" s="75" t="s">
        <v>159</v>
      </c>
      <c r="D31" s="76">
        <v>43035</v>
      </c>
      <c r="E31" s="77">
        <v>1400</v>
      </c>
      <c r="F31" s="77"/>
      <c r="G31" s="77"/>
      <c r="H31" s="77"/>
      <c r="I31" s="77"/>
      <c r="J31" s="78">
        <f t="shared" si="0"/>
        <v>0</v>
      </c>
      <c r="K31" s="77"/>
      <c r="L31" s="79"/>
      <c r="M31" s="77"/>
      <c r="N31" s="77"/>
      <c r="O31" s="80"/>
      <c r="P31" s="80"/>
      <c r="Q31" s="77"/>
      <c r="R31" s="81"/>
      <c r="S31" s="87"/>
      <c r="T31" s="75"/>
      <c r="U31" s="75"/>
      <c r="V31" s="75"/>
      <c r="W31" s="78">
        <f t="shared" si="1"/>
        <v>0</v>
      </c>
      <c r="X31" s="81"/>
      <c r="Y31" s="78"/>
      <c r="Z31" s="81"/>
      <c r="AA31" s="81"/>
      <c r="AB31" s="81"/>
      <c r="AC31" s="78"/>
      <c r="AD31" s="82"/>
      <c r="AE31" s="83"/>
      <c r="AF31" s="84"/>
      <c r="AG31" s="85">
        <v>60596635649</v>
      </c>
      <c r="AH31" s="75"/>
    </row>
    <row r="32" spans="1:35" s="18" customFormat="1" ht="15.75">
      <c r="A32" s="71" t="s">
        <v>37</v>
      </c>
      <c r="B32" s="33" t="s">
        <v>140</v>
      </c>
      <c r="C32" s="33" t="s">
        <v>29</v>
      </c>
      <c r="D32" s="49">
        <v>42978</v>
      </c>
      <c r="E32" s="34">
        <v>1166.6199999999999</v>
      </c>
      <c r="F32" s="34">
        <v>2152.0500000000002</v>
      </c>
      <c r="G32" s="34"/>
      <c r="H32" s="34"/>
      <c r="I32" s="34"/>
      <c r="J32" s="46">
        <f t="shared" si="0"/>
        <v>2152.0500000000002</v>
      </c>
      <c r="K32" s="34"/>
      <c r="L32" s="60"/>
      <c r="M32" s="34"/>
      <c r="N32" s="34"/>
      <c r="O32" s="61"/>
      <c r="P32" s="61"/>
      <c r="Q32" s="34"/>
      <c r="R32" s="32"/>
      <c r="S32" s="66"/>
      <c r="T32" s="33"/>
      <c r="U32" s="33"/>
      <c r="V32" s="33"/>
      <c r="W32" s="46">
        <f t="shared" si="1"/>
        <v>2152.0500000000002</v>
      </c>
      <c r="X32" s="32"/>
      <c r="Y32" s="46"/>
      <c r="Z32" s="32"/>
      <c r="AA32" s="32"/>
      <c r="AB32" s="32"/>
      <c r="AC32" s="46"/>
      <c r="AD32" s="50"/>
      <c r="AE32" s="51"/>
      <c r="AF32" s="47"/>
      <c r="AG32" s="35">
        <v>60594750506</v>
      </c>
      <c r="AH32" s="33"/>
    </row>
    <row r="33" spans="1:34" s="18" customFormat="1" ht="15.75">
      <c r="A33" s="71" t="s">
        <v>28</v>
      </c>
      <c r="B33" s="33" t="s">
        <v>162</v>
      </c>
      <c r="C33" s="33" t="s">
        <v>163</v>
      </c>
      <c r="D33" s="49">
        <v>43063</v>
      </c>
      <c r="E33" s="34">
        <v>2333.31</v>
      </c>
      <c r="F33" s="34"/>
      <c r="G33" s="34"/>
      <c r="H33" s="34"/>
      <c r="I33" s="34"/>
      <c r="J33" s="46">
        <f t="shared" si="0"/>
        <v>0</v>
      </c>
      <c r="K33" s="34"/>
      <c r="L33" s="60"/>
      <c r="M33" s="34"/>
      <c r="N33" s="34"/>
      <c r="O33" s="61"/>
      <c r="P33" s="61"/>
      <c r="Q33" s="34"/>
      <c r="R33" s="32"/>
      <c r="S33" s="66"/>
      <c r="T33" s="33"/>
      <c r="U33" s="33"/>
      <c r="V33" s="33"/>
      <c r="W33" s="46">
        <f t="shared" si="1"/>
        <v>0</v>
      </c>
      <c r="X33" s="32"/>
      <c r="Y33" s="46"/>
      <c r="Z33" s="32"/>
      <c r="AA33" s="32"/>
      <c r="AB33" s="32"/>
      <c r="AC33" s="46"/>
      <c r="AD33" s="50"/>
      <c r="AE33" s="51"/>
      <c r="AF33" s="47"/>
      <c r="AG33" s="35">
        <v>56701660014</v>
      </c>
      <c r="AH33" s="35"/>
    </row>
    <row r="34" spans="1:34" s="18" customFormat="1">
      <c r="A34" s="71" t="s">
        <v>28</v>
      </c>
      <c r="B34" s="33" t="s">
        <v>83</v>
      </c>
      <c r="C34" s="33" t="s">
        <v>30</v>
      </c>
      <c r="D34" s="49">
        <v>37834</v>
      </c>
      <c r="E34" s="34">
        <v>1026.69</v>
      </c>
      <c r="F34" s="34">
        <v>1619.45</v>
      </c>
      <c r="G34" s="34"/>
      <c r="H34" s="34"/>
      <c r="I34" s="34"/>
      <c r="J34" s="46">
        <f t="shared" si="0"/>
        <v>1619.45</v>
      </c>
      <c r="K34" s="34"/>
      <c r="L34" s="60"/>
      <c r="M34" s="34"/>
      <c r="N34" s="34"/>
      <c r="O34" s="61"/>
      <c r="P34" s="61"/>
      <c r="Q34" s="34"/>
      <c r="R34" s="32"/>
      <c r="S34" s="32"/>
      <c r="T34" s="33"/>
      <c r="U34" s="33"/>
      <c r="V34" s="33"/>
      <c r="W34" s="46">
        <f t="shared" si="1"/>
        <v>1619.45</v>
      </c>
      <c r="X34" s="32">
        <f t="shared" si="12"/>
        <v>0</v>
      </c>
      <c r="Y34" s="46">
        <f t="shared" si="13"/>
        <v>1619.45</v>
      </c>
      <c r="Z34" s="32">
        <f t="shared" si="14"/>
        <v>161.94500000000002</v>
      </c>
      <c r="AA34" s="32">
        <v>10.23</v>
      </c>
      <c r="AB34" s="32">
        <f t="shared" si="15"/>
        <v>0</v>
      </c>
      <c r="AC34" s="46">
        <f t="shared" si="16"/>
        <v>1791.625</v>
      </c>
      <c r="AD34" s="50"/>
      <c r="AE34" s="51"/>
      <c r="AF34" s="47">
        <f t="shared" ref="AF34" si="17">+AD34+AE34-Y34</f>
        <v>-1619.45</v>
      </c>
      <c r="AG34" s="35">
        <v>56708881503</v>
      </c>
      <c r="AH34" s="35"/>
    </row>
    <row r="35" spans="1:34" s="86" customFormat="1">
      <c r="A35" s="75" t="s">
        <v>28</v>
      </c>
      <c r="B35" s="75" t="s">
        <v>177</v>
      </c>
      <c r="C35" s="75" t="s">
        <v>30</v>
      </c>
      <c r="D35" s="76">
        <v>43126</v>
      </c>
      <c r="E35" s="77">
        <v>1026.69</v>
      </c>
      <c r="F35" s="88"/>
      <c r="G35" s="88"/>
      <c r="H35" s="77"/>
      <c r="I35" s="77"/>
      <c r="J35" s="78">
        <f t="shared" si="0"/>
        <v>0</v>
      </c>
      <c r="K35" s="77"/>
      <c r="L35" s="79"/>
      <c r="M35" s="77"/>
      <c r="N35" s="77"/>
      <c r="O35" s="80"/>
      <c r="P35" s="80"/>
      <c r="Q35" s="77"/>
      <c r="R35" s="81"/>
      <c r="S35" s="81"/>
      <c r="T35" s="89"/>
      <c r="U35" s="89"/>
      <c r="V35" s="89"/>
      <c r="W35" s="78">
        <f t="shared" si="1"/>
        <v>0</v>
      </c>
      <c r="X35" s="81"/>
      <c r="Y35" s="78"/>
      <c r="Z35" s="81"/>
      <c r="AA35" s="81"/>
      <c r="AB35" s="81"/>
      <c r="AC35" s="78"/>
      <c r="AD35" s="82"/>
      <c r="AE35" s="83"/>
      <c r="AF35" s="84"/>
      <c r="AG35" s="85">
        <v>60598943656</v>
      </c>
      <c r="AH35" s="85"/>
    </row>
    <row r="36" spans="1:34" s="18" customFormat="1">
      <c r="A36" s="71" t="s">
        <v>28</v>
      </c>
      <c r="B36" s="33" t="s">
        <v>74</v>
      </c>
      <c r="C36" s="33" t="s">
        <v>43</v>
      </c>
      <c r="D36" s="49">
        <v>40813</v>
      </c>
      <c r="E36" s="34">
        <v>1869</v>
      </c>
      <c r="F36" s="63"/>
      <c r="G36" s="63"/>
      <c r="H36" s="34"/>
      <c r="I36" s="34"/>
      <c r="J36" s="46">
        <f t="shared" si="0"/>
        <v>0</v>
      </c>
      <c r="K36" s="34"/>
      <c r="L36" s="60"/>
      <c r="M36" s="34"/>
      <c r="N36" s="34"/>
      <c r="O36" s="61"/>
      <c r="P36" s="61"/>
      <c r="Q36" s="34"/>
      <c r="R36" s="32"/>
      <c r="S36" s="32"/>
      <c r="T36" s="48"/>
      <c r="U36" s="48"/>
      <c r="V36" s="48"/>
      <c r="W36" s="46">
        <f t="shared" si="1"/>
        <v>0</v>
      </c>
      <c r="X36" s="32">
        <f t="shared" ref="X36" si="18">+W36*0.05</f>
        <v>0</v>
      </c>
      <c r="Y36" s="46">
        <f t="shared" ref="Y36" si="19">+W36-R36-V36</f>
        <v>0</v>
      </c>
      <c r="Z36" s="32">
        <f t="shared" ref="Z36" si="20">IF(W36&lt;3000,W36*0.1,0)</f>
        <v>0</v>
      </c>
      <c r="AA36" s="32"/>
      <c r="AB36" s="32"/>
      <c r="AC36" s="46">
        <f t="shared" ref="AC36" si="21">+W36+Z36+AA36</f>
        <v>0</v>
      </c>
      <c r="AD36" s="50"/>
      <c r="AE36" s="51"/>
      <c r="AF36" s="47"/>
      <c r="AG36" s="35">
        <v>60589552237</v>
      </c>
      <c r="AH36" s="35"/>
    </row>
    <row r="37" spans="1:34" s="18" customFormat="1">
      <c r="A37" s="71" t="s">
        <v>27</v>
      </c>
      <c r="B37" s="33" t="s">
        <v>131</v>
      </c>
      <c r="C37" s="33" t="s">
        <v>30</v>
      </c>
      <c r="D37" s="49">
        <v>42852</v>
      </c>
      <c r="E37" s="34">
        <v>1026.69</v>
      </c>
      <c r="F37" s="34">
        <f>1818.34+975.56</f>
        <v>2793.8999999999996</v>
      </c>
      <c r="G37" s="34"/>
      <c r="H37" s="34"/>
      <c r="I37" s="34"/>
      <c r="J37" s="46">
        <f t="shared" si="0"/>
        <v>2793.8999999999996</v>
      </c>
      <c r="K37" s="34"/>
      <c r="L37" s="60"/>
      <c r="M37" s="34"/>
      <c r="N37" s="34"/>
      <c r="O37" s="61"/>
      <c r="P37" s="61"/>
      <c r="Q37" s="34"/>
      <c r="R37" s="32"/>
      <c r="S37" s="32"/>
      <c r="T37" s="48"/>
      <c r="U37" s="48"/>
      <c r="V37" s="48"/>
      <c r="W37" s="46">
        <f t="shared" si="1"/>
        <v>2793.8999999999996</v>
      </c>
      <c r="X37" s="32"/>
      <c r="Y37" s="46"/>
      <c r="Z37" s="32"/>
      <c r="AA37" s="32"/>
      <c r="AB37" s="32"/>
      <c r="AC37" s="46"/>
      <c r="AD37" s="50"/>
      <c r="AE37" s="51"/>
      <c r="AF37" s="47"/>
      <c r="AG37" s="35">
        <v>60590678030</v>
      </c>
      <c r="AH37" s="35"/>
    </row>
    <row r="38" spans="1:34" s="18" customFormat="1">
      <c r="A38" s="71" t="s">
        <v>28</v>
      </c>
      <c r="B38" s="33" t="s">
        <v>139</v>
      </c>
      <c r="C38" s="33" t="s">
        <v>30</v>
      </c>
      <c r="D38" s="49">
        <v>42961</v>
      </c>
      <c r="E38" s="34">
        <v>1022.56</v>
      </c>
      <c r="F38" s="34">
        <v>5206.79</v>
      </c>
      <c r="G38" s="34"/>
      <c r="H38" s="34"/>
      <c r="I38" s="34"/>
      <c r="J38" s="46">
        <f t="shared" si="0"/>
        <v>5206.79</v>
      </c>
      <c r="K38" s="34"/>
      <c r="L38" s="60"/>
      <c r="M38" s="34"/>
      <c r="N38" s="34"/>
      <c r="O38" s="61"/>
      <c r="P38" s="61"/>
      <c r="Q38" s="34"/>
      <c r="R38" s="32"/>
      <c r="S38" s="32"/>
      <c r="T38" s="48"/>
      <c r="U38" s="48"/>
      <c r="V38" s="48"/>
      <c r="W38" s="46">
        <f t="shared" si="1"/>
        <v>5206.79</v>
      </c>
      <c r="X38" s="32"/>
      <c r="Y38" s="46"/>
      <c r="Z38" s="32"/>
      <c r="AA38" s="32"/>
      <c r="AB38" s="32"/>
      <c r="AC38" s="46"/>
      <c r="AD38" s="50"/>
      <c r="AE38" s="51"/>
      <c r="AF38" s="47"/>
      <c r="AG38" s="35">
        <v>60589665774</v>
      </c>
      <c r="AH38" s="35"/>
    </row>
    <row r="39" spans="1:34" s="18" customFormat="1">
      <c r="A39" s="71" t="s">
        <v>28</v>
      </c>
      <c r="B39" s="33" t="s">
        <v>132</v>
      </c>
      <c r="C39" s="33" t="s">
        <v>30</v>
      </c>
      <c r="D39" s="49">
        <v>42380</v>
      </c>
      <c r="E39" s="34">
        <v>1022.56</v>
      </c>
      <c r="F39" s="34">
        <v>2500</v>
      </c>
      <c r="G39" s="34"/>
      <c r="H39" s="34"/>
      <c r="I39" s="34"/>
      <c r="J39" s="46">
        <f t="shared" si="0"/>
        <v>2500</v>
      </c>
      <c r="K39" s="34"/>
      <c r="L39" s="60"/>
      <c r="M39" s="34"/>
      <c r="N39" s="34"/>
      <c r="O39" s="61"/>
      <c r="P39" s="61"/>
      <c r="Q39" s="34"/>
      <c r="R39" s="32"/>
      <c r="S39" s="32"/>
      <c r="T39" s="33"/>
      <c r="U39" s="33"/>
      <c r="V39" s="33"/>
      <c r="W39" s="46">
        <f t="shared" si="1"/>
        <v>2500</v>
      </c>
      <c r="X39" s="32"/>
      <c r="Y39" s="46"/>
      <c r="Z39" s="32"/>
      <c r="AA39" s="32"/>
      <c r="AB39" s="32"/>
      <c r="AC39" s="46"/>
      <c r="AD39" s="50"/>
      <c r="AE39" s="51"/>
      <c r="AF39" s="47"/>
      <c r="AG39" s="35">
        <v>56708881702</v>
      </c>
      <c r="AH39" s="33"/>
    </row>
    <row r="40" spans="1:34" s="18" customFormat="1">
      <c r="A40" s="71" t="s">
        <v>39</v>
      </c>
      <c r="B40" s="33" t="s">
        <v>124</v>
      </c>
      <c r="C40" s="33" t="s">
        <v>43</v>
      </c>
      <c r="D40" s="49">
        <v>42891</v>
      </c>
      <c r="E40" s="34">
        <v>1633.31</v>
      </c>
      <c r="F40" s="34"/>
      <c r="G40" s="34"/>
      <c r="H40" s="34"/>
      <c r="I40" s="34"/>
      <c r="J40" s="46">
        <f t="shared" si="0"/>
        <v>0</v>
      </c>
      <c r="K40" s="34"/>
      <c r="L40" s="60"/>
      <c r="M40" s="34"/>
      <c r="N40" s="34"/>
      <c r="O40" s="61"/>
      <c r="P40" s="61"/>
      <c r="Q40" s="34"/>
      <c r="R40" s="32"/>
      <c r="S40" s="32"/>
      <c r="T40" s="33"/>
      <c r="U40" s="33"/>
      <c r="V40" s="33"/>
      <c r="W40" s="46">
        <f t="shared" si="1"/>
        <v>0</v>
      </c>
      <c r="X40" s="32"/>
      <c r="Y40" s="46"/>
      <c r="Z40" s="32"/>
      <c r="AA40" s="32"/>
      <c r="AB40" s="32"/>
      <c r="AC40" s="46"/>
      <c r="AD40" s="50"/>
      <c r="AE40" s="51"/>
      <c r="AF40" s="47"/>
      <c r="AG40" s="35">
        <v>60590340221</v>
      </c>
      <c r="AH40" s="35"/>
    </row>
    <row r="41" spans="1:34" s="18" customFormat="1">
      <c r="A41" s="71" t="s">
        <v>37</v>
      </c>
      <c r="B41" s="33" t="s">
        <v>86</v>
      </c>
      <c r="C41" s="33" t="s">
        <v>29</v>
      </c>
      <c r="D41" s="49">
        <v>42506</v>
      </c>
      <c r="E41" s="34">
        <v>1166.27</v>
      </c>
      <c r="F41" s="34">
        <v>1900.2</v>
      </c>
      <c r="G41" s="34"/>
      <c r="H41" s="34"/>
      <c r="I41" s="34"/>
      <c r="J41" s="46">
        <f t="shared" si="0"/>
        <v>1900.2</v>
      </c>
      <c r="K41" s="34"/>
      <c r="L41" s="60"/>
      <c r="M41" s="34"/>
      <c r="N41" s="34"/>
      <c r="O41" s="61"/>
      <c r="P41" s="61"/>
      <c r="Q41" s="34"/>
      <c r="R41" s="32"/>
      <c r="S41" s="32"/>
      <c r="T41" s="33"/>
      <c r="U41" s="33"/>
      <c r="V41" s="33"/>
      <c r="W41" s="46">
        <f t="shared" si="1"/>
        <v>1900.2</v>
      </c>
      <c r="X41" s="32">
        <f t="shared" si="12"/>
        <v>0</v>
      </c>
      <c r="Y41" s="46">
        <f t="shared" si="13"/>
        <v>1900.2</v>
      </c>
      <c r="Z41" s="32">
        <f t="shared" si="14"/>
        <v>190.02</v>
      </c>
      <c r="AA41" s="32">
        <v>10.23</v>
      </c>
      <c r="AB41" s="32">
        <f t="shared" si="15"/>
        <v>0</v>
      </c>
      <c r="AC41" s="46">
        <f t="shared" si="16"/>
        <v>2100.4500000000003</v>
      </c>
      <c r="AD41" s="50"/>
      <c r="AE41" s="50"/>
      <c r="AF41" s="47">
        <f t="shared" ref="AF41" si="22">+AD41+AE41-Y41</f>
        <v>-1900.2</v>
      </c>
      <c r="AG41" s="35">
        <v>56708881551</v>
      </c>
      <c r="AH41" s="35"/>
    </row>
    <row r="42" spans="1:34" s="18" customFormat="1" ht="15.75">
      <c r="A42" s="71" t="s">
        <v>37</v>
      </c>
      <c r="B42" s="33" t="s">
        <v>144</v>
      </c>
      <c r="C42" s="33" t="s">
        <v>29</v>
      </c>
      <c r="D42" s="49">
        <v>43006</v>
      </c>
      <c r="E42" s="34">
        <v>1166.6199999999999</v>
      </c>
      <c r="F42" s="34">
        <v>3531.91</v>
      </c>
      <c r="G42" s="34"/>
      <c r="H42" s="34"/>
      <c r="I42" s="34"/>
      <c r="J42" s="46">
        <f t="shared" si="0"/>
        <v>3531.91</v>
      </c>
      <c r="K42" s="34"/>
      <c r="L42" s="60"/>
      <c r="M42" s="34"/>
      <c r="N42" s="34"/>
      <c r="O42" s="61"/>
      <c r="P42" s="61"/>
      <c r="Q42" s="34"/>
      <c r="R42" s="32"/>
      <c r="S42" s="66"/>
      <c r="T42" s="33"/>
      <c r="U42" s="33"/>
      <c r="V42" s="33"/>
      <c r="W42" s="46">
        <f t="shared" si="1"/>
        <v>3531.91</v>
      </c>
      <c r="X42" s="32"/>
      <c r="Y42" s="46"/>
      <c r="Z42" s="32"/>
      <c r="AA42" s="32"/>
      <c r="AB42" s="32"/>
      <c r="AC42" s="46"/>
      <c r="AD42" s="50"/>
      <c r="AE42" s="51"/>
      <c r="AF42" s="47"/>
      <c r="AG42" s="35">
        <v>60595911850</v>
      </c>
      <c r="AH42" s="33"/>
    </row>
    <row r="43" spans="1:34" s="86" customFormat="1" ht="15.75">
      <c r="A43" s="75" t="s">
        <v>28</v>
      </c>
      <c r="B43" s="75" t="s">
        <v>168</v>
      </c>
      <c r="C43" s="75" t="s">
        <v>30</v>
      </c>
      <c r="D43" s="76">
        <v>43102</v>
      </c>
      <c r="E43" s="77">
        <v>1026.69</v>
      </c>
      <c r="F43" s="77">
        <v>1328</v>
      </c>
      <c r="G43" s="77"/>
      <c r="H43" s="77"/>
      <c r="I43" s="77"/>
      <c r="J43" s="78">
        <f t="shared" si="0"/>
        <v>1328</v>
      </c>
      <c r="K43" s="77"/>
      <c r="L43" s="79"/>
      <c r="M43" s="77"/>
      <c r="N43" s="77"/>
      <c r="O43" s="80"/>
      <c r="P43" s="80"/>
      <c r="Q43" s="77"/>
      <c r="R43" s="81"/>
      <c r="S43" s="87"/>
      <c r="T43" s="75"/>
      <c r="U43" s="75"/>
      <c r="V43" s="75"/>
      <c r="W43" s="78">
        <f t="shared" si="1"/>
        <v>1328</v>
      </c>
      <c r="X43" s="81"/>
      <c r="Y43" s="78"/>
      <c r="Z43" s="81"/>
      <c r="AA43" s="81"/>
      <c r="AB43" s="81"/>
      <c r="AC43" s="78"/>
      <c r="AD43" s="82"/>
      <c r="AE43" s="83"/>
      <c r="AF43" s="84"/>
      <c r="AG43" s="85">
        <v>60598176025</v>
      </c>
      <c r="AH43" s="75"/>
    </row>
    <row r="44" spans="1:34" s="18" customFormat="1" ht="15.75">
      <c r="A44" s="71" t="s">
        <v>27</v>
      </c>
      <c r="B44" s="33" t="s">
        <v>179</v>
      </c>
      <c r="C44" s="33" t="s">
        <v>30</v>
      </c>
      <c r="D44" s="49">
        <v>43134</v>
      </c>
      <c r="E44" s="34">
        <v>1026.69</v>
      </c>
      <c r="F44" s="34"/>
      <c r="G44" s="34"/>
      <c r="H44" s="34"/>
      <c r="I44" s="34"/>
      <c r="J44" s="46">
        <f t="shared" si="0"/>
        <v>0</v>
      </c>
      <c r="K44" s="34"/>
      <c r="L44" s="60"/>
      <c r="M44" s="34"/>
      <c r="N44" s="34"/>
      <c r="O44" s="61"/>
      <c r="P44" s="61"/>
      <c r="Q44" s="34"/>
      <c r="R44" s="32"/>
      <c r="S44" s="66"/>
      <c r="T44" s="33"/>
      <c r="U44" s="33"/>
      <c r="V44" s="33"/>
      <c r="W44" s="46">
        <f t="shared" si="1"/>
        <v>0</v>
      </c>
      <c r="X44" s="32"/>
      <c r="Y44" s="46"/>
      <c r="Z44" s="32"/>
      <c r="AA44" s="32"/>
      <c r="AB44" s="32"/>
      <c r="AC44" s="46"/>
      <c r="AD44" s="50"/>
      <c r="AE44" s="51"/>
      <c r="AF44" s="47"/>
      <c r="AG44" s="35">
        <v>56662729683</v>
      </c>
      <c r="AH44" s="33"/>
    </row>
    <row r="45" spans="1:34" s="18" customFormat="1" ht="15.75">
      <c r="A45" s="71" t="s">
        <v>37</v>
      </c>
      <c r="B45" s="33" t="s">
        <v>64</v>
      </c>
      <c r="C45" s="33" t="s">
        <v>43</v>
      </c>
      <c r="D45" s="49">
        <v>42321</v>
      </c>
      <c r="E45" s="34">
        <v>1869</v>
      </c>
      <c r="F45" s="34"/>
      <c r="G45" s="34"/>
      <c r="H45" s="34"/>
      <c r="I45" s="34"/>
      <c r="J45" s="46">
        <f t="shared" si="0"/>
        <v>0</v>
      </c>
      <c r="K45" s="34"/>
      <c r="L45" s="60"/>
      <c r="M45" s="34"/>
      <c r="N45" s="34"/>
      <c r="O45" s="61"/>
      <c r="P45" s="61"/>
      <c r="Q45" s="34"/>
      <c r="R45" s="32"/>
      <c r="S45" s="66"/>
      <c r="T45" s="33"/>
      <c r="U45" s="33"/>
      <c r="V45" s="33"/>
      <c r="W45" s="46">
        <f t="shared" si="1"/>
        <v>0</v>
      </c>
      <c r="X45" s="32">
        <f t="shared" ref="X45:X48" si="23">IF(J45&gt;2250,J45*0.1,0)</f>
        <v>0</v>
      </c>
      <c r="Y45" s="46">
        <f t="shared" ref="Y45:Y55" si="24">+W45-X45</f>
        <v>0</v>
      </c>
      <c r="Z45" s="32">
        <f t="shared" ref="Z45:Z55" si="25">IF(J45&lt;2250,J45*0.1,0)</f>
        <v>0</v>
      </c>
      <c r="AA45" s="32">
        <v>10.23</v>
      </c>
      <c r="AB45" s="32">
        <f t="shared" ref="AB45:AB55" si="26">+O45</f>
        <v>0</v>
      </c>
      <c r="AC45" s="46">
        <f t="shared" ref="AC45:AC55" si="27">+J45+Z45+AA45+AB45</f>
        <v>10.23</v>
      </c>
      <c r="AD45" s="50"/>
      <c r="AE45" s="51"/>
      <c r="AF45" s="47">
        <f t="shared" ref="AF45:AF48" si="28">+AD45+AE45-Y45</f>
        <v>0</v>
      </c>
      <c r="AG45" s="35">
        <v>56708845240</v>
      </c>
      <c r="AH45" s="35"/>
    </row>
    <row r="46" spans="1:34" s="18" customFormat="1">
      <c r="A46" s="71" t="s">
        <v>37</v>
      </c>
      <c r="B46" s="33" t="s">
        <v>101</v>
      </c>
      <c r="C46" s="33" t="s">
        <v>88</v>
      </c>
      <c r="D46" s="49">
        <v>42646</v>
      </c>
      <c r="E46" s="34">
        <v>1166.27</v>
      </c>
      <c r="F46" s="34">
        <v>2129.6</v>
      </c>
      <c r="G46" s="34"/>
      <c r="H46" s="34"/>
      <c r="I46" s="34"/>
      <c r="J46" s="46">
        <f t="shared" si="0"/>
        <v>2129.6</v>
      </c>
      <c r="K46" s="34"/>
      <c r="L46" s="60"/>
      <c r="M46" s="34"/>
      <c r="N46" s="34"/>
      <c r="O46" s="61"/>
      <c r="P46" s="61"/>
      <c r="Q46" s="34"/>
      <c r="R46" s="32"/>
      <c r="S46" s="32"/>
      <c r="T46" s="33"/>
      <c r="U46" s="33"/>
      <c r="V46" s="33"/>
      <c r="W46" s="46">
        <f t="shared" si="1"/>
        <v>2129.6</v>
      </c>
      <c r="X46" s="32">
        <f t="shared" ref="X46" si="29">IF(J46&gt;2250,J46*0.1,0)</f>
        <v>0</v>
      </c>
      <c r="Y46" s="46">
        <f t="shared" ref="Y46" si="30">+W46-X46</f>
        <v>2129.6</v>
      </c>
      <c r="Z46" s="32"/>
      <c r="AA46" s="32"/>
      <c r="AB46" s="32"/>
      <c r="AC46" s="46"/>
      <c r="AD46" s="50"/>
      <c r="AE46" s="51"/>
      <c r="AF46" s="47"/>
      <c r="AG46" s="35">
        <v>56708881582</v>
      </c>
      <c r="AH46" s="35"/>
    </row>
    <row r="47" spans="1:34" s="18" customFormat="1">
      <c r="A47" s="71" t="s">
        <v>37</v>
      </c>
      <c r="B47" s="33" t="s">
        <v>135</v>
      </c>
      <c r="C47" s="33" t="s">
        <v>29</v>
      </c>
      <c r="D47" s="49">
        <v>42065</v>
      </c>
      <c r="E47" s="34">
        <v>1166.27</v>
      </c>
      <c r="F47" s="34">
        <v>2298.84</v>
      </c>
      <c r="G47" s="34"/>
      <c r="H47" s="34"/>
      <c r="I47" s="34"/>
      <c r="J47" s="46">
        <f t="shared" si="0"/>
        <v>2298.84</v>
      </c>
      <c r="K47" s="34"/>
      <c r="L47" s="60"/>
      <c r="M47" s="34"/>
      <c r="N47" s="34"/>
      <c r="O47" s="61"/>
      <c r="P47" s="61"/>
      <c r="Q47" s="34"/>
      <c r="R47" s="32"/>
      <c r="S47" s="32"/>
      <c r="T47" s="33"/>
      <c r="U47" s="33"/>
      <c r="V47" s="33"/>
      <c r="W47" s="46">
        <f t="shared" si="1"/>
        <v>2298.84</v>
      </c>
      <c r="X47" s="32">
        <f t="shared" si="23"/>
        <v>229.88400000000001</v>
      </c>
      <c r="Y47" s="46">
        <f t="shared" si="24"/>
        <v>2068.9560000000001</v>
      </c>
      <c r="Z47" s="32">
        <f t="shared" si="25"/>
        <v>0</v>
      </c>
      <c r="AA47" s="32">
        <v>10.23</v>
      </c>
      <c r="AB47" s="32">
        <f t="shared" si="26"/>
        <v>0</v>
      </c>
      <c r="AC47" s="46">
        <f t="shared" si="27"/>
        <v>2309.0700000000002</v>
      </c>
      <c r="AD47" s="50"/>
      <c r="AE47" s="51"/>
      <c r="AF47" s="47">
        <f t="shared" si="28"/>
        <v>-2068.9560000000001</v>
      </c>
      <c r="AG47" s="35">
        <v>56708845254</v>
      </c>
      <c r="AH47" s="35"/>
    </row>
    <row r="48" spans="1:34" s="86" customFormat="1">
      <c r="A48" s="75" t="s">
        <v>28</v>
      </c>
      <c r="B48" s="75" t="s">
        <v>36</v>
      </c>
      <c r="C48" s="75" t="s">
        <v>30</v>
      </c>
      <c r="D48" s="76">
        <v>41218</v>
      </c>
      <c r="E48" s="77">
        <v>1026.69</v>
      </c>
      <c r="F48" s="77"/>
      <c r="G48" s="77"/>
      <c r="H48" s="77"/>
      <c r="I48" s="77"/>
      <c r="J48" s="78">
        <f t="shared" si="0"/>
        <v>0</v>
      </c>
      <c r="K48" s="77"/>
      <c r="L48" s="79"/>
      <c r="M48" s="77"/>
      <c r="N48" s="77"/>
      <c r="O48" s="80"/>
      <c r="P48" s="80"/>
      <c r="Q48" s="77"/>
      <c r="R48" s="81" t="s">
        <v>121</v>
      </c>
      <c r="S48" s="81"/>
      <c r="T48" s="75"/>
      <c r="U48" s="75"/>
      <c r="V48" s="90" t="s">
        <v>121</v>
      </c>
      <c r="W48" s="78">
        <f t="shared" ref="W48" si="31">+J48-SUM(K48:V48)</f>
        <v>0</v>
      </c>
      <c r="X48" s="81">
        <f t="shared" si="23"/>
        <v>0</v>
      </c>
      <c r="Y48" s="78">
        <f t="shared" si="24"/>
        <v>0</v>
      </c>
      <c r="Z48" s="81">
        <f t="shared" si="25"/>
        <v>0</v>
      </c>
      <c r="AA48" s="81">
        <v>10.23</v>
      </c>
      <c r="AB48" s="81">
        <f t="shared" si="26"/>
        <v>0</v>
      </c>
      <c r="AC48" s="78">
        <f t="shared" si="27"/>
        <v>10.23</v>
      </c>
      <c r="AD48" s="82"/>
      <c r="AE48" s="83"/>
      <c r="AF48" s="84">
        <f t="shared" si="28"/>
        <v>0</v>
      </c>
      <c r="AG48" s="85">
        <v>56708881596</v>
      </c>
      <c r="AH48" s="85"/>
    </row>
    <row r="49" spans="1:35" s="18" customFormat="1">
      <c r="A49" s="71" t="s">
        <v>28</v>
      </c>
      <c r="B49" s="33" t="s">
        <v>158</v>
      </c>
      <c r="C49" s="33" t="s">
        <v>159</v>
      </c>
      <c r="D49" s="49">
        <v>43038</v>
      </c>
      <c r="E49" s="34">
        <v>1400</v>
      </c>
      <c r="F49" s="34">
        <v>3601.74</v>
      </c>
      <c r="G49" s="34"/>
      <c r="H49" s="34"/>
      <c r="I49" s="34"/>
      <c r="J49" s="46">
        <f t="shared" si="0"/>
        <v>3601.74</v>
      </c>
      <c r="K49" s="34"/>
      <c r="L49" s="60"/>
      <c r="M49" s="34"/>
      <c r="N49" s="34"/>
      <c r="O49" s="61"/>
      <c r="P49" s="61"/>
      <c r="Q49" s="34"/>
      <c r="R49" s="32"/>
      <c r="S49" s="32"/>
      <c r="T49" s="33"/>
      <c r="U49" s="33"/>
      <c r="V49" s="72"/>
      <c r="W49" s="46">
        <f t="shared" si="1"/>
        <v>3601.74</v>
      </c>
      <c r="X49" s="32"/>
      <c r="Y49" s="46"/>
      <c r="Z49" s="32"/>
      <c r="AA49" s="32"/>
      <c r="AB49" s="32"/>
      <c r="AC49" s="46"/>
      <c r="AD49" s="50"/>
      <c r="AE49" s="51"/>
      <c r="AF49" s="47"/>
      <c r="AG49" s="35">
        <v>1539992200</v>
      </c>
      <c r="AH49" s="33"/>
      <c r="AI49" s="18" t="s">
        <v>115</v>
      </c>
    </row>
    <row r="50" spans="1:35" s="18" customFormat="1">
      <c r="A50" s="71" t="s">
        <v>39</v>
      </c>
      <c r="B50" s="33" t="s">
        <v>75</v>
      </c>
      <c r="C50" s="33" t="s">
        <v>43</v>
      </c>
      <c r="D50" s="49">
        <v>42333</v>
      </c>
      <c r="E50" s="34">
        <v>1869</v>
      </c>
      <c r="F50" s="63"/>
      <c r="G50" s="63"/>
      <c r="H50" s="34"/>
      <c r="I50" s="34"/>
      <c r="J50" s="46">
        <f t="shared" si="0"/>
        <v>0</v>
      </c>
      <c r="K50" s="34"/>
      <c r="L50" s="60"/>
      <c r="M50" s="34"/>
      <c r="N50" s="34"/>
      <c r="O50" s="61"/>
      <c r="P50" s="61"/>
      <c r="Q50" s="34"/>
      <c r="R50" s="32"/>
      <c r="S50" s="32"/>
      <c r="T50" s="33"/>
      <c r="U50" s="33"/>
      <c r="V50" s="33">
        <v>393.03</v>
      </c>
      <c r="W50" s="46">
        <f t="shared" si="1"/>
        <v>-393.03</v>
      </c>
      <c r="X50" s="32">
        <f t="shared" ref="X50:X55" si="32">IF(J50&gt;2250,J50*0.1,0)</f>
        <v>0</v>
      </c>
      <c r="Y50" s="46">
        <f t="shared" si="24"/>
        <v>-393.03</v>
      </c>
      <c r="Z50" s="32">
        <f t="shared" si="25"/>
        <v>0</v>
      </c>
      <c r="AA50" s="32">
        <v>10.23</v>
      </c>
      <c r="AB50" s="32">
        <f t="shared" si="26"/>
        <v>0</v>
      </c>
      <c r="AC50" s="46">
        <f t="shared" si="27"/>
        <v>10.23</v>
      </c>
      <c r="AD50" s="50"/>
      <c r="AE50" s="51"/>
      <c r="AF50" s="47">
        <f>+AD50+AE50-Y50</f>
        <v>393.03</v>
      </c>
      <c r="AG50" s="35">
        <v>60589939521</v>
      </c>
      <c r="AH50" s="35"/>
    </row>
    <row r="51" spans="1:35" s="18" customFormat="1">
      <c r="A51" s="71" t="s">
        <v>28</v>
      </c>
      <c r="B51" s="33" t="s">
        <v>91</v>
      </c>
      <c r="C51" s="33" t="s">
        <v>30</v>
      </c>
      <c r="D51" s="49">
        <v>42459</v>
      </c>
      <c r="E51" s="34">
        <v>1026.69</v>
      </c>
      <c r="F51" s="34">
        <v>3055</v>
      </c>
      <c r="G51" s="34"/>
      <c r="H51" s="34"/>
      <c r="I51" s="34"/>
      <c r="J51" s="46">
        <f t="shared" si="0"/>
        <v>3055</v>
      </c>
      <c r="K51" s="34"/>
      <c r="L51" s="60"/>
      <c r="M51" s="34"/>
      <c r="N51" s="34"/>
      <c r="O51" s="61"/>
      <c r="P51" s="61"/>
      <c r="Q51" s="34"/>
      <c r="R51" s="32"/>
      <c r="S51" s="32"/>
      <c r="T51" s="33"/>
      <c r="U51" s="33"/>
      <c r="V51" s="33"/>
      <c r="W51" s="46">
        <f t="shared" si="1"/>
        <v>3055</v>
      </c>
      <c r="X51" s="32">
        <f t="shared" si="32"/>
        <v>305.5</v>
      </c>
      <c r="Y51" s="46">
        <f t="shared" si="24"/>
        <v>2749.5</v>
      </c>
      <c r="Z51" s="32">
        <f t="shared" si="25"/>
        <v>0</v>
      </c>
      <c r="AA51" s="32">
        <v>10.23</v>
      </c>
      <c r="AB51" s="32">
        <f t="shared" si="26"/>
        <v>0</v>
      </c>
      <c r="AC51" s="46">
        <f t="shared" si="27"/>
        <v>3065.23</v>
      </c>
      <c r="AD51" s="55"/>
      <c r="AE51" s="51"/>
      <c r="AF51" s="47">
        <f>+AD51+AE51-Y51</f>
        <v>-2749.5</v>
      </c>
      <c r="AG51" s="35">
        <v>60589627948</v>
      </c>
      <c r="AH51" s="35"/>
    </row>
    <row r="52" spans="1:35" s="18" customFormat="1">
      <c r="A52" s="71" t="s">
        <v>26</v>
      </c>
      <c r="B52" s="33" t="s">
        <v>119</v>
      </c>
      <c r="C52" s="33" t="s">
        <v>29</v>
      </c>
      <c r="D52" s="49">
        <v>42849</v>
      </c>
      <c r="E52" s="34">
        <v>1166.27</v>
      </c>
      <c r="F52" s="34">
        <v>1676.29</v>
      </c>
      <c r="G52" s="34"/>
      <c r="H52" s="34"/>
      <c r="I52" s="34"/>
      <c r="J52" s="46">
        <f t="shared" si="0"/>
        <v>1676.29</v>
      </c>
      <c r="K52" s="34"/>
      <c r="L52" s="60"/>
      <c r="M52" s="34"/>
      <c r="N52" s="34"/>
      <c r="O52" s="61"/>
      <c r="P52" s="61"/>
      <c r="Q52" s="34"/>
      <c r="R52" s="32"/>
      <c r="S52" s="32"/>
      <c r="T52" s="33"/>
      <c r="U52" s="33"/>
      <c r="V52" s="33"/>
      <c r="W52" s="46">
        <f t="shared" si="1"/>
        <v>1676.29</v>
      </c>
      <c r="X52" s="32"/>
      <c r="Y52" s="46"/>
      <c r="Z52" s="32"/>
      <c r="AA52" s="32"/>
      <c r="AB52" s="32"/>
      <c r="AC52" s="46"/>
      <c r="AD52" s="55"/>
      <c r="AE52" s="51"/>
      <c r="AF52" s="47"/>
      <c r="AG52" s="35">
        <v>60590412629</v>
      </c>
      <c r="AH52" s="35"/>
    </row>
    <row r="53" spans="1:35" s="18" customFormat="1">
      <c r="A53" s="71" t="s">
        <v>26</v>
      </c>
      <c r="B53" s="33" t="s">
        <v>90</v>
      </c>
      <c r="C53" s="33" t="s">
        <v>42</v>
      </c>
      <c r="D53" s="49">
        <v>42566</v>
      </c>
      <c r="E53" s="34">
        <v>933.31</v>
      </c>
      <c r="F53" s="34">
        <v>1500</v>
      </c>
      <c r="G53" s="34"/>
      <c r="H53" s="34"/>
      <c r="I53" s="34"/>
      <c r="J53" s="46">
        <f t="shared" si="0"/>
        <v>1500</v>
      </c>
      <c r="K53" s="34"/>
      <c r="L53" s="60"/>
      <c r="M53" s="34"/>
      <c r="N53" s="34"/>
      <c r="O53" s="61"/>
      <c r="P53" s="61"/>
      <c r="Q53" s="34"/>
      <c r="R53" s="32"/>
      <c r="S53" s="32"/>
      <c r="T53" s="33"/>
      <c r="U53" s="33"/>
      <c r="V53" s="33"/>
      <c r="W53" s="46">
        <f t="shared" si="1"/>
        <v>1500</v>
      </c>
      <c r="X53" s="32">
        <f t="shared" si="32"/>
        <v>0</v>
      </c>
      <c r="Y53" s="46">
        <f t="shared" si="24"/>
        <v>1500</v>
      </c>
      <c r="Z53" s="32">
        <f t="shared" si="25"/>
        <v>150</v>
      </c>
      <c r="AA53" s="32">
        <v>21.23</v>
      </c>
      <c r="AB53" s="32">
        <f t="shared" si="26"/>
        <v>0</v>
      </c>
      <c r="AC53" s="46">
        <f t="shared" si="27"/>
        <v>1671.23</v>
      </c>
      <c r="AD53" s="55"/>
      <c r="AE53" s="51"/>
      <c r="AF53" s="47"/>
      <c r="AG53" s="35">
        <v>56708845709</v>
      </c>
      <c r="AH53" s="35"/>
    </row>
    <row r="54" spans="1:35" s="18" customFormat="1">
      <c r="A54" s="71" t="s">
        <v>28</v>
      </c>
      <c r="B54" s="33" t="s">
        <v>136</v>
      </c>
      <c r="C54" s="33" t="s">
        <v>30</v>
      </c>
      <c r="D54" s="49">
        <v>42842</v>
      </c>
      <c r="E54" s="34">
        <v>1026.69</v>
      </c>
      <c r="F54" s="34">
        <v>18995.7</v>
      </c>
      <c r="G54" s="34"/>
      <c r="H54" s="34"/>
      <c r="I54" s="34"/>
      <c r="J54" s="46">
        <f t="shared" si="0"/>
        <v>18995.7</v>
      </c>
      <c r="K54" s="34"/>
      <c r="L54" s="60"/>
      <c r="M54" s="34"/>
      <c r="N54" s="34"/>
      <c r="O54" s="61"/>
      <c r="P54" s="61"/>
      <c r="Q54" s="34"/>
      <c r="R54" s="32"/>
      <c r="S54" s="32"/>
      <c r="T54" s="33"/>
      <c r="U54" s="33"/>
      <c r="V54" s="33"/>
      <c r="W54" s="46">
        <f t="shared" si="1"/>
        <v>18995.7</v>
      </c>
      <c r="X54" s="32"/>
      <c r="Y54" s="46"/>
      <c r="Z54" s="32"/>
      <c r="AA54" s="32"/>
      <c r="AB54" s="32"/>
      <c r="AC54" s="46"/>
      <c r="AD54" s="55"/>
      <c r="AE54" s="56"/>
      <c r="AF54" s="47"/>
      <c r="AG54" s="35">
        <v>60590199370</v>
      </c>
      <c r="AH54" s="35"/>
    </row>
    <row r="55" spans="1:35" s="18" customFormat="1">
      <c r="A55" s="71" t="s">
        <v>27</v>
      </c>
      <c r="B55" s="33" t="s">
        <v>85</v>
      </c>
      <c r="C55" s="33" t="s">
        <v>125</v>
      </c>
      <c r="D55" s="49">
        <v>42506</v>
      </c>
      <c r="E55" s="34">
        <v>1633.38</v>
      </c>
      <c r="F55" s="34">
        <v>3685.38</v>
      </c>
      <c r="G55" s="34"/>
      <c r="H55" s="34"/>
      <c r="I55" s="34"/>
      <c r="J55" s="46">
        <f t="shared" si="0"/>
        <v>3685.38</v>
      </c>
      <c r="K55" s="34"/>
      <c r="L55" s="60"/>
      <c r="M55" s="34"/>
      <c r="N55" s="34"/>
      <c r="O55" s="61"/>
      <c r="P55" s="61"/>
      <c r="Q55" s="34"/>
      <c r="R55" s="32"/>
      <c r="S55" s="32"/>
      <c r="T55" s="33"/>
      <c r="U55" s="33"/>
      <c r="V55" s="58">
        <v>216.39</v>
      </c>
      <c r="W55" s="46">
        <f t="shared" si="1"/>
        <v>3468.9900000000002</v>
      </c>
      <c r="X55" s="32">
        <f t="shared" si="32"/>
        <v>368.53800000000001</v>
      </c>
      <c r="Y55" s="46">
        <f t="shared" si="24"/>
        <v>3100.4520000000002</v>
      </c>
      <c r="Z55" s="32">
        <f t="shared" si="25"/>
        <v>0</v>
      </c>
      <c r="AA55" s="32">
        <v>10.23</v>
      </c>
      <c r="AB55" s="32">
        <f t="shared" si="26"/>
        <v>0</v>
      </c>
      <c r="AC55" s="46">
        <f t="shared" si="27"/>
        <v>3695.61</v>
      </c>
      <c r="AD55" s="55"/>
      <c r="AE55" s="55"/>
      <c r="AF55" s="47">
        <f t="shared" ref="AF55" si="33">+AD55+AE55-Y55</f>
        <v>-3100.4520000000002</v>
      </c>
      <c r="AG55" s="35">
        <v>1179675078</v>
      </c>
      <c r="AH55" s="35"/>
      <c r="AI55" s="18" t="s">
        <v>115</v>
      </c>
    </row>
    <row r="56" spans="1:35" s="18" customFormat="1">
      <c r="A56" s="71" t="s">
        <v>37</v>
      </c>
      <c r="B56" s="33" t="s">
        <v>104</v>
      </c>
      <c r="C56" s="33" t="s">
        <v>29</v>
      </c>
      <c r="D56" s="49">
        <v>42696</v>
      </c>
      <c r="E56" s="34">
        <v>1166.27</v>
      </c>
      <c r="F56" s="34">
        <v>3275.06</v>
      </c>
      <c r="G56" s="34"/>
      <c r="H56" s="34"/>
      <c r="I56" s="34"/>
      <c r="J56" s="46">
        <f t="shared" si="0"/>
        <v>3275.06</v>
      </c>
      <c r="K56" s="34"/>
      <c r="L56" s="60"/>
      <c r="M56" s="34"/>
      <c r="N56" s="34"/>
      <c r="O56" s="61"/>
      <c r="P56" s="61"/>
      <c r="Q56" s="34"/>
      <c r="R56" s="32"/>
      <c r="S56" s="32"/>
      <c r="T56" s="33"/>
      <c r="U56" s="33"/>
      <c r="V56" s="58"/>
      <c r="W56" s="46">
        <f t="shared" ref="W56:W57" si="34">+J56-SUM(K56:V56)</f>
        <v>3275.06</v>
      </c>
      <c r="X56" s="32">
        <f t="shared" ref="X56" si="35">IF(J56&gt;2250,J56*0.1,0)</f>
        <v>327.50600000000003</v>
      </c>
      <c r="Y56" s="46">
        <f t="shared" ref="Y56" si="36">+W56-X56</f>
        <v>2947.5540000000001</v>
      </c>
      <c r="Z56" s="32"/>
      <c r="AA56" s="32"/>
      <c r="AB56" s="32"/>
      <c r="AC56" s="46"/>
      <c r="AD56" s="55"/>
      <c r="AE56" s="55"/>
      <c r="AF56" s="47"/>
      <c r="AG56" s="35">
        <v>56710784605</v>
      </c>
      <c r="AH56" s="35"/>
    </row>
    <row r="57" spans="1:35" s="18" customFormat="1">
      <c r="A57" s="71" t="s">
        <v>28</v>
      </c>
      <c r="B57" s="33" t="s">
        <v>166</v>
      </c>
      <c r="C57" s="33" t="s">
        <v>30</v>
      </c>
      <c r="D57" s="49">
        <v>43068</v>
      </c>
      <c r="E57" s="34">
        <v>1026.69</v>
      </c>
      <c r="F57" s="34">
        <v>4247.82</v>
      </c>
      <c r="G57" s="34"/>
      <c r="H57" s="34"/>
      <c r="I57" s="34"/>
      <c r="J57" s="46">
        <f t="shared" si="0"/>
        <v>4247.82</v>
      </c>
      <c r="K57" s="34"/>
      <c r="L57" s="60"/>
      <c r="M57" s="34"/>
      <c r="N57" s="34"/>
      <c r="O57" s="61"/>
      <c r="P57" s="61"/>
      <c r="Q57" s="34"/>
      <c r="R57" s="32"/>
      <c r="S57" s="32"/>
      <c r="T57" s="33"/>
      <c r="U57" s="33"/>
      <c r="V57" s="58"/>
      <c r="W57" s="46">
        <f t="shared" si="34"/>
        <v>4247.82</v>
      </c>
      <c r="X57" s="32"/>
      <c r="Y57" s="46"/>
      <c r="Z57" s="32"/>
      <c r="AA57" s="32"/>
      <c r="AB57" s="32"/>
      <c r="AC57" s="46"/>
      <c r="AD57" s="55"/>
      <c r="AE57" s="55"/>
      <c r="AF57" s="47"/>
      <c r="AG57" s="35">
        <v>60597479727</v>
      </c>
      <c r="AH57" s="35"/>
    </row>
    <row r="58" spans="1:35" s="18" customFormat="1">
      <c r="A58" s="24"/>
      <c r="B58" s="25"/>
      <c r="C58" s="25"/>
      <c r="D58" s="25"/>
      <c r="E58" s="25"/>
      <c r="F58" s="26"/>
      <c r="G58" s="26"/>
      <c r="H58" s="26"/>
      <c r="I58" s="26"/>
      <c r="J58" s="27"/>
      <c r="K58" s="26"/>
      <c r="L58" s="26"/>
      <c r="M58" s="26"/>
      <c r="N58" s="26"/>
      <c r="O58" s="26"/>
      <c r="P58" s="26"/>
      <c r="Q58" s="26"/>
      <c r="R58" s="36"/>
      <c r="S58" s="36"/>
      <c r="T58" s="36"/>
      <c r="U58" s="36"/>
      <c r="V58" s="36"/>
      <c r="W58" s="27"/>
      <c r="X58" s="36"/>
      <c r="Y58" s="27"/>
      <c r="Z58" s="36"/>
      <c r="AA58" s="36"/>
      <c r="AB58" s="36"/>
      <c r="AC58" s="27"/>
      <c r="AD58" s="43"/>
      <c r="AE58" s="43"/>
      <c r="AF58" s="22"/>
    </row>
    <row r="59" spans="1:35">
      <c r="B59" s="37" t="s">
        <v>1</v>
      </c>
      <c r="C59" s="37"/>
      <c r="D59" s="37"/>
      <c r="E59" s="38">
        <f t="shared" ref="E59:AF59" si="37">SUM(E7:E58)</f>
        <v>71774.780000000013</v>
      </c>
      <c r="F59" s="38">
        <f t="shared" si="37"/>
        <v>138301.23000000001</v>
      </c>
      <c r="G59" s="38">
        <f t="shared" si="37"/>
        <v>70</v>
      </c>
      <c r="H59" s="38">
        <f t="shared" si="37"/>
        <v>0</v>
      </c>
      <c r="I59" s="38">
        <f t="shared" si="37"/>
        <v>0</v>
      </c>
      <c r="J59" s="38">
        <f t="shared" si="37"/>
        <v>138371.23000000001</v>
      </c>
      <c r="K59" s="38">
        <f t="shared" si="37"/>
        <v>1250</v>
      </c>
      <c r="L59" s="38">
        <f t="shared" si="37"/>
        <v>1</v>
      </c>
      <c r="M59" s="38">
        <f t="shared" si="37"/>
        <v>0</v>
      </c>
      <c r="N59" s="38">
        <f t="shared" si="37"/>
        <v>1300</v>
      </c>
      <c r="O59" s="38">
        <f t="shared" si="37"/>
        <v>0</v>
      </c>
      <c r="P59" s="38">
        <f t="shared" si="37"/>
        <v>0</v>
      </c>
      <c r="Q59" s="38">
        <f t="shared" si="37"/>
        <v>0</v>
      </c>
      <c r="R59" s="38">
        <f t="shared" si="37"/>
        <v>13041.67</v>
      </c>
      <c r="S59" s="38">
        <f t="shared" si="37"/>
        <v>0.6</v>
      </c>
      <c r="T59" s="38">
        <f t="shared" si="37"/>
        <v>0</v>
      </c>
      <c r="U59" s="38">
        <f t="shared" si="37"/>
        <v>0</v>
      </c>
      <c r="V59" s="38">
        <f t="shared" si="37"/>
        <v>5546.34</v>
      </c>
      <c r="W59" s="38">
        <f t="shared" si="37"/>
        <v>117231.62000000002</v>
      </c>
      <c r="X59" s="38">
        <f t="shared" si="37"/>
        <v>5841.5460000000012</v>
      </c>
      <c r="Y59" s="38">
        <f t="shared" si="37"/>
        <v>41113.934000000008</v>
      </c>
      <c r="Z59" s="38">
        <f t="shared" si="37"/>
        <v>508.96500000000003</v>
      </c>
      <c r="AA59" s="38">
        <f t="shared" si="37"/>
        <v>246.59999999999991</v>
      </c>
      <c r="AB59" s="38">
        <f t="shared" si="37"/>
        <v>0</v>
      </c>
      <c r="AC59" s="38">
        <f t="shared" si="37"/>
        <v>60985.61500000002</v>
      </c>
      <c r="AD59" s="44">
        <f t="shared" si="37"/>
        <v>0</v>
      </c>
      <c r="AE59" s="44">
        <f t="shared" si="37"/>
        <v>0</v>
      </c>
      <c r="AF59" s="39" t="e">
        <f t="shared" si="37"/>
        <v>#REF!</v>
      </c>
      <c r="AG59" s="28"/>
      <c r="AH59" s="28"/>
    </row>
    <row r="60" spans="1:35">
      <c r="AC60" s="14">
        <f>AC59*0.16</f>
        <v>9757.6984000000029</v>
      </c>
    </row>
    <row r="61" spans="1:35">
      <c r="A61" s="109" t="s">
        <v>73</v>
      </c>
      <c r="B61" s="109"/>
      <c r="C61" s="28"/>
      <c r="D61" s="28"/>
      <c r="E61" s="28"/>
      <c r="F61" s="74"/>
      <c r="G61" s="74"/>
      <c r="H61" s="30"/>
      <c r="I61" s="30"/>
      <c r="J61" s="38"/>
      <c r="K61" s="30"/>
      <c r="L61" s="30"/>
      <c r="M61" s="30"/>
      <c r="N61" s="34"/>
      <c r="O61" s="34"/>
      <c r="P61" s="34"/>
      <c r="Q61" s="34"/>
      <c r="R61" s="30"/>
      <c r="S61" s="30"/>
      <c r="T61" s="30"/>
      <c r="U61" s="30"/>
      <c r="V61" s="30"/>
      <c r="W61" s="38"/>
      <c r="X61" s="30"/>
      <c r="Y61" s="38"/>
      <c r="Z61" s="30"/>
      <c r="AA61" s="30"/>
      <c r="AB61" s="30"/>
      <c r="AC61" s="38">
        <f>+AC59+AC60</f>
        <v>70743.313400000028</v>
      </c>
      <c r="AD61" s="44"/>
      <c r="AE61" s="44"/>
      <c r="AF61" s="39"/>
      <c r="AG61" s="28"/>
      <c r="AH61" s="28"/>
    </row>
    <row r="62" spans="1:35">
      <c r="A62" s="33" t="s">
        <v>38</v>
      </c>
      <c r="B62" s="33" t="s">
        <v>155</v>
      </c>
      <c r="C62" s="29" t="s">
        <v>156</v>
      </c>
      <c r="D62" s="49">
        <v>43038</v>
      </c>
      <c r="E62" s="34">
        <v>638.96</v>
      </c>
      <c r="F62" s="34">
        <v>2226.1260000000002</v>
      </c>
      <c r="G62" s="34"/>
      <c r="H62" s="31"/>
      <c r="I62" s="31"/>
      <c r="J62" s="46">
        <f>SUM(F62:I62)</f>
        <v>2226.1260000000002</v>
      </c>
      <c r="K62" s="34"/>
      <c r="L62" s="60"/>
      <c r="M62" s="34"/>
      <c r="N62" s="34"/>
      <c r="O62" s="61"/>
      <c r="P62" s="61"/>
      <c r="Q62" s="34"/>
      <c r="R62" s="32"/>
      <c r="S62" s="32"/>
      <c r="T62" s="33"/>
      <c r="U62" s="33"/>
      <c r="V62" s="33">
        <v>571.99</v>
      </c>
      <c r="W62" s="46">
        <f t="shared" ref="W62:W96" si="38">+J62-SUM(K62:V62)</f>
        <v>1654.1360000000002</v>
      </c>
      <c r="X62" s="32"/>
      <c r="Y62" s="46"/>
      <c r="Z62" s="54"/>
      <c r="AA62" s="54"/>
      <c r="AB62" s="54"/>
      <c r="AC62" s="53"/>
      <c r="AD62" s="45"/>
      <c r="AE62" s="45"/>
      <c r="AF62" s="40"/>
      <c r="AG62" s="35">
        <v>56697905731</v>
      </c>
      <c r="AH62" s="35"/>
    </row>
    <row r="63" spans="1:35">
      <c r="A63" s="33" t="s">
        <v>40</v>
      </c>
      <c r="B63" s="33" t="s">
        <v>137</v>
      </c>
      <c r="C63" s="29" t="s">
        <v>96</v>
      </c>
      <c r="D63" s="49">
        <v>41142</v>
      </c>
      <c r="E63" s="34">
        <v>667.87</v>
      </c>
      <c r="F63" s="34">
        <f>1500.02+5.571</f>
        <v>1505.5909999999999</v>
      </c>
      <c r="G63" s="31"/>
      <c r="H63" s="31"/>
      <c r="I63" s="34"/>
      <c r="J63" s="46">
        <f>SUM(F63:I63)</f>
        <v>1505.5909999999999</v>
      </c>
      <c r="K63" s="34"/>
      <c r="L63" s="60"/>
      <c r="M63" s="34"/>
      <c r="N63" s="34"/>
      <c r="O63" s="61" t="s">
        <v>121</v>
      </c>
      <c r="P63" s="61" t="s">
        <v>121</v>
      </c>
      <c r="Q63" s="34"/>
      <c r="R63" s="32"/>
      <c r="S63" s="32"/>
      <c r="T63" s="33"/>
      <c r="U63" s="33"/>
      <c r="V63" s="33">
        <v>548.98</v>
      </c>
      <c r="W63" s="46">
        <f t="shared" si="38"/>
        <v>956.61099999999988</v>
      </c>
      <c r="X63" s="32">
        <f>+W63*0.05</f>
        <v>47.830549999999995</v>
      </c>
      <c r="Y63" s="46">
        <f>+W63-R63-V63</f>
        <v>407.63099999999986</v>
      </c>
      <c r="Z63" s="54">
        <f>IF(W63&lt;3000,W63*0.1,0)</f>
        <v>95.66109999999999</v>
      </c>
      <c r="AA63" s="54">
        <v>0</v>
      </c>
      <c r="AB63" s="54"/>
      <c r="AC63" s="53">
        <f>+W63+Z63+AA63</f>
        <v>1052.2720999999999</v>
      </c>
      <c r="AD63" s="45"/>
      <c r="AE63" s="45"/>
      <c r="AF63" s="40"/>
      <c r="AG63" s="35">
        <v>56708845760</v>
      </c>
      <c r="AH63" s="35"/>
    </row>
    <row r="64" spans="1:35" s="18" customFormat="1">
      <c r="A64" s="33" t="s">
        <v>40</v>
      </c>
      <c r="B64" s="33" t="s">
        <v>51</v>
      </c>
      <c r="C64" s="33" t="s">
        <v>96</v>
      </c>
      <c r="D64" s="49">
        <v>41381</v>
      </c>
      <c r="E64" s="34">
        <v>627.13</v>
      </c>
      <c r="F64" s="34">
        <f>6198.77+5.571</f>
        <v>6204.3410000000003</v>
      </c>
      <c r="G64" s="31"/>
      <c r="H64" s="31"/>
      <c r="I64" s="34"/>
      <c r="J64" s="46">
        <f t="shared" ref="J64:J103" si="39">SUM(F64:I64)</f>
        <v>6204.3410000000003</v>
      </c>
      <c r="K64" s="34"/>
      <c r="L64" s="60"/>
      <c r="M64" s="34"/>
      <c r="N64" s="34"/>
      <c r="O64" s="61" t="s">
        <v>121</v>
      </c>
      <c r="P64" s="61" t="s">
        <v>121</v>
      </c>
      <c r="Q64" s="34"/>
      <c r="R64" s="32"/>
      <c r="S64" s="32"/>
      <c r="T64" s="33"/>
      <c r="U64" s="33"/>
      <c r="V64" s="33"/>
      <c r="W64" s="46">
        <f t="shared" si="38"/>
        <v>6204.3410000000003</v>
      </c>
      <c r="X64" s="32">
        <f t="shared" ref="X64:X71" si="40">IF(J64&gt;2250,J64*0.1,0)</f>
        <v>620.43410000000006</v>
      </c>
      <c r="Y64" s="46">
        <f t="shared" ref="Y64:Y71" si="41">+W64-X64</f>
        <v>5583.9069</v>
      </c>
      <c r="Z64" s="32">
        <f t="shared" ref="Z64:Z71" si="42">IF(J64&lt;2250,J64*0.1,0)</f>
        <v>0</v>
      </c>
      <c r="AA64" s="32">
        <v>10.23</v>
      </c>
      <c r="AB64" s="32" t="str">
        <f t="shared" ref="AB64:AB71" si="43">+O64</f>
        <v>XX</v>
      </c>
      <c r="AC64" s="46" t="e">
        <f t="shared" ref="AC64:AC71" si="44">+J64+Z64+AA64+AB64</f>
        <v>#VALUE!</v>
      </c>
      <c r="AD64" s="50"/>
      <c r="AE64" s="51"/>
      <c r="AF64" s="47">
        <f t="shared" ref="AF64:AF67" si="45">+AD64+AE64-Y64</f>
        <v>-5583.9069</v>
      </c>
      <c r="AG64" s="35">
        <v>56708845774</v>
      </c>
      <c r="AH64" s="35"/>
    </row>
    <row r="65" spans="1:34" s="18" customFormat="1">
      <c r="A65" s="33" t="s">
        <v>40</v>
      </c>
      <c r="B65" s="33" t="s">
        <v>79</v>
      </c>
      <c r="C65" s="33" t="s">
        <v>96</v>
      </c>
      <c r="D65" s="49">
        <v>41740</v>
      </c>
      <c r="E65" s="34">
        <v>627.13</v>
      </c>
      <c r="F65" s="34">
        <f>720.028+2.599</f>
        <v>722.62700000000007</v>
      </c>
      <c r="G65" s="31"/>
      <c r="H65" s="31"/>
      <c r="I65" s="34"/>
      <c r="J65" s="46">
        <f t="shared" si="39"/>
        <v>722.62700000000007</v>
      </c>
      <c r="K65" s="34"/>
      <c r="L65" s="60" t="s">
        <v>180</v>
      </c>
      <c r="M65" s="34"/>
      <c r="N65" s="32">
        <v>300</v>
      </c>
      <c r="O65" s="61" t="s">
        <v>121</v>
      </c>
      <c r="P65" s="61" t="s">
        <v>121</v>
      </c>
      <c r="Q65" s="34"/>
      <c r="R65" s="32"/>
      <c r="S65" s="32"/>
      <c r="T65" s="33"/>
      <c r="U65" s="33"/>
      <c r="V65" s="33"/>
      <c r="W65" s="46">
        <f t="shared" si="38"/>
        <v>422.62700000000007</v>
      </c>
      <c r="X65" s="32">
        <f t="shared" si="40"/>
        <v>0</v>
      </c>
      <c r="Y65" s="46">
        <f t="shared" si="41"/>
        <v>422.62700000000007</v>
      </c>
      <c r="Z65" s="32">
        <f t="shared" si="42"/>
        <v>72.262700000000009</v>
      </c>
      <c r="AA65" s="32">
        <v>10.23</v>
      </c>
      <c r="AB65" s="32" t="str">
        <f t="shared" si="43"/>
        <v>XX</v>
      </c>
      <c r="AC65" s="46" t="e">
        <f t="shared" si="44"/>
        <v>#VALUE!</v>
      </c>
      <c r="AD65" s="50"/>
      <c r="AE65" s="51"/>
      <c r="AF65" s="47">
        <f t="shared" si="45"/>
        <v>-422.62700000000007</v>
      </c>
      <c r="AG65" s="35">
        <v>56708845788</v>
      </c>
      <c r="AH65" s="35" t="s">
        <v>184</v>
      </c>
    </row>
    <row r="66" spans="1:34" s="18" customFormat="1">
      <c r="A66" s="33" t="s">
        <v>40</v>
      </c>
      <c r="B66" s="33" t="s">
        <v>111</v>
      </c>
      <c r="C66" s="33" t="s">
        <v>93</v>
      </c>
      <c r="D66" s="49">
        <v>42779</v>
      </c>
      <c r="E66" s="34">
        <v>618.52</v>
      </c>
      <c r="F66" s="34">
        <v>775.2</v>
      </c>
      <c r="G66" s="31"/>
      <c r="H66" s="31"/>
      <c r="I66" s="34"/>
      <c r="J66" s="46">
        <f t="shared" si="39"/>
        <v>775.2</v>
      </c>
      <c r="K66" s="34"/>
      <c r="L66" s="60"/>
      <c r="M66" s="34"/>
      <c r="N66" s="32"/>
      <c r="O66" s="61" t="s">
        <v>121</v>
      </c>
      <c r="P66" s="61" t="s">
        <v>121</v>
      </c>
      <c r="Q66" s="34"/>
      <c r="R66" s="32"/>
      <c r="S66" s="32"/>
      <c r="T66" s="33"/>
      <c r="U66" s="33"/>
      <c r="V66" s="33"/>
      <c r="W66" s="46">
        <f t="shared" si="38"/>
        <v>775.2</v>
      </c>
      <c r="X66" s="32"/>
      <c r="Y66" s="46"/>
      <c r="Z66" s="32"/>
      <c r="AA66" s="32"/>
      <c r="AB66" s="32"/>
      <c r="AC66" s="46"/>
      <c r="AD66" s="50"/>
      <c r="AE66" s="51"/>
      <c r="AF66" s="47"/>
      <c r="AG66" s="35">
        <v>60589582591</v>
      </c>
      <c r="AH66" s="35"/>
    </row>
    <row r="67" spans="1:34" s="18" customFormat="1">
      <c r="A67" s="33" t="s">
        <v>40</v>
      </c>
      <c r="B67" s="33" t="s">
        <v>52</v>
      </c>
      <c r="C67" s="33" t="s">
        <v>45</v>
      </c>
      <c r="D67" s="49">
        <v>40049</v>
      </c>
      <c r="E67" s="34">
        <v>618.52</v>
      </c>
      <c r="F67" s="34">
        <f>4812.78+13.099</f>
        <v>4825.8789999999999</v>
      </c>
      <c r="G67" s="31"/>
      <c r="H67" s="31"/>
      <c r="I67" s="34"/>
      <c r="J67" s="46">
        <f t="shared" si="39"/>
        <v>4825.8789999999999</v>
      </c>
      <c r="K67" s="34"/>
      <c r="L67" s="60"/>
      <c r="M67" s="34"/>
      <c r="N67" s="32">
        <v>700</v>
      </c>
      <c r="O67" s="61" t="s">
        <v>121</v>
      </c>
      <c r="P67" s="61" t="s">
        <v>121</v>
      </c>
      <c r="Q67" s="34"/>
      <c r="R67" s="32"/>
      <c r="S67" s="32"/>
      <c r="T67" s="33"/>
      <c r="U67" s="33"/>
      <c r="V67" s="33"/>
      <c r="W67" s="46">
        <f t="shared" si="38"/>
        <v>4125.8789999999999</v>
      </c>
      <c r="X67" s="32">
        <f t="shared" si="40"/>
        <v>482.58789999999999</v>
      </c>
      <c r="Y67" s="46">
        <f t="shared" si="41"/>
        <v>3643.2910999999999</v>
      </c>
      <c r="Z67" s="32">
        <f t="shared" si="42"/>
        <v>0</v>
      </c>
      <c r="AA67" s="32">
        <v>10.23</v>
      </c>
      <c r="AB67" s="32" t="str">
        <f t="shared" si="43"/>
        <v>XX</v>
      </c>
      <c r="AC67" s="46" t="e">
        <f t="shared" si="44"/>
        <v>#VALUE!</v>
      </c>
      <c r="AD67" s="50"/>
      <c r="AE67" s="51"/>
      <c r="AF67" s="47">
        <f t="shared" si="45"/>
        <v>-3643.2910999999999</v>
      </c>
      <c r="AG67" s="35">
        <v>56708845791</v>
      </c>
      <c r="AH67" s="35"/>
    </row>
    <row r="68" spans="1:34" s="18" customFormat="1">
      <c r="A68" s="33" t="s">
        <v>40</v>
      </c>
      <c r="B68" s="33" t="s">
        <v>113</v>
      </c>
      <c r="C68" s="33" t="s">
        <v>93</v>
      </c>
      <c r="D68" s="49">
        <v>42807</v>
      </c>
      <c r="E68" s="34">
        <v>618.52</v>
      </c>
      <c r="F68" s="34">
        <v>703.9</v>
      </c>
      <c r="G68" s="31"/>
      <c r="H68" s="31"/>
      <c r="I68" s="34"/>
      <c r="J68" s="46">
        <f t="shared" si="39"/>
        <v>703.9</v>
      </c>
      <c r="K68" s="34"/>
      <c r="L68" s="60"/>
      <c r="M68" s="34"/>
      <c r="N68" s="34"/>
      <c r="O68" s="61" t="s">
        <v>121</v>
      </c>
      <c r="P68" s="61" t="s">
        <v>121</v>
      </c>
      <c r="Q68" s="34"/>
      <c r="R68" s="32"/>
      <c r="S68" s="32"/>
      <c r="T68" s="33"/>
      <c r="U68" s="33"/>
      <c r="V68" s="33"/>
      <c r="W68" s="46">
        <f t="shared" si="38"/>
        <v>703.9</v>
      </c>
      <c r="X68" s="32"/>
      <c r="Y68" s="46"/>
      <c r="Z68" s="32"/>
      <c r="AA68" s="32"/>
      <c r="AB68" s="32"/>
      <c r="AC68" s="46"/>
      <c r="AD68" s="50"/>
      <c r="AE68" s="51"/>
      <c r="AF68" s="47"/>
      <c r="AG68" s="35">
        <v>60589642468</v>
      </c>
      <c r="AH68" s="35"/>
    </row>
    <row r="69" spans="1:34" s="18" customFormat="1">
      <c r="A69" s="33" t="s">
        <v>38</v>
      </c>
      <c r="B69" s="33" t="s">
        <v>103</v>
      </c>
      <c r="C69" s="33" t="s">
        <v>41</v>
      </c>
      <c r="D69" s="49">
        <v>42681</v>
      </c>
      <c r="E69" s="34">
        <v>738.99</v>
      </c>
      <c r="F69" s="34">
        <f>3797.84+13.099</f>
        <v>3810.9390000000003</v>
      </c>
      <c r="G69" s="31"/>
      <c r="H69" s="31"/>
      <c r="I69" s="34"/>
      <c r="J69" s="46">
        <f t="shared" si="39"/>
        <v>3810.9390000000003</v>
      </c>
      <c r="K69" s="34"/>
      <c r="L69" s="60"/>
      <c r="M69" s="34"/>
      <c r="N69" s="34">
        <v>150</v>
      </c>
      <c r="O69" s="61"/>
      <c r="P69" s="61"/>
      <c r="Q69" s="34"/>
      <c r="R69" s="32"/>
      <c r="S69" s="32"/>
      <c r="T69" s="33"/>
      <c r="U69" s="33"/>
      <c r="V69" s="33"/>
      <c r="W69" s="46">
        <f t="shared" si="38"/>
        <v>3660.9390000000003</v>
      </c>
      <c r="X69" s="32">
        <f t="shared" ref="X69" si="46">IF(J69&gt;2250,J69*0.1,0)</f>
        <v>381.09390000000008</v>
      </c>
      <c r="Y69" s="46">
        <f t="shared" ref="Y69" si="47">+W69-X69</f>
        <v>3279.8451000000005</v>
      </c>
      <c r="Z69" s="32"/>
      <c r="AA69" s="32"/>
      <c r="AB69" s="32"/>
      <c r="AC69" s="46"/>
      <c r="AD69" s="50"/>
      <c r="AE69" s="51"/>
      <c r="AF69" s="47"/>
      <c r="AG69" s="35">
        <v>56710773131</v>
      </c>
      <c r="AH69" s="35"/>
    </row>
    <row r="70" spans="1:34" s="18" customFormat="1">
      <c r="A70" s="33" t="s">
        <v>40</v>
      </c>
      <c r="B70" s="33" t="s">
        <v>84</v>
      </c>
      <c r="C70" s="33" t="s">
        <v>96</v>
      </c>
      <c r="D70" s="49">
        <v>40575</v>
      </c>
      <c r="E70" s="34">
        <v>627.13</v>
      </c>
      <c r="F70" s="34">
        <f>3844.92+5.571</f>
        <v>3850.491</v>
      </c>
      <c r="G70" s="31"/>
      <c r="H70" s="31"/>
      <c r="I70" s="34"/>
      <c r="J70" s="46">
        <f t="shared" si="39"/>
        <v>3850.491</v>
      </c>
      <c r="K70" s="34"/>
      <c r="L70" s="60"/>
      <c r="M70" s="34"/>
      <c r="N70" s="32">
        <v>500</v>
      </c>
      <c r="O70" s="61" t="s">
        <v>121</v>
      </c>
      <c r="P70" s="61" t="s">
        <v>121</v>
      </c>
      <c r="Q70" s="34"/>
      <c r="R70" s="32"/>
      <c r="S70" s="32"/>
      <c r="T70" s="33"/>
      <c r="U70" s="33"/>
      <c r="V70" s="33"/>
      <c r="W70" s="46">
        <f t="shared" si="38"/>
        <v>3350.491</v>
      </c>
      <c r="X70" s="32">
        <f t="shared" si="40"/>
        <v>385.04910000000001</v>
      </c>
      <c r="Y70" s="46">
        <f t="shared" si="41"/>
        <v>2965.4418999999998</v>
      </c>
      <c r="Z70" s="32">
        <f t="shared" si="42"/>
        <v>0</v>
      </c>
      <c r="AA70" s="32">
        <v>10.23</v>
      </c>
      <c r="AB70" s="32" t="str">
        <f t="shared" si="43"/>
        <v>XX</v>
      </c>
      <c r="AC70" s="46" t="e">
        <f t="shared" si="44"/>
        <v>#VALUE!</v>
      </c>
      <c r="AD70" s="50"/>
      <c r="AE70" s="51"/>
      <c r="AF70" s="47">
        <f>+AD70+AE70-Y70</f>
        <v>-2965.4418999999998</v>
      </c>
      <c r="AG70" s="35">
        <v>56708845820</v>
      </c>
      <c r="AH70" s="35"/>
    </row>
    <row r="71" spans="1:34" s="18" customFormat="1">
      <c r="A71" s="33" t="s">
        <v>40</v>
      </c>
      <c r="B71" s="33" t="s">
        <v>60</v>
      </c>
      <c r="C71" s="33" t="s">
        <v>96</v>
      </c>
      <c r="D71" s="49">
        <v>40219</v>
      </c>
      <c r="E71" s="34">
        <v>627.13</v>
      </c>
      <c r="F71" s="34">
        <f>5019.6+2.972</f>
        <v>5022.5720000000001</v>
      </c>
      <c r="G71" s="31"/>
      <c r="H71" s="31"/>
      <c r="I71" s="34"/>
      <c r="J71" s="46">
        <f t="shared" si="39"/>
        <v>5022.5720000000001</v>
      </c>
      <c r="K71" s="34"/>
      <c r="L71" s="60"/>
      <c r="M71" s="34"/>
      <c r="N71" s="34">
        <v>1000</v>
      </c>
      <c r="O71" s="61" t="s">
        <v>121</v>
      </c>
      <c r="P71" s="61" t="s">
        <v>121</v>
      </c>
      <c r="Q71" s="34"/>
      <c r="R71" s="32"/>
      <c r="S71" s="32"/>
      <c r="T71" s="33"/>
      <c r="U71" s="33"/>
      <c r="V71" s="33"/>
      <c r="W71" s="46">
        <f t="shared" si="38"/>
        <v>4022.5720000000001</v>
      </c>
      <c r="X71" s="32">
        <f t="shared" si="40"/>
        <v>502.25720000000001</v>
      </c>
      <c r="Y71" s="46">
        <f t="shared" si="41"/>
        <v>3520.3148000000001</v>
      </c>
      <c r="Z71" s="32">
        <f t="shared" si="42"/>
        <v>0</v>
      </c>
      <c r="AA71" s="32">
        <v>10.23</v>
      </c>
      <c r="AB71" s="32" t="str">
        <f t="shared" si="43"/>
        <v>XX</v>
      </c>
      <c r="AC71" s="46" t="e">
        <f t="shared" si="44"/>
        <v>#VALUE!</v>
      </c>
      <c r="AD71" s="50"/>
      <c r="AE71" s="51"/>
      <c r="AF71" s="47">
        <f>+AD71+AE71-Y71</f>
        <v>-3520.3148000000001</v>
      </c>
      <c r="AG71" s="35">
        <v>56708845834</v>
      </c>
      <c r="AH71" s="35"/>
    </row>
    <row r="72" spans="1:34" s="18" customFormat="1">
      <c r="A72" s="33" t="s">
        <v>40</v>
      </c>
      <c r="B72" s="33" t="s">
        <v>118</v>
      </c>
      <c r="C72" s="33" t="s">
        <v>106</v>
      </c>
      <c r="D72" s="49">
        <v>42842</v>
      </c>
      <c r="E72" s="34">
        <v>618.52</v>
      </c>
      <c r="F72" s="34">
        <f>4458.954+5.571</f>
        <v>4464.5249999999996</v>
      </c>
      <c r="G72" s="31"/>
      <c r="H72" s="31"/>
      <c r="I72" s="34"/>
      <c r="J72" s="46">
        <f t="shared" si="39"/>
        <v>4464.5249999999996</v>
      </c>
      <c r="K72" s="34"/>
      <c r="L72" s="60"/>
      <c r="M72" s="34"/>
      <c r="N72" s="34"/>
      <c r="O72" s="61" t="s">
        <v>121</v>
      </c>
      <c r="P72" s="61" t="s">
        <v>121</v>
      </c>
      <c r="Q72" s="34"/>
      <c r="R72" s="32"/>
      <c r="S72" s="32"/>
      <c r="T72" s="33"/>
      <c r="U72" s="33"/>
      <c r="V72" s="33"/>
      <c r="W72" s="46">
        <f t="shared" si="38"/>
        <v>4464.5249999999996</v>
      </c>
      <c r="X72" s="32"/>
      <c r="Y72" s="46"/>
      <c r="Z72" s="32"/>
      <c r="AA72" s="32"/>
      <c r="AB72" s="32"/>
      <c r="AC72" s="46"/>
      <c r="AD72" s="50"/>
      <c r="AE72" s="51"/>
      <c r="AF72" s="47"/>
      <c r="AG72" s="35">
        <v>60590100738</v>
      </c>
      <c r="AH72" s="35"/>
    </row>
    <row r="73" spans="1:34" s="18" customFormat="1">
      <c r="A73" s="33" t="s">
        <v>38</v>
      </c>
      <c r="B73" s="33" t="s">
        <v>61</v>
      </c>
      <c r="C73" s="33" t="s">
        <v>41</v>
      </c>
      <c r="D73" s="49">
        <v>42319</v>
      </c>
      <c r="E73" s="34">
        <v>739.2</v>
      </c>
      <c r="F73" s="34">
        <f>5172.92+13.099</f>
        <v>5186.0190000000002</v>
      </c>
      <c r="G73" s="31"/>
      <c r="H73" s="31"/>
      <c r="I73" s="34"/>
      <c r="J73" s="46">
        <f t="shared" si="39"/>
        <v>5186.0190000000002</v>
      </c>
      <c r="K73" s="34"/>
      <c r="L73" s="60"/>
      <c r="M73" s="34"/>
      <c r="N73" s="34"/>
      <c r="O73" s="61"/>
      <c r="P73" s="61"/>
      <c r="Q73" s="34"/>
      <c r="R73" s="32"/>
      <c r="S73" s="32"/>
      <c r="T73" s="33"/>
      <c r="U73" s="33"/>
      <c r="V73" s="33"/>
      <c r="W73" s="46">
        <f t="shared" si="38"/>
        <v>5186.0190000000002</v>
      </c>
      <c r="X73" s="32">
        <f t="shared" ref="X73:X98" si="48">IF(J73&gt;2250,J73*0.1,0)</f>
        <v>518.6019</v>
      </c>
      <c r="Y73" s="46">
        <f t="shared" ref="Y73:Y98" si="49">+W73-X73</f>
        <v>4667.4171000000006</v>
      </c>
      <c r="Z73" s="32">
        <f t="shared" ref="Z73:Z98" si="50">IF(J73&lt;2250,J73*0.1,0)</f>
        <v>0</v>
      </c>
      <c r="AA73" s="32">
        <v>19.23</v>
      </c>
      <c r="AB73" s="32">
        <f t="shared" ref="AB73:AB98" si="51">+O73</f>
        <v>0</v>
      </c>
      <c r="AC73" s="46">
        <f t="shared" ref="AC73:AC98" si="52">+J73+Z73+AA73+AB73</f>
        <v>5205.2489999999998</v>
      </c>
      <c r="AD73" s="50"/>
      <c r="AE73" s="51"/>
      <c r="AF73" s="47">
        <f>+AD73+AE73-Y73</f>
        <v>-4667.4171000000006</v>
      </c>
      <c r="AG73" s="35">
        <v>56708881901</v>
      </c>
      <c r="AH73" s="35"/>
    </row>
    <row r="74" spans="1:34" s="18" customFormat="1">
      <c r="A74" s="33" t="s">
        <v>40</v>
      </c>
      <c r="B74" s="33" t="s">
        <v>171</v>
      </c>
      <c r="C74" s="33" t="s">
        <v>93</v>
      </c>
      <c r="D74" s="49">
        <v>43115</v>
      </c>
      <c r="E74" s="34">
        <v>618.52</v>
      </c>
      <c r="F74" s="34">
        <v>363.5</v>
      </c>
      <c r="G74" s="31"/>
      <c r="H74" s="31"/>
      <c r="I74" s="34"/>
      <c r="J74" s="46">
        <f t="shared" si="39"/>
        <v>363.5</v>
      </c>
      <c r="K74" s="34"/>
      <c r="L74" s="60"/>
      <c r="M74" s="34"/>
      <c r="N74" s="34"/>
      <c r="O74" s="61"/>
      <c r="P74" s="61"/>
      <c r="Q74" s="34"/>
      <c r="R74" s="32"/>
      <c r="S74" s="32"/>
      <c r="T74" s="33"/>
      <c r="U74" s="33"/>
      <c r="V74" s="33"/>
      <c r="W74" s="46">
        <f t="shared" si="38"/>
        <v>363.5</v>
      </c>
      <c r="X74" s="32"/>
      <c r="Y74" s="46"/>
      <c r="Z74" s="32"/>
      <c r="AA74" s="32"/>
      <c r="AB74" s="32"/>
      <c r="AC74" s="46"/>
      <c r="AD74" s="50"/>
      <c r="AE74" s="51"/>
      <c r="AF74" s="47"/>
      <c r="AG74" s="35">
        <v>60598596794</v>
      </c>
      <c r="AH74" s="35"/>
    </row>
    <row r="75" spans="1:34" s="18" customFormat="1">
      <c r="A75" s="33" t="s">
        <v>38</v>
      </c>
      <c r="B75" s="33" t="s">
        <v>122</v>
      </c>
      <c r="C75" s="33" t="s">
        <v>41</v>
      </c>
      <c r="D75" s="49">
        <v>42884</v>
      </c>
      <c r="E75" s="34">
        <v>739.27</v>
      </c>
      <c r="F75" s="34">
        <f>5952.321+7.428</f>
        <v>5959.7489999999998</v>
      </c>
      <c r="G75" s="31"/>
      <c r="H75" s="31"/>
      <c r="I75" s="34"/>
      <c r="J75" s="46">
        <f t="shared" si="39"/>
        <v>5959.7489999999998</v>
      </c>
      <c r="K75" s="34"/>
      <c r="L75" s="60"/>
      <c r="M75" s="34"/>
      <c r="N75" s="34"/>
      <c r="O75" s="61"/>
      <c r="P75" s="61"/>
      <c r="Q75" s="34"/>
      <c r="R75" s="32"/>
      <c r="S75" s="32"/>
      <c r="T75" s="33"/>
      <c r="U75" s="33"/>
      <c r="V75" s="33"/>
      <c r="W75" s="46">
        <f t="shared" si="38"/>
        <v>5959.7489999999998</v>
      </c>
      <c r="X75" s="32"/>
      <c r="Y75" s="46"/>
      <c r="Z75" s="32"/>
      <c r="AA75" s="32"/>
      <c r="AB75" s="32"/>
      <c r="AC75" s="46"/>
      <c r="AD75" s="50"/>
      <c r="AE75" s="51"/>
      <c r="AF75" s="47"/>
      <c r="AG75" s="35">
        <v>60592118015</v>
      </c>
      <c r="AH75" s="35"/>
    </row>
    <row r="76" spans="1:34" s="86" customFormat="1">
      <c r="A76" s="75" t="s">
        <v>40</v>
      </c>
      <c r="B76" s="75" t="s">
        <v>112</v>
      </c>
      <c r="C76" s="75" t="s">
        <v>93</v>
      </c>
      <c r="D76" s="76">
        <v>42807</v>
      </c>
      <c r="E76" s="77">
        <v>618.52</v>
      </c>
      <c r="F76" s="77">
        <v>870</v>
      </c>
      <c r="G76" s="77"/>
      <c r="H76" s="77"/>
      <c r="I76" s="77"/>
      <c r="J76" s="78">
        <f t="shared" si="39"/>
        <v>870</v>
      </c>
      <c r="K76" s="77"/>
      <c r="L76" s="79"/>
      <c r="M76" s="77"/>
      <c r="N76" s="77"/>
      <c r="O76" s="80" t="s">
        <v>121</v>
      </c>
      <c r="P76" s="80" t="s">
        <v>121</v>
      </c>
      <c r="Q76" s="77"/>
      <c r="R76" s="81"/>
      <c r="S76" s="81"/>
      <c r="T76" s="75"/>
      <c r="U76" s="75"/>
      <c r="V76" s="75"/>
      <c r="W76" s="78">
        <f t="shared" si="38"/>
        <v>870</v>
      </c>
      <c r="X76" s="81"/>
      <c r="Y76" s="78"/>
      <c r="Z76" s="81"/>
      <c r="AA76" s="81"/>
      <c r="AB76" s="81"/>
      <c r="AC76" s="78"/>
      <c r="AD76" s="82"/>
      <c r="AE76" s="83"/>
      <c r="AF76" s="84"/>
      <c r="AG76" s="85">
        <v>60599040419</v>
      </c>
      <c r="AH76" s="85"/>
    </row>
    <row r="77" spans="1:34" s="18" customFormat="1">
      <c r="A77" s="33" t="s">
        <v>40</v>
      </c>
      <c r="B77" s="33" t="s">
        <v>69</v>
      </c>
      <c r="C77" s="33" t="s">
        <v>96</v>
      </c>
      <c r="D77" s="49">
        <v>41284</v>
      </c>
      <c r="E77" s="34">
        <v>627.13</v>
      </c>
      <c r="F77" s="34">
        <f>4030.633+2.599</f>
        <v>4033.232</v>
      </c>
      <c r="G77" s="31"/>
      <c r="H77" s="31"/>
      <c r="I77" s="34"/>
      <c r="J77" s="46">
        <f t="shared" si="39"/>
        <v>4033.232</v>
      </c>
      <c r="K77" s="34"/>
      <c r="L77" s="60"/>
      <c r="M77" s="34"/>
      <c r="N77" s="34"/>
      <c r="O77" s="61" t="s">
        <v>121</v>
      </c>
      <c r="P77" s="61" t="s">
        <v>121</v>
      </c>
      <c r="Q77" s="34"/>
      <c r="R77" s="32"/>
      <c r="S77" s="32"/>
      <c r="T77" s="33"/>
      <c r="U77" s="33"/>
      <c r="V77" s="33"/>
      <c r="W77" s="46">
        <f t="shared" si="38"/>
        <v>4033.232</v>
      </c>
      <c r="X77" s="32">
        <f t="shared" si="48"/>
        <v>403.32320000000004</v>
      </c>
      <c r="Y77" s="46">
        <f t="shared" si="49"/>
        <v>3629.9088000000002</v>
      </c>
      <c r="Z77" s="32">
        <f t="shared" si="50"/>
        <v>0</v>
      </c>
      <c r="AA77" s="32">
        <v>10.23</v>
      </c>
      <c r="AB77" s="32" t="str">
        <f t="shared" si="51"/>
        <v>XX</v>
      </c>
      <c r="AC77" s="46" t="e">
        <f t="shared" si="52"/>
        <v>#VALUE!</v>
      </c>
      <c r="AD77" s="50"/>
      <c r="AE77" s="51"/>
      <c r="AF77" s="47">
        <f t="shared" ref="AF77:AF98" si="53">+AD77+AE77-Y77</f>
        <v>-3629.9088000000002</v>
      </c>
      <c r="AG77" s="35">
        <v>56708881915</v>
      </c>
      <c r="AH77" s="35"/>
    </row>
    <row r="78" spans="1:34" s="18" customFormat="1">
      <c r="A78" s="33" t="s">
        <v>38</v>
      </c>
      <c r="B78" s="33" t="s">
        <v>138</v>
      </c>
      <c r="C78" s="33" t="s">
        <v>41</v>
      </c>
      <c r="D78" s="49">
        <v>42823</v>
      </c>
      <c r="E78" s="34">
        <v>618.52</v>
      </c>
      <c r="F78" s="34">
        <f>6298.964+13.099</f>
        <v>6312.0630000000001</v>
      </c>
      <c r="G78" s="31"/>
      <c r="H78" s="31"/>
      <c r="I78" s="34"/>
      <c r="J78" s="46">
        <f t="shared" si="39"/>
        <v>6312.0630000000001</v>
      </c>
      <c r="K78" s="34"/>
      <c r="L78" s="60"/>
      <c r="M78" s="34"/>
      <c r="N78" s="34"/>
      <c r="O78" s="61"/>
      <c r="P78" s="61"/>
      <c r="Q78" s="34"/>
      <c r="R78" s="32"/>
      <c r="S78" s="32"/>
      <c r="T78" s="33"/>
      <c r="U78" s="33"/>
      <c r="V78" s="33"/>
      <c r="W78" s="46">
        <f t="shared" si="38"/>
        <v>6312.0630000000001</v>
      </c>
      <c r="X78" s="32"/>
      <c r="Y78" s="46"/>
      <c r="Z78" s="32"/>
      <c r="AA78" s="32"/>
      <c r="AB78" s="32"/>
      <c r="AC78" s="46"/>
      <c r="AD78" s="50"/>
      <c r="AE78" s="51"/>
      <c r="AF78" s="47"/>
      <c r="AG78" s="35">
        <v>60589704184</v>
      </c>
      <c r="AH78" s="35"/>
    </row>
    <row r="79" spans="1:34" s="18" customFormat="1">
      <c r="A79" s="33" t="s">
        <v>40</v>
      </c>
      <c r="B79" s="33" t="s">
        <v>50</v>
      </c>
      <c r="C79" s="33" t="s">
        <v>96</v>
      </c>
      <c r="D79" s="49">
        <v>39598</v>
      </c>
      <c r="E79" s="34">
        <v>627.13</v>
      </c>
      <c r="F79" s="34">
        <f>3376.482+5.571</f>
        <v>3382.0529999999999</v>
      </c>
      <c r="G79" s="31"/>
      <c r="H79" s="31"/>
      <c r="I79" s="34"/>
      <c r="J79" s="46">
        <f t="shared" si="39"/>
        <v>3382.0529999999999</v>
      </c>
      <c r="K79" s="34"/>
      <c r="L79" s="60"/>
      <c r="M79" s="34"/>
      <c r="N79" s="34"/>
      <c r="O79" s="61" t="s">
        <v>121</v>
      </c>
      <c r="P79" s="61" t="s">
        <v>121</v>
      </c>
      <c r="Q79" s="34"/>
      <c r="R79" s="32"/>
      <c r="S79" s="32"/>
      <c r="T79" s="33"/>
      <c r="U79" s="33"/>
      <c r="V79" s="33"/>
      <c r="W79" s="46">
        <f t="shared" si="38"/>
        <v>3382.0529999999999</v>
      </c>
      <c r="X79" s="32">
        <f t="shared" si="48"/>
        <v>338.20530000000002</v>
      </c>
      <c r="Y79" s="46">
        <f t="shared" si="49"/>
        <v>3043.8476999999998</v>
      </c>
      <c r="Z79" s="32">
        <f t="shared" si="50"/>
        <v>0</v>
      </c>
      <c r="AA79" s="32">
        <v>10.23</v>
      </c>
      <c r="AB79" s="32" t="str">
        <f t="shared" si="51"/>
        <v>XX</v>
      </c>
      <c r="AC79" s="46" t="e">
        <f t="shared" si="52"/>
        <v>#VALUE!</v>
      </c>
      <c r="AD79" s="50"/>
      <c r="AE79" s="51"/>
      <c r="AF79" s="47">
        <f t="shared" si="53"/>
        <v>-3043.8476999999998</v>
      </c>
      <c r="AG79" s="35">
        <v>56708845865</v>
      </c>
      <c r="AH79" s="35"/>
    </row>
    <row r="80" spans="1:34" s="18" customFormat="1">
      <c r="A80" s="33" t="s">
        <v>38</v>
      </c>
      <c r="B80" s="33" t="s">
        <v>62</v>
      </c>
      <c r="C80" s="33" t="s">
        <v>41</v>
      </c>
      <c r="D80" s="49">
        <v>41493</v>
      </c>
      <c r="E80" s="34">
        <v>739.2</v>
      </c>
      <c r="F80" s="34">
        <f>4387.16+13.099</f>
        <v>4400.259</v>
      </c>
      <c r="G80" s="31"/>
      <c r="H80" s="31"/>
      <c r="I80" s="34"/>
      <c r="J80" s="46">
        <f t="shared" si="39"/>
        <v>4400.259</v>
      </c>
      <c r="K80" s="34"/>
      <c r="L80" s="60"/>
      <c r="M80" s="34"/>
      <c r="N80" s="34"/>
      <c r="O80" s="61"/>
      <c r="P80" s="61"/>
      <c r="Q80" s="34"/>
      <c r="R80" s="32"/>
      <c r="S80" s="32"/>
      <c r="T80" s="33"/>
      <c r="U80" s="33"/>
      <c r="V80" s="33"/>
      <c r="W80" s="46">
        <f t="shared" si="38"/>
        <v>4400.259</v>
      </c>
      <c r="X80" s="32">
        <f t="shared" si="48"/>
        <v>440.02590000000004</v>
      </c>
      <c r="Y80" s="46">
        <f t="shared" si="49"/>
        <v>3960.2330999999999</v>
      </c>
      <c r="Z80" s="32">
        <f t="shared" si="50"/>
        <v>0</v>
      </c>
      <c r="AA80" s="32">
        <v>10.23</v>
      </c>
      <c r="AB80" s="32">
        <f t="shared" si="51"/>
        <v>0</v>
      </c>
      <c r="AC80" s="46">
        <f t="shared" si="52"/>
        <v>4410.4889999999996</v>
      </c>
      <c r="AD80" s="50"/>
      <c r="AE80" s="51"/>
      <c r="AF80" s="47">
        <f t="shared" si="53"/>
        <v>-3960.2330999999999</v>
      </c>
      <c r="AG80" s="35">
        <v>56708845879</v>
      </c>
      <c r="AH80" s="35"/>
    </row>
    <row r="81" spans="1:34" s="18" customFormat="1">
      <c r="A81" s="33" t="s">
        <v>40</v>
      </c>
      <c r="B81" s="33" t="s">
        <v>172</v>
      </c>
      <c r="C81" s="33" t="s">
        <v>93</v>
      </c>
      <c r="D81" s="49">
        <v>43115</v>
      </c>
      <c r="E81" s="34">
        <v>618.52</v>
      </c>
      <c r="F81" s="34">
        <v>569.79999999999995</v>
      </c>
      <c r="G81" s="31"/>
      <c r="H81" s="31"/>
      <c r="I81" s="34"/>
      <c r="J81" s="46">
        <f t="shared" si="39"/>
        <v>569.79999999999995</v>
      </c>
      <c r="K81" s="34"/>
      <c r="L81" s="60"/>
      <c r="M81" s="34"/>
      <c r="N81" s="34"/>
      <c r="O81" s="61"/>
      <c r="P81" s="61"/>
      <c r="Q81" s="34"/>
      <c r="R81" s="32"/>
      <c r="S81" s="32"/>
      <c r="T81" s="33"/>
      <c r="U81" s="33"/>
      <c r="V81" s="33"/>
      <c r="W81" s="46">
        <f t="shared" si="38"/>
        <v>569.79999999999995</v>
      </c>
      <c r="X81" s="32"/>
      <c r="Y81" s="46"/>
      <c r="Z81" s="32"/>
      <c r="AA81" s="32"/>
      <c r="AB81" s="32"/>
      <c r="AC81" s="46"/>
      <c r="AD81" s="50"/>
      <c r="AE81" s="51"/>
      <c r="AF81" s="47"/>
      <c r="AG81" s="35">
        <v>60598509182</v>
      </c>
      <c r="AH81" s="35"/>
    </row>
    <row r="82" spans="1:34" s="18" customFormat="1">
      <c r="A82" s="33" t="s">
        <v>38</v>
      </c>
      <c r="B82" s="33" t="s">
        <v>134</v>
      </c>
      <c r="C82" s="33" t="s">
        <v>41</v>
      </c>
      <c r="D82" s="49">
        <v>42716</v>
      </c>
      <c r="E82" s="34">
        <v>1200.01</v>
      </c>
      <c r="F82" s="34">
        <f>5896.874+5.571-461.01</f>
        <v>5441.4349999999995</v>
      </c>
      <c r="G82" s="31"/>
      <c r="H82" s="31"/>
      <c r="I82" s="34"/>
      <c r="J82" s="46">
        <f t="shared" si="39"/>
        <v>5441.4349999999995</v>
      </c>
      <c r="K82" s="34"/>
      <c r="L82" s="60"/>
      <c r="M82" s="34"/>
      <c r="N82" s="34"/>
      <c r="O82" s="61"/>
      <c r="P82" s="61"/>
      <c r="Q82" s="34"/>
      <c r="R82" s="32"/>
      <c r="S82" s="32"/>
      <c r="T82" s="33"/>
      <c r="U82" s="33"/>
      <c r="V82" s="33">
        <v>311.29000000000002</v>
      </c>
      <c r="W82" s="46">
        <f t="shared" si="38"/>
        <v>5130.1449999999995</v>
      </c>
      <c r="X82" s="32">
        <f t="shared" ref="X82" si="54">IF(J82&gt;2250,J82*0.1,0)</f>
        <v>544.14350000000002</v>
      </c>
      <c r="Y82" s="46">
        <f t="shared" ref="Y82" si="55">+W82-X82</f>
        <v>4586.0014999999994</v>
      </c>
      <c r="Z82" s="32"/>
      <c r="AA82" s="32"/>
      <c r="AB82" s="32">
        <f t="shared" si="51"/>
        <v>0</v>
      </c>
      <c r="AC82" s="46"/>
      <c r="AD82" s="50"/>
      <c r="AE82" s="51"/>
      <c r="AF82" s="47"/>
      <c r="AG82" s="35">
        <v>60589845501</v>
      </c>
      <c r="AH82" s="35"/>
    </row>
    <row r="83" spans="1:34" s="18" customFormat="1">
      <c r="A83" s="33" t="s">
        <v>40</v>
      </c>
      <c r="B83" s="33" t="s">
        <v>54</v>
      </c>
      <c r="C83" s="33" t="s">
        <v>95</v>
      </c>
      <c r="D83" s="49">
        <v>36868</v>
      </c>
      <c r="E83" s="34">
        <v>627.13</v>
      </c>
      <c r="F83" s="34">
        <f>1637+7.428</f>
        <v>1644.4280000000001</v>
      </c>
      <c r="G83" s="31"/>
      <c r="H83" s="31"/>
      <c r="I83" s="34"/>
      <c r="J83" s="46">
        <f t="shared" si="39"/>
        <v>1644.4280000000001</v>
      </c>
      <c r="K83" s="34"/>
      <c r="L83" s="60"/>
      <c r="M83" s="34"/>
      <c r="N83" s="34"/>
      <c r="O83" s="61" t="s">
        <v>121</v>
      </c>
      <c r="P83" s="61" t="s">
        <v>121</v>
      </c>
      <c r="Q83" s="34"/>
      <c r="R83" s="32"/>
      <c r="S83" s="32"/>
      <c r="T83" s="33"/>
      <c r="U83" s="33"/>
      <c r="V83" s="33"/>
      <c r="W83" s="46">
        <f t="shared" si="38"/>
        <v>1644.4280000000001</v>
      </c>
      <c r="X83" s="32">
        <f t="shared" si="48"/>
        <v>0</v>
      </c>
      <c r="Y83" s="46">
        <f t="shared" si="49"/>
        <v>1644.4280000000001</v>
      </c>
      <c r="Z83" s="32">
        <f t="shared" si="50"/>
        <v>164.44280000000003</v>
      </c>
      <c r="AA83" s="32">
        <v>10.23</v>
      </c>
      <c r="AB83" s="32" t="str">
        <f t="shared" si="51"/>
        <v>XX</v>
      </c>
      <c r="AC83" s="46" t="e">
        <f t="shared" si="52"/>
        <v>#VALUE!</v>
      </c>
      <c r="AD83" s="50"/>
      <c r="AE83" s="50"/>
      <c r="AF83" s="47">
        <f t="shared" si="53"/>
        <v>-1644.4280000000001</v>
      </c>
      <c r="AG83" s="35">
        <v>56708845911</v>
      </c>
      <c r="AH83" s="35"/>
    </row>
    <row r="84" spans="1:34" s="18" customFormat="1">
      <c r="A84" s="33" t="s">
        <v>38</v>
      </c>
      <c r="B84" s="33" t="s">
        <v>34</v>
      </c>
      <c r="C84" s="33" t="s">
        <v>41</v>
      </c>
      <c r="D84" s="49">
        <v>42129</v>
      </c>
      <c r="E84" s="34">
        <v>739.2</v>
      </c>
      <c r="F84" s="34">
        <f>6587.947+13.099</f>
        <v>6601.0460000000003</v>
      </c>
      <c r="G84" s="31"/>
      <c r="H84" s="31"/>
      <c r="I84" s="34"/>
      <c r="J84" s="46">
        <f t="shared" si="39"/>
        <v>6601.0460000000003</v>
      </c>
      <c r="K84" s="34"/>
      <c r="L84" s="60"/>
      <c r="M84" s="34"/>
      <c r="N84" s="34"/>
      <c r="O84" s="61"/>
      <c r="P84" s="61"/>
      <c r="Q84" s="34"/>
      <c r="R84" s="32"/>
      <c r="S84" s="32"/>
      <c r="T84" s="33"/>
      <c r="U84" s="33"/>
      <c r="V84" s="33">
        <v>1385.77</v>
      </c>
      <c r="W84" s="46">
        <f t="shared" si="38"/>
        <v>5215.2759999999998</v>
      </c>
      <c r="X84" s="32">
        <f t="shared" ref="X84" si="56">IF(J84&gt;2250,J84*0.1,0)</f>
        <v>660.10460000000012</v>
      </c>
      <c r="Y84" s="46">
        <f t="shared" ref="Y84" si="57">+W84-X84</f>
        <v>4555.1713999999993</v>
      </c>
      <c r="Z84" s="32">
        <f t="shared" si="50"/>
        <v>0</v>
      </c>
      <c r="AA84" s="32">
        <v>10.23</v>
      </c>
      <c r="AB84" s="32">
        <f t="shared" si="51"/>
        <v>0</v>
      </c>
      <c r="AC84" s="46">
        <f t="shared" si="52"/>
        <v>6611.2759999999998</v>
      </c>
      <c r="AD84" s="50"/>
      <c r="AE84" s="51"/>
      <c r="AF84" s="47">
        <f t="shared" si="53"/>
        <v>-4555.1713999999993</v>
      </c>
      <c r="AG84" s="35">
        <v>56708845939</v>
      </c>
      <c r="AH84" s="35"/>
    </row>
    <row r="85" spans="1:34" s="18" customFormat="1">
      <c r="A85" s="33" t="s">
        <v>40</v>
      </c>
      <c r="B85" s="33" t="s">
        <v>127</v>
      </c>
      <c r="C85" s="33" t="s">
        <v>126</v>
      </c>
      <c r="D85" s="49">
        <v>42912</v>
      </c>
      <c r="E85" s="34">
        <v>627.05999999999995</v>
      </c>
      <c r="F85" s="34">
        <f>1737.643+5.571</f>
        <v>1743.2139999999999</v>
      </c>
      <c r="G85" s="31"/>
      <c r="H85" s="31"/>
      <c r="I85" s="34"/>
      <c r="J85" s="46">
        <f t="shared" si="39"/>
        <v>1743.2139999999999</v>
      </c>
      <c r="K85" s="34"/>
      <c r="L85" s="60"/>
      <c r="M85" s="34"/>
      <c r="N85" s="34"/>
      <c r="O85" s="61" t="s">
        <v>121</v>
      </c>
      <c r="P85" s="61" t="s">
        <v>121</v>
      </c>
      <c r="Q85" s="34"/>
      <c r="R85" s="32"/>
      <c r="S85" s="32"/>
      <c r="T85" s="33"/>
      <c r="U85" s="33"/>
      <c r="V85" s="33"/>
      <c r="W85" s="46">
        <f t="shared" si="38"/>
        <v>1743.2139999999999</v>
      </c>
      <c r="X85" s="32"/>
      <c r="Y85" s="46"/>
      <c r="Z85" s="32"/>
      <c r="AA85" s="32"/>
      <c r="AB85" s="32"/>
      <c r="AC85" s="46"/>
      <c r="AD85" s="50"/>
      <c r="AE85" s="51"/>
      <c r="AF85" s="47"/>
      <c r="AG85" s="35">
        <v>60592585699</v>
      </c>
      <c r="AH85" s="35"/>
    </row>
    <row r="86" spans="1:34" s="18" customFormat="1">
      <c r="A86" s="33" t="s">
        <v>38</v>
      </c>
      <c r="B86" s="33" t="s">
        <v>71</v>
      </c>
      <c r="C86" s="33" t="s">
        <v>41</v>
      </c>
      <c r="D86" s="49">
        <v>42422</v>
      </c>
      <c r="E86" s="34">
        <v>739.2</v>
      </c>
      <c r="F86" s="34">
        <f>6287.989+13.099</f>
        <v>6301.0879999999997</v>
      </c>
      <c r="G86" s="31"/>
      <c r="H86" s="31"/>
      <c r="I86" s="34"/>
      <c r="J86" s="46">
        <f t="shared" si="39"/>
        <v>6301.0879999999997</v>
      </c>
      <c r="K86" s="34"/>
      <c r="L86" s="60"/>
      <c r="M86" s="34"/>
      <c r="N86" s="34"/>
      <c r="O86" s="61"/>
      <c r="P86" s="61"/>
      <c r="Q86" s="34"/>
      <c r="R86" s="32"/>
      <c r="S86" s="32"/>
      <c r="T86" s="33"/>
      <c r="U86" s="33"/>
      <c r="V86" s="33"/>
      <c r="W86" s="46">
        <f t="shared" si="38"/>
        <v>6301.0879999999997</v>
      </c>
      <c r="X86" s="32">
        <f t="shared" ref="X86" si="58">IF(J86&gt;2250,J86*0.1,0)</f>
        <v>630.10879999999997</v>
      </c>
      <c r="Y86" s="46">
        <f t="shared" ref="Y86" si="59">+W86-X86</f>
        <v>5670.9791999999998</v>
      </c>
      <c r="Z86" s="32">
        <f t="shared" si="50"/>
        <v>0</v>
      </c>
      <c r="AA86" s="32">
        <v>10.23</v>
      </c>
      <c r="AB86" s="32">
        <f t="shared" si="51"/>
        <v>0</v>
      </c>
      <c r="AC86" s="46">
        <f t="shared" si="52"/>
        <v>6311.3179999999993</v>
      </c>
      <c r="AD86" s="50"/>
      <c r="AE86" s="51"/>
      <c r="AF86" s="47">
        <f t="shared" si="53"/>
        <v>-5670.9791999999998</v>
      </c>
      <c r="AG86" s="35">
        <v>56708845942</v>
      </c>
      <c r="AH86" s="35"/>
    </row>
    <row r="87" spans="1:34" s="18" customFormat="1">
      <c r="A87" s="33" t="s">
        <v>40</v>
      </c>
      <c r="B87" s="33" t="s">
        <v>77</v>
      </c>
      <c r="C87" s="33" t="s">
        <v>96</v>
      </c>
      <c r="D87" s="49">
        <v>40576</v>
      </c>
      <c r="E87" s="34">
        <v>627.13</v>
      </c>
      <c r="F87" s="34">
        <f>4576.583+3.736</f>
        <v>4580.3189999999995</v>
      </c>
      <c r="G87" s="31"/>
      <c r="H87" s="31"/>
      <c r="I87" s="34"/>
      <c r="J87" s="46">
        <f t="shared" si="39"/>
        <v>4580.3189999999995</v>
      </c>
      <c r="K87" s="34"/>
      <c r="L87" s="60"/>
      <c r="M87" s="34"/>
      <c r="N87" s="34">
        <v>200</v>
      </c>
      <c r="O87" s="61" t="s">
        <v>121</v>
      </c>
      <c r="P87" s="61" t="s">
        <v>121</v>
      </c>
      <c r="Q87" s="34"/>
      <c r="R87" s="32"/>
      <c r="S87" s="32"/>
      <c r="T87" s="33"/>
      <c r="U87" s="33"/>
      <c r="V87" s="33">
        <v>1045.0999999999999</v>
      </c>
      <c r="W87" s="46">
        <f t="shared" si="38"/>
        <v>3335.2189999999996</v>
      </c>
      <c r="X87" s="32">
        <f t="shared" si="48"/>
        <v>458.03189999999995</v>
      </c>
      <c r="Y87" s="46">
        <f t="shared" si="49"/>
        <v>2877.1870999999996</v>
      </c>
      <c r="Z87" s="32">
        <f t="shared" si="50"/>
        <v>0</v>
      </c>
      <c r="AA87" s="32">
        <v>10.23</v>
      </c>
      <c r="AB87" s="32" t="str">
        <f t="shared" si="51"/>
        <v>XX</v>
      </c>
      <c r="AC87" s="46" t="e">
        <f t="shared" si="52"/>
        <v>#VALUE!</v>
      </c>
      <c r="AD87" s="50"/>
      <c r="AE87" s="51"/>
      <c r="AF87" s="47">
        <f t="shared" si="53"/>
        <v>-2877.1870999999996</v>
      </c>
      <c r="AG87" s="35">
        <v>56708881946</v>
      </c>
      <c r="AH87" s="35"/>
    </row>
    <row r="88" spans="1:34" s="18" customFormat="1">
      <c r="A88" s="33" t="s">
        <v>38</v>
      </c>
      <c r="B88" s="33" t="s">
        <v>152</v>
      </c>
      <c r="C88" s="33" t="s">
        <v>41</v>
      </c>
      <c r="D88" s="49">
        <v>42907</v>
      </c>
      <c r="E88" s="34">
        <v>738.99</v>
      </c>
      <c r="F88" s="34">
        <f>2998.25+5.571</f>
        <v>3003.8209999999999</v>
      </c>
      <c r="G88" s="31"/>
      <c r="H88" s="31"/>
      <c r="I88" s="34"/>
      <c r="J88" s="46">
        <f t="shared" si="39"/>
        <v>3003.8209999999999</v>
      </c>
      <c r="K88" s="34"/>
      <c r="L88" s="60"/>
      <c r="M88" s="34"/>
      <c r="N88" s="34"/>
      <c r="O88" s="61"/>
      <c r="P88" s="61"/>
      <c r="Q88" s="34"/>
      <c r="R88" s="32"/>
      <c r="S88" s="32"/>
      <c r="T88" s="33"/>
      <c r="U88" s="33"/>
      <c r="V88" s="33"/>
      <c r="W88" s="46">
        <f t="shared" si="38"/>
        <v>3003.8209999999999</v>
      </c>
      <c r="X88" s="32"/>
      <c r="Y88" s="46"/>
      <c r="Z88" s="32"/>
      <c r="AA88" s="32"/>
      <c r="AB88" s="32"/>
      <c r="AC88" s="46"/>
      <c r="AD88" s="50"/>
      <c r="AE88" s="51"/>
      <c r="AF88" s="47"/>
      <c r="AG88" s="35">
        <v>60592492890</v>
      </c>
      <c r="AH88" s="35"/>
    </row>
    <row r="89" spans="1:34" s="18" customFormat="1">
      <c r="A89" s="33" t="s">
        <v>40</v>
      </c>
      <c r="B89" s="33" t="s">
        <v>100</v>
      </c>
      <c r="C89" s="33" t="s">
        <v>146</v>
      </c>
      <c r="D89" s="49">
        <v>42635</v>
      </c>
      <c r="E89" s="34">
        <v>618.52</v>
      </c>
      <c r="F89" s="34">
        <v>2058.654</v>
      </c>
      <c r="G89" s="31"/>
      <c r="H89" s="31"/>
      <c r="I89" s="34"/>
      <c r="J89" s="46">
        <f t="shared" si="39"/>
        <v>2058.654</v>
      </c>
      <c r="K89" s="34"/>
      <c r="L89" s="60"/>
      <c r="M89" s="34"/>
      <c r="N89" s="34"/>
      <c r="O89" s="61" t="s">
        <v>121</v>
      </c>
      <c r="P89" s="61" t="s">
        <v>121</v>
      </c>
      <c r="Q89" s="34"/>
      <c r="R89" s="32"/>
      <c r="S89" s="32"/>
      <c r="T89" s="33"/>
      <c r="U89" s="33"/>
      <c r="V89" s="33"/>
      <c r="W89" s="46">
        <f t="shared" si="38"/>
        <v>2058.654</v>
      </c>
      <c r="X89" s="32">
        <f t="shared" ref="X89" si="60">IF(J89&gt;2250,J89*0.1,0)</f>
        <v>0</v>
      </c>
      <c r="Y89" s="46">
        <f t="shared" ref="Y89" si="61">+W89-X89</f>
        <v>2058.654</v>
      </c>
      <c r="Z89" s="32"/>
      <c r="AA89" s="32"/>
      <c r="AB89" s="32"/>
      <c r="AC89" s="46"/>
      <c r="AD89" s="50"/>
      <c r="AE89" s="51"/>
      <c r="AF89" s="47"/>
      <c r="AG89" s="35">
        <v>56708881608</v>
      </c>
      <c r="AH89" s="35"/>
    </row>
    <row r="90" spans="1:34" s="18" customFormat="1">
      <c r="A90" s="33" t="s">
        <v>40</v>
      </c>
      <c r="B90" s="33" t="s">
        <v>78</v>
      </c>
      <c r="C90" s="33" t="s">
        <v>96</v>
      </c>
      <c r="D90" s="49">
        <v>41703</v>
      </c>
      <c r="E90" s="34">
        <v>623.35</v>
      </c>
      <c r="F90" s="34">
        <v>1086.7</v>
      </c>
      <c r="G90" s="31"/>
      <c r="H90" s="31"/>
      <c r="I90" s="34"/>
      <c r="J90" s="46">
        <f t="shared" si="39"/>
        <v>1086.7</v>
      </c>
      <c r="K90" s="34"/>
      <c r="L90" s="60"/>
      <c r="M90" s="34"/>
      <c r="N90" s="34"/>
      <c r="O90" s="61" t="s">
        <v>121</v>
      </c>
      <c r="P90" s="61" t="s">
        <v>121</v>
      </c>
      <c r="Q90" s="34"/>
      <c r="R90" s="32"/>
      <c r="S90" s="32"/>
      <c r="T90" s="33"/>
      <c r="U90" s="33"/>
      <c r="V90" s="33"/>
      <c r="W90" s="46">
        <f t="shared" si="38"/>
        <v>1086.7</v>
      </c>
      <c r="X90" s="32">
        <f t="shared" si="48"/>
        <v>0</v>
      </c>
      <c r="Y90" s="46">
        <f t="shared" si="49"/>
        <v>1086.7</v>
      </c>
      <c r="Z90" s="32">
        <f t="shared" si="50"/>
        <v>108.67000000000002</v>
      </c>
      <c r="AA90" s="32">
        <v>10.23</v>
      </c>
      <c r="AB90" s="32" t="str">
        <f t="shared" si="51"/>
        <v>XX</v>
      </c>
      <c r="AC90" s="46" t="e">
        <f t="shared" si="52"/>
        <v>#VALUE!</v>
      </c>
      <c r="AD90" s="50"/>
      <c r="AE90" s="51"/>
      <c r="AF90" s="47">
        <f t="shared" si="53"/>
        <v>-1086.7</v>
      </c>
      <c r="AG90" s="35">
        <v>56708845973</v>
      </c>
      <c r="AH90" s="35"/>
    </row>
    <row r="91" spans="1:34" s="18" customFormat="1">
      <c r="A91" s="33" t="s">
        <v>40</v>
      </c>
      <c r="B91" s="33" t="s">
        <v>49</v>
      </c>
      <c r="C91" s="33" t="s">
        <v>96</v>
      </c>
      <c r="D91" s="49">
        <v>41291</v>
      </c>
      <c r="E91" s="34">
        <v>627.13</v>
      </c>
      <c r="F91" s="34">
        <f>4061.063+2.599</f>
        <v>4063.6620000000003</v>
      </c>
      <c r="G91" s="31"/>
      <c r="H91" s="31"/>
      <c r="I91" s="34">
        <v>2600.44</v>
      </c>
      <c r="J91" s="46">
        <f t="shared" si="39"/>
        <v>6664.1020000000008</v>
      </c>
      <c r="K91" s="34"/>
      <c r="L91" s="60"/>
      <c r="M91" s="34"/>
      <c r="N91" s="34">
        <v>200</v>
      </c>
      <c r="O91" s="61" t="s">
        <v>121</v>
      </c>
      <c r="P91" s="61" t="s">
        <v>121</v>
      </c>
      <c r="Q91" s="34"/>
      <c r="R91" s="32"/>
      <c r="S91" s="32"/>
      <c r="T91" s="33"/>
      <c r="U91" s="33"/>
      <c r="V91" s="33"/>
      <c r="W91" s="46">
        <f t="shared" si="38"/>
        <v>6464.1020000000008</v>
      </c>
      <c r="X91" s="32">
        <f t="shared" si="48"/>
        <v>666.41020000000015</v>
      </c>
      <c r="Y91" s="46">
        <f t="shared" si="49"/>
        <v>5797.6918000000005</v>
      </c>
      <c r="Z91" s="32">
        <f t="shared" si="50"/>
        <v>0</v>
      </c>
      <c r="AA91" s="32">
        <v>10.23</v>
      </c>
      <c r="AB91" s="32" t="str">
        <f t="shared" si="51"/>
        <v>XX</v>
      </c>
      <c r="AC91" s="46" t="e">
        <f t="shared" si="52"/>
        <v>#VALUE!</v>
      </c>
      <c r="AD91" s="50"/>
      <c r="AE91" s="51"/>
      <c r="AF91" s="47">
        <f t="shared" si="53"/>
        <v>-5797.6918000000005</v>
      </c>
      <c r="AG91" s="35">
        <v>56708881963</v>
      </c>
      <c r="AH91" s="35"/>
    </row>
    <row r="92" spans="1:34" s="18" customFormat="1">
      <c r="A92" s="33" t="s">
        <v>38</v>
      </c>
      <c r="B92" s="33" t="s">
        <v>56</v>
      </c>
      <c r="C92" s="33" t="s">
        <v>41</v>
      </c>
      <c r="D92" s="49">
        <v>41666</v>
      </c>
      <c r="E92" s="34">
        <v>739.2</v>
      </c>
      <c r="F92" s="34">
        <f>3607.01+7.428</f>
        <v>3614.4380000000001</v>
      </c>
      <c r="G92" s="31"/>
      <c r="H92" s="31"/>
      <c r="I92" s="34"/>
      <c r="J92" s="46">
        <f t="shared" si="39"/>
        <v>3614.4380000000001</v>
      </c>
      <c r="K92" s="34"/>
      <c r="L92" s="60"/>
      <c r="M92" s="34"/>
      <c r="N92" s="34">
        <v>200</v>
      </c>
      <c r="O92" s="61"/>
      <c r="P92" s="61"/>
      <c r="Q92" s="34"/>
      <c r="R92" s="32"/>
      <c r="S92" s="32"/>
      <c r="T92" s="33"/>
      <c r="U92" s="33"/>
      <c r="V92" s="33">
        <v>419.6</v>
      </c>
      <c r="W92" s="46">
        <f t="shared" si="38"/>
        <v>2994.8380000000002</v>
      </c>
      <c r="X92" s="32">
        <f t="shared" si="48"/>
        <v>361.44380000000001</v>
      </c>
      <c r="Y92" s="46">
        <f t="shared" si="49"/>
        <v>2633.3942000000002</v>
      </c>
      <c r="Z92" s="32">
        <f t="shared" si="50"/>
        <v>0</v>
      </c>
      <c r="AA92" s="32">
        <v>10.23</v>
      </c>
      <c r="AB92" s="32">
        <f t="shared" si="51"/>
        <v>0</v>
      </c>
      <c r="AC92" s="46">
        <f t="shared" si="52"/>
        <v>3624.6680000000001</v>
      </c>
      <c r="AD92" s="50"/>
      <c r="AE92" s="51"/>
      <c r="AF92" s="47">
        <f t="shared" si="53"/>
        <v>-2633.3942000000002</v>
      </c>
      <c r="AG92" s="35">
        <v>56708845990</v>
      </c>
      <c r="AH92" s="35"/>
    </row>
    <row r="93" spans="1:34" s="18" customFormat="1">
      <c r="A93" s="33" t="s">
        <v>38</v>
      </c>
      <c r="B93" s="33" t="s">
        <v>114</v>
      </c>
      <c r="C93" s="33" t="s">
        <v>41</v>
      </c>
      <c r="D93" s="49">
        <v>42809</v>
      </c>
      <c r="E93" s="34">
        <v>618.52</v>
      </c>
      <c r="F93" s="34">
        <f>5898.698+13.099</f>
        <v>5911.7970000000005</v>
      </c>
      <c r="G93" s="31"/>
      <c r="H93" s="31"/>
      <c r="I93" s="34"/>
      <c r="J93" s="46">
        <f t="shared" si="39"/>
        <v>5911.7970000000005</v>
      </c>
      <c r="K93" s="34"/>
      <c r="L93" s="60"/>
      <c r="M93" s="34"/>
      <c r="N93" s="34"/>
      <c r="O93" s="61"/>
      <c r="P93" s="61"/>
      <c r="Q93" s="34"/>
      <c r="R93" s="32"/>
      <c r="S93" s="32"/>
      <c r="T93" s="33"/>
      <c r="U93" s="33"/>
      <c r="V93" s="33"/>
      <c r="W93" s="46">
        <f t="shared" si="38"/>
        <v>5911.7970000000005</v>
      </c>
      <c r="X93" s="32"/>
      <c r="Y93" s="46"/>
      <c r="Z93" s="32"/>
      <c r="AA93" s="32"/>
      <c r="AB93" s="32"/>
      <c r="AC93" s="46"/>
      <c r="AD93" s="50"/>
      <c r="AE93" s="51"/>
      <c r="AF93" s="47"/>
      <c r="AG93" s="35">
        <v>60589597089</v>
      </c>
      <c r="AH93" s="35"/>
    </row>
    <row r="94" spans="1:34" s="18" customFormat="1">
      <c r="A94" s="33" t="s">
        <v>38</v>
      </c>
      <c r="B94" s="33" t="s">
        <v>157</v>
      </c>
      <c r="C94" s="33" t="s">
        <v>41</v>
      </c>
      <c r="D94" s="49">
        <v>43052</v>
      </c>
      <c r="E94" s="34">
        <v>638.96</v>
      </c>
      <c r="F94" s="34">
        <f>5274.218+13.099</f>
        <v>5287.317</v>
      </c>
      <c r="G94" s="31"/>
      <c r="H94" s="31"/>
      <c r="I94" s="34"/>
      <c r="J94" s="46">
        <f t="shared" si="39"/>
        <v>5287.317</v>
      </c>
      <c r="K94" s="34"/>
      <c r="L94" s="60"/>
      <c r="M94" s="34"/>
      <c r="N94" s="34"/>
      <c r="O94" s="61"/>
      <c r="P94" s="61"/>
      <c r="Q94" s="34"/>
      <c r="R94" s="32"/>
      <c r="S94" s="32"/>
      <c r="T94" s="33"/>
      <c r="U94" s="33"/>
      <c r="V94" s="33"/>
      <c r="W94" s="46">
        <f t="shared" si="38"/>
        <v>5287.317</v>
      </c>
      <c r="X94" s="32"/>
      <c r="Y94" s="46"/>
      <c r="Z94" s="32"/>
      <c r="AA94" s="32"/>
      <c r="AB94" s="32"/>
      <c r="AC94" s="46"/>
      <c r="AD94" s="50"/>
      <c r="AE94" s="51"/>
      <c r="AF94" s="47"/>
      <c r="AG94" s="35">
        <v>56714607256</v>
      </c>
      <c r="AH94" s="35"/>
    </row>
    <row r="95" spans="1:34" s="18" customFormat="1">
      <c r="A95" s="33" t="s">
        <v>40</v>
      </c>
      <c r="B95" s="33" t="s">
        <v>174</v>
      </c>
      <c r="C95" s="33" t="s">
        <v>93</v>
      </c>
      <c r="D95" s="49">
        <v>43117</v>
      </c>
      <c r="E95" s="34">
        <v>618.52</v>
      </c>
      <c r="F95" s="34">
        <v>687.7</v>
      </c>
      <c r="G95" s="31"/>
      <c r="H95" s="31"/>
      <c r="I95" s="34"/>
      <c r="J95" s="46">
        <f t="shared" si="39"/>
        <v>687.7</v>
      </c>
      <c r="K95" s="34"/>
      <c r="L95" s="60"/>
      <c r="M95" s="34"/>
      <c r="N95" s="34"/>
      <c r="O95" s="61" t="s">
        <v>121</v>
      </c>
      <c r="P95" s="61" t="s">
        <v>121</v>
      </c>
      <c r="Q95" s="34"/>
      <c r="R95" s="32"/>
      <c r="S95" s="32"/>
      <c r="T95" s="33"/>
      <c r="U95" s="33"/>
      <c r="V95" s="33"/>
      <c r="W95" s="46">
        <f t="shared" si="38"/>
        <v>687.7</v>
      </c>
      <c r="X95" s="32"/>
      <c r="Y95" s="46"/>
      <c r="Z95" s="32"/>
      <c r="AA95" s="32"/>
      <c r="AB95" s="32"/>
      <c r="AC95" s="46"/>
      <c r="AD95" s="50"/>
      <c r="AE95" s="51"/>
      <c r="AF95" s="47"/>
      <c r="AG95" s="35">
        <v>60598705779</v>
      </c>
      <c r="AH95" s="35"/>
    </row>
    <row r="96" spans="1:34" s="18" customFormat="1">
      <c r="A96" s="33" t="s">
        <v>40</v>
      </c>
      <c r="B96" s="33" t="s">
        <v>175</v>
      </c>
      <c r="C96" s="33" t="s">
        <v>93</v>
      </c>
      <c r="D96" s="49">
        <v>43117</v>
      </c>
      <c r="E96" s="34">
        <v>618.52</v>
      </c>
      <c r="F96" s="34">
        <v>988.5</v>
      </c>
      <c r="G96" s="31"/>
      <c r="H96" s="31"/>
      <c r="I96" s="34"/>
      <c r="J96" s="46">
        <f t="shared" si="39"/>
        <v>988.5</v>
      </c>
      <c r="K96" s="34"/>
      <c r="L96" s="60"/>
      <c r="M96" s="34"/>
      <c r="N96" s="34"/>
      <c r="O96" s="61" t="s">
        <v>121</v>
      </c>
      <c r="P96" s="61" t="s">
        <v>121</v>
      </c>
      <c r="Q96" s="34"/>
      <c r="R96" s="32"/>
      <c r="S96" s="32"/>
      <c r="T96" s="33"/>
      <c r="U96" s="33"/>
      <c r="V96" s="33"/>
      <c r="W96" s="46">
        <f t="shared" si="38"/>
        <v>988.5</v>
      </c>
      <c r="X96" s="32"/>
      <c r="Y96" s="46"/>
      <c r="Z96" s="32"/>
      <c r="AA96" s="32"/>
      <c r="AB96" s="32"/>
      <c r="AC96" s="46"/>
      <c r="AD96" s="50"/>
      <c r="AE96" s="51"/>
      <c r="AF96" s="47"/>
      <c r="AG96" s="35">
        <v>60598704895</v>
      </c>
      <c r="AH96" s="35"/>
    </row>
    <row r="97" spans="1:34" s="18" customFormat="1">
      <c r="A97" s="33" t="s">
        <v>40</v>
      </c>
      <c r="B97" s="33" t="s">
        <v>107</v>
      </c>
      <c r="C97" s="33" t="s">
        <v>93</v>
      </c>
      <c r="D97" s="49">
        <v>42752</v>
      </c>
      <c r="E97" s="34">
        <v>618.52</v>
      </c>
      <c r="F97" s="34">
        <f>2350.718+5.571</f>
        <v>2356.2889999999998</v>
      </c>
      <c r="G97" s="31"/>
      <c r="H97" s="31"/>
      <c r="I97" s="34"/>
      <c r="J97" s="46">
        <f t="shared" si="39"/>
        <v>2356.2889999999998</v>
      </c>
      <c r="K97" s="34"/>
      <c r="L97" s="60"/>
      <c r="M97" s="34"/>
      <c r="N97" s="34"/>
      <c r="O97" s="61" t="s">
        <v>121</v>
      </c>
      <c r="P97" s="61" t="s">
        <v>121</v>
      </c>
      <c r="Q97" s="34"/>
      <c r="R97" s="32"/>
      <c r="S97" s="32"/>
      <c r="T97" s="33"/>
      <c r="U97" s="33"/>
      <c r="V97" s="33"/>
      <c r="W97" s="46">
        <f t="shared" ref="W97:W102" si="62">+J97-SUM(K97:V97)</f>
        <v>2356.2889999999998</v>
      </c>
      <c r="X97" s="32">
        <f t="shared" ref="X97" si="63">IF(J97&gt;2250,J97*0.1,0)</f>
        <v>235.62889999999999</v>
      </c>
      <c r="Y97" s="46">
        <f t="shared" ref="Y97" si="64">+W97-X97</f>
        <v>2120.6600999999996</v>
      </c>
      <c r="Z97" s="32"/>
      <c r="AA97" s="32"/>
      <c r="AB97" s="32"/>
      <c r="AC97" s="46"/>
      <c r="AD97" s="50"/>
      <c r="AE97" s="51"/>
      <c r="AF97" s="47"/>
      <c r="AG97" s="35">
        <v>60589634536</v>
      </c>
      <c r="AH97" s="35"/>
    </row>
    <row r="98" spans="1:34" s="18" customFormat="1">
      <c r="A98" s="33" t="s">
        <v>40</v>
      </c>
      <c r="B98" s="33" t="s">
        <v>92</v>
      </c>
      <c r="C98" s="33" t="s">
        <v>95</v>
      </c>
      <c r="D98" s="49">
        <v>29733</v>
      </c>
      <c r="E98" s="34">
        <v>627.13</v>
      </c>
      <c r="F98" s="34">
        <f>5817.898+3.714</f>
        <v>5821.6120000000001</v>
      </c>
      <c r="G98" s="31"/>
      <c r="H98" s="31"/>
      <c r="I98" s="34"/>
      <c r="J98" s="46">
        <f t="shared" si="39"/>
        <v>5821.6120000000001</v>
      </c>
      <c r="K98" s="34"/>
      <c r="L98" s="60"/>
      <c r="M98" s="34"/>
      <c r="N98" s="34">
        <v>150</v>
      </c>
      <c r="O98" s="61" t="s">
        <v>121</v>
      </c>
      <c r="P98" s="61" t="s">
        <v>121</v>
      </c>
      <c r="Q98" s="34"/>
      <c r="R98" s="32"/>
      <c r="S98" s="32"/>
      <c r="T98" s="33"/>
      <c r="U98" s="33"/>
      <c r="V98" s="33"/>
      <c r="W98" s="46">
        <f t="shared" si="62"/>
        <v>5671.6120000000001</v>
      </c>
      <c r="X98" s="32">
        <f t="shared" si="48"/>
        <v>582.16120000000001</v>
      </c>
      <c r="Y98" s="46">
        <f t="shared" si="49"/>
        <v>5089.4508000000005</v>
      </c>
      <c r="Z98" s="32">
        <f t="shared" si="50"/>
        <v>0</v>
      </c>
      <c r="AA98" s="32">
        <v>10.23</v>
      </c>
      <c r="AB98" s="32" t="str">
        <f t="shared" si="51"/>
        <v>XX</v>
      </c>
      <c r="AC98" s="46" t="e">
        <f t="shared" si="52"/>
        <v>#VALUE!</v>
      </c>
      <c r="AD98" s="50"/>
      <c r="AE98" s="51"/>
      <c r="AF98" s="47">
        <f t="shared" si="53"/>
        <v>-5089.4508000000005</v>
      </c>
      <c r="AG98" s="35">
        <v>60589747903</v>
      </c>
      <c r="AH98" s="35"/>
    </row>
    <row r="99" spans="1:34" s="18" customFormat="1">
      <c r="A99" s="33" t="s">
        <v>38</v>
      </c>
      <c r="B99" s="33" t="s">
        <v>153</v>
      </c>
      <c r="C99" s="33" t="s">
        <v>154</v>
      </c>
      <c r="D99" s="49">
        <v>43026</v>
      </c>
      <c r="E99" s="34">
        <v>638.96</v>
      </c>
      <c r="F99" s="34">
        <f>5147.123+7.428</f>
        <v>5154.5509999999995</v>
      </c>
      <c r="G99" s="34"/>
      <c r="H99" s="31"/>
      <c r="I99" s="34"/>
      <c r="J99" s="46">
        <f t="shared" si="39"/>
        <v>5154.5509999999995</v>
      </c>
      <c r="K99" s="34"/>
      <c r="L99" s="60"/>
      <c r="M99" s="34"/>
      <c r="N99" s="34"/>
      <c r="O99" s="61"/>
      <c r="P99" s="61"/>
      <c r="Q99" s="34"/>
      <c r="R99" s="32"/>
      <c r="S99" s="32"/>
      <c r="T99" s="33"/>
      <c r="U99" s="33"/>
      <c r="V99" s="33">
        <v>566.85</v>
      </c>
      <c r="W99" s="46">
        <f t="shared" si="62"/>
        <v>4587.7009999999991</v>
      </c>
      <c r="X99" s="32"/>
      <c r="Y99" s="46"/>
      <c r="Z99" s="32"/>
      <c r="AA99" s="32"/>
      <c r="AB99" s="32"/>
      <c r="AC99" s="46"/>
      <c r="AD99" s="50"/>
      <c r="AE99" s="51"/>
      <c r="AF99" s="47"/>
      <c r="AG99" s="35">
        <v>60578682154</v>
      </c>
      <c r="AH99" s="35"/>
    </row>
    <row r="100" spans="1:34" s="18" customFormat="1">
      <c r="A100" s="33" t="s">
        <v>38</v>
      </c>
      <c r="B100" s="33" t="s">
        <v>55</v>
      </c>
      <c r="C100" s="33" t="s">
        <v>41</v>
      </c>
      <c r="D100" s="49">
        <v>41549</v>
      </c>
      <c r="E100" s="34">
        <v>739.2</v>
      </c>
      <c r="F100" s="34">
        <f>6412.589+13.099</f>
        <v>6425.6880000000001</v>
      </c>
      <c r="G100" s="34"/>
      <c r="H100" s="34"/>
      <c r="I100" s="34"/>
      <c r="J100" s="46">
        <f t="shared" si="39"/>
        <v>6425.6880000000001</v>
      </c>
      <c r="K100" s="34"/>
      <c r="L100" s="60"/>
      <c r="M100" s="34"/>
      <c r="N100" s="34">
        <v>500</v>
      </c>
      <c r="O100" s="61"/>
      <c r="P100" s="61"/>
      <c r="Q100" s="34"/>
      <c r="R100" s="32"/>
      <c r="S100" s="32"/>
      <c r="T100" s="33"/>
      <c r="U100" s="33"/>
      <c r="V100" s="33"/>
      <c r="W100" s="46">
        <f t="shared" si="62"/>
        <v>5925.6880000000001</v>
      </c>
      <c r="X100" s="32">
        <f>IF(J100&gt;2250,J100*0.1,0)</f>
        <v>642.56880000000001</v>
      </c>
      <c r="Y100" s="46">
        <f>+W100-X100</f>
        <v>5283.1192000000001</v>
      </c>
      <c r="Z100" s="32">
        <f>IF(J100&lt;2250,J100*0.1,0)</f>
        <v>0</v>
      </c>
      <c r="AA100" s="32">
        <v>10.23</v>
      </c>
      <c r="AB100" s="32">
        <f>+O100</f>
        <v>0</v>
      </c>
      <c r="AC100" s="46">
        <f>+J100+Z100+AA100+AB100</f>
        <v>6435.9179999999997</v>
      </c>
      <c r="AD100" s="50"/>
      <c r="AE100" s="51"/>
      <c r="AF100" s="47">
        <f>+AD100+AE100-Y100</f>
        <v>-5283.1192000000001</v>
      </c>
      <c r="AG100" s="35">
        <v>56708846050</v>
      </c>
      <c r="AH100" s="35"/>
    </row>
    <row r="101" spans="1:34" s="18" customFormat="1">
      <c r="A101" s="33" t="s">
        <v>38</v>
      </c>
      <c r="B101" s="33" t="s">
        <v>165</v>
      </c>
      <c r="C101" s="33" t="s">
        <v>164</v>
      </c>
      <c r="D101" s="49">
        <v>43069</v>
      </c>
      <c r="E101" s="34">
        <v>1199.94</v>
      </c>
      <c r="F101" s="34">
        <v>0</v>
      </c>
      <c r="G101" s="34"/>
      <c r="H101" s="34"/>
      <c r="I101" s="34"/>
      <c r="J101" s="46">
        <f t="shared" si="39"/>
        <v>0</v>
      </c>
      <c r="K101" s="34"/>
      <c r="L101" s="60"/>
      <c r="M101" s="34"/>
      <c r="N101" s="34"/>
      <c r="O101" s="61"/>
      <c r="P101" s="61"/>
      <c r="Q101" s="34"/>
      <c r="R101" s="32"/>
      <c r="S101" s="32"/>
      <c r="T101" s="33"/>
      <c r="U101" s="33"/>
      <c r="V101" s="33"/>
      <c r="W101" s="46">
        <f t="shared" si="62"/>
        <v>0</v>
      </c>
      <c r="X101" s="32"/>
      <c r="Y101" s="46"/>
      <c r="Z101" s="32"/>
      <c r="AA101" s="32"/>
      <c r="AB101" s="32"/>
      <c r="AC101" s="46"/>
      <c r="AD101" s="50"/>
      <c r="AE101" s="51"/>
      <c r="AF101" s="47"/>
      <c r="AG101" s="35">
        <v>60597522863</v>
      </c>
      <c r="AH101" s="35"/>
    </row>
    <row r="102" spans="1:34" s="18" customFormat="1">
      <c r="A102" s="33" t="s">
        <v>38</v>
      </c>
      <c r="B102" s="33" t="s">
        <v>169</v>
      </c>
      <c r="C102" s="33" t="s">
        <v>170</v>
      </c>
      <c r="D102" s="49">
        <v>43115</v>
      </c>
      <c r="E102" s="34">
        <v>729.19</v>
      </c>
      <c r="F102" s="34">
        <v>2489.6979999999999</v>
      </c>
      <c r="G102" s="34"/>
      <c r="H102" s="34"/>
      <c r="I102" s="34"/>
      <c r="J102" s="46">
        <f t="shared" si="39"/>
        <v>2489.6979999999999</v>
      </c>
      <c r="K102" s="34"/>
      <c r="L102" s="60"/>
      <c r="M102" s="34"/>
      <c r="N102" s="34"/>
      <c r="O102" s="61"/>
      <c r="P102" s="61"/>
      <c r="Q102" s="34"/>
      <c r="R102" s="32"/>
      <c r="S102" s="32"/>
      <c r="T102" s="33"/>
      <c r="U102" s="33"/>
      <c r="V102" s="33">
        <v>733</v>
      </c>
      <c r="W102" s="46">
        <f t="shared" si="62"/>
        <v>1756.6979999999999</v>
      </c>
      <c r="X102" s="32"/>
      <c r="Y102" s="46"/>
      <c r="Z102" s="32"/>
      <c r="AA102" s="32"/>
      <c r="AB102" s="32"/>
      <c r="AC102" s="46"/>
      <c r="AD102" s="50"/>
      <c r="AE102" s="51"/>
      <c r="AF102" s="47"/>
      <c r="AG102" s="35">
        <v>56716836770</v>
      </c>
      <c r="AH102" s="35"/>
    </row>
    <row r="103" spans="1:34">
      <c r="A103" s="28"/>
      <c r="B103" s="33"/>
      <c r="C103" s="28"/>
      <c r="D103" s="59"/>
      <c r="E103" s="59"/>
      <c r="F103" s="30"/>
      <c r="G103" s="30"/>
      <c r="H103" s="30"/>
      <c r="I103" s="30"/>
      <c r="J103" s="46">
        <f t="shared" si="39"/>
        <v>0</v>
      </c>
      <c r="K103" s="34"/>
      <c r="L103" s="34"/>
      <c r="M103" s="34"/>
      <c r="N103" s="34"/>
      <c r="O103" s="34"/>
      <c r="P103" s="34"/>
      <c r="Q103" s="34"/>
      <c r="R103" s="32"/>
      <c r="S103" s="32"/>
      <c r="T103" s="32"/>
      <c r="U103" s="32"/>
      <c r="V103" s="32"/>
      <c r="W103" s="46"/>
      <c r="X103" s="32"/>
      <c r="Y103" s="46"/>
      <c r="Z103" s="54"/>
      <c r="AA103" s="54"/>
      <c r="AB103" s="54"/>
      <c r="AC103" s="53"/>
      <c r="AD103" s="44"/>
      <c r="AE103" s="44"/>
      <c r="AF103" s="39"/>
      <c r="AG103" s="28"/>
      <c r="AH103" s="28"/>
    </row>
    <row r="104" spans="1:34">
      <c r="A104" s="28"/>
      <c r="B104" s="35" t="s">
        <v>110</v>
      </c>
      <c r="C104" s="28"/>
      <c r="D104" s="59"/>
      <c r="E104" s="38">
        <f t="shared" ref="E104:W104" si="65">SUM(E62:E102)</f>
        <v>27928.81</v>
      </c>
      <c r="F104" s="38">
        <f t="shared" si="65"/>
        <v>140450.82299999997</v>
      </c>
      <c r="G104" s="38">
        <f t="shared" si="65"/>
        <v>0</v>
      </c>
      <c r="H104" s="38">
        <f t="shared" si="65"/>
        <v>0</v>
      </c>
      <c r="I104" s="38">
        <f t="shared" si="65"/>
        <v>2600.44</v>
      </c>
      <c r="J104" s="38">
        <f t="shared" si="65"/>
        <v>143051.26299999998</v>
      </c>
      <c r="K104" s="38">
        <f t="shared" si="65"/>
        <v>0</v>
      </c>
      <c r="L104" s="38">
        <f t="shared" si="65"/>
        <v>0</v>
      </c>
      <c r="M104" s="38">
        <f t="shared" si="65"/>
        <v>0</v>
      </c>
      <c r="N104" s="38">
        <f t="shared" si="65"/>
        <v>3900</v>
      </c>
      <c r="O104" s="38">
        <f t="shared" si="65"/>
        <v>0</v>
      </c>
      <c r="P104" s="38">
        <f t="shared" si="65"/>
        <v>0</v>
      </c>
      <c r="Q104" s="38">
        <f t="shared" si="65"/>
        <v>0</v>
      </c>
      <c r="R104" s="38">
        <f t="shared" si="65"/>
        <v>0</v>
      </c>
      <c r="S104" s="38">
        <f t="shared" si="65"/>
        <v>0</v>
      </c>
      <c r="T104" s="38">
        <f t="shared" si="65"/>
        <v>0</v>
      </c>
      <c r="U104" s="38">
        <f t="shared" si="65"/>
        <v>0</v>
      </c>
      <c r="V104" s="38">
        <f t="shared" si="65"/>
        <v>5582.58</v>
      </c>
      <c r="W104" s="38">
        <f t="shared" si="65"/>
        <v>133568.68299999999</v>
      </c>
      <c r="X104" s="38">
        <f>SUM(X63:X100)</f>
        <v>8900.0107500000013</v>
      </c>
      <c r="Y104" s="38">
        <f>SUM(Y63:Y100)</f>
        <v>78527.901800000007</v>
      </c>
      <c r="Z104" s="54"/>
      <c r="AA104" s="54"/>
      <c r="AB104" s="54"/>
      <c r="AC104" s="53"/>
      <c r="AD104" s="44"/>
      <c r="AE104" s="44"/>
      <c r="AF104" s="39"/>
      <c r="AG104" s="28"/>
      <c r="AH104" s="28"/>
    </row>
    <row r="105" spans="1:34">
      <c r="B105" s="20"/>
      <c r="AC105" s="14" t="e">
        <f>+#REF!*0.16</f>
        <v>#REF!</v>
      </c>
    </row>
    <row r="109" spans="1:34" ht="23.25">
      <c r="A109" s="103" t="s">
        <v>25</v>
      </c>
      <c r="B109" s="103"/>
    </row>
    <row r="110" spans="1:34" s="18" customFormat="1" ht="15.75">
      <c r="A110" s="64" t="s">
        <v>39</v>
      </c>
      <c r="B110" s="64" t="s">
        <v>102</v>
      </c>
      <c r="C110" s="64" t="s">
        <v>43</v>
      </c>
      <c r="D110" s="49">
        <v>42199</v>
      </c>
      <c r="E110" s="34">
        <v>1633</v>
      </c>
      <c r="F110" s="34">
        <v>1633</v>
      </c>
      <c r="G110" s="34"/>
      <c r="H110" s="34"/>
      <c r="I110" s="34"/>
      <c r="J110" s="46">
        <f t="shared" ref="J110:J114" si="66">SUM(F110:I110)</f>
        <v>1633</v>
      </c>
      <c r="K110" s="34"/>
      <c r="L110" s="60"/>
      <c r="M110" s="34"/>
      <c r="N110" s="34">
        <v>150</v>
      </c>
      <c r="O110" s="61"/>
      <c r="P110" s="61"/>
      <c r="Q110" s="34"/>
      <c r="R110" s="32"/>
      <c r="S110" s="62"/>
      <c r="T110" s="33"/>
      <c r="U110" s="33"/>
      <c r="V110" s="57"/>
      <c r="W110" s="46">
        <f t="shared" ref="W110:W114" si="67">+J110-SUM(K110:V110)</f>
        <v>1483</v>
      </c>
      <c r="X110" s="32">
        <v>0</v>
      </c>
      <c r="Y110" s="46">
        <v>-150</v>
      </c>
      <c r="Z110" s="32"/>
      <c r="AA110" s="32"/>
      <c r="AB110" s="32"/>
      <c r="AC110" s="46"/>
      <c r="AD110" s="52"/>
      <c r="AE110" s="50"/>
      <c r="AF110" s="47"/>
      <c r="AG110" s="33">
        <v>60590405464</v>
      </c>
      <c r="AH110" s="65"/>
    </row>
    <row r="111" spans="1:34">
      <c r="A111" s="64" t="s">
        <v>37</v>
      </c>
      <c r="B111" s="64" t="s">
        <v>97</v>
      </c>
      <c r="C111" s="64" t="s">
        <v>43</v>
      </c>
      <c r="D111" s="49">
        <v>34275</v>
      </c>
      <c r="E111" s="34">
        <v>1633</v>
      </c>
      <c r="F111" s="34">
        <v>1633</v>
      </c>
      <c r="G111" s="34"/>
      <c r="H111" s="34"/>
      <c r="I111" s="34"/>
      <c r="J111" s="46">
        <f t="shared" si="66"/>
        <v>1633</v>
      </c>
      <c r="K111" s="34"/>
      <c r="L111" s="60"/>
      <c r="M111" s="34"/>
      <c r="N111" s="34"/>
      <c r="O111" s="61"/>
      <c r="P111" s="61"/>
      <c r="Q111" s="34"/>
      <c r="R111" s="32"/>
      <c r="S111" s="32"/>
      <c r="T111" s="33"/>
      <c r="U111" s="33"/>
      <c r="V111" s="33"/>
      <c r="W111" s="46">
        <f t="shared" si="67"/>
        <v>1633</v>
      </c>
      <c r="X111" s="32">
        <v>0</v>
      </c>
      <c r="Y111" s="46">
        <v>0</v>
      </c>
      <c r="Z111" s="54"/>
      <c r="AA111" s="54"/>
      <c r="AB111" s="54"/>
      <c r="AC111" s="53"/>
      <c r="AD111" s="44"/>
      <c r="AE111" s="44"/>
      <c r="AF111" s="39"/>
      <c r="AG111" s="28">
        <v>60590317373</v>
      </c>
      <c r="AH111" s="65"/>
    </row>
    <row r="112" spans="1:34">
      <c r="A112" s="64" t="s">
        <v>39</v>
      </c>
      <c r="B112" s="64" t="s">
        <v>108</v>
      </c>
      <c r="C112" s="64" t="s">
        <v>109</v>
      </c>
      <c r="D112" s="49">
        <v>38825</v>
      </c>
      <c r="E112" s="34">
        <v>2100</v>
      </c>
      <c r="F112" s="34"/>
      <c r="G112" s="34"/>
      <c r="H112" s="34"/>
      <c r="I112" s="34"/>
      <c r="J112" s="46">
        <f t="shared" si="66"/>
        <v>0</v>
      </c>
      <c r="K112" s="34"/>
      <c r="L112" s="60"/>
      <c r="M112" s="34"/>
      <c r="N112" s="34"/>
      <c r="O112" s="61"/>
      <c r="P112" s="61"/>
      <c r="Q112" s="34"/>
      <c r="R112" s="32"/>
      <c r="S112" s="32"/>
      <c r="T112" s="33"/>
      <c r="U112" s="33"/>
      <c r="V112" s="33"/>
      <c r="W112" s="46">
        <f t="shared" si="67"/>
        <v>0</v>
      </c>
      <c r="X112" s="32"/>
      <c r="Y112" s="46"/>
      <c r="Z112" s="54"/>
      <c r="AA112" s="54"/>
      <c r="AB112" s="54"/>
      <c r="AC112" s="53"/>
      <c r="AD112" s="44"/>
      <c r="AE112" s="44"/>
      <c r="AF112" s="39"/>
      <c r="AG112" s="28">
        <v>56708845376</v>
      </c>
      <c r="AH112" s="65"/>
    </row>
    <row r="113" spans="1:34">
      <c r="A113" s="64" t="s">
        <v>37</v>
      </c>
      <c r="B113" s="64" t="s">
        <v>99</v>
      </c>
      <c r="C113" s="64" t="s">
        <v>98</v>
      </c>
      <c r="D113" s="49">
        <v>42809</v>
      </c>
      <c r="E113" s="34">
        <v>937.5</v>
      </c>
      <c r="F113" s="34"/>
      <c r="G113" s="34"/>
      <c r="H113" s="34"/>
      <c r="I113" s="34"/>
      <c r="J113" s="46">
        <f t="shared" si="66"/>
        <v>0</v>
      </c>
      <c r="K113" s="34"/>
      <c r="L113" s="60"/>
      <c r="M113" s="34"/>
      <c r="N113" s="34"/>
      <c r="O113" s="61"/>
      <c r="P113" s="61"/>
      <c r="Q113" s="34"/>
      <c r="R113" s="32"/>
      <c r="S113" s="32"/>
      <c r="T113" s="33"/>
      <c r="U113" s="33"/>
      <c r="V113" s="33"/>
      <c r="W113" s="46">
        <f t="shared" si="67"/>
        <v>0</v>
      </c>
      <c r="X113" s="32"/>
      <c r="Y113" s="46"/>
      <c r="Z113" s="54"/>
      <c r="AA113" s="54"/>
      <c r="AB113" s="54"/>
      <c r="AC113" s="53"/>
      <c r="AD113" s="44"/>
      <c r="AE113" s="44"/>
      <c r="AF113" s="39"/>
      <c r="AG113" s="28">
        <v>60590314454</v>
      </c>
      <c r="AH113" s="65"/>
    </row>
    <row r="114" spans="1:34">
      <c r="A114" s="64" t="s">
        <v>39</v>
      </c>
      <c r="B114" s="64" t="s">
        <v>142</v>
      </c>
      <c r="C114" s="64" t="s">
        <v>143</v>
      </c>
      <c r="D114" s="49">
        <v>40147</v>
      </c>
      <c r="E114" s="34">
        <v>1900</v>
      </c>
      <c r="F114" s="34"/>
      <c r="G114" s="34"/>
      <c r="H114" s="34"/>
      <c r="I114" s="34"/>
      <c r="J114" s="46">
        <f t="shared" si="66"/>
        <v>0</v>
      </c>
      <c r="K114" s="34"/>
      <c r="L114" s="60"/>
      <c r="M114" s="34"/>
      <c r="N114" s="34"/>
      <c r="O114" s="61"/>
      <c r="P114" s="61"/>
      <c r="Q114" s="34"/>
      <c r="R114" s="32"/>
      <c r="S114" s="32"/>
      <c r="T114" s="33"/>
      <c r="U114" s="33"/>
      <c r="V114" s="33"/>
      <c r="W114" s="46">
        <f t="shared" si="67"/>
        <v>0</v>
      </c>
      <c r="X114" s="32"/>
      <c r="Y114" s="46"/>
      <c r="Z114" s="54"/>
      <c r="AA114" s="54"/>
      <c r="AB114" s="54"/>
      <c r="AC114" s="53"/>
      <c r="AD114" s="44"/>
      <c r="AE114" s="44"/>
      <c r="AF114" s="39"/>
      <c r="AG114" s="28">
        <v>60590324373</v>
      </c>
      <c r="AH114" s="65"/>
    </row>
    <row r="118" spans="1:34">
      <c r="A118" s="19" t="s">
        <v>17</v>
      </c>
      <c r="B118" s="13"/>
    </row>
    <row r="119" spans="1:34">
      <c r="A119" s="19" t="s">
        <v>18</v>
      </c>
      <c r="B119" s="13"/>
    </row>
    <row r="120" spans="1:34">
      <c r="A120" s="19" t="s">
        <v>19</v>
      </c>
      <c r="B120" s="13"/>
    </row>
    <row r="121" spans="1:34">
      <c r="A121" s="19" t="s">
        <v>20</v>
      </c>
      <c r="B121" s="13"/>
    </row>
    <row r="122" spans="1:34">
      <c r="A122" s="19" t="s">
        <v>21</v>
      </c>
      <c r="B122" s="13"/>
    </row>
    <row r="123" spans="1:34">
      <c r="A123" s="19" t="s">
        <v>22</v>
      </c>
      <c r="B123" s="13"/>
    </row>
    <row r="127" spans="1:34">
      <c r="B127" s="17"/>
    </row>
    <row r="128" spans="1:34">
      <c r="B128" s="17"/>
    </row>
    <row r="129" spans="2:2">
      <c r="B129" s="17"/>
    </row>
  </sheetData>
  <sheetProtection selectLockedCells="1" selectUnlockedCells="1"/>
  <autoFilter ref="A5:AH57">
    <filterColumn colId="29" showButton="0"/>
    <sortState ref="A8:AH99">
      <sortCondition ref="B5:B99"/>
    </sortState>
  </autoFilter>
  <mergeCells count="34">
    <mergeCell ref="A109:B109"/>
    <mergeCell ref="F5:F6"/>
    <mergeCell ref="A5:A6"/>
    <mergeCell ref="B5:B6"/>
    <mergeCell ref="C5:C6"/>
    <mergeCell ref="D5:D6"/>
    <mergeCell ref="E5:E6"/>
    <mergeCell ref="A61:B61"/>
    <mergeCell ref="G5:G6"/>
    <mergeCell ref="S5:S6"/>
    <mergeCell ref="Q5:Q6"/>
    <mergeCell ref="R5:R6"/>
    <mergeCell ref="L5:L6"/>
    <mergeCell ref="M5:M6"/>
    <mergeCell ref="H5:H6"/>
    <mergeCell ref="I5:I6"/>
    <mergeCell ref="J5:J6"/>
    <mergeCell ref="K5:K6"/>
    <mergeCell ref="N5:N6"/>
    <mergeCell ref="AH5:AH6"/>
    <mergeCell ref="T5:T6"/>
    <mergeCell ref="O5:O6"/>
    <mergeCell ref="P5:P6"/>
    <mergeCell ref="U5:U6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</mergeCells>
  <pageMargins left="0.32708333333333334" right="8.4027777777777785E-2" top="0.29097222222222224" bottom="0.35277777777777775" header="2.5694444444444443E-2" footer="8.7499999999999994E-2"/>
  <pageSetup scale="22" orientation="landscape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/>
  </sheetViews>
  <sheetFormatPr baseColWidth="10" defaultRowHeight="12.75"/>
  <sheetData>
    <row r="3" ht="15" customHeight="1"/>
    <row r="4" ht="1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2018-02-02T17:10:54Z</cp:lastPrinted>
  <dcterms:created xsi:type="dcterms:W3CDTF">2015-07-23T15:19:36Z</dcterms:created>
  <dcterms:modified xsi:type="dcterms:W3CDTF">2018-03-02T16:58:47Z</dcterms:modified>
</cp:coreProperties>
</file>