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2" sheetId="6" r:id="rId2"/>
  </sheets>
  <definedNames>
    <definedName name="_xlnm._FilterDatabase" localSheetId="0" hidden="1">'FORMATO NOMINA'!$A$5:$AH$60</definedName>
  </definedNames>
  <calcPr calcId="145621"/>
  <fileRecoveryPr repairLoad="1"/>
</workbook>
</file>

<file path=xl/calcChain.xml><?xml version="1.0" encoding="utf-8"?>
<calcChain xmlns="http://schemas.openxmlformats.org/spreadsheetml/2006/main">
  <c r="AB50" i="4" l="1"/>
  <c r="J50" i="4"/>
  <c r="W50" i="4" s="1"/>
  <c r="X50" i="4" l="1"/>
  <c r="Y50" i="4" s="1"/>
  <c r="AF50" i="4" s="1"/>
  <c r="Z50" i="4"/>
  <c r="AC50" i="4" s="1"/>
  <c r="F68" i="4" l="1"/>
  <c r="F92" i="4"/>
  <c r="F94" i="4"/>
  <c r="F85" i="4"/>
  <c r="F83" i="4"/>
  <c r="F108" i="4"/>
  <c r="F100" i="4"/>
  <c r="F101" i="4"/>
  <c r="F74" i="4"/>
  <c r="F77" i="4"/>
  <c r="F73" i="4"/>
  <c r="F95" i="4"/>
  <c r="F75" i="4"/>
  <c r="F105" i="4"/>
  <c r="F70" i="4"/>
  <c r="F106" i="4"/>
  <c r="F90" i="4"/>
  <c r="F67" i="4"/>
  <c r="F102" i="4"/>
  <c r="F107" i="4"/>
  <c r="F84" i="4"/>
  <c r="F93" i="4"/>
  <c r="F96" i="4"/>
  <c r="F99" i="4"/>
  <c r="F79" i="4"/>
  <c r="F88" i="4"/>
  <c r="F76" i="4"/>
  <c r="F82" i="4"/>
  <c r="F66" i="4"/>
  <c r="J46" i="4" l="1"/>
  <c r="W46" i="4" s="1"/>
  <c r="J12" i="4"/>
  <c r="K112" i="4" l="1"/>
  <c r="J21" i="4" l="1"/>
  <c r="F62" i="4" l="1"/>
  <c r="G62" i="4"/>
  <c r="H62" i="4"/>
  <c r="I62" i="4"/>
  <c r="K62" i="4"/>
  <c r="L62" i="4"/>
  <c r="M62" i="4"/>
  <c r="N62" i="4"/>
  <c r="O62" i="4"/>
  <c r="P62" i="4"/>
  <c r="Q62" i="4"/>
  <c r="R62" i="4"/>
  <c r="S62" i="4"/>
  <c r="T62" i="4"/>
  <c r="U62" i="4"/>
  <c r="V62" i="4"/>
  <c r="E62" i="4"/>
  <c r="W21" i="4"/>
  <c r="J36" i="4"/>
  <c r="W36" i="4" s="1"/>
  <c r="J103" i="4" l="1"/>
  <c r="W103" i="4" s="1"/>
  <c r="J104" i="4"/>
  <c r="W104" i="4" s="1"/>
  <c r="J105" i="4" l="1"/>
  <c r="U112" i="4" l="1"/>
  <c r="V112" i="4" l="1"/>
  <c r="J77" i="4"/>
  <c r="J78" i="4"/>
  <c r="W78" i="4" s="1"/>
  <c r="J79" i="4"/>
  <c r="W79" i="4" s="1"/>
  <c r="J80" i="4"/>
  <c r="W80" i="4" s="1"/>
  <c r="J81" i="4"/>
  <c r="W81" i="4" s="1"/>
  <c r="J82" i="4"/>
  <c r="W82" i="4" s="1"/>
  <c r="J83" i="4"/>
  <c r="W83" i="4" s="1"/>
  <c r="J84" i="4"/>
  <c r="W84" i="4" s="1"/>
  <c r="J85" i="4"/>
  <c r="W85" i="4" s="1"/>
  <c r="J86" i="4"/>
  <c r="W86" i="4" s="1"/>
  <c r="J87" i="4"/>
  <c r="W87" i="4" s="1"/>
  <c r="F112" i="4"/>
  <c r="G112" i="4"/>
  <c r="H112" i="4"/>
  <c r="I112" i="4"/>
  <c r="L112" i="4"/>
  <c r="M112" i="4"/>
  <c r="N112" i="4"/>
  <c r="O112" i="4"/>
  <c r="P112" i="4"/>
  <c r="Q112" i="4"/>
  <c r="R112" i="4"/>
  <c r="S112" i="4"/>
  <c r="T112" i="4"/>
  <c r="E112" i="4"/>
  <c r="J110" i="4"/>
  <c r="W110" i="4" s="1"/>
  <c r="J35" i="4" l="1"/>
  <c r="W35" i="4" s="1"/>
  <c r="J20" i="4"/>
  <c r="W20" i="4" s="1"/>
  <c r="J58" i="4"/>
  <c r="W58" i="4" s="1"/>
  <c r="J59" i="4"/>
  <c r="J60" i="4"/>
  <c r="W60" i="4" s="1"/>
  <c r="J39" i="4"/>
  <c r="W39" i="4" s="1"/>
  <c r="J40" i="4"/>
  <c r="W40" i="4" s="1"/>
  <c r="J41" i="4"/>
  <c r="W41" i="4" s="1"/>
  <c r="J42" i="4"/>
  <c r="W42" i="4" s="1"/>
  <c r="J43" i="4"/>
  <c r="W43" i="4" s="1"/>
  <c r="J44" i="4"/>
  <c r="W44" i="4" s="1"/>
  <c r="J45" i="4"/>
  <c r="W45" i="4" s="1"/>
  <c r="J47" i="4"/>
  <c r="W47" i="4" s="1"/>
  <c r="J48" i="4"/>
  <c r="W48" i="4" s="1"/>
  <c r="J49" i="4"/>
  <c r="W49" i="4" s="1"/>
  <c r="J51" i="4"/>
  <c r="W51" i="4" s="1"/>
  <c r="J52" i="4"/>
  <c r="W52" i="4" s="1"/>
  <c r="J53" i="4"/>
  <c r="W53" i="4" s="1"/>
  <c r="J54" i="4"/>
  <c r="W54" i="4" s="1"/>
  <c r="J55" i="4"/>
  <c r="W55" i="4" s="1"/>
  <c r="J56" i="4"/>
  <c r="W56" i="4" s="1"/>
  <c r="J57" i="4"/>
  <c r="W57" i="4" s="1"/>
  <c r="J26" i="4"/>
  <c r="W26" i="4" s="1"/>
  <c r="J27" i="4"/>
  <c r="W27" i="4" s="1"/>
  <c r="J28" i="4"/>
  <c r="W28" i="4" s="1"/>
  <c r="J29" i="4"/>
  <c r="W29" i="4" s="1"/>
  <c r="J30" i="4"/>
  <c r="W30" i="4" s="1"/>
  <c r="J31" i="4"/>
  <c r="W31" i="4" s="1"/>
  <c r="J32" i="4"/>
  <c r="W32" i="4" s="1"/>
  <c r="J33" i="4"/>
  <c r="W33" i="4" s="1"/>
  <c r="J34" i="4"/>
  <c r="W34" i="4" s="1"/>
  <c r="J37" i="4"/>
  <c r="W37" i="4" s="1"/>
  <c r="J38" i="4"/>
  <c r="W38" i="4" s="1"/>
  <c r="J9" i="4"/>
  <c r="W9" i="4" s="1"/>
  <c r="J10" i="4"/>
  <c r="W10" i="4" s="1"/>
  <c r="J11" i="4"/>
  <c r="W11" i="4" s="1"/>
  <c r="J13" i="4"/>
  <c r="W13" i="4" s="1"/>
  <c r="J14" i="4"/>
  <c r="W14" i="4" s="1"/>
  <c r="J15" i="4"/>
  <c r="W15" i="4" s="1"/>
  <c r="J16" i="4"/>
  <c r="W16" i="4" s="1"/>
  <c r="J17" i="4"/>
  <c r="W17" i="4" s="1"/>
  <c r="J18" i="4"/>
  <c r="W18" i="4" s="1"/>
  <c r="J19" i="4"/>
  <c r="W19" i="4" s="1"/>
  <c r="J22" i="4"/>
  <c r="W22" i="4" s="1"/>
  <c r="J23" i="4"/>
  <c r="J24" i="4"/>
  <c r="W24" i="4" s="1"/>
  <c r="J25" i="4"/>
  <c r="W25" i="4" s="1"/>
  <c r="W23" i="4" l="1"/>
  <c r="J109" i="4"/>
  <c r="W109" i="4" s="1"/>
  <c r="J99" i="4" l="1"/>
  <c r="J106" i="4" l="1"/>
  <c r="J102" i="4"/>
  <c r="W102" i="4" s="1"/>
  <c r="J65" i="4"/>
  <c r="W65" i="4" l="1"/>
  <c r="J107" i="4"/>
  <c r="W107" i="4" s="1"/>
  <c r="J122" i="4" l="1"/>
  <c r="W122" i="4" s="1"/>
  <c r="J68" i="4" l="1"/>
  <c r="J8" i="4" l="1"/>
  <c r="J7" i="4"/>
  <c r="W8" i="4" l="1"/>
  <c r="J62" i="4"/>
  <c r="J93" i="4"/>
  <c r="W93" i="4" s="1"/>
  <c r="J94" i="4"/>
  <c r="W94" i="4" s="1"/>
  <c r="J95" i="4"/>
  <c r="J88" i="4"/>
  <c r="W88" i="4" s="1"/>
  <c r="J89" i="4"/>
  <c r="W89" i="4" s="1"/>
  <c r="J90" i="4" l="1"/>
  <c r="W90" i="4" s="1"/>
  <c r="J91" i="4"/>
  <c r="W91" i="4" s="1"/>
  <c r="J92" i="4"/>
  <c r="W92" i="4" s="1"/>
  <c r="J96" i="4"/>
  <c r="W96" i="4" s="1"/>
  <c r="J97" i="4"/>
  <c r="W97" i="4" s="1"/>
  <c r="J98" i="4"/>
  <c r="W98" i="4" s="1"/>
  <c r="W99" i="4"/>
  <c r="J70" i="4"/>
  <c r="W70" i="4" s="1"/>
  <c r="J71" i="4"/>
  <c r="W71" i="4" s="1"/>
  <c r="J72" i="4"/>
  <c r="W72" i="4" s="1"/>
  <c r="J73" i="4"/>
  <c r="W73" i="4" s="1"/>
  <c r="J74" i="4"/>
  <c r="W74" i="4" s="1"/>
  <c r="AB88" i="4" l="1"/>
  <c r="Z25" i="4"/>
  <c r="X25" i="4" l="1"/>
  <c r="J76" i="4" l="1"/>
  <c r="W76" i="4" s="1"/>
  <c r="J121" i="4" l="1"/>
  <c r="W121" i="4" s="1"/>
  <c r="J118" i="4"/>
  <c r="W118" i="4" s="1"/>
  <c r="J119" i="4"/>
  <c r="W119" i="4" s="1"/>
  <c r="J120" i="4"/>
  <c r="W120" i="4" s="1"/>
  <c r="J67" i="4"/>
  <c r="W68" i="4"/>
  <c r="J69" i="4"/>
  <c r="W69" i="4" s="1"/>
  <c r="J75" i="4"/>
  <c r="W75" i="4" s="1"/>
  <c r="W77" i="4"/>
  <c r="J100" i="4"/>
  <c r="W100" i="4" s="1"/>
  <c r="J101" i="4"/>
  <c r="W101" i="4" s="1"/>
  <c r="W105" i="4"/>
  <c r="W106" i="4"/>
  <c r="J108" i="4"/>
  <c r="W108" i="4" s="1"/>
  <c r="J111" i="4"/>
  <c r="W67" i="4" l="1"/>
  <c r="W95" i="4"/>
  <c r="X92" i="4" l="1"/>
  <c r="Y37" i="4"/>
  <c r="Z37" i="4"/>
  <c r="AC37" i="4" s="1"/>
  <c r="X37" i="4"/>
  <c r="Y92" i="4" l="1"/>
  <c r="X105" i="4"/>
  <c r="Y105" i="4" l="1"/>
  <c r="X88" i="4" l="1"/>
  <c r="Y88" i="4" l="1"/>
  <c r="X59" i="4" l="1"/>
  <c r="W59" i="4" l="1"/>
  <c r="Y59" i="4" l="1"/>
  <c r="X73" i="4" l="1"/>
  <c r="Y73" i="4" s="1"/>
  <c r="X48" i="4" l="1"/>
  <c r="Y48" i="4" l="1"/>
  <c r="X97" i="4"/>
  <c r="Y97" i="4" l="1"/>
  <c r="X52" i="4" l="1"/>
  <c r="Y52" i="4" s="1"/>
  <c r="Z52" i="4"/>
  <c r="AB56" i="4" l="1"/>
  <c r="Z56" i="4" l="1"/>
  <c r="AC56" i="4" s="1"/>
  <c r="X56" i="4"/>
  <c r="Y56" i="4" s="1"/>
  <c r="AB23" i="4" l="1"/>
  <c r="AB24" i="4"/>
  <c r="AB77" i="4"/>
  <c r="AB27" i="4"/>
  <c r="AB29" i="4"/>
  <c r="Z29" i="4" l="1"/>
  <c r="AC29" i="4" s="1"/>
  <c r="X29" i="4"/>
  <c r="Y29" i="4" l="1"/>
  <c r="X77" i="4" l="1"/>
  <c r="Z77" i="4"/>
  <c r="AC77" i="4" s="1"/>
  <c r="Y77" i="4" l="1"/>
  <c r="AB58" i="4" l="1"/>
  <c r="AB43" i="4"/>
  <c r="Z24" i="4" l="1"/>
  <c r="AC24" i="4" s="1"/>
  <c r="X24" i="4"/>
  <c r="Z58" i="4"/>
  <c r="AC58" i="4" s="1"/>
  <c r="X43" i="4"/>
  <c r="Z43" i="4"/>
  <c r="AC43" i="4" s="1"/>
  <c r="X58" i="4"/>
  <c r="AB47" i="4"/>
  <c r="Z47" i="4"/>
  <c r="Y24" i="4" l="1"/>
  <c r="AF24" i="4" s="1"/>
  <c r="Y58" i="4"/>
  <c r="Y43" i="4"/>
  <c r="AC47" i="4"/>
  <c r="X47" i="4"/>
  <c r="Y47" i="4" l="1"/>
  <c r="AF58" i="4" l="1"/>
  <c r="AF43" i="4" l="1"/>
  <c r="AB53" i="4"/>
  <c r="X86" i="4" l="1"/>
  <c r="Z86" i="4"/>
  <c r="AB86" i="4"/>
  <c r="AC86" i="4" l="1"/>
  <c r="Y86" i="4"/>
  <c r="AF86" i="4" s="1"/>
  <c r="AB19" i="4" l="1"/>
  <c r="X19" i="4" l="1"/>
  <c r="Z19" i="4"/>
  <c r="AC19" i="4" s="1"/>
  <c r="Y19" i="4" l="1"/>
  <c r="AF19" i="4" l="1"/>
  <c r="AB54" i="4" l="1"/>
  <c r="Z54" i="4" l="1"/>
  <c r="X54" i="4" l="1"/>
  <c r="AC54" i="4"/>
  <c r="Y54" i="4" l="1"/>
  <c r="AF54" i="4" s="1"/>
  <c r="X95" i="4" l="1"/>
  <c r="Z95" i="4"/>
  <c r="AB108" i="4"/>
  <c r="AB100" i="4"/>
  <c r="AB49" i="4"/>
  <c r="AB94" i="4"/>
  <c r="AB92" i="4"/>
  <c r="AB35" i="4"/>
  <c r="AB85" i="4"/>
  <c r="AB30" i="4"/>
  <c r="AB18" i="4"/>
  <c r="AB71" i="4"/>
  <c r="AB15" i="4"/>
  <c r="AB10" i="4"/>
  <c r="AB8" i="4"/>
  <c r="AB7" i="4"/>
  <c r="AB95" i="4" l="1"/>
  <c r="AC95" i="4" l="1"/>
  <c r="Y95" i="4"/>
  <c r="AF95" i="4" s="1"/>
  <c r="X94" i="4" l="1"/>
  <c r="Z94" i="4"/>
  <c r="AC94" i="4" s="1"/>
  <c r="AA62" i="4"/>
  <c r="J66" i="4"/>
  <c r="J112" i="4" s="1"/>
  <c r="AE62" i="4"/>
  <c r="AD62" i="4"/>
  <c r="Z53" i="4"/>
  <c r="Y94" i="4" l="1"/>
  <c r="AF94" i="4" s="1"/>
  <c r="X27" i="4"/>
  <c r="Z27" i="4"/>
  <c r="AC27" i="4" s="1"/>
  <c r="X30" i="4"/>
  <c r="Z30" i="4"/>
  <c r="X35" i="4"/>
  <c r="Z35" i="4"/>
  <c r="X8" i="4"/>
  <c r="Z8" i="4"/>
  <c r="AC8" i="4" s="1"/>
  <c r="X15" i="4"/>
  <c r="Z15" i="4"/>
  <c r="AC15" i="4" s="1"/>
  <c r="X68" i="4"/>
  <c r="Z68" i="4"/>
  <c r="Z92" i="4"/>
  <c r="AC92" i="4" s="1"/>
  <c r="X71" i="4"/>
  <c r="Z71" i="4"/>
  <c r="AC71" i="4" s="1"/>
  <c r="X70" i="4"/>
  <c r="Z70" i="4"/>
  <c r="X90" i="4"/>
  <c r="Z90" i="4"/>
  <c r="X67" i="4"/>
  <c r="Z67" i="4"/>
  <c r="X81" i="4"/>
  <c r="Z81" i="4"/>
  <c r="X74" i="4"/>
  <c r="Z74" i="4"/>
  <c r="X85" i="4"/>
  <c r="Z85" i="4"/>
  <c r="AC85" i="4" s="1"/>
  <c r="X106" i="4"/>
  <c r="Z106" i="4"/>
  <c r="X100" i="4"/>
  <c r="Z100" i="4"/>
  <c r="AC100" i="4" s="1"/>
  <c r="X108" i="4"/>
  <c r="Z108" i="4"/>
  <c r="AC108" i="4" s="1"/>
  <c r="X49" i="4"/>
  <c r="Z49" i="4"/>
  <c r="AC49" i="4" s="1"/>
  <c r="X99" i="4"/>
  <c r="Z99" i="4"/>
  <c r="X98" i="4"/>
  <c r="Z98" i="4"/>
  <c r="X91" i="4"/>
  <c r="Z91" i="4"/>
  <c r="X84" i="4"/>
  <c r="Z84" i="4"/>
  <c r="X82" i="4"/>
  <c r="Z82" i="4"/>
  <c r="X75" i="4"/>
  <c r="Z75" i="4"/>
  <c r="X53" i="4"/>
  <c r="AB82" i="4"/>
  <c r="AC53" i="4"/>
  <c r="AB74" i="4"/>
  <c r="AB70" i="4"/>
  <c r="AB84" i="4"/>
  <c r="AB81" i="4"/>
  <c r="AB68" i="4"/>
  <c r="AB75" i="4"/>
  <c r="AB67" i="4"/>
  <c r="AF47" i="4"/>
  <c r="AB90" i="4"/>
  <c r="AB91" i="4"/>
  <c r="AB106" i="4"/>
  <c r="AB98" i="4"/>
  <c r="AB99" i="4"/>
  <c r="Z23" i="4" l="1"/>
  <c r="AC23" i="4" s="1"/>
  <c r="X23" i="4"/>
  <c r="Y27" i="4"/>
  <c r="Y108" i="4"/>
  <c r="AF108" i="4" s="1"/>
  <c r="Y85" i="4"/>
  <c r="AF85" i="4" s="1"/>
  <c r="X18" i="4"/>
  <c r="Z18" i="4"/>
  <c r="AC18" i="4" s="1"/>
  <c r="Z10" i="4"/>
  <c r="AC10" i="4" s="1"/>
  <c r="X7" i="4"/>
  <c r="Z7" i="4"/>
  <c r="AC7" i="4" s="1"/>
  <c r="W66" i="4"/>
  <c r="W112" i="4" s="1"/>
  <c r="X10" i="4"/>
  <c r="AF77" i="4"/>
  <c r="Y15" i="4"/>
  <c r="AF15" i="4" s="1"/>
  <c r="AF92" i="4"/>
  <c r="Y71" i="4"/>
  <c r="AF71" i="4" s="1"/>
  <c r="Y100" i="4"/>
  <c r="AF100" i="4" s="1"/>
  <c r="Y49" i="4"/>
  <c r="AF49" i="4" s="1"/>
  <c r="Y8" i="4"/>
  <c r="AF8" i="4" s="1"/>
  <c r="Y53" i="4"/>
  <c r="AF53" i="4" s="1"/>
  <c r="AC75" i="4"/>
  <c r="AC106" i="4"/>
  <c r="AC99" i="4"/>
  <c r="AC82" i="4"/>
  <c r="AC81" i="4"/>
  <c r="AC84" i="4"/>
  <c r="AC70" i="4"/>
  <c r="AC67" i="4"/>
  <c r="AC90" i="4"/>
  <c r="AC74" i="4"/>
  <c r="AC68" i="4"/>
  <c r="AC91" i="4"/>
  <c r="AC98" i="4"/>
  <c r="AB62" i="4"/>
  <c r="Y82" i="4"/>
  <c r="AF82" i="4" s="1"/>
  <c r="Y84" i="4"/>
  <c r="AF84" i="4" s="1"/>
  <c r="Y99" i="4"/>
  <c r="AF99" i="4" s="1"/>
  <c r="Y74" i="4"/>
  <c r="AF74" i="4" s="1"/>
  <c r="AC30" i="4"/>
  <c r="AC35" i="4"/>
  <c r="Y70" i="4"/>
  <c r="AF70" i="4" s="1"/>
  <c r="Y90" i="4"/>
  <c r="AF90" i="4" s="1"/>
  <c r="Y91" i="4"/>
  <c r="AF91" i="4" s="1"/>
  <c r="Y81" i="4"/>
  <c r="AF81" i="4" s="1"/>
  <c r="Y75" i="4"/>
  <c r="AF75" i="4" s="1"/>
  <c r="Y68" i="4"/>
  <c r="AF68" i="4" s="1"/>
  <c r="Y106" i="4"/>
  <c r="AF106" i="4" s="1"/>
  <c r="W7" i="4"/>
  <c r="W62" i="4" s="1"/>
  <c r="Y67" i="4"/>
  <c r="AF67" i="4" s="1"/>
  <c r="Y98" i="4"/>
  <c r="AF98" i="4" s="1"/>
  <c r="X66" i="4" l="1"/>
  <c r="X112" i="4" s="1"/>
  <c r="Y23" i="4"/>
  <c r="AF23" i="4" s="1"/>
  <c r="Y18" i="4"/>
  <c r="AF18" i="4" s="1"/>
  <c r="Y66" i="4"/>
  <c r="Y112" i="4" s="1"/>
  <c r="Z66" i="4"/>
  <c r="AC66" i="4" s="1"/>
  <c r="AC113" i="4" s="1"/>
  <c r="Y10" i="4"/>
  <c r="AF10" i="4" s="1"/>
  <c r="AF27" i="4"/>
  <c r="Y30" i="4"/>
  <c r="AF30" i="4" s="1"/>
  <c r="Y35" i="4"/>
  <c r="AF35" i="4" s="1"/>
  <c r="Y7" i="4"/>
  <c r="AF7" i="4" s="1"/>
  <c r="Z62" i="4" l="1"/>
  <c r="X62" i="4"/>
  <c r="AC62" i="4" l="1"/>
  <c r="Y62" i="4" l="1"/>
  <c r="AF62" i="4"/>
  <c r="AC63" i="4"/>
  <c r="AC64" i="4" s="1"/>
</calcChain>
</file>

<file path=xl/comments1.xml><?xml version="1.0" encoding="utf-8"?>
<comments xmlns="http://schemas.openxmlformats.org/spreadsheetml/2006/main">
  <authors>
    <author>usuario</author>
  </authors>
  <commentList>
    <comment ref="N6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7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9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PV PERIODO 5</t>
        </r>
      </text>
    </comment>
  </commentList>
</comments>
</file>

<file path=xl/sharedStrings.xml><?xml version="1.0" encoding="utf-8"?>
<sst xmlns="http://schemas.openxmlformats.org/spreadsheetml/2006/main" count="424" uniqueCount="195">
  <si>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</si>
  <si>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</si>
  <si>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</si>
  <si>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</si>
  <si>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</si>
  <si>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</si>
  <si>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</si>
  <si>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</si>
  <si>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</si>
  <si>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</si>
  <si>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</si>
  <si>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</si>
  <si>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</si>
  <si>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</si>
  <si>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</si>
  <si>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</si>
  <si>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</si>
  <si>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</si>
  <si>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</si>
  <si>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</si>
  <si>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</si>
  <si>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</si>
  <si>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</si>
  <si>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</si>
  <si>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</si>
  <si>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</si>
  <si>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</si>
  <si>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</si>
  <si>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</si>
  <si>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</si>
  <si>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</si>
  <si>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</si>
  <si>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</si>
  <si>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</si>
  <si>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</si>
  <si>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</si>
  <si>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</si>
  <si>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</si>
  <si>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</si>
  <si>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</si>
  <si>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</si>
  <si>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</si>
  <si>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</si>
  <si>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</si>
  <si>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</si>
  <si>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</si>
  <si>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</si>
  <si>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</si>
  <si>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</si>
  <si>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</si>
  <si>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</si>
  <si>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</si>
  <si>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</si>
  <si>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</si>
  <si>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</si>
  <si>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</si>
  <si>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</si>
  <si>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</si>
  <si>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</si>
  <si>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</si>
  <si>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</si>
  <si>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</si>
  <si>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</si>
  <si>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</si>
  <si>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</si>
  <si>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</si>
  <si>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</si>
  <si>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</si>
  <si>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</si>
  <si>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</si>
  <si>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</si>
  <si>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</si>
  <si>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</si>
  <si>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</si>
  <si>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</si>
  <si>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</si>
  <si>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</si>
  <si>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</si>
  <si>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</si>
  <si>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</si>
  <si>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</si>
  <si>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</si>
  <si>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</si>
  <si>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</si>
  <si>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</si>
  <si>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</si>
  <si>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</si>
  <si>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</si>
  <si>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</si>
  <si>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</si>
  <si>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</si>
  <si>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</si>
  <si>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</si>
  <si>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</si>
  <si>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</si>
  <si>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</si>
  <si>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</si>
  <si>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</si>
  <si>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</si>
  <si>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</si>
  <si>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</si>
  <si>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</si>
  <si>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</si>
  <si>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</si>
  <si>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</si>
  <si>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</si>
  <si>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</si>
  <si>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</si>
  <si>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GAYTAN MARTINEZ RAUL</t>
  </si>
  <si>
    <t>DOMINGUEZ GUDIÑO OMAR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</si>
  <si>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</si>
  <si>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</si>
  <si>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</si>
  <si>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</si>
  <si>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</si>
  <si>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</si>
  <si>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</si>
  <si>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</si>
  <si>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</si>
  <si>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</si>
  <si>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</si>
  <si>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</si>
  <si>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</si>
  <si>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</si>
  <si>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</si>
  <si>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</si>
  <si>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</si>
  <si>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</si>
  <si>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</si>
  <si>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</si>
  <si>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</si>
  <si>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</si>
  <si>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</si>
  <si>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</si>
  <si>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</si>
  <si>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</si>
  <si>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</si>
  <si>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</si>
  <si>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</si>
  <si>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</si>
  <si>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</si>
  <si>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</si>
  <si>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</si>
  <si>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</si>
  <si>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</si>
  <si>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</si>
  <si>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</si>
  <si>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</si>
  <si>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</si>
  <si>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</si>
  <si>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</si>
  <si>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</si>
  <si>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</si>
  <si>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</si>
  <si>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</si>
  <si>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</si>
  <si>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</si>
  <si>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</si>
  <si>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</si>
  <si>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</si>
  <si>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</si>
  <si>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</si>
  <si>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</si>
  <si>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</si>
  <si>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</si>
  <si>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</si>
  <si>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</si>
  <si>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</si>
  <si>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</si>
  <si>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</si>
  <si>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HURRLE SALZMANN CARLOS ABELARDO</t>
  </si>
  <si>
    <t>CASTRUITA AGUILAR DAVID ARTURO</t>
  </si>
  <si>
    <t>LOZANO PEREZ JOSE ENRIQUE</t>
  </si>
  <si>
    <t>TECNICO MANTENIMIENTO</t>
  </si>
  <si>
    <t>AYUDANTE GENERAL</t>
  </si>
  <si>
    <t>VILLEGAS CRUZ ANDRES</t>
  </si>
  <si>
    <t>VILLARREAL LOPEZ CARLOS ALBERTO</t>
  </si>
  <si>
    <t>AVALOS RUDAMAS MARTHA KATHERINE</t>
  </si>
  <si>
    <t>RAMIREZ GONZALEZ JOSE SALVADOR</t>
  </si>
  <si>
    <t>VILLEGAS GONZALEZ JUAN FRANCISCO</t>
  </si>
  <si>
    <t>PULIDOR</t>
  </si>
  <si>
    <t>HURTADO VAZQUEZ JUAN DE DIOS</t>
  </si>
  <si>
    <t>MENDOZA BRIONES ASAEL ALEJANDRO</t>
  </si>
  <si>
    <t>Infonavit 2017</t>
  </si>
  <si>
    <t>TREJO LUGO GUSTAVO</t>
  </si>
  <si>
    <t>TREJO ROBLES JOSE DARINEL</t>
  </si>
  <si>
    <t>FLORES GOMEZ PATRICIA</t>
  </si>
  <si>
    <t>MIRANDA LARA CESAR</t>
  </si>
  <si>
    <t>AVILES ANG ISAAC ROBERTO</t>
  </si>
  <si>
    <t>RAMOS BALLESTEROS DANIEL ALEJANDRO</t>
  </si>
  <si>
    <t>Periodo Semana 8</t>
  </si>
  <si>
    <t>14/02/18 AL 20/02/18</t>
  </si>
  <si>
    <t>DESC CTA 254 15/16 PRESTAMO</t>
  </si>
  <si>
    <t>2 DIAS INCAP</t>
  </si>
  <si>
    <t>2 DIAS INCAP (14 Y 15 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</si>
</sst>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18">
    <xf numFmtId="0" fontId="0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5">
    <xf numFmtId="0" fontId="0" fillId="0" borderId="0" xfId="0"/>
    <xf numFmtId="43" fontId="14" fillId="0" borderId="0" xfId="2"/>
    <xf numFmtId="0" fontId="17" fillId="0" borderId="0" xfId="3" applyFont="1" applyFill="1" applyAlignment="1" applyProtection="1">
      <alignment horizontal="left"/>
    </xf>
    <xf numFmtId="0" fontId="17" fillId="0" borderId="0" xfId="3" applyFont="1" applyFill="1" applyAlignment="1" applyProtection="1">
      <alignment horizontal="center"/>
    </xf>
    <xf numFmtId="43" fontId="18" fillId="0" borderId="0" xfId="2" applyFont="1" applyFill="1" applyAlignment="1" applyProtection="1">
      <alignment horizontal="center"/>
    </xf>
    <xf numFmtId="43" fontId="19" fillId="0" borderId="0" xfId="2" applyFont="1" applyFill="1" applyAlignment="1" applyProtection="1">
      <alignment horizontal="center"/>
    </xf>
    <xf numFmtId="0" fontId="18" fillId="0" borderId="0" xfId="0" applyFont="1" applyFill="1" applyProtection="1"/>
    <xf numFmtId="0" fontId="18" fillId="0" borderId="0" xfId="0" applyFont="1" applyProtection="1"/>
    <xf numFmtId="0" fontId="20" fillId="0" borderId="0" xfId="3" applyFont="1" applyFill="1" applyAlignment="1" applyProtection="1">
      <alignment horizontal="left"/>
    </xf>
    <xf numFmtId="0" fontId="20" fillId="0" borderId="0" xfId="3" applyFont="1" applyFill="1" applyAlignment="1" applyProtection="1">
      <alignment horizontal="center"/>
    </xf>
    <xf numFmtId="15" fontId="17" fillId="0" borderId="0" xfId="3" applyNumberFormat="1" applyFont="1" applyFill="1" applyAlignment="1" applyProtection="1">
      <alignment horizontal="left"/>
    </xf>
    <xf numFmtId="15" fontId="17" fillId="0" borderId="0" xfId="3" applyNumberFormat="1" applyFont="1" applyFill="1" applyAlignment="1" applyProtection="1">
      <alignment horizontal="center"/>
    </xf>
    <xf numFmtId="0" fontId="19" fillId="0" borderId="0" xfId="0" applyFont="1"/>
    <xf numFmtId="43" fontId="18" fillId="0" borderId="0" xfId="2" applyFont="1"/>
    <xf numFmtId="43" fontId="19" fillId="0" borderId="0" xfId="2" applyFont="1"/>
    <xf numFmtId="43" fontId="18" fillId="0" borderId="0" xfId="2" applyFont="1" applyFill="1"/>
    <xf numFmtId="0" fontId="19" fillId="0" borderId="0" xfId="0" applyFont="1" applyFill="1"/>
    <xf numFmtId="0" fontId="18" fillId="0" borderId="1" xfId="0" applyFont="1" applyBorder="1"/>
    <xf numFmtId="0" fontId="18" fillId="0" borderId="0" xfId="0" applyFont="1" applyFill="1"/>
    <xf numFmtId="0" fontId="18" fillId="0" borderId="0" xfId="0" applyFont="1"/>
    <xf numFmtId="0" fontId="21" fillId="0" borderId="0" xfId="0" applyFont="1"/>
    <xf numFmtId="43" fontId="14" fillId="0" borderId="0" xfId="2" applyProtection="1"/>
    <xf numFmtId="43" fontId="14" fillId="0" borderId="0" xfId="2" applyFill="1"/>
    <xf numFmtId="43" fontId="19" fillId="5" borderId="1" xfId="2" applyFont="1" applyFill="1" applyBorder="1" applyAlignment="1">
      <alignment horizontal="center" wrapText="1"/>
    </xf>
    <xf numFmtId="0" fontId="19" fillId="0" borderId="6" xfId="0" applyFont="1" applyFill="1" applyBorder="1"/>
    <xf numFmtId="0" fontId="18" fillId="0" borderId="8" xfId="0" applyFont="1" applyFill="1" applyBorder="1"/>
    <xf numFmtId="43" fontId="18" fillId="0" borderId="8" xfId="2" applyFont="1" applyFill="1" applyBorder="1"/>
    <xf numFmtId="43" fontId="19" fillId="0" borderId="8" xfId="2" applyFont="1" applyFill="1" applyBorder="1"/>
    <xf numFmtId="0" fontId="18" fillId="0" borderId="7" xfId="0" applyFont="1" applyBorder="1"/>
    <xf numFmtId="0" fontId="18" fillId="2" borderId="7" xfId="0" applyFont="1" applyFill="1" applyBorder="1"/>
    <xf numFmtId="43" fontId="18" fillId="0" borderId="7" xfId="2" applyFont="1" applyBorder="1"/>
    <xf numFmtId="43" fontId="18" fillId="2" borderId="7" xfId="2" applyFont="1" applyFill="1" applyBorder="1"/>
    <xf numFmtId="43" fontId="18" fillId="0" borderId="7" xfId="2" applyFont="1" applyFill="1" applyBorder="1" applyAlignment="1">
      <alignment horizontal="center"/>
    </xf>
    <xf numFmtId="0" fontId="18" fillId="0" borderId="7" xfId="0" applyFont="1" applyFill="1" applyBorder="1"/>
    <xf numFmtId="43" fontId="18" fillId="0" borderId="7" xfId="2" applyFont="1" applyFill="1" applyBorder="1"/>
    <xf numFmtId="0" fontId="19" fillId="0" borderId="7" xfId="0" applyFont="1" applyFill="1" applyBorder="1"/>
    <xf numFmtId="43" fontId="18" fillId="0" borderId="8" xfId="2" applyFont="1" applyFill="1" applyBorder="1" applyAlignment="1">
      <alignment horizontal="center"/>
    </xf>
    <xf numFmtId="0" fontId="19" fillId="0" borderId="7" xfId="0" applyFont="1" applyBorder="1"/>
    <xf numFmtId="43" fontId="19" fillId="0" borderId="7" xfId="2" applyFont="1" applyBorder="1"/>
    <xf numFmtId="43" fontId="14" fillId="0" borderId="7" xfId="2" applyBorder="1"/>
    <xf numFmtId="43" fontId="14" fillId="3" borderId="7" xfId="2" applyFill="1" applyBorder="1"/>
    <xf numFmtId="43" fontId="23" fillId="0" borderId="0" xfId="2" applyFont="1" applyProtection="1"/>
    <xf numFmtId="43" fontId="23" fillId="0" borderId="0" xfId="2" applyFont="1"/>
    <xf numFmtId="43" fontId="23" fillId="0" borderId="0" xfId="2" applyFont="1" applyFill="1"/>
    <xf numFmtId="43" fontId="23" fillId="0" borderId="7" xfId="2" applyFont="1" applyBorder="1"/>
    <xf numFmtId="43" fontId="23" fillId="3" borderId="7" xfId="2" applyFont="1" applyFill="1" applyBorder="1"/>
    <xf numFmtId="43" fontId="19" fillId="0" borderId="7" xfId="2" applyFont="1" applyFill="1" applyBorder="1"/>
    <xf numFmtId="43" fontId="24" fillId="0" borderId="7" xfId="2" applyFont="1" applyFill="1" applyBorder="1"/>
    <xf numFmtId="2" fontId="18" fillId="0" borderId="7" xfId="0" applyNumberFormat="1" applyFont="1" applyFill="1" applyBorder="1"/>
    <xf numFmtId="164" fontId="24" fillId="0" borderId="7" xfId="0" applyNumberFormat="1" applyFont="1" applyFill="1" applyBorder="1"/>
    <xf numFmtId="0" fontId="24" fillId="0" borderId="7" xfId="0" applyFont="1" applyFill="1" applyBorder="1" applyAlignment="1">
      <alignment wrapText="1"/>
    </xf>
    <xf numFmtId="4" fontId="24" fillId="0" borderId="7" xfId="0" applyNumberFormat="1" applyFont="1" applyFill="1" applyBorder="1" applyAlignment="1">
      <alignment wrapText="1"/>
    </xf>
    <xf numFmtId="0" fontId="25" fillId="0" borderId="7" xfId="0" applyFont="1" applyFill="1" applyBorder="1"/>
    <xf numFmtId="43" fontId="19" fillId="7" borderId="7" xfId="2" applyFont="1" applyFill="1" applyBorder="1"/>
    <xf numFmtId="43" fontId="18" fillId="7" borderId="7" xfId="2" applyFont="1" applyFill="1" applyBorder="1" applyAlignment="1">
      <alignment horizontal="center"/>
    </xf>
    <xf numFmtId="0" fontId="24" fillId="0" borderId="7" xfId="0" applyFont="1" applyFill="1" applyBorder="1"/>
    <xf numFmtId="4" fontId="24" fillId="0" borderId="7" xfId="0" applyNumberFormat="1" applyFont="1" applyFill="1" applyBorder="1"/>
    <xf numFmtId="4" fontId="18" fillId="0" borderId="7" xfId="0" applyNumberFormat="1" applyFont="1" applyFill="1" applyBorder="1"/>
    <xf numFmtId="43" fontId="18" fillId="0" borderId="7" xfId="0" applyNumberFormat="1" applyFont="1" applyFill="1" applyBorder="1"/>
    <xf numFmtId="14" fontId="18" fillId="0" borderId="7" xfId="0" applyNumberFormat="1" applyFont="1" applyBorder="1"/>
    <xf numFmtId="0" fontId="19" fillId="0" borderId="7" xfId="2" applyNumberFormat="1" applyFont="1" applyFill="1" applyBorder="1" applyAlignment="1">
      <alignment horizontal="center"/>
    </xf>
    <xf numFmtId="43" fontId="19" fillId="0" borderId="7" xfId="2" applyFont="1" applyFill="1" applyBorder="1" applyAlignment="1">
      <alignment horizontal="center"/>
    </xf>
    <xf numFmtId="43" fontId="26" fillId="0" borderId="7" xfId="2" applyFont="1" applyFill="1" applyBorder="1" applyAlignment="1">
      <alignment horizontal="center"/>
    </xf>
    <xf numFmtId="43" fontId="27" fillId="0" borderId="7" xfId="2" applyFont="1" applyFill="1" applyBorder="1"/>
    <xf numFmtId="0" fontId="18" fillId="7" borderId="7" xfId="0" applyFont="1" applyFill="1" applyBorder="1"/>
    <xf numFmtId="0" fontId="19" fillId="7" borderId="7" xfId="0" applyFont="1" applyFill="1" applyBorder="1" applyAlignment="1">
      <alignment wrapText="1"/>
    </xf>
    <xf numFmtId="9" fontId="26" fillId="0" borderId="7" xfId="2" applyNumberFormat="1" applyFont="1" applyFill="1" applyBorder="1" applyAlignment="1">
      <alignment horizontal="center"/>
    </xf>
    <xf numFmtId="43" fontId="19" fillId="5" borderId="2" xfId="2" applyFont="1" applyFill="1" applyBorder="1" applyAlignment="1">
      <alignment horizontal="center" wrapText="1"/>
    </xf>
    <xf numFmtId="43" fontId="22" fillId="5" borderId="2" xfId="2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8" borderId="7" xfId="0" applyFont="1" applyFill="1" applyBorder="1"/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right"/>
    </xf>
    <xf numFmtId="43" fontId="19" fillId="0" borderId="7" xfId="2" applyFont="1" applyBorder="1" applyAlignment="1">
      <alignment horizontal="center"/>
    </xf>
    <xf numFmtId="0" fontId="18" fillId="9" borderId="7" xfId="0" applyFont="1" applyFill="1" applyBorder="1"/>
    <xf numFmtId="164" fontId="24" fillId="9" borderId="7" xfId="0" applyNumberFormat="1" applyFont="1" applyFill="1" applyBorder="1"/>
    <xf numFmtId="43" fontId="18" fillId="9" borderId="7" xfId="2" applyFont="1" applyFill="1" applyBorder="1"/>
    <xf numFmtId="43" fontId="19" fillId="9" borderId="7" xfId="2" applyFont="1" applyFill="1" applyBorder="1"/>
    <xf numFmtId="0" fontId="19" fillId="9" borderId="7" xfId="2" applyNumberFormat="1" applyFont="1" applyFill="1" applyBorder="1" applyAlignment="1">
      <alignment horizontal="center"/>
    </xf>
    <xf numFmtId="43" fontId="19" fillId="9" borderId="7" xfId="2" applyFont="1" applyFill="1" applyBorder="1" applyAlignment="1">
      <alignment horizontal="center"/>
    </xf>
    <xf numFmtId="43" fontId="18" fillId="9" borderId="7" xfId="2" applyFont="1" applyFill="1" applyBorder="1" applyAlignment="1">
      <alignment horizontal="center"/>
    </xf>
    <xf numFmtId="0" fontId="24" fillId="9" borderId="7" xfId="0" applyFont="1" applyFill="1" applyBorder="1" applyAlignment="1">
      <alignment wrapText="1"/>
    </xf>
    <xf numFmtId="4" fontId="24" fillId="9" borderId="7" xfId="0" applyNumberFormat="1" applyFont="1" applyFill="1" applyBorder="1" applyAlignment="1">
      <alignment wrapText="1"/>
    </xf>
    <xf numFmtId="43" fontId="24" fillId="9" borderId="7" xfId="2" applyFont="1" applyFill="1" applyBorder="1"/>
    <xf numFmtId="0" fontId="19" fillId="9" borderId="7" xfId="0" applyFont="1" applyFill="1" applyBorder="1"/>
    <xf numFmtId="0" fontId="18" fillId="9" borderId="0" xfId="0" applyFont="1" applyFill="1"/>
    <xf numFmtId="0" fontId="19" fillId="4" borderId="5" xfId="0" applyFont="1" applyFill="1" applyBorder="1" applyAlignment="1">
      <alignment horizontal="center" vertical="center"/>
    </xf>
    <xf numFmtId="43" fontId="19" fillId="5" borderId="1" xfId="2" applyFont="1" applyFill="1" applyBorder="1" applyAlignment="1">
      <alignment horizontal="center" vertical="center" wrapText="1"/>
    </xf>
    <xf numFmtId="43" fontId="19" fillId="5" borderId="2" xfId="2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43" fontId="19" fillId="5" borderId="1" xfId="2" applyFont="1" applyFill="1" applyBorder="1" applyAlignment="1">
      <alignment horizontal="center" wrapText="1"/>
    </xf>
    <xf numFmtId="43" fontId="19" fillId="5" borderId="2" xfId="2" applyFont="1" applyFill="1" applyBorder="1" applyAlignment="1">
      <alignment horizontal="center" wrapText="1"/>
    </xf>
    <xf numFmtId="43" fontId="22" fillId="5" borderId="3" xfId="2" applyFont="1" applyFill="1" applyBorder="1" applyAlignment="1">
      <alignment horizontal="center" wrapText="1"/>
    </xf>
    <xf numFmtId="43" fontId="22" fillId="5" borderId="4" xfId="2" applyFont="1" applyFill="1" applyBorder="1" applyAlignment="1">
      <alignment horizontal="center" wrapText="1"/>
    </xf>
    <xf numFmtId="43" fontId="14" fillId="4" borderId="5" xfId="2" applyFill="1" applyBorder="1" applyAlignment="1">
      <alignment horizontal="center"/>
    </xf>
    <xf numFmtId="43" fontId="19" fillId="5" borderId="9" xfId="2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/>
    </xf>
    <xf numFmtId="43" fontId="19" fillId="5" borderId="8" xfId="2" applyFont="1" applyFill="1" applyBorder="1" applyAlignment="1">
      <alignment horizontal="center" vertical="center" wrapText="1"/>
    </xf>
    <xf numFmtId="3" fontId="19" fillId="5" borderId="2" xfId="0" applyNumberFormat="1" applyFont="1" applyFill="1" applyBorder="1" applyAlignment="1">
      <alignment horizontal="center" vertical="center"/>
    </xf>
    <xf numFmtId="3" fontId="19" fillId="5" borderId="9" xfId="0" applyNumberFormat="1" applyFont="1" applyFill="1" applyBorder="1" applyAlignment="1">
      <alignment horizontal="center" vertical="center"/>
    </xf>
    <xf numFmtId="3" fontId="19" fillId="5" borderId="2" xfId="0" applyNumberFormat="1" applyFont="1" applyFill="1" applyBorder="1" applyAlignment="1">
      <alignment horizontal="center" vertical="center" wrapText="1"/>
    </xf>
    <xf numFmtId="3" fontId="19" fillId="5" borderId="9" xfId="0" applyNumberFormat="1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/>
    </xf>
  </cellXfs>
  <cellStyles count="18">
    <cellStyle name="Excel Built-in Normal" xfId="1"/>
    <cellStyle name="Millares" xfId="2" builtinId="3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2" xfId="5"/>
    <cellStyle name="Normal 3" xfId="6"/>
    <cellStyle name="Normal 4" xfId="4"/>
    <cellStyle name="Normal 5" xfId="7"/>
    <cellStyle name="Normal 6" xfId="8"/>
    <cellStyle name="Normal 7" xfId="9"/>
    <cellStyle name="Normal 8" xfId="10"/>
    <cellStyle name="Normal 9" xfId="11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37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2" hidden="1" customWidth="1"/>
    <col min="31" max="31" width="12.7109375" style="42" hidden="1" customWidth="1"/>
    <col min="32" max="32" width="11.5703125" style="1" hidden="1" customWidth="1"/>
    <col min="33" max="33" width="19.28515625" style="19" bestFit="1" customWidth="1"/>
    <col min="34" max="34" width="35" style="19" bestFit="1" customWidth="1"/>
    <col min="35" max="35" width="11.85546875" style="18" bestFit="1" customWidth="1"/>
    <col min="36" max="16384" width="11.5703125" style="19"/>
  </cols>
  <sheetData>
    <row r="1" spans="1:35" s="7" customFormat="1">
      <c r="A1" s="2" t="s">
        <v>111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1"/>
      <c r="AE1" s="41"/>
      <c r="AF1" s="21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1"/>
      <c r="AE2" s="41"/>
      <c r="AF2" s="21"/>
      <c r="AI2" s="6"/>
    </row>
    <row r="3" spans="1:35" s="7" customFormat="1">
      <c r="A3" s="10" t="s">
        <v>190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1"/>
      <c r="AE3" s="41"/>
      <c r="AF3" s="21"/>
      <c r="AI3" s="6"/>
    </row>
    <row r="4" spans="1:35" s="12" customFormat="1">
      <c r="A4" s="12" t="s">
        <v>191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2"/>
      <c r="AE4" s="42"/>
      <c r="AF4" s="1"/>
      <c r="AI4" s="16"/>
    </row>
    <row r="5" spans="1:35" s="12" customFormat="1" ht="28.5" customHeight="1">
      <c r="A5" s="100" t="s">
        <v>13</v>
      </c>
      <c r="B5" s="100" t="s">
        <v>14</v>
      </c>
      <c r="C5" s="100" t="s">
        <v>0</v>
      </c>
      <c r="D5" s="102" t="s">
        <v>67</v>
      </c>
      <c r="E5" s="102" t="s">
        <v>139</v>
      </c>
      <c r="F5" s="89" t="s">
        <v>32</v>
      </c>
      <c r="G5" s="89" t="s">
        <v>160</v>
      </c>
      <c r="H5" s="88" t="s">
        <v>9</v>
      </c>
      <c r="I5" s="88" t="s">
        <v>10</v>
      </c>
      <c r="J5" s="88" t="s">
        <v>11</v>
      </c>
      <c r="K5" s="88" t="s">
        <v>12</v>
      </c>
      <c r="L5" s="89" t="s">
        <v>92</v>
      </c>
      <c r="M5" s="89" t="s">
        <v>74</v>
      </c>
      <c r="N5" s="90" t="s">
        <v>46</v>
      </c>
      <c r="O5" s="90" t="s">
        <v>60</v>
      </c>
      <c r="P5" s="90" t="s">
        <v>59</v>
      </c>
      <c r="Q5" s="90" t="s">
        <v>47</v>
      </c>
      <c r="R5" s="88" t="s">
        <v>6</v>
      </c>
      <c r="S5" s="88" t="s">
        <v>16</v>
      </c>
      <c r="T5" s="88" t="s">
        <v>15</v>
      </c>
      <c r="U5" s="88" t="s">
        <v>183</v>
      </c>
      <c r="V5" s="88" t="s">
        <v>8</v>
      </c>
      <c r="W5" s="88" t="s">
        <v>23</v>
      </c>
      <c r="X5" s="92" t="s">
        <v>3</v>
      </c>
      <c r="Y5" s="92" t="s">
        <v>7</v>
      </c>
      <c r="Z5" s="92" t="s">
        <v>2</v>
      </c>
      <c r="AA5" s="92" t="s">
        <v>4</v>
      </c>
      <c r="AB5" s="23"/>
      <c r="AC5" s="92" t="s">
        <v>5</v>
      </c>
      <c r="AD5" s="94" t="s">
        <v>78</v>
      </c>
      <c r="AE5" s="95"/>
      <c r="AF5" s="96" t="s">
        <v>48</v>
      </c>
      <c r="AG5" s="87" t="s">
        <v>69</v>
      </c>
      <c r="AH5" s="87" t="s">
        <v>70</v>
      </c>
      <c r="AI5" s="16"/>
    </row>
    <row r="6" spans="1:35" s="70" customFormat="1" ht="39" customHeight="1">
      <c r="A6" s="101"/>
      <c r="B6" s="101"/>
      <c r="C6" s="101"/>
      <c r="D6" s="103"/>
      <c r="E6" s="103"/>
      <c r="F6" s="99"/>
      <c r="G6" s="97"/>
      <c r="H6" s="89"/>
      <c r="I6" s="89"/>
      <c r="J6" s="89"/>
      <c r="K6" s="89"/>
      <c r="L6" s="97"/>
      <c r="M6" s="97"/>
      <c r="N6" s="91"/>
      <c r="O6" s="91"/>
      <c r="P6" s="91"/>
      <c r="Q6" s="91"/>
      <c r="R6" s="89"/>
      <c r="S6" s="89"/>
      <c r="T6" s="89"/>
      <c r="U6" s="89"/>
      <c r="V6" s="89"/>
      <c r="W6" s="89"/>
      <c r="X6" s="93"/>
      <c r="Y6" s="93"/>
      <c r="Z6" s="93"/>
      <c r="AA6" s="93"/>
      <c r="AB6" s="67"/>
      <c r="AC6" s="93"/>
      <c r="AD6" s="68" t="s">
        <v>24</v>
      </c>
      <c r="AE6" s="68" t="s">
        <v>25</v>
      </c>
      <c r="AF6" s="96"/>
      <c r="AG6" s="87"/>
      <c r="AH6" s="87"/>
      <c r="AI6" s="69"/>
    </row>
    <row r="7" spans="1:35" s="18" customFormat="1">
      <c r="A7" s="71" t="s">
        <v>37</v>
      </c>
      <c r="B7" s="33" t="s">
        <v>65</v>
      </c>
      <c r="C7" s="33" t="s">
        <v>29</v>
      </c>
      <c r="D7" s="49">
        <v>42062</v>
      </c>
      <c r="E7" s="34">
        <v>1166.27</v>
      </c>
      <c r="F7" s="34">
        <v>2583.17</v>
      </c>
      <c r="G7" s="34"/>
      <c r="H7" s="34"/>
      <c r="I7" s="34"/>
      <c r="J7" s="46">
        <f t="shared" ref="J7:J60" si="0">SUM(F7:I7)</f>
        <v>2583.17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33"/>
      <c r="W7" s="46">
        <f t="shared" ref="W7:W58" si="1">+J7-SUM(K7:V7)</f>
        <v>2583.17</v>
      </c>
      <c r="X7" s="32">
        <f t="shared" ref="X7:X23" si="2">IF(J7&gt;2250,J7*0.1,0)</f>
        <v>258.31700000000001</v>
      </c>
      <c r="Y7" s="46">
        <f t="shared" ref="Y7:Y23" si="3">+W7-X7</f>
        <v>2324.8530000000001</v>
      </c>
      <c r="Z7" s="32">
        <f t="shared" ref="Z7:Z23" si="4">IF(J7&lt;2250,J7*0.1,0)</f>
        <v>0</v>
      </c>
      <c r="AA7" s="32">
        <v>10.23</v>
      </c>
      <c r="AB7" s="32">
        <f t="shared" ref="AB7:AB23" si="5">+O7</f>
        <v>0</v>
      </c>
      <c r="AC7" s="46">
        <f t="shared" ref="AC7:AC23" si="6">+J7+Z7+AA7+AB7</f>
        <v>2593.4</v>
      </c>
      <c r="AD7" s="50"/>
      <c r="AE7" s="51"/>
      <c r="AF7" s="47">
        <f t="shared" ref="AF7:AF10" si="7">+AD7+AE7-Y7</f>
        <v>-2324.8530000000001</v>
      </c>
      <c r="AG7" s="35">
        <v>56708844887</v>
      </c>
      <c r="AH7" s="33"/>
    </row>
    <row r="8" spans="1:35" s="18" customFormat="1">
      <c r="A8" s="71" t="s">
        <v>28</v>
      </c>
      <c r="B8" s="33" t="s">
        <v>35</v>
      </c>
      <c r="C8" s="33" t="s">
        <v>31</v>
      </c>
      <c r="D8" s="49">
        <v>39508</v>
      </c>
      <c r="E8" s="34">
        <v>4666.6899999999996</v>
      </c>
      <c r="F8" s="34"/>
      <c r="G8" s="34"/>
      <c r="H8" s="34"/>
      <c r="I8" s="34"/>
      <c r="J8" s="46">
        <f t="shared" si="0"/>
        <v>0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33">
        <v>199.97</v>
      </c>
      <c r="W8" s="46">
        <f t="shared" si="1"/>
        <v>-199.97</v>
      </c>
      <c r="X8" s="32">
        <f t="shared" si="2"/>
        <v>0</v>
      </c>
      <c r="Y8" s="46">
        <f t="shared" si="3"/>
        <v>-199.97</v>
      </c>
      <c r="Z8" s="32">
        <f t="shared" si="4"/>
        <v>0</v>
      </c>
      <c r="AA8" s="32">
        <v>10.23</v>
      </c>
      <c r="AB8" s="32">
        <f t="shared" si="5"/>
        <v>0</v>
      </c>
      <c r="AC8" s="46">
        <f t="shared" si="6"/>
        <v>10.23</v>
      </c>
      <c r="AD8" s="50"/>
      <c r="AE8" s="51"/>
      <c r="AF8" s="47">
        <f t="shared" si="7"/>
        <v>199.97</v>
      </c>
      <c r="AG8" s="35">
        <v>56708881292</v>
      </c>
      <c r="AH8" s="33"/>
    </row>
    <row r="9" spans="1:35" s="18" customFormat="1">
      <c r="A9" s="71" t="s">
        <v>27</v>
      </c>
      <c r="B9" s="33" t="s">
        <v>159</v>
      </c>
      <c r="C9" s="33" t="s">
        <v>44</v>
      </c>
      <c r="D9" s="49">
        <v>43017</v>
      </c>
      <c r="E9" s="34">
        <v>1026.69</v>
      </c>
      <c r="F9" s="34">
        <v>1674.63</v>
      </c>
      <c r="G9" s="34"/>
      <c r="H9" s="34"/>
      <c r="I9" s="34"/>
      <c r="J9" s="46">
        <f t="shared" si="0"/>
        <v>1674.63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72"/>
      <c r="W9" s="46">
        <f t="shared" si="1"/>
        <v>1674.63</v>
      </c>
      <c r="X9" s="32"/>
      <c r="Y9" s="46"/>
      <c r="Z9" s="32"/>
      <c r="AA9" s="32"/>
      <c r="AB9" s="32"/>
      <c r="AC9" s="46"/>
      <c r="AD9" s="50"/>
      <c r="AE9" s="51"/>
      <c r="AF9" s="47"/>
      <c r="AG9" s="73" t="s">
        <v>158</v>
      </c>
      <c r="AH9" s="35"/>
    </row>
    <row r="10" spans="1:35" s="18" customFormat="1">
      <c r="A10" s="71" t="s">
        <v>28</v>
      </c>
      <c r="B10" s="33" t="s">
        <v>61</v>
      </c>
      <c r="C10" s="33" t="s">
        <v>30</v>
      </c>
      <c r="D10" s="49">
        <v>42383</v>
      </c>
      <c r="E10" s="34">
        <v>1026.69</v>
      </c>
      <c r="F10" s="34"/>
      <c r="G10" s="34"/>
      <c r="H10" s="34"/>
      <c r="I10" s="34"/>
      <c r="J10" s="46">
        <f t="shared" si="0"/>
        <v>0</v>
      </c>
      <c r="K10" s="34"/>
      <c r="L10" s="60"/>
      <c r="M10" s="34"/>
      <c r="N10" s="34"/>
      <c r="O10" s="61"/>
      <c r="P10" s="61"/>
      <c r="Q10" s="34"/>
      <c r="R10" s="32">
        <v>400</v>
      </c>
      <c r="S10" s="32"/>
      <c r="T10" s="33"/>
      <c r="U10" s="33"/>
      <c r="V10" s="33">
        <v>370.48</v>
      </c>
      <c r="W10" s="46">
        <f t="shared" si="1"/>
        <v>-770.48</v>
      </c>
      <c r="X10" s="32">
        <f t="shared" si="2"/>
        <v>0</v>
      </c>
      <c r="Y10" s="46">
        <f t="shared" si="3"/>
        <v>-770.48</v>
      </c>
      <c r="Z10" s="32">
        <f t="shared" si="4"/>
        <v>0</v>
      </c>
      <c r="AA10" s="32">
        <v>10.23</v>
      </c>
      <c r="AB10" s="32">
        <f t="shared" si="5"/>
        <v>0</v>
      </c>
      <c r="AC10" s="46">
        <f t="shared" si="6"/>
        <v>10.23</v>
      </c>
      <c r="AD10" s="50"/>
      <c r="AE10" s="51"/>
      <c r="AF10" s="47">
        <f t="shared" si="7"/>
        <v>770.48</v>
      </c>
      <c r="AG10" s="35">
        <v>56708881304</v>
      </c>
      <c r="AH10" s="33"/>
    </row>
    <row r="11" spans="1:35" s="18" customFormat="1">
      <c r="A11" s="71" t="s">
        <v>37</v>
      </c>
      <c r="B11" s="33" t="s">
        <v>177</v>
      </c>
      <c r="C11" s="33" t="s">
        <v>168</v>
      </c>
      <c r="D11" s="49">
        <v>43054</v>
      </c>
      <c r="E11" s="34">
        <v>1400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33"/>
      <c r="V11" s="72"/>
      <c r="W11" s="46">
        <f t="shared" si="1"/>
        <v>0</v>
      </c>
      <c r="X11" s="32"/>
      <c r="Y11" s="46"/>
      <c r="Z11" s="32"/>
      <c r="AA11" s="32"/>
      <c r="AB11" s="32"/>
      <c r="AC11" s="46"/>
      <c r="AD11" s="50"/>
      <c r="AE11" s="51"/>
      <c r="AF11" s="47"/>
      <c r="AG11" s="35">
        <v>60597130077</v>
      </c>
      <c r="AH11" s="33"/>
    </row>
    <row r="12" spans="1:35" s="18" customFormat="1">
      <c r="A12" s="71" t="s">
        <v>27</v>
      </c>
      <c r="B12" s="33" t="s">
        <v>188</v>
      </c>
      <c r="C12" s="33" t="s">
        <v>30</v>
      </c>
      <c r="D12" s="49">
        <v>43133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/>
      <c r="V12" s="72"/>
      <c r="W12" s="46"/>
      <c r="X12" s="32"/>
      <c r="Y12" s="46"/>
      <c r="Z12" s="32"/>
      <c r="AA12" s="32"/>
      <c r="AB12" s="32"/>
      <c r="AC12" s="46"/>
      <c r="AD12" s="50"/>
      <c r="AE12" s="51"/>
      <c r="AF12" s="47"/>
      <c r="AG12" s="35">
        <v>60599123025</v>
      </c>
      <c r="AH12" s="33"/>
    </row>
    <row r="13" spans="1:35" s="18" customFormat="1" ht="15.75">
      <c r="A13" s="71" t="s">
        <v>28</v>
      </c>
      <c r="B13" s="33" t="s">
        <v>129</v>
      </c>
      <c r="C13" s="33" t="s">
        <v>30</v>
      </c>
      <c r="D13" s="49">
        <v>42878</v>
      </c>
      <c r="E13" s="34">
        <v>1026.69</v>
      </c>
      <c r="F13" s="34"/>
      <c r="G13" s="34"/>
      <c r="H13" s="34"/>
      <c r="I13" s="34"/>
      <c r="J13" s="46">
        <f t="shared" si="0"/>
        <v>0</v>
      </c>
      <c r="K13" s="34"/>
      <c r="L13" s="60">
        <v>2</v>
      </c>
      <c r="M13" s="34"/>
      <c r="N13" s="34"/>
      <c r="O13" s="61"/>
      <c r="P13" s="61"/>
      <c r="Q13" s="34"/>
      <c r="R13" s="32"/>
      <c r="S13" s="66">
        <v>0.3</v>
      </c>
      <c r="T13" s="33"/>
      <c r="U13" s="33"/>
      <c r="V13" s="72">
        <v>300</v>
      </c>
      <c r="W13" s="46">
        <f t="shared" si="1"/>
        <v>-302.3</v>
      </c>
      <c r="X13" s="32"/>
      <c r="Y13" s="46"/>
      <c r="Z13" s="32"/>
      <c r="AA13" s="32"/>
      <c r="AB13" s="32"/>
      <c r="AC13" s="46"/>
      <c r="AD13" s="50"/>
      <c r="AE13" s="51"/>
      <c r="AF13" s="47"/>
      <c r="AG13" s="35">
        <v>53917427816</v>
      </c>
      <c r="AH13" s="33"/>
    </row>
    <row r="14" spans="1:35" s="18" customFormat="1">
      <c r="A14" s="71" t="s">
        <v>37</v>
      </c>
      <c r="B14" s="33" t="s">
        <v>148</v>
      </c>
      <c r="C14" s="33" t="s">
        <v>42</v>
      </c>
      <c r="D14" s="49">
        <v>42977</v>
      </c>
      <c r="E14" s="34">
        <v>933.31</v>
      </c>
      <c r="F14" s="34">
        <v>1920</v>
      </c>
      <c r="G14" s="34"/>
      <c r="H14" s="34"/>
      <c r="I14" s="34"/>
      <c r="J14" s="46">
        <f t="shared" si="0"/>
        <v>1920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33"/>
      <c r="W14" s="46">
        <f t="shared" si="1"/>
        <v>1920</v>
      </c>
      <c r="X14" s="32"/>
      <c r="Y14" s="46"/>
      <c r="Z14" s="32"/>
      <c r="AA14" s="32"/>
      <c r="AB14" s="32"/>
      <c r="AC14" s="46"/>
      <c r="AD14" s="50"/>
      <c r="AE14" s="51"/>
      <c r="AF14" s="47"/>
      <c r="AG14" s="35">
        <v>60594701908</v>
      </c>
      <c r="AH14" s="33"/>
    </row>
    <row r="15" spans="1:35" s="18" customFormat="1">
      <c r="A15" s="71" t="s">
        <v>28</v>
      </c>
      <c r="B15" s="33" t="s">
        <v>72</v>
      </c>
      <c r="C15" s="33" t="s">
        <v>31</v>
      </c>
      <c r="D15" s="49">
        <v>39699</v>
      </c>
      <c r="E15" s="34">
        <v>4666.6899999999996</v>
      </c>
      <c r="F15" s="34">
        <v>3165.49</v>
      </c>
      <c r="G15" s="34"/>
      <c r="H15" s="34"/>
      <c r="I15" s="34"/>
      <c r="J15" s="46">
        <f t="shared" si="0"/>
        <v>3165.49</v>
      </c>
      <c r="K15" s="34">
        <v>1250</v>
      </c>
      <c r="L15" s="60"/>
      <c r="M15" s="34"/>
      <c r="N15" s="34">
        <v>1000</v>
      </c>
      <c r="O15" s="61"/>
      <c r="P15" s="61"/>
      <c r="Q15" s="34"/>
      <c r="R15" s="32">
        <v>2000</v>
      </c>
      <c r="S15" s="32"/>
      <c r="T15" s="33"/>
      <c r="U15" s="33"/>
      <c r="V15" s="33"/>
      <c r="W15" s="46">
        <f t="shared" si="1"/>
        <v>-1084.5100000000002</v>
      </c>
      <c r="X15" s="32">
        <f t="shared" si="2"/>
        <v>316.54899999999998</v>
      </c>
      <c r="Y15" s="46">
        <f t="shared" si="3"/>
        <v>-1401.0590000000002</v>
      </c>
      <c r="Z15" s="32">
        <f t="shared" si="4"/>
        <v>0</v>
      </c>
      <c r="AA15" s="32">
        <v>10.23</v>
      </c>
      <c r="AB15" s="32">
        <f t="shared" si="5"/>
        <v>0</v>
      </c>
      <c r="AC15" s="46">
        <f t="shared" si="6"/>
        <v>3175.72</v>
      </c>
      <c r="AD15" s="50"/>
      <c r="AE15" s="51"/>
      <c r="AF15" s="47">
        <f t="shared" ref="AF15" si="8">+AD15+AE15-Y15</f>
        <v>1401.0590000000002</v>
      </c>
      <c r="AG15" s="35">
        <v>56708881349</v>
      </c>
      <c r="AH15" s="35" t="s">
        <v>192</v>
      </c>
    </row>
    <row r="16" spans="1:35" s="86" customFormat="1">
      <c r="A16" s="75" t="s">
        <v>28</v>
      </c>
      <c r="B16" s="75" t="s">
        <v>171</v>
      </c>
      <c r="C16" s="75" t="s">
        <v>30</v>
      </c>
      <c r="D16" s="76">
        <v>43055</v>
      </c>
      <c r="E16" s="77">
        <v>1026.69</v>
      </c>
      <c r="F16" s="77"/>
      <c r="G16" s="77"/>
      <c r="H16" s="77"/>
      <c r="I16" s="77"/>
      <c r="J16" s="78">
        <f t="shared" si="0"/>
        <v>0</v>
      </c>
      <c r="K16" s="77"/>
      <c r="L16" s="79"/>
      <c r="M16" s="77"/>
      <c r="N16" s="77"/>
      <c r="O16" s="80"/>
      <c r="P16" s="80"/>
      <c r="Q16" s="77"/>
      <c r="R16" s="81"/>
      <c r="S16" s="81"/>
      <c r="T16" s="75"/>
      <c r="U16" s="75"/>
      <c r="V16" s="75"/>
      <c r="W16" s="78">
        <f t="shared" si="1"/>
        <v>0</v>
      </c>
      <c r="X16" s="81"/>
      <c r="Y16" s="78"/>
      <c r="Z16" s="81"/>
      <c r="AA16" s="81"/>
      <c r="AB16" s="81"/>
      <c r="AC16" s="78"/>
      <c r="AD16" s="82"/>
      <c r="AE16" s="83"/>
      <c r="AF16" s="84"/>
      <c r="AG16" s="85">
        <v>60597155367</v>
      </c>
      <c r="AH16" s="75"/>
    </row>
    <row r="17" spans="1:35" s="18" customFormat="1" ht="15.75">
      <c r="A17" s="71" t="s">
        <v>27</v>
      </c>
      <c r="B17" s="33" t="s">
        <v>153</v>
      </c>
      <c r="C17" s="33" t="s">
        <v>30</v>
      </c>
      <c r="D17" s="49">
        <v>43005</v>
      </c>
      <c r="E17" s="34">
        <v>1026.69</v>
      </c>
      <c r="F17" s="34">
        <v>6848.5</v>
      </c>
      <c r="G17" s="34"/>
      <c r="H17" s="34"/>
      <c r="I17" s="34"/>
      <c r="J17" s="46">
        <f t="shared" si="0"/>
        <v>6848.5</v>
      </c>
      <c r="K17" s="34"/>
      <c r="L17" s="60"/>
      <c r="M17" s="34"/>
      <c r="N17" s="34"/>
      <c r="O17" s="61"/>
      <c r="P17" s="61"/>
      <c r="Q17" s="34"/>
      <c r="R17" s="32">
        <v>318.17</v>
      </c>
      <c r="S17" s="66"/>
      <c r="T17" s="33"/>
      <c r="U17" s="33"/>
      <c r="V17" s="33">
        <v>313.26</v>
      </c>
      <c r="W17" s="46">
        <f t="shared" si="1"/>
        <v>6217.07</v>
      </c>
      <c r="X17" s="32"/>
      <c r="Y17" s="46"/>
      <c r="Z17" s="32"/>
      <c r="AA17" s="32"/>
      <c r="AB17" s="32"/>
      <c r="AC17" s="46"/>
      <c r="AD17" s="50"/>
      <c r="AE17" s="51"/>
      <c r="AF17" s="47"/>
      <c r="AG17" s="35">
        <v>60595911850</v>
      </c>
      <c r="AH17" s="33"/>
    </row>
    <row r="18" spans="1:35" s="18" customFormat="1" ht="15.75">
      <c r="A18" s="71" t="s">
        <v>68</v>
      </c>
      <c r="B18" s="33" t="s">
        <v>55</v>
      </c>
      <c r="C18" s="33" t="s">
        <v>43</v>
      </c>
      <c r="D18" s="49">
        <v>42205</v>
      </c>
      <c r="E18" s="34">
        <v>1869</v>
      </c>
      <c r="F18" s="34"/>
      <c r="G18" s="34"/>
      <c r="H18" s="34"/>
      <c r="I18" s="34"/>
      <c r="J18" s="46">
        <f t="shared" si="0"/>
        <v>0</v>
      </c>
      <c r="K18" s="34"/>
      <c r="L18" s="60"/>
      <c r="M18" s="34"/>
      <c r="N18" s="34">
        <v>300</v>
      </c>
      <c r="O18" s="61"/>
      <c r="P18" s="61"/>
      <c r="Q18" s="34"/>
      <c r="R18" s="32"/>
      <c r="S18" s="66">
        <v>0.3</v>
      </c>
      <c r="T18" s="33"/>
      <c r="U18" s="33"/>
      <c r="V18" s="33"/>
      <c r="W18" s="46">
        <f t="shared" si="1"/>
        <v>-300.3</v>
      </c>
      <c r="X18" s="32">
        <f t="shared" si="2"/>
        <v>0</v>
      </c>
      <c r="Y18" s="46">
        <f t="shared" si="3"/>
        <v>-300.3</v>
      </c>
      <c r="Z18" s="32">
        <f t="shared" si="4"/>
        <v>0</v>
      </c>
      <c r="AA18" s="32">
        <v>10.23</v>
      </c>
      <c r="AB18" s="32">
        <f t="shared" si="5"/>
        <v>0</v>
      </c>
      <c r="AC18" s="46">
        <f t="shared" si="6"/>
        <v>10.23</v>
      </c>
      <c r="AD18" s="50"/>
      <c r="AE18" s="51"/>
      <c r="AF18" s="47">
        <f t="shared" ref="AF18" si="9">+AD18+AE18-Y18</f>
        <v>300.3</v>
      </c>
      <c r="AG18" s="35">
        <v>56708844950</v>
      </c>
      <c r="AH18" s="35"/>
    </row>
    <row r="19" spans="1:35" s="18" customFormat="1" ht="15.75">
      <c r="A19" s="71" t="s">
        <v>68</v>
      </c>
      <c r="B19" s="33" t="s">
        <v>85</v>
      </c>
      <c r="C19" s="33" t="s">
        <v>43</v>
      </c>
      <c r="D19" s="49">
        <v>42476</v>
      </c>
      <c r="E19" s="34">
        <v>1869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/>
      <c r="O19" s="61"/>
      <c r="P19" s="61"/>
      <c r="Q19" s="34"/>
      <c r="R19" s="32"/>
      <c r="S19" s="66"/>
      <c r="T19" s="33"/>
      <c r="U19" s="33"/>
      <c r="V19" s="33"/>
      <c r="W19" s="46">
        <f t="shared" si="1"/>
        <v>0</v>
      </c>
      <c r="X19" s="32">
        <f t="shared" ref="X19" si="10">IF(J19&gt;2250,J19*0.1,0)</f>
        <v>0</v>
      </c>
      <c r="Y19" s="46">
        <f t="shared" ref="Y19" si="11">+W19-X19</f>
        <v>0</v>
      </c>
      <c r="Z19" s="32">
        <f t="shared" si="4"/>
        <v>0</v>
      </c>
      <c r="AA19" s="32">
        <v>10.23</v>
      </c>
      <c r="AB19" s="32">
        <f t="shared" si="5"/>
        <v>0</v>
      </c>
      <c r="AC19" s="46">
        <f t="shared" si="6"/>
        <v>10.23</v>
      </c>
      <c r="AD19" s="50"/>
      <c r="AE19" s="51"/>
      <c r="AF19" s="47" t="e">
        <f>+AD19+AE19-#REF!</f>
        <v>#REF!</v>
      </c>
      <c r="AG19" s="35">
        <v>56708844964</v>
      </c>
      <c r="AH19" s="35"/>
    </row>
    <row r="20" spans="1:35" s="18" customFormat="1" ht="15.75">
      <c r="A20" s="71" t="s">
        <v>28</v>
      </c>
      <c r="B20" s="33" t="s">
        <v>135</v>
      </c>
      <c r="C20" s="33" t="s">
        <v>30</v>
      </c>
      <c r="D20" s="49">
        <v>42916</v>
      </c>
      <c r="E20" s="34">
        <v>1026.69</v>
      </c>
      <c r="F20" s="34">
        <v>1729.44</v>
      </c>
      <c r="G20" s="34"/>
      <c r="H20" s="34"/>
      <c r="I20" s="34"/>
      <c r="J20" s="46">
        <f t="shared" si="0"/>
        <v>1729.44</v>
      </c>
      <c r="K20" s="34"/>
      <c r="L20" s="60"/>
      <c r="M20" s="34"/>
      <c r="N20" s="34"/>
      <c r="O20" s="61"/>
      <c r="P20" s="61"/>
      <c r="Q20" s="34"/>
      <c r="R20" s="32"/>
      <c r="S20" s="66"/>
      <c r="T20" s="33"/>
      <c r="U20" s="33"/>
      <c r="V20" s="33">
        <v>446.91</v>
      </c>
      <c r="W20" s="46">
        <f t="shared" si="1"/>
        <v>1282.53</v>
      </c>
      <c r="X20" s="32"/>
      <c r="Y20" s="46"/>
      <c r="Z20" s="32"/>
      <c r="AA20" s="32"/>
      <c r="AB20" s="32"/>
      <c r="AC20" s="46"/>
      <c r="AD20" s="50"/>
      <c r="AE20" s="51"/>
      <c r="AF20" s="47"/>
      <c r="AG20" s="35">
        <v>60592609882</v>
      </c>
      <c r="AH20" s="33"/>
    </row>
    <row r="21" spans="1:35" s="18" customFormat="1" ht="15.75">
      <c r="A21" s="71" t="s">
        <v>28</v>
      </c>
      <c r="B21" s="33" t="s">
        <v>186</v>
      </c>
      <c r="C21" s="33" t="s">
        <v>168</v>
      </c>
      <c r="D21" s="49">
        <v>43130</v>
      </c>
      <c r="E21" s="34">
        <v>1400</v>
      </c>
      <c r="F21" s="34"/>
      <c r="G21" s="34"/>
      <c r="H21" s="34"/>
      <c r="I21" s="34"/>
      <c r="J21" s="46">
        <f t="shared" si="0"/>
        <v>0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/>
      <c r="V21" s="33">
        <v>420</v>
      </c>
      <c r="W21" s="46">
        <f t="shared" si="1"/>
        <v>-420</v>
      </c>
      <c r="X21" s="32"/>
      <c r="Y21" s="46"/>
      <c r="Z21" s="32"/>
      <c r="AA21" s="32"/>
      <c r="AB21" s="32"/>
      <c r="AC21" s="46"/>
      <c r="AD21" s="50"/>
      <c r="AE21" s="51"/>
      <c r="AF21" s="47"/>
      <c r="AG21" s="35">
        <v>60597731747</v>
      </c>
      <c r="AH21" s="33"/>
    </row>
    <row r="22" spans="1:35" s="18" customFormat="1">
      <c r="A22" s="71" t="s">
        <v>28</v>
      </c>
      <c r="B22" s="33" t="s">
        <v>157</v>
      </c>
      <c r="C22" s="33" t="s">
        <v>30</v>
      </c>
      <c r="D22" s="49">
        <v>43012</v>
      </c>
      <c r="E22" s="34">
        <v>1026.69</v>
      </c>
      <c r="F22" s="34">
        <v>214.4</v>
      </c>
      <c r="G22" s="34"/>
      <c r="H22" s="34"/>
      <c r="I22" s="34"/>
      <c r="J22" s="46">
        <f t="shared" si="0"/>
        <v>214.4</v>
      </c>
      <c r="K22" s="34"/>
      <c r="L22" s="60"/>
      <c r="M22" s="34"/>
      <c r="N22" s="34"/>
      <c r="O22" s="61"/>
      <c r="P22" s="61"/>
      <c r="Q22" s="34"/>
      <c r="R22" s="32"/>
      <c r="S22" s="32"/>
      <c r="T22" s="33"/>
      <c r="U22" s="33"/>
      <c r="V22" s="72"/>
      <c r="W22" s="46">
        <f t="shared" si="1"/>
        <v>214.4</v>
      </c>
      <c r="X22" s="32"/>
      <c r="Y22" s="46"/>
      <c r="Z22" s="32"/>
      <c r="AA22" s="32"/>
      <c r="AB22" s="32"/>
      <c r="AC22" s="46"/>
      <c r="AD22" s="50"/>
      <c r="AE22" s="51"/>
      <c r="AF22" s="47"/>
      <c r="AG22" s="73" t="s">
        <v>156</v>
      </c>
      <c r="AH22" s="35"/>
      <c r="AI22" s="18" t="s">
        <v>121</v>
      </c>
    </row>
    <row r="23" spans="1:35" s="18" customFormat="1" ht="15.75">
      <c r="A23" s="71" t="s">
        <v>28</v>
      </c>
      <c r="B23" s="33" t="s">
        <v>84</v>
      </c>
      <c r="C23" s="33" t="s">
        <v>30</v>
      </c>
      <c r="D23" s="49">
        <v>42413</v>
      </c>
      <c r="E23" s="34">
        <v>1026.69</v>
      </c>
      <c r="F23" s="34">
        <v>3401.31</v>
      </c>
      <c r="G23" s="34"/>
      <c r="H23" s="34"/>
      <c r="I23" s="34"/>
      <c r="J23" s="46">
        <f t="shared" si="0"/>
        <v>3401.31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33"/>
      <c r="W23" s="46">
        <f t="shared" si="1"/>
        <v>3401.31</v>
      </c>
      <c r="X23" s="32">
        <f t="shared" si="2"/>
        <v>340.13100000000003</v>
      </c>
      <c r="Y23" s="46">
        <f t="shared" si="3"/>
        <v>3061.1790000000001</v>
      </c>
      <c r="Z23" s="32">
        <f t="shared" si="4"/>
        <v>0</v>
      </c>
      <c r="AA23" s="32">
        <v>13.23</v>
      </c>
      <c r="AB23" s="32">
        <f t="shared" si="5"/>
        <v>0</v>
      </c>
      <c r="AC23" s="46">
        <f t="shared" si="6"/>
        <v>3414.54</v>
      </c>
      <c r="AD23" s="50"/>
      <c r="AE23" s="51"/>
      <c r="AF23" s="47">
        <f>+AD23+AE23-Y23</f>
        <v>-3061.1790000000001</v>
      </c>
      <c r="AG23" s="35">
        <v>60590329504</v>
      </c>
      <c r="AH23" s="33"/>
    </row>
    <row r="24" spans="1:35" s="18" customFormat="1" ht="15.75">
      <c r="A24" s="71" t="s">
        <v>28</v>
      </c>
      <c r="B24" s="33" t="s">
        <v>90</v>
      </c>
      <c r="C24" s="33" t="s">
        <v>99</v>
      </c>
      <c r="D24" s="49">
        <v>42480</v>
      </c>
      <c r="E24" s="34">
        <v>2800</v>
      </c>
      <c r="F24" s="34"/>
      <c r="G24" s="34"/>
      <c r="H24" s="34"/>
      <c r="I24" s="34"/>
      <c r="J24" s="46">
        <f t="shared" si="0"/>
        <v>0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/>
      <c r="V24" s="33"/>
      <c r="W24" s="46">
        <f t="shared" si="1"/>
        <v>0</v>
      </c>
      <c r="X24" s="32">
        <f t="shared" ref="X24:X43" si="12">IF(J24&gt;2250,J24*0.1,0)</f>
        <v>0</v>
      </c>
      <c r="Y24" s="46">
        <f t="shared" ref="Y24:Y43" si="13">+W24-X24</f>
        <v>0</v>
      </c>
      <c r="Z24" s="32">
        <f t="shared" ref="Z24:Z43" si="14">IF(J24&lt;2250,J24*0.1,0)</f>
        <v>0</v>
      </c>
      <c r="AA24" s="32">
        <v>17.23</v>
      </c>
      <c r="AB24" s="32">
        <f t="shared" ref="AB24:AB43" si="15">+O24</f>
        <v>0</v>
      </c>
      <c r="AC24" s="46">
        <f t="shared" ref="AC24:AC43" si="16">+J24+Z24+AA24+AB24</f>
        <v>17.23</v>
      </c>
      <c r="AD24" s="50"/>
      <c r="AE24" s="51"/>
      <c r="AF24" s="47">
        <f>+AD24+AE24-Y24</f>
        <v>0</v>
      </c>
      <c r="AG24" s="35">
        <v>56708845010</v>
      </c>
      <c r="AH24" s="33"/>
    </row>
    <row r="25" spans="1:35" s="18" customFormat="1" ht="15.75">
      <c r="A25" s="71" t="s">
        <v>39</v>
      </c>
      <c r="B25" s="33" t="s">
        <v>122</v>
      </c>
      <c r="C25" s="33" t="s">
        <v>43</v>
      </c>
      <c r="D25" s="49">
        <v>42826</v>
      </c>
      <c r="E25" s="34">
        <v>1633.31</v>
      </c>
      <c r="F25" s="34"/>
      <c r="G25" s="34"/>
      <c r="H25" s="34"/>
      <c r="I25" s="34"/>
      <c r="J25" s="46">
        <f t="shared" si="0"/>
        <v>0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33"/>
      <c r="W25" s="46">
        <f t="shared" si="1"/>
        <v>0</v>
      </c>
      <c r="X25" s="32">
        <f t="shared" si="12"/>
        <v>0</v>
      </c>
      <c r="Y25" s="46"/>
      <c r="Z25" s="32">
        <f t="shared" si="14"/>
        <v>0</v>
      </c>
      <c r="AA25" s="32"/>
      <c r="AB25" s="32"/>
      <c r="AC25" s="46"/>
      <c r="AD25" s="50"/>
      <c r="AE25" s="51"/>
      <c r="AF25" s="47"/>
      <c r="AG25" s="35">
        <v>60590035118</v>
      </c>
      <c r="AH25" s="35"/>
    </row>
    <row r="26" spans="1:35" s="18" customFormat="1" ht="15.75">
      <c r="A26" s="71" t="s">
        <v>27</v>
      </c>
      <c r="B26" s="33" t="s">
        <v>134</v>
      </c>
      <c r="C26" s="33" t="s">
        <v>44</v>
      </c>
      <c r="D26" s="49">
        <v>42916</v>
      </c>
      <c r="E26" s="34">
        <v>1026.69</v>
      </c>
      <c r="F26" s="34"/>
      <c r="G26" s="34"/>
      <c r="H26" s="34"/>
      <c r="I26" s="34"/>
      <c r="J26" s="46">
        <f t="shared" si="0"/>
        <v>0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33">
        <v>661.74</v>
      </c>
      <c r="W26" s="46">
        <f t="shared" si="1"/>
        <v>-661.74</v>
      </c>
      <c r="X26" s="32"/>
      <c r="Y26" s="46"/>
      <c r="Z26" s="32"/>
      <c r="AA26" s="32"/>
      <c r="AB26" s="32"/>
      <c r="AC26" s="46"/>
      <c r="AD26" s="50"/>
      <c r="AE26" s="51"/>
      <c r="AF26" s="47"/>
      <c r="AG26" s="35">
        <v>60584074827</v>
      </c>
      <c r="AH26" s="33"/>
    </row>
    <row r="27" spans="1:35" s="18" customFormat="1" ht="15.75">
      <c r="A27" s="71" t="s">
        <v>28</v>
      </c>
      <c r="B27" s="33" t="s">
        <v>126</v>
      </c>
      <c r="C27" s="33" t="s">
        <v>30</v>
      </c>
      <c r="D27" s="49">
        <v>41463</v>
      </c>
      <c r="E27" s="34">
        <v>1026.69</v>
      </c>
      <c r="F27" s="34"/>
      <c r="G27" s="34"/>
      <c r="H27" s="34"/>
      <c r="I27" s="34"/>
      <c r="J27" s="46">
        <f t="shared" si="0"/>
        <v>0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33"/>
      <c r="W27" s="46">
        <f t="shared" si="1"/>
        <v>0</v>
      </c>
      <c r="X27" s="32">
        <f t="shared" si="12"/>
        <v>0</v>
      </c>
      <c r="Y27" s="46">
        <f t="shared" si="13"/>
        <v>0</v>
      </c>
      <c r="Z27" s="32">
        <f t="shared" si="14"/>
        <v>0</v>
      </c>
      <c r="AA27" s="32">
        <v>20.23</v>
      </c>
      <c r="AB27" s="32">
        <f t="shared" si="15"/>
        <v>0</v>
      </c>
      <c r="AC27" s="46">
        <f t="shared" si="16"/>
        <v>20.23</v>
      </c>
      <c r="AD27" s="50"/>
      <c r="AE27" s="51"/>
      <c r="AF27" s="47">
        <f>+AD27+AE27-Y27</f>
        <v>0</v>
      </c>
      <c r="AG27" s="35">
        <v>56708881457</v>
      </c>
      <c r="AH27" s="33"/>
    </row>
    <row r="28" spans="1:35" s="18" customFormat="1" ht="15.75">
      <c r="A28" s="71" t="s">
        <v>28</v>
      </c>
      <c r="B28" s="33" t="s">
        <v>170</v>
      </c>
      <c r="C28" s="33" t="s">
        <v>30</v>
      </c>
      <c r="D28" s="49">
        <v>43052</v>
      </c>
      <c r="E28" s="34">
        <v>1026.69</v>
      </c>
      <c r="F28" s="34"/>
      <c r="G28" s="34"/>
      <c r="H28" s="34"/>
      <c r="I28" s="34"/>
      <c r="J28" s="46">
        <f t="shared" si="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33"/>
      <c r="W28" s="46">
        <f t="shared" si="1"/>
        <v>0</v>
      </c>
      <c r="X28" s="32"/>
      <c r="Y28" s="46"/>
      <c r="Z28" s="32"/>
      <c r="AA28" s="32"/>
      <c r="AB28" s="32"/>
      <c r="AC28" s="46"/>
      <c r="AD28" s="50"/>
      <c r="AE28" s="51"/>
      <c r="AF28" s="47"/>
      <c r="AG28" s="35">
        <v>60597082882</v>
      </c>
      <c r="AH28" s="33"/>
    </row>
    <row r="29" spans="1:35" s="18" customFormat="1" ht="15.75">
      <c r="A29" s="71" t="s">
        <v>26</v>
      </c>
      <c r="B29" s="33" t="s">
        <v>123</v>
      </c>
      <c r="C29" s="33" t="s">
        <v>91</v>
      </c>
      <c r="D29" s="49">
        <v>40618</v>
      </c>
      <c r="E29" s="34">
        <v>1633.31</v>
      </c>
      <c r="F29" s="34">
        <v>3079.28</v>
      </c>
      <c r="G29" s="34"/>
      <c r="H29" s="34"/>
      <c r="I29" s="34"/>
      <c r="J29" s="46">
        <f t="shared" si="0"/>
        <v>3079.28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33">
        <v>1338.48</v>
      </c>
      <c r="W29" s="46">
        <f t="shared" si="1"/>
        <v>1740.8000000000002</v>
      </c>
      <c r="X29" s="32">
        <f t="shared" si="12"/>
        <v>307.92800000000005</v>
      </c>
      <c r="Y29" s="46">
        <f t="shared" si="13"/>
        <v>1432.8720000000001</v>
      </c>
      <c r="Z29" s="32">
        <f t="shared" si="14"/>
        <v>0</v>
      </c>
      <c r="AA29" s="32">
        <v>21.23</v>
      </c>
      <c r="AB29" s="32">
        <f t="shared" si="15"/>
        <v>0</v>
      </c>
      <c r="AC29" s="46">
        <f t="shared" si="16"/>
        <v>3100.51</v>
      </c>
      <c r="AD29" s="50"/>
      <c r="AE29" s="51"/>
      <c r="AF29" s="47"/>
      <c r="AG29" s="35">
        <v>56708845038</v>
      </c>
      <c r="AH29" s="33"/>
    </row>
    <row r="30" spans="1:35" s="18" customFormat="1" ht="15.75">
      <c r="A30" s="71" t="s">
        <v>28</v>
      </c>
      <c r="B30" s="33" t="s">
        <v>83</v>
      </c>
      <c r="C30" s="33" t="s">
        <v>30</v>
      </c>
      <c r="D30" s="49">
        <v>42296</v>
      </c>
      <c r="E30" s="34">
        <v>1026.69</v>
      </c>
      <c r="F30" s="34">
        <v>2478.9</v>
      </c>
      <c r="G30" s="34"/>
      <c r="H30" s="34"/>
      <c r="I30" s="34"/>
      <c r="J30" s="46">
        <f t="shared" si="0"/>
        <v>2478.9</v>
      </c>
      <c r="K30" s="34"/>
      <c r="L30" s="60"/>
      <c r="M30" s="34"/>
      <c r="N30" s="34"/>
      <c r="O30" s="61"/>
      <c r="P30" s="61"/>
      <c r="Q30" s="34"/>
      <c r="R30" s="32">
        <v>1500</v>
      </c>
      <c r="S30" s="66"/>
      <c r="T30" s="33"/>
      <c r="U30" s="33"/>
      <c r="V30" s="33">
        <v>886.08</v>
      </c>
      <c r="W30" s="46">
        <f t="shared" si="1"/>
        <v>92.820000000000164</v>
      </c>
      <c r="X30" s="32">
        <f t="shared" si="12"/>
        <v>247.89000000000001</v>
      </c>
      <c r="Y30" s="46">
        <f t="shared" si="13"/>
        <v>-155.06999999999985</v>
      </c>
      <c r="Z30" s="32">
        <f t="shared" si="14"/>
        <v>0</v>
      </c>
      <c r="AA30" s="32">
        <v>10.23</v>
      </c>
      <c r="AB30" s="32">
        <f t="shared" si="15"/>
        <v>0</v>
      </c>
      <c r="AC30" s="46">
        <f t="shared" si="16"/>
        <v>2489.13</v>
      </c>
      <c r="AD30" s="50"/>
      <c r="AE30" s="51"/>
      <c r="AF30" s="47">
        <f>+AD30+AE30-Y30</f>
        <v>155.06999999999985</v>
      </c>
      <c r="AG30" s="35">
        <v>56708881460</v>
      </c>
      <c r="AH30" s="33"/>
    </row>
    <row r="31" spans="1:35" s="18" customFormat="1" ht="15.75">
      <c r="A31" s="71" t="s">
        <v>27</v>
      </c>
      <c r="B31" s="33" t="s">
        <v>136</v>
      </c>
      <c r="C31" s="33" t="s">
        <v>44</v>
      </c>
      <c r="D31" s="49">
        <v>42916</v>
      </c>
      <c r="E31" s="34">
        <v>1026.69</v>
      </c>
      <c r="F31" s="34"/>
      <c r="G31" s="34"/>
      <c r="H31" s="34"/>
      <c r="I31" s="34"/>
      <c r="J31" s="46">
        <f t="shared" si="0"/>
        <v>0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33"/>
      <c r="W31" s="46">
        <f t="shared" si="1"/>
        <v>0</v>
      </c>
      <c r="X31" s="32"/>
      <c r="Y31" s="46"/>
      <c r="Z31" s="32"/>
      <c r="AA31" s="32"/>
      <c r="AB31" s="32"/>
      <c r="AC31" s="46"/>
      <c r="AD31" s="50"/>
      <c r="AE31" s="51"/>
      <c r="AF31" s="47"/>
      <c r="AG31" s="35">
        <v>60592636121</v>
      </c>
      <c r="AH31" s="33"/>
    </row>
    <row r="32" spans="1:35" s="18" customFormat="1" ht="15.75">
      <c r="A32" s="71" t="s">
        <v>28</v>
      </c>
      <c r="B32" s="33" t="s">
        <v>169</v>
      </c>
      <c r="C32" s="33" t="s">
        <v>168</v>
      </c>
      <c r="D32" s="49">
        <v>43035</v>
      </c>
      <c r="E32" s="34">
        <v>1400</v>
      </c>
      <c r="F32" s="34"/>
      <c r="G32" s="34"/>
      <c r="H32" s="34"/>
      <c r="I32" s="34"/>
      <c r="J32" s="46">
        <f t="shared" si="0"/>
        <v>0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33"/>
      <c r="W32" s="46">
        <f t="shared" si="1"/>
        <v>0</v>
      </c>
      <c r="X32" s="32"/>
      <c r="Y32" s="46"/>
      <c r="Z32" s="32"/>
      <c r="AA32" s="32"/>
      <c r="AB32" s="32"/>
      <c r="AC32" s="46"/>
      <c r="AD32" s="50"/>
      <c r="AE32" s="51"/>
      <c r="AF32" s="47"/>
      <c r="AG32" s="35">
        <v>60596635649</v>
      </c>
      <c r="AH32" s="33"/>
    </row>
    <row r="33" spans="1:35" s="18" customFormat="1" ht="15.75">
      <c r="A33" s="71" t="s">
        <v>37</v>
      </c>
      <c r="B33" s="33" t="s">
        <v>147</v>
      </c>
      <c r="C33" s="33" t="s">
        <v>29</v>
      </c>
      <c r="D33" s="49">
        <v>42978</v>
      </c>
      <c r="E33" s="34">
        <v>1166.6199999999999</v>
      </c>
      <c r="F33" s="34">
        <v>2549.1999999999998</v>
      </c>
      <c r="G33" s="34"/>
      <c r="H33" s="34"/>
      <c r="I33" s="34"/>
      <c r="J33" s="46">
        <f t="shared" si="0"/>
        <v>2549.1999999999998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33"/>
      <c r="W33" s="46">
        <f t="shared" si="1"/>
        <v>2549.1999999999998</v>
      </c>
      <c r="X33" s="32"/>
      <c r="Y33" s="46"/>
      <c r="Z33" s="32"/>
      <c r="AA33" s="32"/>
      <c r="AB33" s="32"/>
      <c r="AC33" s="46"/>
      <c r="AD33" s="50"/>
      <c r="AE33" s="51"/>
      <c r="AF33" s="47"/>
      <c r="AG33" s="35">
        <v>60594750506</v>
      </c>
      <c r="AH33" s="33"/>
    </row>
    <row r="34" spans="1:35" s="18" customFormat="1" ht="15.75">
      <c r="A34" s="71" t="s">
        <v>28</v>
      </c>
      <c r="B34" s="33" t="s">
        <v>172</v>
      </c>
      <c r="C34" s="33" t="s">
        <v>173</v>
      </c>
      <c r="D34" s="49">
        <v>43063</v>
      </c>
      <c r="E34" s="34">
        <v>2333.31</v>
      </c>
      <c r="F34" s="34"/>
      <c r="G34" s="34"/>
      <c r="H34" s="34"/>
      <c r="I34" s="34"/>
      <c r="J34" s="46">
        <f t="shared" si="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33"/>
      <c r="W34" s="46">
        <f t="shared" si="1"/>
        <v>0</v>
      </c>
      <c r="X34" s="32"/>
      <c r="Y34" s="46"/>
      <c r="Z34" s="32"/>
      <c r="AA34" s="32"/>
      <c r="AB34" s="32"/>
      <c r="AC34" s="46"/>
      <c r="AD34" s="50"/>
      <c r="AE34" s="51"/>
      <c r="AF34" s="47"/>
      <c r="AG34" s="35">
        <v>56701660014</v>
      </c>
      <c r="AH34" s="35"/>
    </row>
    <row r="35" spans="1:35" s="18" customFormat="1">
      <c r="A35" s="71" t="s">
        <v>28</v>
      </c>
      <c r="B35" s="33" t="s">
        <v>86</v>
      </c>
      <c r="C35" s="33" t="s">
        <v>30</v>
      </c>
      <c r="D35" s="49">
        <v>37834</v>
      </c>
      <c r="E35" s="34">
        <v>1026.69</v>
      </c>
      <c r="F35" s="34">
        <v>12628.45</v>
      </c>
      <c r="G35" s="34"/>
      <c r="H35" s="34"/>
      <c r="I35" s="34"/>
      <c r="J35" s="46">
        <f t="shared" si="0"/>
        <v>12628.45</v>
      </c>
      <c r="K35" s="34"/>
      <c r="L35" s="60"/>
      <c r="M35" s="34"/>
      <c r="N35" s="34"/>
      <c r="O35" s="61"/>
      <c r="P35" s="61"/>
      <c r="Q35" s="34"/>
      <c r="R35" s="32"/>
      <c r="S35" s="32"/>
      <c r="T35" s="33"/>
      <c r="U35" s="33"/>
      <c r="V35" s="33"/>
      <c r="W35" s="46">
        <f t="shared" si="1"/>
        <v>12628.45</v>
      </c>
      <c r="X35" s="32">
        <f t="shared" si="12"/>
        <v>1262.8450000000003</v>
      </c>
      <c r="Y35" s="46">
        <f t="shared" si="13"/>
        <v>11365.605</v>
      </c>
      <c r="Z35" s="32">
        <f t="shared" si="14"/>
        <v>0</v>
      </c>
      <c r="AA35" s="32">
        <v>10.23</v>
      </c>
      <c r="AB35" s="32">
        <f t="shared" si="15"/>
        <v>0</v>
      </c>
      <c r="AC35" s="46">
        <f t="shared" si="16"/>
        <v>12638.68</v>
      </c>
      <c r="AD35" s="50"/>
      <c r="AE35" s="51"/>
      <c r="AF35" s="47">
        <f t="shared" ref="AF35" si="17">+AD35+AE35-Y35</f>
        <v>-11365.605</v>
      </c>
      <c r="AG35" s="35">
        <v>56708881503</v>
      </c>
      <c r="AH35" s="35"/>
    </row>
    <row r="36" spans="1:35" s="18" customFormat="1">
      <c r="A36" s="71" t="s">
        <v>28</v>
      </c>
      <c r="B36" s="33" t="s">
        <v>187</v>
      </c>
      <c r="C36" s="33" t="s">
        <v>30</v>
      </c>
      <c r="D36" s="49">
        <v>43126</v>
      </c>
      <c r="E36" s="34">
        <v>1026.69</v>
      </c>
      <c r="F36" s="63"/>
      <c r="G36" s="63"/>
      <c r="H36" s="34"/>
      <c r="I36" s="34"/>
      <c r="J36" s="46">
        <f t="shared" si="0"/>
        <v>0</v>
      </c>
      <c r="K36" s="34"/>
      <c r="L36" s="60"/>
      <c r="M36" s="34"/>
      <c r="N36" s="34"/>
      <c r="O36" s="61"/>
      <c r="P36" s="61"/>
      <c r="Q36" s="34"/>
      <c r="R36" s="32"/>
      <c r="S36" s="32"/>
      <c r="T36" s="48"/>
      <c r="U36" s="48"/>
      <c r="V36" s="48"/>
      <c r="W36" s="46">
        <f t="shared" si="1"/>
        <v>0</v>
      </c>
      <c r="X36" s="32"/>
      <c r="Y36" s="46"/>
      <c r="Z36" s="32"/>
      <c r="AA36" s="32"/>
      <c r="AB36" s="32"/>
      <c r="AC36" s="46"/>
      <c r="AD36" s="50"/>
      <c r="AE36" s="51"/>
      <c r="AF36" s="47"/>
      <c r="AG36" s="35">
        <v>60598943656</v>
      </c>
      <c r="AH36" s="35"/>
    </row>
    <row r="37" spans="1:35" s="18" customFormat="1">
      <c r="A37" s="71" t="s">
        <v>28</v>
      </c>
      <c r="B37" s="33" t="s">
        <v>76</v>
      </c>
      <c r="C37" s="33" t="s">
        <v>43</v>
      </c>
      <c r="D37" s="49">
        <v>40813</v>
      </c>
      <c r="E37" s="34">
        <v>1869</v>
      </c>
      <c r="F37" s="63"/>
      <c r="G37" s="63"/>
      <c r="H37" s="34"/>
      <c r="I37" s="34"/>
      <c r="J37" s="46">
        <f t="shared" si="0"/>
        <v>0</v>
      </c>
      <c r="K37" s="34"/>
      <c r="L37" s="60"/>
      <c r="M37" s="34"/>
      <c r="N37" s="34"/>
      <c r="O37" s="61"/>
      <c r="P37" s="61"/>
      <c r="Q37" s="34"/>
      <c r="R37" s="32"/>
      <c r="S37" s="32"/>
      <c r="T37" s="48"/>
      <c r="U37" s="48"/>
      <c r="V37" s="48"/>
      <c r="W37" s="46">
        <f t="shared" si="1"/>
        <v>0</v>
      </c>
      <c r="X37" s="32">
        <f t="shared" ref="X37" si="18">+W37*0.05</f>
        <v>0</v>
      </c>
      <c r="Y37" s="46">
        <f t="shared" ref="Y37" si="19">+W37-R37-V37</f>
        <v>0</v>
      </c>
      <c r="Z37" s="32">
        <f t="shared" ref="Z37" si="20">IF(W37&lt;3000,W37*0.1,0)</f>
        <v>0</v>
      </c>
      <c r="AA37" s="32"/>
      <c r="AB37" s="32"/>
      <c r="AC37" s="46">
        <f t="shared" ref="AC37" si="21">+W37+Z37+AA37</f>
        <v>0</v>
      </c>
      <c r="AD37" s="50"/>
      <c r="AE37" s="51"/>
      <c r="AF37" s="47"/>
      <c r="AG37" s="35">
        <v>60589552237</v>
      </c>
      <c r="AH37" s="35"/>
    </row>
    <row r="38" spans="1:35" s="18" customFormat="1">
      <c r="A38" s="71" t="s">
        <v>27</v>
      </c>
      <c r="B38" s="33" t="s">
        <v>137</v>
      </c>
      <c r="C38" s="33" t="s">
        <v>30</v>
      </c>
      <c r="D38" s="49">
        <v>42852</v>
      </c>
      <c r="E38" s="34">
        <v>1026.69</v>
      </c>
      <c r="F38" s="34"/>
      <c r="G38" s="34"/>
      <c r="H38" s="34"/>
      <c r="I38" s="34"/>
      <c r="J38" s="46">
        <f t="shared" si="0"/>
        <v>0</v>
      </c>
      <c r="K38" s="34"/>
      <c r="L38" s="60"/>
      <c r="M38" s="34"/>
      <c r="N38" s="34"/>
      <c r="O38" s="61"/>
      <c r="P38" s="61"/>
      <c r="Q38" s="34"/>
      <c r="R38" s="32"/>
      <c r="S38" s="32"/>
      <c r="T38" s="48"/>
      <c r="U38" s="48"/>
      <c r="V38" s="48"/>
      <c r="W38" s="46">
        <f t="shared" si="1"/>
        <v>0</v>
      </c>
      <c r="X38" s="32"/>
      <c r="Y38" s="46"/>
      <c r="Z38" s="32"/>
      <c r="AA38" s="32"/>
      <c r="AB38" s="32"/>
      <c r="AC38" s="46"/>
      <c r="AD38" s="50"/>
      <c r="AE38" s="51"/>
      <c r="AF38" s="47"/>
      <c r="AG38" s="35">
        <v>60590678030</v>
      </c>
      <c r="AH38" s="35"/>
    </row>
    <row r="39" spans="1:35" s="86" customFormat="1">
      <c r="A39" s="75" t="s">
        <v>26</v>
      </c>
      <c r="B39" s="75" t="s">
        <v>151</v>
      </c>
      <c r="C39" s="75" t="s">
        <v>29</v>
      </c>
      <c r="D39" s="76">
        <v>42991</v>
      </c>
      <c r="E39" s="77">
        <v>1166.6199999999999</v>
      </c>
      <c r="F39" s="77"/>
      <c r="G39" s="77"/>
      <c r="H39" s="77"/>
      <c r="I39" s="77"/>
      <c r="J39" s="78">
        <f t="shared" si="0"/>
        <v>0</v>
      </c>
      <c r="K39" s="77"/>
      <c r="L39" s="79"/>
      <c r="M39" s="77"/>
      <c r="N39" s="77"/>
      <c r="O39" s="80"/>
      <c r="P39" s="80"/>
      <c r="Q39" s="77"/>
      <c r="R39" s="81"/>
      <c r="S39" s="81"/>
      <c r="T39" s="75"/>
      <c r="U39" s="75"/>
      <c r="V39" s="75"/>
      <c r="W39" s="78">
        <f t="shared" si="1"/>
        <v>0</v>
      </c>
      <c r="X39" s="81"/>
      <c r="Y39" s="78"/>
      <c r="Z39" s="81"/>
      <c r="AA39" s="81"/>
      <c r="AB39" s="81"/>
      <c r="AC39" s="78"/>
      <c r="AD39" s="82"/>
      <c r="AE39" s="83"/>
      <c r="AF39" s="84"/>
      <c r="AG39" s="85">
        <v>1168500843</v>
      </c>
      <c r="AH39" s="75"/>
      <c r="AI39" s="86" t="s">
        <v>121</v>
      </c>
    </row>
    <row r="40" spans="1:35" s="18" customFormat="1">
      <c r="A40" s="71" t="s">
        <v>28</v>
      </c>
      <c r="B40" s="33" t="s">
        <v>146</v>
      </c>
      <c r="C40" s="33" t="s">
        <v>30</v>
      </c>
      <c r="D40" s="49">
        <v>42961</v>
      </c>
      <c r="E40" s="34">
        <v>1022.56</v>
      </c>
      <c r="F40" s="34"/>
      <c r="G40" s="34"/>
      <c r="H40" s="34"/>
      <c r="I40" s="34"/>
      <c r="J40" s="46">
        <f t="shared" si="0"/>
        <v>0</v>
      </c>
      <c r="K40" s="34"/>
      <c r="L40" s="60"/>
      <c r="M40" s="34"/>
      <c r="N40" s="34"/>
      <c r="O40" s="61"/>
      <c r="P40" s="61"/>
      <c r="Q40" s="34"/>
      <c r="R40" s="32"/>
      <c r="S40" s="32"/>
      <c r="T40" s="48"/>
      <c r="U40" s="48"/>
      <c r="V40" s="48"/>
      <c r="W40" s="46">
        <f t="shared" si="1"/>
        <v>0</v>
      </c>
      <c r="X40" s="32"/>
      <c r="Y40" s="46"/>
      <c r="Z40" s="32"/>
      <c r="AA40" s="32"/>
      <c r="AB40" s="32"/>
      <c r="AC40" s="46"/>
      <c r="AD40" s="50"/>
      <c r="AE40" s="51"/>
      <c r="AF40" s="47"/>
      <c r="AG40" s="35">
        <v>60589665774</v>
      </c>
      <c r="AH40" s="35"/>
    </row>
    <row r="41" spans="1:35" s="18" customFormat="1">
      <c r="A41" s="71" t="s">
        <v>28</v>
      </c>
      <c r="B41" s="33" t="s">
        <v>138</v>
      </c>
      <c r="C41" s="33" t="s">
        <v>30</v>
      </c>
      <c r="D41" s="49">
        <v>42380</v>
      </c>
      <c r="E41" s="34">
        <v>1022.56</v>
      </c>
      <c r="F41" s="34">
        <v>21466.25</v>
      </c>
      <c r="G41" s="34"/>
      <c r="H41" s="34"/>
      <c r="I41" s="34"/>
      <c r="J41" s="46">
        <f t="shared" si="0"/>
        <v>21466.25</v>
      </c>
      <c r="K41" s="34"/>
      <c r="L41" s="60"/>
      <c r="M41" s="34"/>
      <c r="N41" s="34"/>
      <c r="O41" s="61"/>
      <c r="P41" s="61"/>
      <c r="Q41" s="34"/>
      <c r="R41" s="32"/>
      <c r="S41" s="32"/>
      <c r="T41" s="33"/>
      <c r="U41" s="33"/>
      <c r="V41" s="33"/>
      <c r="W41" s="46">
        <f t="shared" si="1"/>
        <v>21466.25</v>
      </c>
      <c r="X41" s="32"/>
      <c r="Y41" s="46"/>
      <c r="Z41" s="32"/>
      <c r="AA41" s="32"/>
      <c r="AB41" s="32"/>
      <c r="AC41" s="46"/>
      <c r="AD41" s="50"/>
      <c r="AE41" s="51"/>
      <c r="AF41" s="47"/>
      <c r="AG41" s="35">
        <v>56708881702</v>
      </c>
      <c r="AH41" s="33"/>
    </row>
    <row r="42" spans="1:35" s="18" customFormat="1">
      <c r="A42" s="71" t="s">
        <v>39</v>
      </c>
      <c r="B42" s="33" t="s">
        <v>130</v>
      </c>
      <c r="C42" s="33" t="s">
        <v>43</v>
      </c>
      <c r="D42" s="49">
        <v>42891</v>
      </c>
      <c r="E42" s="34">
        <v>1633.31</v>
      </c>
      <c r="F42" s="34"/>
      <c r="G42" s="34"/>
      <c r="H42" s="34"/>
      <c r="I42" s="34"/>
      <c r="J42" s="46">
        <f t="shared" si="0"/>
        <v>0</v>
      </c>
      <c r="K42" s="34"/>
      <c r="L42" s="60"/>
      <c r="M42" s="34"/>
      <c r="N42" s="34"/>
      <c r="O42" s="61"/>
      <c r="P42" s="61"/>
      <c r="Q42" s="34"/>
      <c r="R42" s="32"/>
      <c r="S42" s="32"/>
      <c r="T42" s="33"/>
      <c r="U42" s="33"/>
      <c r="V42" s="33"/>
      <c r="W42" s="46">
        <f t="shared" si="1"/>
        <v>0</v>
      </c>
      <c r="X42" s="32"/>
      <c r="Y42" s="46"/>
      <c r="Z42" s="32"/>
      <c r="AA42" s="32"/>
      <c r="AB42" s="32"/>
      <c r="AC42" s="46"/>
      <c r="AD42" s="50"/>
      <c r="AE42" s="51"/>
      <c r="AF42" s="47"/>
      <c r="AG42" s="35">
        <v>60590340221</v>
      </c>
      <c r="AH42" s="35"/>
    </row>
    <row r="43" spans="1:35" s="18" customFormat="1">
      <c r="A43" s="71" t="s">
        <v>37</v>
      </c>
      <c r="B43" s="33" t="s">
        <v>89</v>
      </c>
      <c r="C43" s="33" t="s">
        <v>29</v>
      </c>
      <c r="D43" s="49">
        <v>42506</v>
      </c>
      <c r="E43" s="34">
        <v>1166.27</v>
      </c>
      <c r="F43" s="34">
        <v>1942.84</v>
      </c>
      <c r="G43" s="34"/>
      <c r="H43" s="34"/>
      <c r="I43" s="34"/>
      <c r="J43" s="46">
        <f t="shared" si="0"/>
        <v>1942.84</v>
      </c>
      <c r="K43" s="34"/>
      <c r="L43" s="60" t="s">
        <v>193</v>
      </c>
      <c r="M43" s="34"/>
      <c r="N43" s="34"/>
      <c r="O43" s="61"/>
      <c r="P43" s="61"/>
      <c r="Q43" s="34"/>
      <c r="R43" s="32"/>
      <c r="S43" s="32"/>
      <c r="T43" s="33"/>
      <c r="U43" s="33"/>
      <c r="V43" s="33"/>
      <c r="W43" s="46">
        <f t="shared" si="1"/>
        <v>1942.84</v>
      </c>
      <c r="X43" s="32">
        <f t="shared" si="12"/>
        <v>0</v>
      </c>
      <c r="Y43" s="46">
        <f t="shared" si="13"/>
        <v>1942.84</v>
      </c>
      <c r="Z43" s="32">
        <f t="shared" si="14"/>
        <v>194.28399999999999</v>
      </c>
      <c r="AA43" s="32">
        <v>10.23</v>
      </c>
      <c r="AB43" s="32">
        <f t="shared" si="15"/>
        <v>0</v>
      </c>
      <c r="AC43" s="46">
        <f t="shared" si="16"/>
        <v>2147.3539999999998</v>
      </c>
      <c r="AD43" s="50"/>
      <c r="AE43" s="50"/>
      <c r="AF43" s="47">
        <f t="shared" ref="AF43" si="22">+AD43+AE43-Y43</f>
        <v>-1942.84</v>
      </c>
      <c r="AG43" s="35">
        <v>56708881551</v>
      </c>
      <c r="AH43" s="35" t="s">
        <v>194</v>
      </c>
    </row>
    <row r="44" spans="1:35" s="18" customFormat="1" ht="15.75">
      <c r="A44" s="71" t="s">
        <v>37</v>
      </c>
      <c r="B44" s="33" t="s">
        <v>152</v>
      </c>
      <c r="C44" s="33" t="s">
        <v>29</v>
      </c>
      <c r="D44" s="49">
        <v>43006</v>
      </c>
      <c r="E44" s="34">
        <v>1166.6199999999999</v>
      </c>
      <c r="F44" s="34">
        <v>3045.54</v>
      </c>
      <c r="G44" s="34"/>
      <c r="H44" s="34"/>
      <c r="I44" s="34"/>
      <c r="J44" s="46">
        <f t="shared" si="0"/>
        <v>3045.54</v>
      </c>
      <c r="K44" s="34"/>
      <c r="L44" s="60"/>
      <c r="M44" s="34"/>
      <c r="N44" s="34"/>
      <c r="O44" s="61"/>
      <c r="P44" s="61"/>
      <c r="Q44" s="34"/>
      <c r="R44" s="32"/>
      <c r="S44" s="66"/>
      <c r="T44" s="33"/>
      <c r="U44" s="33"/>
      <c r="V44" s="33"/>
      <c r="W44" s="46">
        <f t="shared" si="1"/>
        <v>3045.54</v>
      </c>
      <c r="X44" s="32"/>
      <c r="Y44" s="46"/>
      <c r="Z44" s="32"/>
      <c r="AA44" s="32"/>
      <c r="AB44" s="32"/>
      <c r="AC44" s="46"/>
      <c r="AD44" s="50"/>
      <c r="AE44" s="51"/>
      <c r="AF44" s="47"/>
      <c r="AG44" s="35">
        <v>60595911850</v>
      </c>
      <c r="AH44" s="33"/>
    </row>
    <row r="45" spans="1:35" s="18" customFormat="1" ht="15.75">
      <c r="A45" s="71" t="s">
        <v>28</v>
      </c>
      <c r="B45" s="33" t="s">
        <v>178</v>
      </c>
      <c r="C45" s="33" t="s">
        <v>30</v>
      </c>
      <c r="D45" s="49">
        <v>43102</v>
      </c>
      <c r="E45" s="34">
        <v>1026.69</v>
      </c>
      <c r="F45" s="34"/>
      <c r="G45" s="34"/>
      <c r="H45" s="34"/>
      <c r="I45" s="34"/>
      <c r="J45" s="46">
        <f t="shared" si="0"/>
        <v>0</v>
      </c>
      <c r="K45" s="34"/>
      <c r="L45" s="60"/>
      <c r="M45" s="34"/>
      <c r="N45" s="34"/>
      <c r="O45" s="61"/>
      <c r="P45" s="61"/>
      <c r="Q45" s="34"/>
      <c r="R45" s="32"/>
      <c r="S45" s="66"/>
      <c r="T45" s="33"/>
      <c r="U45" s="33"/>
      <c r="V45" s="33"/>
      <c r="W45" s="46">
        <f t="shared" si="1"/>
        <v>0</v>
      </c>
      <c r="X45" s="32"/>
      <c r="Y45" s="46"/>
      <c r="Z45" s="32"/>
      <c r="AA45" s="32"/>
      <c r="AB45" s="32"/>
      <c r="AC45" s="46"/>
      <c r="AD45" s="50"/>
      <c r="AE45" s="51"/>
      <c r="AF45" s="47"/>
      <c r="AG45" s="35">
        <v>60598176025</v>
      </c>
      <c r="AH45" s="33"/>
    </row>
    <row r="46" spans="1:35" s="18" customFormat="1" ht="15.75">
      <c r="A46" s="71" t="s">
        <v>27</v>
      </c>
      <c r="B46" s="33" t="s">
        <v>189</v>
      </c>
      <c r="C46" s="33" t="s">
        <v>30</v>
      </c>
      <c r="D46" s="49">
        <v>43134</v>
      </c>
      <c r="E46" s="34">
        <v>1026.69</v>
      </c>
      <c r="F46" s="34"/>
      <c r="G46" s="34"/>
      <c r="H46" s="34"/>
      <c r="I46" s="34"/>
      <c r="J46" s="46">
        <f t="shared" si="0"/>
        <v>0</v>
      </c>
      <c r="K46" s="34"/>
      <c r="L46" s="60"/>
      <c r="M46" s="34"/>
      <c r="N46" s="34"/>
      <c r="O46" s="61"/>
      <c r="P46" s="61"/>
      <c r="Q46" s="34"/>
      <c r="R46" s="32"/>
      <c r="S46" s="66"/>
      <c r="T46" s="33"/>
      <c r="U46" s="33"/>
      <c r="V46" s="33"/>
      <c r="W46" s="46">
        <f t="shared" si="1"/>
        <v>0</v>
      </c>
      <c r="X46" s="32"/>
      <c r="Y46" s="46"/>
      <c r="Z46" s="32"/>
      <c r="AA46" s="32"/>
      <c r="AB46" s="32"/>
      <c r="AC46" s="46"/>
      <c r="AD46" s="50"/>
      <c r="AE46" s="51"/>
      <c r="AF46" s="47"/>
      <c r="AG46" s="35">
        <v>56662729683</v>
      </c>
      <c r="AH46" s="33"/>
    </row>
    <row r="47" spans="1:35" s="18" customFormat="1" ht="15.75">
      <c r="A47" s="71" t="s">
        <v>37</v>
      </c>
      <c r="B47" s="33" t="s">
        <v>66</v>
      </c>
      <c r="C47" s="33" t="s">
        <v>43</v>
      </c>
      <c r="D47" s="49">
        <v>42321</v>
      </c>
      <c r="E47" s="34">
        <v>1869</v>
      </c>
      <c r="F47" s="34"/>
      <c r="G47" s="34"/>
      <c r="H47" s="34"/>
      <c r="I47" s="34"/>
      <c r="J47" s="46">
        <f t="shared" si="0"/>
        <v>0</v>
      </c>
      <c r="K47" s="34"/>
      <c r="L47" s="60"/>
      <c r="M47" s="34"/>
      <c r="N47" s="34"/>
      <c r="O47" s="61"/>
      <c r="P47" s="61"/>
      <c r="Q47" s="34"/>
      <c r="R47" s="32"/>
      <c r="S47" s="66"/>
      <c r="T47" s="33"/>
      <c r="U47" s="33"/>
      <c r="V47" s="33"/>
      <c r="W47" s="46">
        <f t="shared" si="1"/>
        <v>0</v>
      </c>
      <c r="X47" s="32">
        <f t="shared" ref="X47:X50" si="23">IF(J47&gt;2250,J47*0.1,0)</f>
        <v>0</v>
      </c>
      <c r="Y47" s="46">
        <f t="shared" ref="Y47:Y58" si="24">+W47-X47</f>
        <v>0</v>
      </c>
      <c r="Z47" s="32">
        <f t="shared" ref="Z47:Z58" si="25">IF(J47&lt;2250,J47*0.1,0)</f>
        <v>0</v>
      </c>
      <c r="AA47" s="32">
        <v>10.23</v>
      </c>
      <c r="AB47" s="32">
        <f t="shared" ref="AB47:AB58" si="26">+O47</f>
        <v>0</v>
      </c>
      <c r="AC47" s="46">
        <f t="shared" ref="AC47:AC58" si="27">+J47+Z47+AA47+AB47</f>
        <v>10.23</v>
      </c>
      <c r="AD47" s="50"/>
      <c r="AE47" s="51"/>
      <c r="AF47" s="47">
        <f t="shared" ref="AF47:AF50" si="28">+AD47+AE47-Y47</f>
        <v>0</v>
      </c>
      <c r="AG47" s="35">
        <v>56708845240</v>
      </c>
      <c r="AH47" s="35"/>
    </row>
    <row r="48" spans="1:35" s="18" customFormat="1">
      <c r="A48" s="71" t="s">
        <v>37</v>
      </c>
      <c r="B48" s="33" t="s">
        <v>107</v>
      </c>
      <c r="C48" s="33" t="s">
        <v>91</v>
      </c>
      <c r="D48" s="49">
        <v>42646</v>
      </c>
      <c r="E48" s="34">
        <v>1166.27</v>
      </c>
      <c r="F48" s="34">
        <v>2202.48</v>
      </c>
      <c r="G48" s="34"/>
      <c r="H48" s="34"/>
      <c r="I48" s="34"/>
      <c r="J48" s="46">
        <f t="shared" si="0"/>
        <v>2202.48</v>
      </c>
      <c r="K48" s="34"/>
      <c r="L48" s="60"/>
      <c r="M48" s="34"/>
      <c r="N48" s="34"/>
      <c r="O48" s="61"/>
      <c r="P48" s="61"/>
      <c r="Q48" s="34"/>
      <c r="R48" s="32"/>
      <c r="S48" s="32"/>
      <c r="T48" s="33"/>
      <c r="U48" s="33"/>
      <c r="V48" s="33"/>
      <c r="W48" s="46">
        <f t="shared" si="1"/>
        <v>2202.48</v>
      </c>
      <c r="X48" s="32">
        <f t="shared" ref="X48" si="29">IF(J48&gt;2250,J48*0.1,0)</f>
        <v>0</v>
      </c>
      <c r="Y48" s="46">
        <f t="shared" ref="Y48" si="30">+W48-X48</f>
        <v>2202.48</v>
      </c>
      <c r="Z48" s="32"/>
      <c r="AA48" s="32"/>
      <c r="AB48" s="32"/>
      <c r="AC48" s="46"/>
      <c r="AD48" s="50"/>
      <c r="AE48" s="51"/>
      <c r="AF48" s="47"/>
      <c r="AG48" s="35">
        <v>56708881582</v>
      </c>
      <c r="AH48" s="35"/>
    </row>
    <row r="49" spans="1:35" s="18" customFormat="1">
      <c r="A49" s="71" t="s">
        <v>37</v>
      </c>
      <c r="B49" s="33" t="s">
        <v>141</v>
      </c>
      <c r="C49" s="33" t="s">
        <v>29</v>
      </c>
      <c r="D49" s="49">
        <v>42065</v>
      </c>
      <c r="E49" s="34">
        <v>1166.27</v>
      </c>
      <c r="F49" s="34">
        <v>1740.27</v>
      </c>
      <c r="G49" s="34"/>
      <c r="H49" s="34"/>
      <c r="I49" s="34"/>
      <c r="J49" s="46">
        <f t="shared" si="0"/>
        <v>1740.27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33"/>
      <c r="W49" s="46">
        <f t="shared" si="1"/>
        <v>1740.27</v>
      </c>
      <c r="X49" s="32">
        <f t="shared" si="23"/>
        <v>0</v>
      </c>
      <c r="Y49" s="46">
        <f t="shared" si="24"/>
        <v>1740.27</v>
      </c>
      <c r="Z49" s="32">
        <f t="shared" si="25"/>
        <v>174.02700000000002</v>
      </c>
      <c r="AA49" s="32">
        <v>10.23</v>
      </c>
      <c r="AB49" s="32">
        <f t="shared" si="26"/>
        <v>0</v>
      </c>
      <c r="AC49" s="46">
        <f t="shared" si="27"/>
        <v>1924.527</v>
      </c>
      <c r="AD49" s="50"/>
      <c r="AE49" s="51"/>
      <c r="AF49" s="47">
        <f t="shared" si="28"/>
        <v>-1740.27</v>
      </c>
      <c r="AG49" s="35">
        <v>56708845254</v>
      </c>
      <c r="AH49" s="35"/>
    </row>
    <row r="50" spans="1:35" s="18" customFormat="1">
      <c r="A50" s="71" t="s">
        <v>28</v>
      </c>
      <c r="B50" s="33" t="s">
        <v>36</v>
      </c>
      <c r="C50" s="33" t="s">
        <v>30</v>
      </c>
      <c r="D50" s="49">
        <v>41218</v>
      </c>
      <c r="E50" s="34">
        <v>1026.69</v>
      </c>
      <c r="F50" s="34"/>
      <c r="G50" s="34">
        <v>1026.69</v>
      </c>
      <c r="H50" s="34"/>
      <c r="I50" s="34"/>
      <c r="J50" s="46">
        <f t="shared" si="0"/>
        <v>1026.69</v>
      </c>
      <c r="K50" s="34"/>
      <c r="L50" s="60"/>
      <c r="M50" s="34"/>
      <c r="N50" s="34"/>
      <c r="O50" s="61"/>
      <c r="P50" s="61"/>
      <c r="Q50" s="34"/>
      <c r="R50" s="32">
        <v>1000</v>
      </c>
      <c r="S50" s="32"/>
      <c r="T50" s="33"/>
      <c r="U50" s="33"/>
      <c r="V50" s="33">
        <v>500</v>
      </c>
      <c r="W50" s="46">
        <f t="shared" ref="W50" si="31">+J50-SUM(K50:V50)</f>
        <v>-473.30999999999995</v>
      </c>
      <c r="X50" s="32">
        <f t="shared" si="23"/>
        <v>0</v>
      </c>
      <c r="Y50" s="46">
        <f t="shared" si="24"/>
        <v>-473.30999999999995</v>
      </c>
      <c r="Z50" s="32">
        <f t="shared" si="25"/>
        <v>102.66900000000001</v>
      </c>
      <c r="AA50" s="32">
        <v>10.23</v>
      </c>
      <c r="AB50" s="32">
        <f t="shared" si="26"/>
        <v>0</v>
      </c>
      <c r="AC50" s="46">
        <f t="shared" si="27"/>
        <v>1139.5890000000002</v>
      </c>
      <c r="AD50" s="50"/>
      <c r="AE50" s="51"/>
      <c r="AF50" s="47">
        <f t="shared" si="28"/>
        <v>473.30999999999995</v>
      </c>
      <c r="AG50" s="35">
        <v>56708881596</v>
      </c>
      <c r="AH50" s="35"/>
    </row>
    <row r="51" spans="1:35" s="18" customFormat="1">
      <c r="A51" s="71" t="s">
        <v>28</v>
      </c>
      <c r="B51" s="33" t="s">
        <v>167</v>
      </c>
      <c r="C51" s="33" t="s">
        <v>168</v>
      </c>
      <c r="D51" s="49">
        <v>43038</v>
      </c>
      <c r="E51" s="34">
        <v>1400</v>
      </c>
      <c r="F51" s="34"/>
      <c r="G51" s="34"/>
      <c r="H51" s="34"/>
      <c r="I51" s="34"/>
      <c r="J51" s="46">
        <f t="shared" si="0"/>
        <v>0</v>
      </c>
      <c r="K51" s="34"/>
      <c r="L51" s="60"/>
      <c r="M51" s="34"/>
      <c r="N51" s="34"/>
      <c r="O51" s="61"/>
      <c r="P51" s="61"/>
      <c r="Q51" s="34"/>
      <c r="R51" s="32"/>
      <c r="S51" s="32"/>
      <c r="T51" s="33"/>
      <c r="U51" s="33"/>
      <c r="V51" s="72"/>
      <c r="W51" s="46">
        <f t="shared" si="1"/>
        <v>0</v>
      </c>
      <c r="X51" s="32"/>
      <c r="Y51" s="46"/>
      <c r="Z51" s="32"/>
      <c r="AA51" s="32"/>
      <c r="AB51" s="32"/>
      <c r="AC51" s="46"/>
      <c r="AD51" s="50"/>
      <c r="AE51" s="51"/>
      <c r="AF51" s="47"/>
      <c r="AG51" s="35">
        <v>1539992200</v>
      </c>
      <c r="AH51" s="33"/>
      <c r="AI51" s="18" t="s">
        <v>121</v>
      </c>
    </row>
    <row r="52" spans="1:35" s="86" customFormat="1">
      <c r="A52" s="75" t="s">
        <v>26</v>
      </c>
      <c r="B52" s="75" t="s">
        <v>105</v>
      </c>
      <c r="C52" s="75" t="s">
        <v>103</v>
      </c>
      <c r="D52" s="76">
        <v>42241</v>
      </c>
      <c r="E52" s="77">
        <v>1250.02</v>
      </c>
      <c r="F52" s="77"/>
      <c r="G52" s="77"/>
      <c r="H52" s="77"/>
      <c r="I52" s="77"/>
      <c r="J52" s="78">
        <f t="shared" si="0"/>
        <v>0</v>
      </c>
      <c r="K52" s="77"/>
      <c r="L52" s="79"/>
      <c r="M52" s="77"/>
      <c r="N52" s="77"/>
      <c r="O52" s="80"/>
      <c r="P52" s="80"/>
      <c r="Q52" s="77"/>
      <c r="R52" s="81"/>
      <c r="S52" s="81"/>
      <c r="T52" s="75"/>
      <c r="U52" s="75"/>
      <c r="V52" s="75"/>
      <c r="W52" s="78">
        <f t="shared" si="1"/>
        <v>0</v>
      </c>
      <c r="X52" s="81">
        <f t="shared" ref="X52" si="32">IF(J52&gt;2250,J52*0.1,0)</f>
        <v>0</v>
      </c>
      <c r="Y52" s="78">
        <f t="shared" ref="Y52" si="33">+W52-X52</f>
        <v>0</v>
      </c>
      <c r="Z52" s="81">
        <f t="shared" si="25"/>
        <v>0</v>
      </c>
      <c r="AA52" s="81"/>
      <c r="AB52" s="81"/>
      <c r="AC52" s="78"/>
      <c r="AD52" s="82"/>
      <c r="AE52" s="83"/>
      <c r="AF52" s="84"/>
      <c r="AG52" s="85">
        <v>56708845268</v>
      </c>
      <c r="AH52" s="85"/>
    </row>
    <row r="53" spans="1:35" s="18" customFormat="1">
      <c r="A53" s="71" t="s">
        <v>39</v>
      </c>
      <c r="B53" s="33" t="s">
        <v>77</v>
      </c>
      <c r="C53" s="33" t="s">
        <v>43</v>
      </c>
      <c r="D53" s="49">
        <v>42333</v>
      </c>
      <c r="E53" s="34">
        <v>1869</v>
      </c>
      <c r="F53" s="63"/>
      <c r="G53" s="63"/>
      <c r="H53" s="34"/>
      <c r="I53" s="34"/>
      <c r="J53" s="46">
        <f t="shared" si="0"/>
        <v>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33">
        <v>393.03</v>
      </c>
      <c r="W53" s="46">
        <f t="shared" si="1"/>
        <v>-393.03</v>
      </c>
      <c r="X53" s="32">
        <f t="shared" ref="X53:X58" si="34">IF(J53&gt;2250,J53*0.1,0)</f>
        <v>0</v>
      </c>
      <c r="Y53" s="46">
        <f t="shared" si="24"/>
        <v>-393.03</v>
      </c>
      <c r="Z53" s="32">
        <f t="shared" si="25"/>
        <v>0</v>
      </c>
      <c r="AA53" s="32">
        <v>10.23</v>
      </c>
      <c r="AB53" s="32">
        <f t="shared" si="26"/>
        <v>0</v>
      </c>
      <c r="AC53" s="46">
        <f t="shared" si="27"/>
        <v>10.23</v>
      </c>
      <c r="AD53" s="50"/>
      <c r="AE53" s="51"/>
      <c r="AF53" s="47">
        <f>+AD53+AE53-Y53</f>
        <v>393.03</v>
      </c>
      <c r="AG53" s="35">
        <v>60589939521</v>
      </c>
      <c r="AH53" s="35"/>
    </row>
    <row r="54" spans="1:35" s="18" customFormat="1">
      <c r="A54" s="71" t="s">
        <v>28</v>
      </c>
      <c r="B54" s="33" t="s">
        <v>95</v>
      </c>
      <c r="C54" s="33" t="s">
        <v>30</v>
      </c>
      <c r="D54" s="49">
        <v>42459</v>
      </c>
      <c r="E54" s="34">
        <v>1026.69</v>
      </c>
      <c r="F54" s="34">
        <v>4544.29</v>
      </c>
      <c r="G54" s="34"/>
      <c r="H54" s="34"/>
      <c r="I54" s="34"/>
      <c r="J54" s="46">
        <f t="shared" si="0"/>
        <v>4544.29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33"/>
      <c r="W54" s="46">
        <f t="shared" si="1"/>
        <v>4544.29</v>
      </c>
      <c r="X54" s="32">
        <f t="shared" si="34"/>
        <v>454.42900000000003</v>
      </c>
      <c r="Y54" s="46">
        <f t="shared" si="24"/>
        <v>4089.8609999999999</v>
      </c>
      <c r="Z54" s="32">
        <f t="shared" si="25"/>
        <v>0</v>
      </c>
      <c r="AA54" s="32">
        <v>10.23</v>
      </c>
      <c r="AB54" s="32">
        <f t="shared" si="26"/>
        <v>0</v>
      </c>
      <c r="AC54" s="46">
        <f t="shared" si="27"/>
        <v>4554.5199999999995</v>
      </c>
      <c r="AD54" s="55"/>
      <c r="AE54" s="51"/>
      <c r="AF54" s="47">
        <f>+AD54+AE54-Y54</f>
        <v>-4089.8609999999999</v>
      </c>
      <c r="AG54" s="35">
        <v>60589627948</v>
      </c>
      <c r="AH54" s="35"/>
    </row>
    <row r="55" spans="1:35" s="18" customFormat="1">
      <c r="A55" s="71" t="s">
        <v>26</v>
      </c>
      <c r="B55" s="33" t="s">
        <v>125</v>
      </c>
      <c r="C55" s="33" t="s">
        <v>29</v>
      </c>
      <c r="D55" s="49">
        <v>42849</v>
      </c>
      <c r="E55" s="34">
        <v>1166.27</v>
      </c>
      <c r="F55" s="34">
        <v>679.62</v>
      </c>
      <c r="G55" s="34"/>
      <c r="H55" s="34"/>
      <c r="I55" s="34"/>
      <c r="J55" s="46">
        <f t="shared" si="0"/>
        <v>679.62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33"/>
      <c r="W55" s="46">
        <f t="shared" si="1"/>
        <v>679.62</v>
      </c>
      <c r="X55" s="32"/>
      <c r="Y55" s="46"/>
      <c r="Z55" s="32"/>
      <c r="AA55" s="32"/>
      <c r="AB55" s="32"/>
      <c r="AC55" s="46"/>
      <c r="AD55" s="55"/>
      <c r="AE55" s="51"/>
      <c r="AF55" s="47"/>
      <c r="AG55" s="35">
        <v>60590412629</v>
      </c>
      <c r="AH55" s="35"/>
    </row>
    <row r="56" spans="1:35" s="18" customFormat="1">
      <c r="A56" s="71" t="s">
        <v>26</v>
      </c>
      <c r="B56" s="33" t="s">
        <v>93</v>
      </c>
      <c r="C56" s="33" t="s">
        <v>42</v>
      </c>
      <c r="D56" s="49">
        <v>42566</v>
      </c>
      <c r="E56" s="34">
        <v>933.31</v>
      </c>
      <c r="F56" s="34">
        <v>1650</v>
      </c>
      <c r="G56" s="34"/>
      <c r="H56" s="34"/>
      <c r="I56" s="34"/>
      <c r="J56" s="46">
        <f t="shared" si="0"/>
        <v>1650</v>
      </c>
      <c r="K56" s="34"/>
      <c r="L56" s="60"/>
      <c r="M56" s="34"/>
      <c r="N56" s="34"/>
      <c r="O56" s="61"/>
      <c r="P56" s="61"/>
      <c r="Q56" s="34"/>
      <c r="R56" s="32"/>
      <c r="S56" s="32"/>
      <c r="T56" s="33"/>
      <c r="U56" s="33"/>
      <c r="V56" s="33"/>
      <c r="W56" s="46">
        <f t="shared" si="1"/>
        <v>1650</v>
      </c>
      <c r="X56" s="32">
        <f t="shared" si="34"/>
        <v>0</v>
      </c>
      <c r="Y56" s="46">
        <f t="shared" si="24"/>
        <v>1650</v>
      </c>
      <c r="Z56" s="32">
        <f t="shared" si="25"/>
        <v>165</v>
      </c>
      <c r="AA56" s="32">
        <v>21.23</v>
      </c>
      <c r="AB56" s="32">
        <f t="shared" si="26"/>
        <v>0</v>
      </c>
      <c r="AC56" s="46">
        <f t="shared" si="27"/>
        <v>1836.23</v>
      </c>
      <c r="AD56" s="55"/>
      <c r="AE56" s="51"/>
      <c r="AF56" s="47"/>
      <c r="AG56" s="35">
        <v>56708845709</v>
      </c>
      <c r="AH56" s="35"/>
    </row>
    <row r="57" spans="1:35" s="18" customFormat="1">
      <c r="A57" s="71" t="s">
        <v>28</v>
      </c>
      <c r="B57" s="33" t="s">
        <v>142</v>
      </c>
      <c r="C57" s="33" t="s">
        <v>30</v>
      </c>
      <c r="D57" s="49">
        <v>42842</v>
      </c>
      <c r="E57" s="34">
        <v>1026.69</v>
      </c>
      <c r="F57" s="34">
        <v>7324.32</v>
      </c>
      <c r="G57" s="34"/>
      <c r="H57" s="34"/>
      <c r="I57" s="34"/>
      <c r="J57" s="46">
        <f t="shared" si="0"/>
        <v>7324.32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33"/>
      <c r="V57" s="33"/>
      <c r="W57" s="46">
        <f t="shared" si="1"/>
        <v>7324.32</v>
      </c>
      <c r="X57" s="32"/>
      <c r="Y57" s="46"/>
      <c r="Z57" s="32"/>
      <c r="AA57" s="32"/>
      <c r="AB57" s="32"/>
      <c r="AC57" s="46"/>
      <c r="AD57" s="55"/>
      <c r="AE57" s="56"/>
      <c r="AF57" s="47"/>
      <c r="AG57" s="35">
        <v>60590199370</v>
      </c>
      <c r="AH57" s="35"/>
    </row>
    <row r="58" spans="1:35" s="18" customFormat="1">
      <c r="A58" s="71" t="s">
        <v>27</v>
      </c>
      <c r="B58" s="33" t="s">
        <v>88</v>
      </c>
      <c r="C58" s="33" t="s">
        <v>131</v>
      </c>
      <c r="D58" s="49">
        <v>42506</v>
      </c>
      <c r="E58" s="34">
        <v>1633.38</v>
      </c>
      <c r="F58" s="34"/>
      <c r="G58" s="34"/>
      <c r="H58" s="34"/>
      <c r="I58" s="34"/>
      <c r="J58" s="46">
        <f t="shared" si="0"/>
        <v>0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33"/>
      <c r="V58" s="58">
        <v>216.39</v>
      </c>
      <c r="W58" s="46">
        <f t="shared" si="1"/>
        <v>-216.39</v>
      </c>
      <c r="X58" s="32">
        <f t="shared" si="34"/>
        <v>0</v>
      </c>
      <c r="Y58" s="46">
        <f t="shared" si="24"/>
        <v>-216.39</v>
      </c>
      <c r="Z58" s="32">
        <f t="shared" si="25"/>
        <v>0</v>
      </c>
      <c r="AA58" s="32">
        <v>10.23</v>
      </c>
      <c r="AB58" s="32">
        <f t="shared" si="26"/>
        <v>0</v>
      </c>
      <c r="AC58" s="46">
        <f t="shared" si="27"/>
        <v>10.23</v>
      </c>
      <c r="AD58" s="55"/>
      <c r="AE58" s="55"/>
      <c r="AF58" s="47">
        <f t="shared" ref="AF58" si="35">+AD58+AE58-Y58</f>
        <v>216.39</v>
      </c>
      <c r="AG58" s="35">
        <v>1179675078</v>
      </c>
      <c r="AH58" s="35"/>
      <c r="AI58" s="18" t="s">
        <v>121</v>
      </c>
    </row>
    <row r="59" spans="1:35" s="18" customFormat="1">
      <c r="A59" s="71" t="s">
        <v>37</v>
      </c>
      <c r="B59" s="33" t="s">
        <v>110</v>
      </c>
      <c r="C59" s="33" t="s">
        <v>29</v>
      </c>
      <c r="D59" s="49">
        <v>42696</v>
      </c>
      <c r="E59" s="34">
        <v>1166.27</v>
      </c>
      <c r="F59" s="34">
        <v>2746.24</v>
      </c>
      <c r="G59" s="34"/>
      <c r="H59" s="34"/>
      <c r="I59" s="34"/>
      <c r="J59" s="46">
        <f t="shared" si="0"/>
        <v>2746.24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/>
      <c r="V59" s="58"/>
      <c r="W59" s="46">
        <f t="shared" ref="W59:W60" si="36">+J59-SUM(K59:V59)</f>
        <v>2746.24</v>
      </c>
      <c r="X59" s="32">
        <f t="shared" ref="X59" si="37">IF(J59&gt;2250,J59*0.1,0)</f>
        <v>274.62399999999997</v>
      </c>
      <c r="Y59" s="46">
        <f t="shared" ref="Y59" si="38">+W59-X59</f>
        <v>2471.616</v>
      </c>
      <c r="Z59" s="32"/>
      <c r="AA59" s="32"/>
      <c r="AB59" s="32"/>
      <c r="AC59" s="46"/>
      <c r="AD59" s="55"/>
      <c r="AE59" s="55"/>
      <c r="AF59" s="47"/>
      <c r="AG59" s="35">
        <v>56710784605</v>
      </c>
      <c r="AH59" s="35"/>
    </row>
    <row r="60" spans="1:35" s="18" customFormat="1">
      <c r="A60" s="71" t="s">
        <v>28</v>
      </c>
      <c r="B60" s="33" t="s">
        <v>176</v>
      </c>
      <c r="C60" s="33" t="s">
        <v>30</v>
      </c>
      <c r="D60" s="49">
        <v>43068</v>
      </c>
      <c r="E60" s="34">
        <v>1026.69</v>
      </c>
      <c r="F60" s="34"/>
      <c r="G60" s="34"/>
      <c r="H60" s="34"/>
      <c r="I60" s="34"/>
      <c r="J60" s="46">
        <f t="shared" si="0"/>
        <v>0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/>
      <c r="V60" s="58"/>
      <c r="W60" s="46">
        <f t="shared" si="36"/>
        <v>0</v>
      </c>
      <c r="X60" s="32"/>
      <c r="Y60" s="46"/>
      <c r="Z60" s="32"/>
      <c r="AA60" s="32"/>
      <c r="AB60" s="32"/>
      <c r="AC60" s="46"/>
      <c r="AD60" s="55"/>
      <c r="AE60" s="55"/>
      <c r="AF60" s="47"/>
      <c r="AG60" s="35">
        <v>60597479727</v>
      </c>
      <c r="AH60" s="35"/>
    </row>
    <row r="61" spans="1:35" s="18" customFormat="1">
      <c r="A61" s="24"/>
      <c r="B61" s="25"/>
      <c r="C61" s="25"/>
      <c r="D61" s="25"/>
      <c r="E61" s="25"/>
      <c r="F61" s="26"/>
      <c r="G61" s="26"/>
      <c r="H61" s="26"/>
      <c r="I61" s="26"/>
      <c r="J61" s="27"/>
      <c r="K61" s="26"/>
      <c r="L61" s="26"/>
      <c r="M61" s="26"/>
      <c r="N61" s="26"/>
      <c r="O61" s="26"/>
      <c r="P61" s="26"/>
      <c r="Q61" s="26"/>
      <c r="R61" s="36"/>
      <c r="S61" s="36"/>
      <c r="T61" s="36"/>
      <c r="U61" s="36"/>
      <c r="V61" s="36"/>
      <c r="W61" s="27"/>
      <c r="X61" s="36"/>
      <c r="Y61" s="27"/>
      <c r="Z61" s="36"/>
      <c r="AA61" s="36"/>
      <c r="AB61" s="36"/>
      <c r="AC61" s="27"/>
      <c r="AD61" s="43"/>
      <c r="AE61" s="43"/>
      <c r="AF61" s="22"/>
    </row>
    <row r="62" spans="1:35">
      <c r="B62" s="37" t="s">
        <v>1</v>
      </c>
      <c r="C62" s="37"/>
      <c r="D62" s="37"/>
      <c r="E62" s="38">
        <f t="shared" ref="E62:AF62" si="39">SUM(E7:E61)</f>
        <v>75218.110000000015</v>
      </c>
      <c r="F62" s="38">
        <f t="shared" si="39"/>
        <v>89614.619999999981</v>
      </c>
      <c r="G62" s="38">
        <f t="shared" si="39"/>
        <v>1026.69</v>
      </c>
      <c r="H62" s="38">
        <f t="shared" si="39"/>
        <v>0</v>
      </c>
      <c r="I62" s="38">
        <f t="shared" si="39"/>
        <v>0</v>
      </c>
      <c r="J62" s="38">
        <f t="shared" si="39"/>
        <v>90641.309999999983</v>
      </c>
      <c r="K62" s="38">
        <f t="shared" si="39"/>
        <v>1250</v>
      </c>
      <c r="L62" s="38">
        <f t="shared" si="39"/>
        <v>2</v>
      </c>
      <c r="M62" s="38">
        <f t="shared" si="39"/>
        <v>0</v>
      </c>
      <c r="N62" s="38">
        <f t="shared" si="39"/>
        <v>1300</v>
      </c>
      <c r="O62" s="38">
        <f t="shared" si="39"/>
        <v>0</v>
      </c>
      <c r="P62" s="38">
        <f t="shared" si="39"/>
        <v>0</v>
      </c>
      <c r="Q62" s="38">
        <f t="shared" si="39"/>
        <v>0</v>
      </c>
      <c r="R62" s="38">
        <f t="shared" si="39"/>
        <v>5218.17</v>
      </c>
      <c r="S62" s="38">
        <f t="shared" si="39"/>
        <v>0.6</v>
      </c>
      <c r="T62" s="38">
        <f t="shared" si="39"/>
        <v>0</v>
      </c>
      <c r="U62" s="38">
        <f t="shared" si="39"/>
        <v>0</v>
      </c>
      <c r="V62" s="38">
        <f t="shared" si="39"/>
        <v>6046.34</v>
      </c>
      <c r="W62" s="38">
        <f t="shared" si="39"/>
        <v>76824.200000000012</v>
      </c>
      <c r="X62" s="38">
        <f t="shared" si="39"/>
        <v>3462.7130000000006</v>
      </c>
      <c r="Y62" s="38">
        <f t="shared" si="39"/>
        <v>28371.967000000004</v>
      </c>
      <c r="Z62" s="38">
        <f t="shared" si="39"/>
        <v>635.98</v>
      </c>
      <c r="AA62" s="38">
        <f t="shared" si="39"/>
        <v>246.59999999999991</v>
      </c>
      <c r="AB62" s="38">
        <f t="shared" si="39"/>
        <v>0</v>
      </c>
      <c r="AC62" s="38">
        <f t="shared" si="39"/>
        <v>39123.270000000004</v>
      </c>
      <c r="AD62" s="44">
        <f t="shared" si="39"/>
        <v>0</v>
      </c>
      <c r="AE62" s="44">
        <f t="shared" si="39"/>
        <v>0</v>
      </c>
      <c r="AF62" s="39" t="e">
        <f t="shared" si="39"/>
        <v>#REF!</v>
      </c>
      <c r="AG62" s="28"/>
      <c r="AH62" s="28"/>
    </row>
    <row r="63" spans="1:35">
      <c r="AC63" s="14">
        <f>AC62*0.16</f>
        <v>6259.7232000000004</v>
      </c>
    </row>
    <row r="64" spans="1:35">
      <c r="A64" s="104" t="s">
        <v>75</v>
      </c>
      <c r="B64" s="104"/>
      <c r="C64" s="28"/>
      <c r="D64" s="28"/>
      <c r="E64" s="28"/>
      <c r="F64" s="74"/>
      <c r="G64" s="74"/>
      <c r="H64" s="30"/>
      <c r="I64" s="30"/>
      <c r="J64" s="38"/>
      <c r="K64" s="30"/>
      <c r="L64" s="30"/>
      <c r="M64" s="30"/>
      <c r="N64" s="34"/>
      <c r="O64" s="34"/>
      <c r="P64" s="34"/>
      <c r="Q64" s="34"/>
      <c r="R64" s="30"/>
      <c r="S64" s="30"/>
      <c r="T64" s="30"/>
      <c r="U64" s="30"/>
      <c r="V64" s="30"/>
      <c r="W64" s="38"/>
      <c r="X64" s="30"/>
      <c r="Y64" s="38"/>
      <c r="Z64" s="30"/>
      <c r="AA64" s="30"/>
      <c r="AB64" s="30"/>
      <c r="AC64" s="38">
        <f>+AC62+AC63</f>
        <v>45382.993200000004</v>
      </c>
      <c r="AD64" s="44"/>
      <c r="AE64" s="44"/>
      <c r="AF64" s="39"/>
      <c r="AG64" s="28"/>
      <c r="AH64" s="28"/>
    </row>
    <row r="65" spans="1:34">
      <c r="A65" s="33" t="s">
        <v>38</v>
      </c>
      <c r="B65" s="33" t="s">
        <v>164</v>
      </c>
      <c r="C65" s="29" t="s">
        <v>165</v>
      </c>
      <c r="D65" s="49">
        <v>43038</v>
      </c>
      <c r="E65" s="34">
        <v>638.96</v>
      </c>
      <c r="F65" s="34">
        <v>2228.6680000000001</v>
      </c>
      <c r="G65" s="34"/>
      <c r="H65" s="31"/>
      <c r="I65" s="31"/>
      <c r="J65" s="46">
        <f>SUM(F65:I65)</f>
        <v>2228.6680000000001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33"/>
      <c r="V65" s="33">
        <v>571.99</v>
      </c>
      <c r="W65" s="46">
        <f t="shared" ref="W65:W104" si="40">+J65-SUM(K65:V65)</f>
        <v>1656.6780000000001</v>
      </c>
      <c r="X65" s="32"/>
      <c r="Y65" s="46"/>
      <c r="Z65" s="54"/>
      <c r="AA65" s="54"/>
      <c r="AB65" s="54"/>
      <c r="AC65" s="53"/>
      <c r="AD65" s="45"/>
      <c r="AE65" s="45"/>
      <c r="AF65" s="40"/>
      <c r="AG65" s="35">
        <v>56697905731</v>
      </c>
      <c r="AH65" s="35"/>
    </row>
    <row r="66" spans="1:34">
      <c r="A66" s="33" t="s">
        <v>40</v>
      </c>
      <c r="B66" s="33" t="s">
        <v>143</v>
      </c>
      <c r="C66" s="29" t="s">
        <v>101</v>
      </c>
      <c r="D66" s="49">
        <v>41142</v>
      </c>
      <c r="E66" s="34">
        <v>667.87</v>
      </c>
      <c r="F66" s="34">
        <f>2131.443+5.571</f>
        <v>2137.0140000000001</v>
      </c>
      <c r="G66" s="31"/>
      <c r="H66" s="31"/>
      <c r="I66" s="34"/>
      <c r="J66" s="46">
        <f>SUM(F66:I66)</f>
        <v>2137.0140000000001</v>
      </c>
      <c r="K66" s="34"/>
      <c r="L66" s="60"/>
      <c r="M66" s="34"/>
      <c r="N66" s="34"/>
      <c r="O66" s="61" t="s">
        <v>127</v>
      </c>
      <c r="P66" s="61" t="s">
        <v>127</v>
      </c>
      <c r="Q66" s="34"/>
      <c r="R66" s="32"/>
      <c r="S66" s="32"/>
      <c r="T66" s="33"/>
      <c r="U66" s="33"/>
      <c r="V66" s="33"/>
      <c r="W66" s="46">
        <f t="shared" si="40"/>
        <v>2137.0140000000001</v>
      </c>
      <c r="X66" s="32">
        <f>+W66*0.05</f>
        <v>106.85070000000002</v>
      </c>
      <c r="Y66" s="46">
        <f>+W66-R66-V66</f>
        <v>2137.0140000000001</v>
      </c>
      <c r="Z66" s="54">
        <f>IF(W66&lt;3000,W66*0.1,0)</f>
        <v>213.70140000000004</v>
      </c>
      <c r="AA66" s="54">
        <v>0</v>
      </c>
      <c r="AB66" s="54"/>
      <c r="AC66" s="53">
        <f>+W66+Z66+AA66</f>
        <v>2350.7154</v>
      </c>
      <c r="AD66" s="45"/>
      <c r="AE66" s="45"/>
      <c r="AF66" s="40"/>
      <c r="AG66" s="35">
        <v>56708845760</v>
      </c>
      <c r="AH66" s="35"/>
    </row>
    <row r="67" spans="1:34" s="18" customFormat="1">
      <c r="A67" s="33" t="s">
        <v>40</v>
      </c>
      <c r="B67" s="33" t="s">
        <v>52</v>
      </c>
      <c r="C67" s="33" t="s">
        <v>101</v>
      </c>
      <c r="D67" s="49">
        <v>41381</v>
      </c>
      <c r="E67" s="34">
        <v>627.13</v>
      </c>
      <c r="F67" s="34">
        <f>6395.67+5.571</f>
        <v>6401.241</v>
      </c>
      <c r="G67" s="31"/>
      <c r="H67" s="31"/>
      <c r="I67" s="34"/>
      <c r="J67" s="46">
        <f t="shared" ref="J67:J111" si="41">SUM(F67:I67)</f>
        <v>6401.241</v>
      </c>
      <c r="K67" s="34"/>
      <c r="L67" s="60"/>
      <c r="M67" s="34"/>
      <c r="N67" s="34"/>
      <c r="O67" s="61" t="s">
        <v>127</v>
      </c>
      <c r="P67" s="61" t="s">
        <v>127</v>
      </c>
      <c r="Q67" s="34"/>
      <c r="R67" s="32"/>
      <c r="S67" s="32"/>
      <c r="T67" s="33"/>
      <c r="U67" s="33"/>
      <c r="V67" s="33"/>
      <c r="W67" s="46">
        <f t="shared" si="40"/>
        <v>6401.241</v>
      </c>
      <c r="X67" s="32">
        <f t="shared" ref="X67:X75" si="42">IF(J67&gt;2250,J67*0.1,0)</f>
        <v>640.1241</v>
      </c>
      <c r="Y67" s="46">
        <f t="shared" ref="Y67:Y75" si="43">+W67-X67</f>
        <v>5761.1169</v>
      </c>
      <c r="Z67" s="32">
        <f t="shared" ref="Z67:Z75" si="44">IF(J67&lt;2250,J67*0.1,0)</f>
        <v>0</v>
      </c>
      <c r="AA67" s="32">
        <v>10.23</v>
      </c>
      <c r="AB67" s="32" t="str">
        <f t="shared" ref="AB67:AB75" si="45">+O67</f>
        <v>XX</v>
      </c>
      <c r="AC67" s="46" t="e">
        <f t="shared" ref="AC67:AC75" si="46">+J67+Z67+AA67+AB67</f>
        <v>#VALUE!</v>
      </c>
      <c r="AD67" s="50"/>
      <c r="AE67" s="51"/>
      <c r="AF67" s="47">
        <f t="shared" ref="AF67:AF70" si="47">+AD67+AE67-Y67</f>
        <v>-5761.1169</v>
      </c>
      <c r="AG67" s="35">
        <v>56708845774</v>
      </c>
      <c r="AH67" s="35"/>
    </row>
    <row r="68" spans="1:34" s="18" customFormat="1">
      <c r="A68" s="33" t="s">
        <v>40</v>
      </c>
      <c r="B68" s="33" t="s">
        <v>82</v>
      </c>
      <c r="C68" s="33" t="s">
        <v>101</v>
      </c>
      <c r="D68" s="49">
        <v>41740</v>
      </c>
      <c r="E68" s="34">
        <v>627.13</v>
      </c>
      <c r="F68" s="34">
        <f>2044.628+5.571</f>
        <v>2050.1990000000001</v>
      </c>
      <c r="G68" s="31"/>
      <c r="H68" s="31"/>
      <c r="I68" s="34"/>
      <c r="J68" s="46">
        <f t="shared" si="41"/>
        <v>2050.1990000000001</v>
      </c>
      <c r="K68" s="34"/>
      <c r="L68" s="60"/>
      <c r="M68" s="34"/>
      <c r="N68" s="32">
        <v>300</v>
      </c>
      <c r="O68" s="61" t="s">
        <v>127</v>
      </c>
      <c r="P68" s="61" t="s">
        <v>127</v>
      </c>
      <c r="Q68" s="34"/>
      <c r="R68" s="32"/>
      <c r="S68" s="32"/>
      <c r="T68" s="33"/>
      <c r="U68" s="33"/>
      <c r="V68" s="33"/>
      <c r="W68" s="46">
        <f t="shared" si="40"/>
        <v>1750.1990000000001</v>
      </c>
      <c r="X68" s="32">
        <f t="shared" si="42"/>
        <v>0</v>
      </c>
      <c r="Y68" s="46">
        <f t="shared" si="43"/>
        <v>1750.1990000000001</v>
      </c>
      <c r="Z68" s="32">
        <f t="shared" si="44"/>
        <v>205.01990000000001</v>
      </c>
      <c r="AA68" s="32">
        <v>10.23</v>
      </c>
      <c r="AB68" s="32" t="str">
        <f t="shared" si="45"/>
        <v>XX</v>
      </c>
      <c r="AC68" s="46" t="e">
        <f t="shared" si="46"/>
        <v>#VALUE!</v>
      </c>
      <c r="AD68" s="50"/>
      <c r="AE68" s="51"/>
      <c r="AF68" s="47">
        <f t="shared" si="47"/>
        <v>-1750.1990000000001</v>
      </c>
      <c r="AG68" s="35">
        <v>56708845788</v>
      </c>
      <c r="AH68" s="35"/>
    </row>
    <row r="69" spans="1:34" s="18" customFormat="1">
      <c r="A69" s="33" t="s">
        <v>40</v>
      </c>
      <c r="B69" s="33" t="s">
        <v>117</v>
      </c>
      <c r="C69" s="33" t="s">
        <v>97</v>
      </c>
      <c r="D69" s="49">
        <v>42779</v>
      </c>
      <c r="E69" s="34">
        <v>618.52</v>
      </c>
      <c r="F69" s="34">
        <v>704.1</v>
      </c>
      <c r="G69" s="31"/>
      <c r="H69" s="31"/>
      <c r="I69" s="34"/>
      <c r="J69" s="46">
        <f t="shared" si="41"/>
        <v>704.1</v>
      </c>
      <c r="K69" s="34"/>
      <c r="L69" s="60"/>
      <c r="M69" s="34"/>
      <c r="N69" s="32"/>
      <c r="O69" s="61" t="s">
        <v>127</v>
      </c>
      <c r="P69" s="61" t="s">
        <v>127</v>
      </c>
      <c r="Q69" s="34"/>
      <c r="R69" s="32"/>
      <c r="S69" s="32"/>
      <c r="T69" s="33"/>
      <c r="U69" s="33"/>
      <c r="V69" s="33"/>
      <c r="W69" s="46">
        <f t="shared" si="40"/>
        <v>704.1</v>
      </c>
      <c r="X69" s="32"/>
      <c r="Y69" s="46"/>
      <c r="Z69" s="32"/>
      <c r="AA69" s="32"/>
      <c r="AB69" s="32"/>
      <c r="AC69" s="46"/>
      <c r="AD69" s="50"/>
      <c r="AE69" s="51"/>
      <c r="AF69" s="47"/>
      <c r="AG69" s="35">
        <v>60589582591</v>
      </c>
      <c r="AH69" s="35"/>
    </row>
    <row r="70" spans="1:34" s="18" customFormat="1">
      <c r="A70" s="33" t="s">
        <v>40</v>
      </c>
      <c r="B70" s="33" t="s">
        <v>53</v>
      </c>
      <c r="C70" s="33" t="s">
        <v>45</v>
      </c>
      <c r="D70" s="49">
        <v>40049</v>
      </c>
      <c r="E70" s="34">
        <v>618.52</v>
      </c>
      <c r="F70" s="34">
        <f>4208.4+13.099</f>
        <v>4221.4989999999998</v>
      </c>
      <c r="G70" s="31"/>
      <c r="H70" s="31"/>
      <c r="I70" s="34"/>
      <c r="J70" s="46">
        <f t="shared" si="41"/>
        <v>4221.4989999999998</v>
      </c>
      <c r="K70" s="34"/>
      <c r="L70" s="60"/>
      <c r="M70" s="34"/>
      <c r="N70" s="32">
        <v>700</v>
      </c>
      <c r="O70" s="61" t="s">
        <v>127</v>
      </c>
      <c r="P70" s="61" t="s">
        <v>127</v>
      </c>
      <c r="Q70" s="34"/>
      <c r="R70" s="32"/>
      <c r="S70" s="32"/>
      <c r="T70" s="33"/>
      <c r="U70" s="33"/>
      <c r="V70" s="33"/>
      <c r="W70" s="46">
        <f t="shared" si="40"/>
        <v>3521.4989999999998</v>
      </c>
      <c r="X70" s="32">
        <f t="shared" si="42"/>
        <v>422.1499</v>
      </c>
      <c r="Y70" s="46">
        <f t="shared" si="43"/>
        <v>3099.3490999999999</v>
      </c>
      <c r="Z70" s="32">
        <f t="shared" si="44"/>
        <v>0</v>
      </c>
      <c r="AA70" s="32">
        <v>10.23</v>
      </c>
      <c r="AB70" s="32" t="str">
        <f t="shared" si="45"/>
        <v>XX</v>
      </c>
      <c r="AC70" s="46" t="e">
        <f t="shared" si="46"/>
        <v>#VALUE!</v>
      </c>
      <c r="AD70" s="50"/>
      <c r="AE70" s="51"/>
      <c r="AF70" s="47">
        <f t="shared" si="47"/>
        <v>-3099.3490999999999</v>
      </c>
      <c r="AG70" s="35">
        <v>56708845791</v>
      </c>
      <c r="AH70" s="35"/>
    </row>
    <row r="71" spans="1:34" s="86" customFormat="1">
      <c r="A71" s="75" t="s">
        <v>38</v>
      </c>
      <c r="B71" s="75" t="s">
        <v>79</v>
      </c>
      <c r="C71" s="75" t="s">
        <v>154</v>
      </c>
      <c r="D71" s="76">
        <v>42338</v>
      </c>
      <c r="E71" s="77">
        <v>739.2</v>
      </c>
      <c r="F71" s="77"/>
      <c r="G71" s="77"/>
      <c r="H71" s="77"/>
      <c r="I71" s="77"/>
      <c r="J71" s="78">
        <f t="shared" si="41"/>
        <v>0</v>
      </c>
      <c r="K71" s="77"/>
      <c r="L71" s="79"/>
      <c r="M71" s="77"/>
      <c r="N71" s="77"/>
      <c r="O71" s="80"/>
      <c r="P71" s="80"/>
      <c r="Q71" s="77"/>
      <c r="R71" s="81"/>
      <c r="S71" s="81"/>
      <c r="T71" s="75"/>
      <c r="U71" s="75"/>
      <c r="V71" s="75"/>
      <c r="W71" s="78">
        <f t="shared" si="40"/>
        <v>0</v>
      </c>
      <c r="X71" s="81">
        <f t="shared" si="42"/>
        <v>0</v>
      </c>
      <c r="Y71" s="78">
        <f t="shared" si="43"/>
        <v>0</v>
      </c>
      <c r="Z71" s="81">
        <f t="shared" si="44"/>
        <v>0</v>
      </c>
      <c r="AA71" s="81">
        <v>10.23</v>
      </c>
      <c r="AB71" s="81">
        <f t="shared" si="45"/>
        <v>0</v>
      </c>
      <c r="AC71" s="78">
        <f t="shared" si="46"/>
        <v>10.23</v>
      </c>
      <c r="AD71" s="82"/>
      <c r="AE71" s="83"/>
      <c r="AF71" s="84">
        <f>+AD71+AE71-Y71</f>
        <v>0</v>
      </c>
      <c r="AG71" s="85">
        <v>56708881872</v>
      </c>
      <c r="AH71" s="85"/>
    </row>
    <row r="72" spans="1:34" s="18" customFormat="1">
      <c r="A72" s="33" t="s">
        <v>40</v>
      </c>
      <c r="B72" s="33" t="s">
        <v>119</v>
      </c>
      <c r="C72" s="33" t="s">
        <v>97</v>
      </c>
      <c r="D72" s="49">
        <v>42807</v>
      </c>
      <c r="E72" s="34">
        <v>618.52</v>
      </c>
      <c r="F72" s="34">
        <v>800.5</v>
      </c>
      <c r="G72" s="31"/>
      <c r="H72" s="31"/>
      <c r="I72" s="34"/>
      <c r="J72" s="46">
        <f t="shared" si="41"/>
        <v>800.5</v>
      </c>
      <c r="K72" s="34"/>
      <c r="L72" s="60"/>
      <c r="M72" s="34"/>
      <c r="N72" s="34"/>
      <c r="O72" s="61" t="s">
        <v>127</v>
      </c>
      <c r="P72" s="61" t="s">
        <v>127</v>
      </c>
      <c r="Q72" s="34"/>
      <c r="R72" s="32"/>
      <c r="S72" s="32"/>
      <c r="T72" s="33"/>
      <c r="U72" s="33"/>
      <c r="V72" s="33"/>
      <c r="W72" s="46">
        <f t="shared" si="40"/>
        <v>800.5</v>
      </c>
      <c r="X72" s="32"/>
      <c r="Y72" s="46"/>
      <c r="Z72" s="32"/>
      <c r="AA72" s="32"/>
      <c r="AB72" s="32"/>
      <c r="AC72" s="46"/>
      <c r="AD72" s="50"/>
      <c r="AE72" s="51"/>
      <c r="AF72" s="47"/>
      <c r="AG72" s="35">
        <v>60589642468</v>
      </c>
      <c r="AH72" s="35"/>
    </row>
    <row r="73" spans="1:34" s="18" customFormat="1">
      <c r="A73" s="33" t="s">
        <v>38</v>
      </c>
      <c r="B73" s="33" t="s">
        <v>109</v>
      </c>
      <c r="C73" s="33" t="s">
        <v>41</v>
      </c>
      <c r="D73" s="49">
        <v>42681</v>
      </c>
      <c r="E73" s="34">
        <v>738.99</v>
      </c>
      <c r="F73" s="34">
        <f>3797.84+13.099</f>
        <v>3810.9390000000003</v>
      </c>
      <c r="G73" s="31"/>
      <c r="H73" s="31"/>
      <c r="I73" s="34"/>
      <c r="J73" s="46">
        <f t="shared" si="41"/>
        <v>3810.9390000000003</v>
      </c>
      <c r="K73" s="34"/>
      <c r="L73" s="60"/>
      <c r="M73" s="34"/>
      <c r="N73" s="34">
        <v>150</v>
      </c>
      <c r="O73" s="61"/>
      <c r="P73" s="61"/>
      <c r="Q73" s="34"/>
      <c r="R73" s="32"/>
      <c r="S73" s="32"/>
      <c r="T73" s="33"/>
      <c r="U73" s="33"/>
      <c r="V73" s="33"/>
      <c r="W73" s="46">
        <f t="shared" si="40"/>
        <v>3660.9390000000003</v>
      </c>
      <c r="X73" s="32">
        <f t="shared" ref="X73" si="48">IF(J73&gt;2250,J73*0.1,0)</f>
        <v>381.09390000000008</v>
      </c>
      <c r="Y73" s="46">
        <f t="shared" ref="Y73" si="49">+W73-X73</f>
        <v>3279.8451000000005</v>
      </c>
      <c r="Z73" s="32"/>
      <c r="AA73" s="32"/>
      <c r="AB73" s="32"/>
      <c r="AC73" s="46"/>
      <c r="AD73" s="50"/>
      <c r="AE73" s="51"/>
      <c r="AF73" s="47"/>
      <c r="AG73" s="35">
        <v>56710773131</v>
      </c>
      <c r="AH73" s="35"/>
    </row>
    <row r="74" spans="1:34" s="18" customFormat="1">
      <c r="A74" s="33" t="s">
        <v>40</v>
      </c>
      <c r="B74" s="33" t="s">
        <v>87</v>
      </c>
      <c r="C74" s="33" t="s">
        <v>101</v>
      </c>
      <c r="D74" s="49">
        <v>40575</v>
      </c>
      <c r="E74" s="34">
        <v>627.13</v>
      </c>
      <c r="F74" s="34">
        <f>2747.65+3.736</f>
        <v>2751.386</v>
      </c>
      <c r="G74" s="31"/>
      <c r="H74" s="31"/>
      <c r="I74" s="34"/>
      <c r="J74" s="46">
        <f t="shared" si="41"/>
        <v>2751.386</v>
      </c>
      <c r="K74" s="34"/>
      <c r="L74" s="60"/>
      <c r="M74" s="34"/>
      <c r="N74" s="32">
        <v>500</v>
      </c>
      <c r="O74" s="61" t="s">
        <v>127</v>
      </c>
      <c r="P74" s="61" t="s">
        <v>127</v>
      </c>
      <c r="Q74" s="34"/>
      <c r="R74" s="32"/>
      <c r="S74" s="32"/>
      <c r="T74" s="33"/>
      <c r="U74" s="33"/>
      <c r="V74" s="33"/>
      <c r="W74" s="46">
        <f t="shared" si="40"/>
        <v>2251.386</v>
      </c>
      <c r="X74" s="32">
        <f t="shared" si="42"/>
        <v>275.1386</v>
      </c>
      <c r="Y74" s="46">
        <f t="shared" si="43"/>
        <v>1976.2474</v>
      </c>
      <c r="Z74" s="32">
        <f t="shared" si="44"/>
        <v>0</v>
      </c>
      <c r="AA74" s="32">
        <v>10.23</v>
      </c>
      <c r="AB74" s="32" t="str">
        <f t="shared" si="45"/>
        <v>XX</v>
      </c>
      <c r="AC74" s="46" t="e">
        <f t="shared" si="46"/>
        <v>#VALUE!</v>
      </c>
      <c r="AD74" s="50"/>
      <c r="AE74" s="51"/>
      <c r="AF74" s="47">
        <f>+AD74+AE74-Y74</f>
        <v>-1976.2474</v>
      </c>
      <c r="AG74" s="35">
        <v>56708845820</v>
      </c>
      <c r="AH74" s="35"/>
    </row>
    <row r="75" spans="1:34" s="18" customFormat="1">
      <c r="A75" s="33" t="s">
        <v>40</v>
      </c>
      <c r="B75" s="33" t="s">
        <v>62</v>
      </c>
      <c r="C75" s="33" t="s">
        <v>101</v>
      </c>
      <c r="D75" s="49">
        <v>40219</v>
      </c>
      <c r="E75" s="34">
        <v>627.13</v>
      </c>
      <c r="F75" s="34">
        <f>5101.355+2.972</f>
        <v>5104.3269999999993</v>
      </c>
      <c r="G75" s="31"/>
      <c r="H75" s="31"/>
      <c r="I75" s="34"/>
      <c r="J75" s="46">
        <f t="shared" si="41"/>
        <v>5104.3269999999993</v>
      </c>
      <c r="K75" s="34"/>
      <c r="L75" s="60"/>
      <c r="M75" s="34"/>
      <c r="N75" s="34">
        <v>1000</v>
      </c>
      <c r="O75" s="61" t="s">
        <v>127</v>
      </c>
      <c r="P75" s="61" t="s">
        <v>127</v>
      </c>
      <c r="Q75" s="34"/>
      <c r="R75" s="32"/>
      <c r="S75" s="32"/>
      <c r="T75" s="33"/>
      <c r="U75" s="33"/>
      <c r="V75" s="33"/>
      <c r="W75" s="46">
        <f t="shared" si="40"/>
        <v>4104.3269999999993</v>
      </c>
      <c r="X75" s="32">
        <f t="shared" si="42"/>
        <v>510.43269999999995</v>
      </c>
      <c r="Y75" s="46">
        <f t="shared" si="43"/>
        <v>3593.8942999999995</v>
      </c>
      <c r="Z75" s="32">
        <f t="shared" si="44"/>
        <v>0</v>
      </c>
      <c r="AA75" s="32">
        <v>10.23</v>
      </c>
      <c r="AB75" s="32" t="str">
        <f t="shared" si="45"/>
        <v>XX</v>
      </c>
      <c r="AC75" s="46" t="e">
        <f t="shared" si="46"/>
        <v>#VALUE!</v>
      </c>
      <c r="AD75" s="50"/>
      <c r="AE75" s="51"/>
      <c r="AF75" s="47">
        <f>+AD75+AE75-Y75</f>
        <v>-3593.8942999999995</v>
      </c>
      <c r="AG75" s="35">
        <v>56708845834</v>
      </c>
      <c r="AH75" s="35"/>
    </row>
    <row r="76" spans="1:34" s="18" customFormat="1">
      <c r="A76" s="33" t="s">
        <v>40</v>
      </c>
      <c r="B76" s="33" t="s">
        <v>124</v>
      </c>
      <c r="C76" s="33" t="s">
        <v>112</v>
      </c>
      <c r="D76" s="49">
        <v>42842</v>
      </c>
      <c r="E76" s="34">
        <v>618.52</v>
      </c>
      <c r="F76" s="34">
        <f>3669.008+5.571</f>
        <v>3674.5789999999997</v>
      </c>
      <c r="G76" s="31"/>
      <c r="H76" s="31"/>
      <c r="I76" s="34"/>
      <c r="J76" s="46">
        <f t="shared" si="41"/>
        <v>3674.5789999999997</v>
      </c>
      <c r="K76" s="34"/>
      <c r="L76" s="60"/>
      <c r="M76" s="34"/>
      <c r="N76" s="34"/>
      <c r="O76" s="61" t="s">
        <v>127</v>
      </c>
      <c r="P76" s="61" t="s">
        <v>127</v>
      </c>
      <c r="Q76" s="34"/>
      <c r="R76" s="32"/>
      <c r="S76" s="32"/>
      <c r="T76" s="33"/>
      <c r="U76" s="33"/>
      <c r="V76" s="33"/>
      <c r="W76" s="46">
        <f t="shared" si="40"/>
        <v>3674.5789999999997</v>
      </c>
      <c r="X76" s="32"/>
      <c r="Y76" s="46"/>
      <c r="Z76" s="32"/>
      <c r="AA76" s="32"/>
      <c r="AB76" s="32"/>
      <c r="AC76" s="46"/>
      <c r="AD76" s="50"/>
      <c r="AE76" s="51"/>
      <c r="AF76" s="47"/>
      <c r="AG76" s="35">
        <v>60590100738</v>
      </c>
      <c r="AH76" s="35"/>
    </row>
    <row r="77" spans="1:34" s="18" customFormat="1">
      <c r="A77" s="33" t="s">
        <v>38</v>
      </c>
      <c r="B77" s="33" t="s">
        <v>63</v>
      </c>
      <c r="C77" s="33" t="s">
        <v>41</v>
      </c>
      <c r="D77" s="49">
        <v>42319</v>
      </c>
      <c r="E77" s="34">
        <v>739.2</v>
      </c>
      <c r="F77" s="34">
        <f>4059.76+13.099</f>
        <v>4072.8590000000004</v>
      </c>
      <c r="G77" s="31"/>
      <c r="H77" s="31"/>
      <c r="I77" s="34"/>
      <c r="J77" s="46">
        <f t="shared" si="41"/>
        <v>4072.8590000000004</v>
      </c>
      <c r="K77" s="34"/>
      <c r="L77" s="60"/>
      <c r="M77" s="34"/>
      <c r="N77" s="34"/>
      <c r="O77" s="61"/>
      <c r="P77" s="61"/>
      <c r="Q77" s="34"/>
      <c r="R77" s="32"/>
      <c r="S77" s="32"/>
      <c r="T77" s="33"/>
      <c r="U77" s="33"/>
      <c r="V77" s="33"/>
      <c r="W77" s="46">
        <f t="shared" si="40"/>
        <v>4072.8590000000004</v>
      </c>
      <c r="X77" s="32">
        <f t="shared" ref="X77:X106" si="50">IF(J77&gt;2250,J77*0.1,0)</f>
        <v>407.28590000000008</v>
      </c>
      <c r="Y77" s="46">
        <f t="shared" ref="Y77:Y106" si="51">+W77-X77</f>
        <v>3665.5731000000005</v>
      </c>
      <c r="Z77" s="32">
        <f t="shared" ref="Z77:Z106" si="52">IF(J77&lt;2250,J77*0.1,0)</f>
        <v>0</v>
      </c>
      <c r="AA77" s="32">
        <v>19.23</v>
      </c>
      <c r="AB77" s="32">
        <f t="shared" ref="AB77:AB106" si="53">+O77</f>
        <v>0</v>
      </c>
      <c r="AC77" s="46">
        <f t="shared" ref="AC77:AC106" si="54">+J77+Z77+AA77+AB77</f>
        <v>4092.0890000000004</v>
      </c>
      <c r="AD77" s="50"/>
      <c r="AE77" s="51"/>
      <c r="AF77" s="47">
        <f>+AD77+AE77-Y77</f>
        <v>-3665.5731000000005</v>
      </c>
      <c r="AG77" s="35">
        <v>56708881901</v>
      </c>
      <c r="AH77" s="35"/>
    </row>
    <row r="78" spans="1:34" s="18" customFormat="1">
      <c r="A78" s="33" t="s">
        <v>40</v>
      </c>
      <c r="B78" s="33" t="s">
        <v>181</v>
      </c>
      <c r="C78" s="33" t="s">
        <v>97</v>
      </c>
      <c r="D78" s="49">
        <v>43115</v>
      </c>
      <c r="E78" s="34">
        <v>618.52</v>
      </c>
      <c r="F78" s="34">
        <v>224.7</v>
      </c>
      <c r="G78" s="31"/>
      <c r="H78" s="31"/>
      <c r="I78" s="34"/>
      <c r="J78" s="46">
        <f t="shared" si="41"/>
        <v>224.7</v>
      </c>
      <c r="K78" s="34"/>
      <c r="L78" s="60"/>
      <c r="M78" s="34"/>
      <c r="N78" s="34"/>
      <c r="O78" s="61"/>
      <c r="P78" s="61"/>
      <c r="Q78" s="34"/>
      <c r="R78" s="32"/>
      <c r="S78" s="32"/>
      <c r="T78" s="33"/>
      <c r="U78" s="33"/>
      <c r="V78" s="33"/>
      <c r="W78" s="46">
        <f t="shared" si="40"/>
        <v>224.7</v>
      </c>
      <c r="X78" s="32"/>
      <c r="Y78" s="46"/>
      <c r="Z78" s="32"/>
      <c r="AA78" s="32"/>
      <c r="AB78" s="32"/>
      <c r="AC78" s="46"/>
      <c r="AD78" s="50"/>
      <c r="AE78" s="51"/>
      <c r="AF78" s="47"/>
      <c r="AG78" s="35">
        <v>60598596794</v>
      </c>
      <c r="AH78" s="35"/>
    </row>
    <row r="79" spans="1:34" s="18" customFormat="1">
      <c r="A79" s="33" t="s">
        <v>38</v>
      </c>
      <c r="B79" s="33" t="s">
        <v>128</v>
      </c>
      <c r="C79" s="33" t="s">
        <v>41</v>
      </c>
      <c r="D79" s="49">
        <v>42884</v>
      </c>
      <c r="E79" s="34">
        <v>739.27</v>
      </c>
      <c r="F79" s="34">
        <f>5968.654+7.428</f>
        <v>5976.0820000000003</v>
      </c>
      <c r="G79" s="31"/>
      <c r="H79" s="31"/>
      <c r="I79" s="34"/>
      <c r="J79" s="46">
        <f t="shared" si="41"/>
        <v>5976.0820000000003</v>
      </c>
      <c r="K79" s="34"/>
      <c r="L79" s="60"/>
      <c r="M79" s="34"/>
      <c r="N79" s="34"/>
      <c r="O79" s="61"/>
      <c r="P79" s="61"/>
      <c r="Q79" s="34"/>
      <c r="R79" s="32"/>
      <c r="S79" s="32"/>
      <c r="T79" s="33"/>
      <c r="U79" s="33"/>
      <c r="V79" s="33"/>
      <c r="W79" s="46">
        <f t="shared" si="40"/>
        <v>5976.0820000000003</v>
      </c>
      <c r="X79" s="32"/>
      <c r="Y79" s="46"/>
      <c r="Z79" s="32"/>
      <c r="AA79" s="32"/>
      <c r="AB79" s="32"/>
      <c r="AC79" s="46"/>
      <c r="AD79" s="50"/>
      <c r="AE79" s="51"/>
      <c r="AF79" s="47"/>
      <c r="AG79" s="35">
        <v>60592118015</v>
      </c>
      <c r="AH79" s="35"/>
    </row>
    <row r="80" spans="1:34" s="18" customFormat="1">
      <c r="A80" s="33" t="s">
        <v>40</v>
      </c>
      <c r="B80" s="33" t="s">
        <v>118</v>
      </c>
      <c r="C80" s="33" t="s">
        <v>97</v>
      </c>
      <c r="D80" s="49">
        <v>42807</v>
      </c>
      <c r="E80" s="34">
        <v>618.52</v>
      </c>
      <c r="F80" s="34">
        <v>999</v>
      </c>
      <c r="G80" s="31"/>
      <c r="H80" s="31"/>
      <c r="I80" s="34"/>
      <c r="J80" s="46">
        <f t="shared" si="41"/>
        <v>999</v>
      </c>
      <c r="K80" s="34"/>
      <c r="L80" s="60"/>
      <c r="M80" s="34"/>
      <c r="N80" s="34"/>
      <c r="O80" s="61" t="s">
        <v>127</v>
      </c>
      <c r="P80" s="61" t="s">
        <v>127</v>
      </c>
      <c r="Q80" s="34"/>
      <c r="R80" s="32"/>
      <c r="S80" s="32"/>
      <c r="T80" s="33"/>
      <c r="U80" s="33"/>
      <c r="V80" s="33"/>
      <c r="W80" s="46">
        <f t="shared" si="40"/>
        <v>999</v>
      </c>
      <c r="X80" s="32"/>
      <c r="Y80" s="46"/>
      <c r="Z80" s="32"/>
      <c r="AA80" s="32"/>
      <c r="AB80" s="32"/>
      <c r="AC80" s="46"/>
      <c r="AD80" s="50"/>
      <c r="AE80" s="51"/>
      <c r="AF80" s="47"/>
      <c r="AG80" s="35">
        <v>60599040419</v>
      </c>
      <c r="AH80" s="35"/>
    </row>
    <row r="81" spans="1:34" s="86" customFormat="1">
      <c r="A81" s="75" t="s">
        <v>40</v>
      </c>
      <c r="B81" s="75" t="s">
        <v>49</v>
      </c>
      <c r="C81" s="75" t="s">
        <v>112</v>
      </c>
      <c r="D81" s="76">
        <v>41981</v>
      </c>
      <c r="E81" s="77">
        <v>618.52</v>
      </c>
      <c r="F81" s="77"/>
      <c r="G81" s="77"/>
      <c r="H81" s="77"/>
      <c r="I81" s="77"/>
      <c r="J81" s="78">
        <f t="shared" si="41"/>
        <v>0</v>
      </c>
      <c r="K81" s="77"/>
      <c r="L81" s="79"/>
      <c r="M81" s="77"/>
      <c r="N81" s="81" t="s">
        <v>127</v>
      </c>
      <c r="O81" s="80" t="s">
        <v>127</v>
      </c>
      <c r="P81" s="80" t="s">
        <v>127</v>
      </c>
      <c r="Q81" s="77"/>
      <c r="R81" s="81"/>
      <c r="S81" s="81"/>
      <c r="T81" s="75"/>
      <c r="U81" s="75"/>
      <c r="V81" s="75"/>
      <c r="W81" s="78">
        <f t="shared" si="40"/>
        <v>0</v>
      </c>
      <c r="X81" s="81">
        <f t="shared" si="50"/>
        <v>0</v>
      </c>
      <c r="Y81" s="78">
        <f t="shared" si="51"/>
        <v>0</v>
      </c>
      <c r="Z81" s="81">
        <f t="shared" si="52"/>
        <v>0</v>
      </c>
      <c r="AA81" s="81">
        <v>10.23</v>
      </c>
      <c r="AB81" s="81" t="str">
        <f t="shared" si="53"/>
        <v>XX</v>
      </c>
      <c r="AC81" s="78" t="e">
        <f t="shared" si="54"/>
        <v>#VALUE!</v>
      </c>
      <c r="AD81" s="82"/>
      <c r="AE81" s="83"/>
      <c r="AF81" s="84">
        <f t="shared" ref="AF81:AF106" si="55">+AD81+AE81-Y81</f>
        <v>0</v>
      </c>
      <c r="AG81" s="85">
        <v>56708845851</v>
      </c>
      <c r="AH81" s="85"/>
    </row>
    <row r="82" spans="1:34" s="18" customFormat="1">
      <c r="A82" s="33" t="s">
        <v>40</v>
      </c>
      <c r="B82" s="33" t="s">
        <v>71</v>
      </c>
      <c r="C82" s="33" t="s">
        <v>101</v>
      </c>
      <c r="D82" s="49">
        <v>41284</v>
      </c>
      <c r="E82" s="34">
        <v>627.13</v>
      </c>
      <c r="F82" s="34">
        <f>568.773+2.599</f>
        <v>571.37200000000007</v>
      </c>
      <c r="G82" s="31"/>
      <c r="H82" s="31"/>
      <c r="I82" s="34"/>
      <c r="J82" s="46">
        <f t="shared" si="41"/>
        <v>571.37200000000007</v>
      </c>
      <c r="K82" s="34"/>
      <c r="L82" s="60"/>
      <c r="M82" s="34"/>
      <c r="N82" s="34"/>
      <c r="O82" s="61" t="s">
        <v>127</v>
      </c>
      <c r="P82" s="61" t="s">
        <v>127</v>
      </c>
      <c r="Q82" s="34"/>
      <c r="R82" s="32"/>
      <c r="S82" s="32"/>
      <c r="T82" s="33"/>
      <c r="U82" s="33"/>
      <c r="V82" s="33"/>
      <c r="W82" s="46">
        <f t="shared" si="40"/>
        <v>571.37200000000007</v>
      </c>
      <c r="X82" s="32">
        <f t="shared" si="50"/>
        <v>0</v>
      </c>
      <c r="Y82" s="46">
        <f t="shared" si="51"/>
        <v>571.37200000000007</v>
      </c>
      <c r="Z82" s="32">
        <f t="shared" si="52"/>
        <v>57.137200000000007</v>
      </c>
      <c r="AA82" s="32">
        <v>10.23</v>
      </c>
      <c r="AB82" s="32" t="str">
        <f t="shared" si="53"/>
        <v>XX</v>
      </c>
      <c r="AC82" s="46" t="e">
        <f t="shared" si="54"/>
        <v>#VALUE!</v>
      </c>
      <c r="AD82" s="50"/>
      <c r="AE82" s="51"/>
      <c r="AF82" s="47">
        <f t="shared" si="55"/>
        <v>-571.37200000000007</v>
      </c>
      <c r="AG82" s="35">
        <v>56708881915</v>
      </c>
      <c r="AH82" s="35"/>
    </row>
    <row r="83" spans="1:34" s="18" customFormat="1">
      <c r="A83" s="33" t="s">
        <v>38</v>
      </c>
      <c r="B83" s="33" t="s">
        <v>144</v>
      </c>
      <c r="C83" s="33" t="s">
        <v>41</v>
      </c>
      <c r="D83" s="49">
        <v>42823</v>
      </c>
      <c r="E83" s="34">
        <v>618.52</v>
      </c>
      <c r="F83" s="34">
        <f>5789.989+13.099</f>
        <v>5803.0879999999997</v>
      </c>
      <c r="G83" s="31"/>
      <c r="H83" s="31"/>
      <c r="I83" s="34"/>
      <c r="J83" s="46">
        <f t="shared" si="41"/>
        <v>5803.0879999999997</v>
      </c>
      <c r="K83" s="34"/>
      <c r="L83" s="60"/>
      <c r="M83" s="34"/>
      <c r="N83" s="34"/>
      <c r="O83" s="61"/>
      <c r="P83" s="61"/>
      <c r="Q83" s="34"/>
      <c r="R83" s="32"/>
      <c r="S83" s="32"/>
      <c r="T83" s="33"/>
      <c r="U83" s="33"/>
      <c r="V83" s="33"/>
      <c r="W83" s="46">
        <f t="shared" si="40"/>
        <v>5803.0879999999997</v>
      </c>
      <c r="X83" s="32"/>
      <c r="Y83" s="46"/>
      <c r="Z83" s="32"/>
      <c r="AA83" s="32"/>
      <c r="AB83" s="32"/>
      <c r="AC83" s="46"/>
      <c r="AD83" s="50"/>
      <c r="AE83" s="51"/>
      <c r="AF83" s="47"/>
      <c r="AG83" s="35">
        <v>60589704184</v>
      </c>
      <c r="AH83" s="35"/>
    </row>
    <row r="84" spans="1:34" s="18" customFormat="1">
      <c r="A84" s="33" t="s">
        <v>40</v>
      </c>
      <c r="B84" s="33" t="s">
        <v>51</v>
      </c>
      <c r="C84" s="33" t="s">
        <v>101</v>
      </c>
      <c r="D84" s="49">
        <v>39598</v>
      </c>
      <c r="E84" s="34">
        <v>627.13</v>
      </c>
      <c r="F84" s="34">
        <f>2890.542+7.428</f>
        <v>2897.97</v>
      </c>
      <c r="G84" s="31"/>
      <c r="H84" s="31"/>
      <c r="I84" s="34"/>
      <c r="J84" s="46">
        <f t="shared" si="41"/>
        <v>2897.97</v>
      </c>
      <c r="K84" s="34"/>
      <c r="L84" s="60"/>
      <c r="M84" s="34"/>
      <c r="N84" s="34"/>
      <c r="O84" s="61" t="s">
        <v>127</v>
      </c>
      <c r="P84" s="61" t="s">
        <v>127</v>
      </c>
      <c r="Q84" s="34"/>
      <c r="R84" s="32"/>
      <c r="S84" s="32"/>
      <c r="T84" s="33"/>
      <c r="U84" s="33"/>
      <c r="V84" s="33"/>
      <c r="W84" s="46">
        <f t="shared" si="40"/>
        <v>2897.97</v>
      </c>
      <c r="X84" s="32">
        <f t="shared" si="50"/>
        <v>289.79699999999997</v>
      </c>
      <c r="Y84" s="46">
        <f t="shared" si="51"/>
        <v>2608.1729999999998</v>
      </c>
      <c r="Z84" s="32">
        <f t="shared" si="52"/>
        <v>0</v>
      </c>
      <c r="AA84" s="32">
        <v>10.23</v>
      </c>
      <c r="AB84" s="32" t="str">
        <f t="shared" si="53"/>
        <v>XX</v>
      </c>
      <c r="AC84" s="46" t="e">
        <f t="shared" si="54"/>
        <v>#VALUE!</v>
      </c>
      <c r="AD84" s="50"/>
      <c r="AE84" s="51"/>
      <c r="AF84" s="47">
        <f t="shared" si="55"/>
        <v>-2608.1729999999998</v>
      </c>
      <c r="AG84" s="35">
        <v>56708845865</v>
      </c>
      <c r="AH84" s="35"/>
    </row>
    <row r="85" spans="1:34" s="18" customFormat="1">
      <c r="A85" s="33" t="s">
        <v>38</v>
      </c>
      <c r="B85" s="33" t="s">
        <v>64</v>
      </c>
      <c r="C85" s="33" t="s">
        <v>41</v>
      </c>
      <c r="D85" s="49">
        <v>41493</v>
      </c>
      <c r="E85" s="34">
        <v>739.2</v>
      </c>
      <c r="F85" s="34">
        <f>4367.254+13.099</f>
        <v>4380.3530000000001</v>
      </c>
      <c r="G85" s="31"/>
      <c r="H85" s="31"/>
      <c r="I85" s="34"/>
      <c r="J85" s="46">
        <f t="shared" si="41"/>
        <v>4380.3530000000001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33"/>
      <c r="W85" s="46">
        <f t="shared" si="40"/>
        <v>4380.3530000000001</v>
      </c>
      <c r="X85" s="32">
        <f t="shared" si="50"/>
        <v>438.03530000000001</v>
      </c>
      <c r="Y85" s="46">
        <f t="shared" si="51"/>
        <v>3942.3177000000001</v>
      </c>
      <c r="Z85" s="32">
        <f t="shared" si="52"/>
        <v>0</v>
      </c>
      <c r="AA85" s="32">
        <v>10.23</v>
      </c>
      <c r="AB85" s="32">
        <f t="shared" si="53"/>
        <v>0</v>
      </c>
      <c r="AC85" s="46">
        <f t="shared" si="54"/>
        <v>4390.5829999999996</v>
      </c>
      <c r="AD85" s="50"/>
      <c r="AE85" s="51"/>
      <c r="AF85" s="47">
        <f t="shared" si="55"/>
        <v>-3942.3177000000001</v>
      </c>
      <c r="AG85" s="35">
        <v>56708845879</v>
      </c>
      <c r="AH85" s="35"/>
    </row>
    <row r="86" spans="1:34" s="86" customFormat="1">
      <c r="A86" s="75" t="s">
        <v>40</v>
      </c>
      <c r="B86" s="75" t="s">
        <v>94</v>
      </c>
      <c r="C86" s="75" t="s">
        <v>112</v>
      </c>
      <c r="D86" s="76">
        <v>42493</v>
      </c>
      <c r="E86" s="77">
        <v>618.52</v>
      </c>
      <c r="F86" s="77"/>
      <c r="G86" s="77"/>
      <c r="H86" s="77"/>
      <c r="I86" s="77"/>
      <c r="J86" s="78">
        <f t="shared" si="41"/>
        <v>0</v>
      </c>
      <c r="K86" s="77"/>
      <c r="L86" s="79"/>
      <c r="M86" s="77"/>
      <c r="N86" s="77"/>
      <c r="O86" s="80" t="s">
        <v>127</v>
      </c>
      <c r="P86" s="80" t="s">
        <v>127</v>
      </c>
      <c r="Q86" s="77"/>
      <c r="R86" s="81"/>
      <c r="S86" s="81"/>
      <c r="T86" s="75"/>
      <c r="U86" s="75"/>
      <c r="V86" s="75"/>
      <c r="W86" s="78">
        <f t="shared" si="40"/>
        <v>0</v>
      </c>
      <c r="X86" s="81">
        <f t="shared" si="50"/>
        <v>0</v>
      </c>
      <c r="Y86" s="78">
        <f t="shared" si="51"/>
        <v>0</v>
      </c>
      <c r="Z86" s="81">
        <f t="shared" si="52"/>
        <v>0</v>
      </c>
      <c r="AA86" s="81">
        <v>10.23</v>
      </c>
      <c r="AB86" s="81" t="str">
        <f t="shared" si="53"/>
        <v>XX</v>
      </c>
      <c r="AC86" s="78" t="e">
        <f t="shared" si="54"/>
        <v>#VALUE!</v>
      </c>
      <c r="AD86" s="82"/>
      <c r="AE86" s="83"/>
      <c r="AF86" s="84">
        <f t="shared" si="55"/>
        <v>0</v>
      </c>
      <c r="AG86" s="85">
        <v>56708845882</v>
      </c>
      <c r="AH86" s="85"/>
    </row>
    <row r="87" spans="1:34" s="18" customFormat="1">
      <c r="A87" s="33" t="s">
        <v>40</v>
      </c>
      <c r="B87" s="33" t="s">
        <v>182</v>
      </c>
      <c r="C87" s="33" t="s">
        <v>97</v>
      </c>
      <c r="D87" s="49">
        <v>43115</v>
      </c>
      <c r="E87" s="34">
        <v>618.52</v>
      </c>
      <c r="F87" s="34">
        <v>370</v>
      </c>
      <c r="G87" s="31"/>
      <c r="H87" s="31"/>
      <c r="I87" s="34"/>
      <c r="J87" s="46">
        <f t="shared" si="41"/>
        <v>370</v>
      </c>
      <c r="K87" s="34"/>
      <c r="L87" s="60"/>
      <c r="M87" s="34"/>
      <c r="N87" s="34"/>
      <c r="O87" s="61"/>
      <c r="P87" s="61"/>
      <c r="Q87" s="34"/>
      <c r="R87" s="32"/>
      <c r="S87" s="32"/>
      <c r="T87" s="33"/>
      <c r="U87" s="33"/>
      <c r="V87" s="33"/>
      <c r="W87" s="46">
        <f t="shared" si="40"/>
        <v>370</v>
      </c>
      <c r="X87" s="32"/>
      <c r="Y87" s="46"/>
      <c r="Z87" s="32"/>
      <c r="AA87" s="32"/>
      <c r="AB87" s="32"/>
      <c r="AC87" s="46"/>
      <c r="AD87" s="50"/>
      <c r="AE87" s="51"/>
      <c r="AF87" s="47"/>
      <c r="AG87" s="35">
        <v>60598509182</v>
      </c>
      <c r="AH87" s="35"/>
    </row>
    <row r="88" spans="1:34" s="18" customFormat="1">
      <c r="A88" s="33" t="s">
        <v>38</v>
      </c>
      <c r="B88" s="33" t="s">
        <v>140</v>
      </c>
      <c r="C88" s="33" t="s">
        <v>41</v>
      </c>
      <c r="D88" s="49">
        <v>42716</v>
      </c>
      <c r="E88" s="34">
        <v>1200.01</v>
      </c>
      <c r="F88" s="34">
        <f>6008.666+5.571-461.01</f>
        <v>5553.2269999999999</v>
      </c>
      <c r="G88" s="31"/>
      <c r="H88" s="31"/>
      <c r="I88" s="34"/>
      <c r="J88" s="46">
        <f t="shared" si="41"/>
        <v>5553.2269999999999</v>
      </c>
      <c r="K88" s="34"/>
      <c r="L88" s="60">
        <v>1</v>
      </c>
      <c r="M88" s="34"/>
      <c r="N88" s="34"/>
      <c r="O88" s="61"/>
      <c r="P88" s="61"/>
      <c r="Q88" s="34"/>
      <c r="R88" s="32"/>
      <c r="S88" s="32"/>
      <c r="T88" s="33"/>
      <c r="U88" s="33"/>
      <c r="V88" s="33">
        <v>266.82</v>
      </c>
      <c r="W88" s="46">
        <f t="shared" si="40"/>
        <v>5285.4070000000002</v>
      </c>
      <c r="X88" s="32">
        <f t="shared" ref="X88" si="56">IF(J88&gt;2250,J88*0.1,0)</f>
        <v>555.32270000000005</v>
      </c>
      <c r="Y88" s="46">
        <f t="shared" ref="Y88" si="57">+W88-X88</f>
        <v>4730.0843000000004</v>
      </c>
      <c r="Z88" s="32"/>
      <c r="AA88" s="32"/>
      <c r="AB88" s="32">
        <f t="shared" si="53"/>
        <v>0</v>
      </c>
      <c r="AC88" s="46"/>
      <c r="AD88" s="50"/>
      <c r="AE88" s="51"/>
      <c r="AF88" s="47"/>
      <c r="AG88" s="35">
        <v>60589845501</v>
      </c>
      <c r="AH88" s="35"/>
    </row>
    <row r="89" spans="1:34" s="86" customFormat="1">
      <c r="A89" s="75" t="s">
        <v>38</v>
      </c>
      <c r="B89" s="75" t="s">
        <v>145</v>
      </c>
      <c r="C89" s="75" t="s">
        <v>41</v>
      </c>
      <c r="D89" s="76">
        <v>42909</v>
      </c>
      <c r="E89" s="77">
        <v>738.99</v>
      </c>
      <c r="F89" s="77"/>
      <c r="G89" s="77"/>
      <c r="H89" s="77"/>
      <c r="I89" s="77"/>
      <c r="J89" s="78">
        <f t="shared" si="41"/>
        <v>0</v>
      </c>
      <c r="K89" s="77"/>
      <c r="L89" s="79"/>
      <c r="M89" s="77"/>
      <c r="N89" s="77"/>
      <c r="O89" s="80"/>
      <c r="P89" s="80"/>
      <c r="Q89" s="77"/>
      <c r="R89" s="81"/>
      <c r="S89" s="81"/>
      <c r="T89" s="75"/>
      <c r="U89" s="75"/>
      <c r="V89" s="75"/>
      <c r="W89" s="78">
        <f t="shared" si="40"/>
        <v>0</v>
      </c>
      <c r="X89" s="81"/>
      <c r="Y89" s="78"/>
      <c r="Z89" s="81"/>
      <c r="AA89" s="81"/>
      <c r="AB89" s="81"/>
      <c r="AC89" s="78"/>
      <c r="AD89" s="82"/>
      <c r="AE89" s="83"/>
      <c r="AF89" s="84"/>
      <c r="AG89" s="85">
        <v>60592420864</v>
      </c>
      <c r="AH89" s="85"/>
    </row>
    <row r="90" spans="1:34" s="18" customFormat="1">
      <c r="A90" s="33" t="s">
        <v>40</v>
      </c>
      <c r="B90" s="33" t="s">
        <v>56</v>
      </c>
      <c r="C90" s="33" t="s">
        <v>100</v>
      </c>
      <c r="D90" s="49">
        <v>36868</v>
      </c>
      <c r="E90" s="34">
        <v>627.13</v>
      </c>
      <c r="F90" s="34">
        <f>2072.704+13.099</f>
        <v>2085.8030000000003</v>
      </c>
      <c r="G90" s="31"/>
      <c r="H90" s="31"/>
      <c r="I90" s="34"/>
      <c r="J90" s="46">
        <f t="shared" si="41"/>
        <v>2085.8030000000003</v>
      </c>
      <c r="K90" s="34"/>
      <c r="L90" s="60"/>
      <c r="M90" s="34"/>
      <c r="N90" s="34"/>
      <c r="O90" s="61" t="s">
        <v>127</v>
      </c>
      <c r="P90" s="61" t="s">
        <v>127</v>
      </c>
      <c r="Q90" s="34"/>
      <c r="R90" s="32"/>
      <c r="S90" s="32"/>
      <c r="T90" s="33"/>
      <c r="U90" s="33"/>
      <c r="V90" s="33"/>
      <c r="W90" s="46">
        <f t="shared" si="40"/>
        <v>2085.8030000000003</v>
      </c>
      <c r="X90" s="32">
        <f t="shared" si="50"/>
        <v>0</v>
      </c>
      <c r="Y90" s="46">
        <f t="shared" si="51"/>
        <v>2085.8030000000003</v>
      </c>
      <c r="Z90" s="32">
        <f t="shared" si="52"/>
        <v>208.58030000000005</v>
      </c>
      <c r="AA90" s="32">
        <v>10.23</v>
      </c>
      <c r="AB90" s="32" t="str">
        <f t="shared" si="53"/>
        <v>XX</v>
      </c>
      <c r="AC90" s="46" t="e">
        <f t="shared" si="54"/>
        <v>#VALUE!</v>
      </c>
      <c r="AD90" s="50"/>
      <c r="AE90" s="50"/>
      <c r="AF90" s="47">
        <f t="shared" si="55"/>
        <v>-2085.8030000000003</v>
      </c>
      <c r="AG90" s="35">
        <v>56708845911</v>
      </c>
      <c r="AH90" s="35"/>
    </row>
    <row r="91" spans="1:34" s="86" customFormat="1">
      <c r="A91" s="75" t="s">
        <v>40</v>
      </c>
      <c r="B91" s="75" t="s">
        <v>54</v>
      </c>
      <c r="C91" s="75" t="s">
        <v>98</v>
      </c>
      <c r="D91" s="76">
        <v>41949</v>
      </c>
      <c r="E91" s="77">
        <v>618.52</v>
      </c>
      <c r="F91" s="77"/>
      <c r="G91" s="77"/>
      <c r="H91" s="77"/>
      <c r="I91" s="77"/>
      <c r="J91" s="78">
        <f t="shared" si="41"/>
        <v>0</v>
      </c>
      <c r="K91" s="77"/>
      <c r="L91" s="79"/>
      <c r="M91" s="77"/>
      <c r="N91" s="81" t="s">
        <v>127</v>
      </c>
      <c r="O91" s="80" t="s">
        <v>127</v>
      </c>
      <c r="P91" s="80" t="s">
        <v>127</v>
      </c>
      <c r="Q91" s="77"/>
      <c r="R91" s="81"/>
      <c r="S91" s="81"/>
      <c r="T91" s="75"/>
      <c r="U91" s="75"/>
      <c r="V91" s="75"/>
      <c r="W91" s="78">
        <f t="shared" si="40"/>
        <v>0</v>
      </c>
      <c r="X91" s="81">
        <f t="shared" si="50"/>
        <v>0</v>
      </c>
      <c r="Y91" s="78">
        <f t="shared" si="51"/>
        <v>0</v>
      </c>
      <c r="Z91" s="81">
        <f t="shared" si="52"/>
        <v>0</v>
      </c>
      <c r="AA91" s="81">
        <v>10.23</v>
      </c>
      <c r="AB91" s="81" t="str">
        <f t="shared" si="53"/>
        <v>XX</v>
      </c>
      <c r="AC91" s="78" t="e">
        <f t="shared" si="54"/>
        <v>#VALUE!</v>
      </c>
      <c r="AD91" s="82"/>
      <c r="AE91" s="83"/>
      <c r="AF91" s="84">
        <f t="shared" si="55"/>
        <v>0</v>
      </c>
      <c r="AG91" s="85">
        <v>56708845925</v>
      </c>
      <c r="AH91" s="85"/>
    </row>
    <row r="92" spans="1:34" s="18" customFormat="1">
      <c r="A92" s="33" t="s">
        <v>38</v>
      </c>
      <c r="B92" s="33" t="s">
        <v>34</v>
      </c>
      <c r="C92" s="33" t="s">
        <v>41</v>
      </c>
      <c r="D92" s="49">
        <v>42129</v>
      </c>
      <c r="E92" s="34">
        <v>739.2</v>
      </c>
      <c r="F92" s="34">
        <f>5761.978+13.099</f>
        <v>5775.0770000000002</v>
      </c>
      <c r="G92" s="31"/>
      <c r="H92" s="31"/>
      <c r="I92" s="34"/>
      <c r="J92" s="46">
        <f t="shared" si="41"/>
        <v>5775.0770000000002</v>
      </c>
      <c r="K92" s="34"/>
      <c r="L92" s="60"/>
      <c r="M92" s="34"/>
      <c r="N92" s="34"/>
      <c r="O92" s="61"/>
      <c r="P92" s="61"/>
      <c r="Q92" s="34"/>
      <c r="R92" s="32"/>
      <c r="S92" s="32"/>
      <c r="T92" s="33"/>
      <c r="U92" s="33"/>
      <c r="V92" s="33">
        <v>1385.77</v>
      </c>
      <c r="W92" s="46">
        <f t="shared" si="40"/>
        <v>4389.3070000000007</v>
      </c>
      <c r="X92" s="32">
        <f t="shared" ref="X92" si="58">IF(J92&gt;2250,J92*0.1,0)</f>
        <v>577.5077</v>
      </c>
      <c r="Y92" s="46">
        <f t="shared" ref="Y92" si="59">+W92-X92</f>
        <v>3811.7993000000006</v>
      </c>
      <c r="Z92" s="32">
        <f t="shared" si="52"/>
        <v>0</v>
      </c>
      <c r="AA92" s="32">
        <v>10.23</v>
      </c>
      <c r="AB92" s="32">
        <f t="shared" si="53"/>
        <v>0</v>
      </c>
      <c r="AC92" s="46">
        <f t="shared" si="54"/>
        <v>5785.3069999999998</v>
      </c>
      <c r="AD92" s="50"/>
      <c r="AE92" s="51"/>
      <c r="AF92" s="47">
        <f t="shared" si="55"/>
        <v>-3811.7993000000006</v>
      </c>
      <c r="AG92" s="35">
        <v>56708845939</v>
      </c>
      <c r="AH92" s="35"/>
    </row>
    <row r="93" spans="1:34" s="18" customFormat="1">
      <c r="A93" s="33" t="s">
        <v>40</v>
      </c>
      <c r="B93" s="33" t="s">
        <v>133</v>
      </c>
      <c r="C93" s="33" t="s">
        <v>132</v>
      </c>
      <c r="D93" s="49">
        <v>42912</v>
      </c>
      <c r="E93" s="34">
        <v>627.05999999999995</v>
      </c>
      <c r="F93" s="34">
        <f>1948.425+5.571</f>
        <v>1953.9959999999999</v>
      </c>
      <c r="G93" s="31"/>
      <c r="H93" s="31"/>
      <c r="I93" s="34"/>
      <c r="J93" s="46">
        <f t="shared" si="41"/>
        <v>1953.9959999999999</v>
      </c>
      <c r="K93" s="34"/>
      <c r="L93" s="60"/>
      <c r="M93" s="34"/>
      <c r="N93" s="34"/>
      <c r="O93" s="61" t="s">
        <v>127</v>
      </c>
      <c r="P93" s="61" t="s">
        <v>127</v>
      </c>
      <c r="Q93" s="34"/>
      <c r="R93" s="32"/>
      <c r="S93" s="32"/>
      <c r="T93" s="33"/>
      <c r="U93" s="33"/>
      <c r="V93" s="33"/>
      <c r="W93" s="46">
        <f t="shared" si="40"/>
        <v>1953.9959999999999</v>
      </c>
      <c r="X93" s="32"/>
      <c r="Y93" s="46"/>
      <c r="Z93" s="32"/>
      <c r="AA93" s="32"/>
      <c r="AB93" s="32"/>
      <c r="AC93" s="46"/>
      <c r="AD93" s="50"/>
      <c r="AE93" s="51"/>
      <c r="AF93" s="47"/>
      <c r="AG93" s="35">
        <v>60592585699</v>
      </c>
      <c r="AH93" s="35"/>
    </row>
    <row r="94" spans="1:34" s="18" customFormat="1">
      <c r="A94" s="33" t="s">
        <v>38</v>
      </c>
      <c r="B94" s="33" t="s">
        <v>73</v>
      </c>
      <c r="C94" s="33" t="s">
        <v>41</v>
      </c>
      <c r="D94" s="49">
        <v>42422</v>
      </c>
      <c r="E94" s="34">
        <v>739.2</v>
      </c>
      <c r="F94" s="34">
        <f>6189.852+13.099</f>
        <v>6202.951</v>
      </c>
      <c r="G94" s="31"/>
      <c r="H94" s="31"/>
      <c r="I94" s="34"/>
      <c r="J94" s="46">
        <f t="shared" si="41"/>
        <v>6202.951</v>
      </c>
      <c r="K94" s="34"/>
      <c r="L94" s="60"/>
      <c r="M94" s="34"/>
      <c r="N94" s="34"/>
      <c r="O94" s="61"/>
      <c r="P94" s="61"/>
      <c r="Q94" s="34"/>
      <c r="R94" s="32"/>
      <c r="S94" s="32"/>
      <c r="T94" s="33"/>
      <c r="U94" s="33"/>
      <c r="V94" s="33"/>
      <c r="W94" s="46">
        <f t="shared" si="40"/>
        <v>6202.951</v>
      </c>
      <c r="X94" s="32">
        <f t="shared" ref="X94" si="60">IF(J94&gt;2250,J94*0.1,0)</f>
        <v>620.29510000000005</v>
      </c>
      <c r="Y94" s="46">
        <f t="shared" ref="Y94" si="61">+W94-X94</f>
        <v>5582.6558999999997</v>
      </c>
      <c r="Z94" s="32">
        <f t="shared" si="52"/>
        <v>0</v>
      </c>
      <c r="AA94" s="32">
        <v>10.23</v>
      </c>
      <c r="AB94" s="32">
        <f t="shared" si="53"/>
        <v>0</v>
      </c>
      <c r="AC94" s="46">
        <f t="shared" si="54"/>
        <v>6213.1809999999996</v>
      </c>
      <c r="AD94" s="50"/>
      <c r="AE94" s="51"/>
      <c r="AF94" s="47">
        <f t="shared" si="55"/>
        <v>-5582.6558999999997</v>
      </c>
      <c r="AG94" s="35">
        <v>56708845942</v>
      </c>
      <c r="AH94" s="35"/>
    </row>
    <row r="95" spans="1:34" s="18" customFormat="1">
      <c r="A95" s="33" t="s">
        <v>40</v>
      </c>
      <c r="B95" s="33" t="s">
        <v>80</v>
      </c>
      <c r="C95" s="33" t="s">
        <v>101</v>
      </c>
      <c r="D95" s="49">
        <v>40576</v>
      </c>
      <c r="E95" s="34">
        <v>627.13</v>
      </c>
      <c r="F95" s="34">
        <f>3794.8+2.599</f>
        <v>3797.3990000000003</v>
      </c>
      <c r="G95" s="31"/>
      <c r="H95" s="31"/>
      <c r="I95" s="34"/>
      <c r="J95" s="46">
        <f t="shared" si="41"/>
        <v>3797.3990000000003</v>
      </c>
      <c r="K95" s="34"/>
      <c r="L95" s="60"/>
      <c r="M95" s="34"/>
      <c r="N95" s="34">
        <v>200</v>
      </c>
      <c r="O95" s="61" t="s">
        <v>127</v>
      </c>
      <c r="P95" s="61" t="s">
        <v>127</v>
      </c>
      <c r="Q95" s="34"/>
      <c r="R95" s="32"/>
      <c r="S95" s="32"/>
      <c r="T95" s="33"/>
      <c r="U95" s="33"/>
      <c r="V95" s="33">
        <v>1045.0999999999999</v>
      </c>
      <c r="W95" s="46">
        <f t="shared" si="40"/>
        <v>2552.2990000000004</v>
      </c>
      <c r="X95" s="32">
        <f t="shared" si="50"/>
        <v>379.73990000000003</v>
      </c>
      <c r="Y95" s="46">
        <f t="shared" si="51"/>
        <v>2172.5591000000004</v>
      </c>
      <c r="Z95" s="32">
        <f t="shared" si="52"/>
        <v>0</v>
      </c>
      <c r="AA95" s="32">
        <v>10.23</v>
      </c>
      <c r="AB95" s="32" t="str">
        <f t="shared" si="53"/>
        <v>XX</v>
      </c>
      <c r="AC95" s="46" t="e">
        <f t="shared" si="54"/>
        <v>#VALUE!</v>
      </c>
      <c r="AD95" s="50"/>
      <c r="AE95" s="51"/>
      <c r="AF95" s="47">
        <f t="shared" si="55"/>
        <v>-2172.5591000000004</v>
      </c>
      <c r="AG95" s="35">
        <v>56708881946</v>
      </c>
      <c r="AH95" s="35"/>
    </row>
    <row r="96" spans="1:34" s="18" customFormat="1">
      <c r="A96" s="33" t="s">
        <v>38</v>
      </c>
      <c r="B96" s="33" t="s">
        <v>161</v>
      </c>
      <c r="C96" s="33" t="s">
        <v>41</v>
      </c>
      <c r="D96" s="49">
        <v>42907</v>
      </c>
      <c r="E96" s="34">
        <v>738.99</v>
      </c>
      <c r="F96" s="34">
        <f>1969+5.571</f>
        <v>1974.5709999999999</v>
      </c>
      <c r="G96" s="31"/>
      <c r="H96" s="31"/>
      <c r="I96" s="34"/>
      <c r="J96" s="46">
        <f t="shared" si="41"/>
        <v>1974.5709999999999</v>
      </c>
      <c r="K96" s="34"/>
      <c r="L96" s="60"/>
      <c r="M96" s="34"/>
      <c r="N96" s="34"/>
      <c r="O96" s="61"/>
      <c r="P96" s="61"/>
      <c r="Q96" s="34"/>
      <c r="R96" s="32"/>
      <c r="S96" s="32"/>
      <c r="T96" s="33"/>
      <c r="U96" s="33"/>
      <c r="V96" s="33"/>
      <c r="W96" s="46">
        <f t="shared" si="40"/>
        <v>1974.5709999999999</v>
      </c>
      <c r="X96" s="32"/>
      <c r="Y96" s="46"/>
      <c r="Z96" s="32"/>
      <c r="AA96" s="32"/>
      <c r="AB96" s="32"/>
      <c r="AC96" s="46"/>
      <c r="AD96" s="50"/>
      <c r="AE96" s="51"/>
      <c r="AF96" s="47"/>
      <c r="AG96" s="35">
        <v>60592492890</v>
      </c>
      <c r="AH96" s="35"/>
    </row>
    <row r="97" spans="1:34" s="18" customFormat="1">
      <c r="A97" s="33" t="s">
        <v>40</v>
      </c>
      <c r="B97" s="33" t="s">
        <v>106</v>
      </c>
      <c r="C97" s="33" t="s">
        <v>155</v>
      </c>
      <c r="D97" s="49">
        <v>42635</v>
      </c>
      <c r="E97" s="34">
        <v>618.52</v>
      </c>
      <c r="F97" s="34">
        <v>2189.652</v>
      </c>
      <c r="G97" s="31"/>
      <c r="H97" s="31"/>
      <c r="I97" s="34"/>
      <c r="J97" s="46">
        <f t="shared" si="41"/>
        <v>2189.652</v>
      </c>
      <c r="K97" s="34"/>
      <c r="L97" s="60"/>
      <c r="M97" s="34"/>
      <c r="N97" s="34"/>
      <c r="O97" s="61" t="s">
        <v>127</v>
      </c>
      <c r="P97" s="61" t="s">
        <v>127</v>
      </c>
      <c r="Q97" s="34"/>
      <c r="R97" s="32"/>
      <c r="S97" s="32"/>
      <c r="T97" s="33"/>
      <c r="U97" s="33"/>
      <c r="V97" s="33"/>
      <c r="W97" s="46">
        <f t="shared" si="40"/>
        <v>2189.652</v>
      </c>
      <c r="X97" s="32">
        <f t="shared" ref="X97" si="62">IF(J97&gt;2250,J97*0.1,0)</f>
        <v>0</v>
      </c>
      <c r="Y97" s="46">
        <f t="shared" ref="Y97" si="63">+W97-X97</f>
        <v>2189.652</v>
      </c>
      <c r="Z97" s="32"/>
      <c r="AA97" s="32"/>
      <c r="AB97" s="32"/>
      <c r="AC97" s="46"/>
      <c r="AD97" s="50"/>
      <c r="AE97" s="51"/>
      <c r="AF97" s="47"/>
      <c r="AG97" s="35">
        <v>56708881608</v>
      </c>
      <c r="AH97" s="35"/>
    </row>
    <row r="98" spans="1:34" s="18" customFormat="1">
      <c r="A98" s="33" t="s">
        <v>40</v>
      </c>
      <c r="B98" s="33" t="s">
        <v>81</v>
      </c>
      <c r="C98" s="33" t="s">
        <v>101</v>
      </c>
      <c r="D98" s="49">
        <v>41703</v>
      </c>
      <c r="E98" s="34">
        <v>623.35</v>
      </c>
      <c r="F98" s="34">
        <v>1044</v>
      </c>
      <c r="G98" s="31"/>
      <c r="H98" s="31"/>
      <c r="I98" s="34"/>
      <c r="J98" s="46">
        <f t="shared" si="41"/>
        <v>1044</v>
      </c>
      <c r="K98" s="34"/>
      <c r="L98" s="60"/>
      <c r="M98" s="34"/>
      <c r="N98" s="34"/>
      <c r="O98" s="61" t="s">
        <v>127</v>
      </c>
      <c r="P98" s="61" t="s">
        <v>127</v>
      </c>
      <c r="Q98" s="34"/>
      <c r="R98" s="32"/>
      <c r="S98" s="32"/>
      <c r="T98" s="33"/>
      <c r="U98" s="33"/>
      <c r="V98" s="33"/>
      <c r="W98" s="46">
        <f t="shared" si="40"/>
        <v>1044</v>
      </c>
      <c r="X98" s="32">
        <f t="shared" si="50"/>
        <v>0</v>
      </c>
      <c r="Y98" s="46">
        <f t="shared" si="51"/>
        <v>1044</v>
      </c>
      <c r="Z98" s="32">
        <f t="shared" si="52"/>
        <v>104.4</v>
      </c>
      <c r="AA98" s="32">
        <v>10.23</v>
      </c>
      <c r="AB98" s="32" t="str">
        <f t="shared" si="53"/>
        <v>XX</v>
      </c>
      <c r="AC98" s="46" t="e">
        <f t="shared" si="54"/>
        <v>#VALUE!</v>
      </c>
      <c r="AD98" s="50"/>
      <c r="AE98" s="51"/>
      <c r="AF98" s="47">
        <f t="shared" si="55"/>
        <v>-1044</v>
      </c>
      <c r="AG98" s="35">
        <v>56708845973</v>
      </c>
      <c r="AH98" s="35"/>
    </row>
    <row r="99" spans="1:34" s="18" customFormat="1">
      <c r="A99" s="33" t="s">
        <v>40</v>
      </c>
      <c r="B99" s="33" t="s">
        <v>50</v>
      </c>
      <c r="C99" s="33" t="s">
        <v>101</v>
      </c>
      <c r="D99" s="49">
        <v>41291</v>
      </c>
      <c r="E99" s="34">
        <v>627.13</v>
      </c>
      <c r="F99" s="34">
        <f>4423.538+2.599</f>
        <v>4426.1369999999997</v>
      </c>
      <c r="G99" s="31"/>
      <c r="H99" s="31">
        <v>2275.38</v>
      </c>
      <c r="I99" s="34"/>
      <c r="J99" s="46">
        <f t="shared" si="41"/>
        <v>6701.5169999999998</v>
      </c>
      <c r="K99" s="34"/>
      <c r="L99" s="60"/>
      <c r="M99" s="34"/>
      <c r="N99" s="34">
        <v>200</v>
      </c>
      <c r="O99" s="61" t="s">
        <v>127</v>
      </c>
      <c r="P99" s="61" t="s">
        <v>127</v>
      </c>
      <c r="Q99" s="34"/>
      <c r="R99" s="32"/>
      <c r="S99" s="32"/>
      <c r="T99" s="33"/>
      <c r="U99" s="33"/>
      <c r="V99" s="33"/>
      <c r="W99" s="46">
        <f t="shared" si="40"/>
        <v>6501.5169999999998</v>
      </c>
      <c r="X99" s="32">
        <f t="shared" si="50"/>
        <v>670.15170000000001</v>
      </c>
      <c r="Y99" s="46">
        <f t="shared" si="51"/>
        <v>5831.3652999999995</v>
      </c>
      <c r="Z99" s="32">
        <f t="shared" si="52"/>
        <v>0</v>
      </c>
      <c r="AA99" s="32">
        <v>10.23</v>
      </c>
      <c r="AB99" s="32" t="str">
        <f t="shared" si="53"/>
        <v>XX</v>
      </c>
      <c r="AC99" s="46" t="e">
        <f t="shared" si="54"/>
        <v>#VALUE!</v>
      </c>
      <c r="AD99" s="50"/>
      <c r="AE99" s="51"/>
      <c r="AF99" s="47">
        <f t="shared" si="55"/>
        <v>-5831.3652999999995</v>
      </c>
      <c r="AG99" s="35">
        <v>56708881963</v>
      </c>
      <c r="AH99" s="35"/>
    </row>
    <row r="100" spans="1:34" s="18" customFormat="1">
      <c r="A100" s="33" t="s">
        <v>38</v>
      </c>
      <c r="B100" s="33" t="s">
        <v>58</v>
      </c>
      <c r="C100" s="33" t="s">
        <v>41</v>
      </c>
      <c r="D100" s="49">
        <v>41666</v>
      </c>
      <c r="E100" s="34">
        <v>739.2</v>
      </c>
      <c r="F100" s="34">
        <f>3933.124+7.428</f>
        <v>3940.5519999999997</v>
      </c>
      <c r="G100" s="31"/>
      <c r="H100" s="31"/>
      <c r="I100" s="34"/>
      <c r="J100" s="46">
        <f t="shared" si="41"/>
        <v>3940.5519999999997</v>
      </c>
      <c r="K100" s="34"/>
      <c r="L100" s="60"/>
      <c r="M100" s="34"/>
      <c r="N100" s="34">
        <v>200</v>
      </c>
      <c r="O100" s="61"/>
      <c r="P100" s="61"/>
      <c r="Q100" s="34"/>
      <c r="R100" s="32"/>
      <c r="S100" s="32"/>
      <c r="T100" s="33"/>
      <c r="U100" s="33"/>
      <c r="V100" s="33">
        <v>419.6</v>
      </c>
      <c r="W100" s="46">
        <f t="shared" si="40"/>
        <v>3320.9519999999998</v>
      </c>
      <c r="X100" s="32">
        <f t="shared" si="50"/>
        <v>394.05520000000001</v>
      </c>
      <c r="Y100" s="46">
        <f t="shared" si="51"/>
        <v>2926.8967999999995</v>
      </c>
      <c r="Z100" s="32">
        <f t="shared" si="52"/>
        <v>0</v>
      </c>
      <c r="AA100" s="32">
        <v>10.23</v>
      </c>
      <c r="AB100" s="32">
        <f t="shared" si="53"/>
        <v>0</v>
      </c>
      <c r="AC100" s="46">
        <f t="shared" si="54"/>
        <v>3950.7819999999997</v>
      </c>
      <c r="AD100" s="50"/>
      <c r="AE100" s="51"/>
      <c r="AF100" s="47">
        <f t="shared" si="55"/>
        <v>-2926.8967999999995</v>
      </c>
      <c r="AG100" s="35">
        <v>56708845990</v>
      </c>
      <c r="AH100" s="35"/>
    </row>
    <row r="101" spans="1:34" s="18" customFormat="1">
      <c r="A101" s="33" t="s">
        <v>38</v>
      </c>
      <c r="B101" s="33" t="s">
        <v>120</v>
      </c>
      <c r="C101" s="33" t="s">
        <v>41</v>
      </c>
      <c r="D101" s="49">
        <v>42809</v>
      </c>
      <c r="E101" s="34">
        <v>618.52</v>
      </c>
      <c r="F101" s="34">
        <f>5999.969+13.099</f>
        <v>6013.0680000000002</v>
      </c>
      <c r="G101" s="31"/>
      <c r="H101" s="31"/>
      <c r="I101" s="34"/>
      <c r="J101" s="46">
        <f t="shared" si="41"/>
        <v>6013.0680000000002</v>
      </c>
      <c r="K101" s="34"/>
      <c r="L101" s="60"/>
      <c r="M101" s="34"/>
      <c r="N101" s="34"/>
      <c r="O101" s="61"/>
      <c r="P101" s="61"/>
      <c r="Q101" s="34"/>
      <c r="R101" s="32"/>
      <c r="S101" s="32"/>
      <c r="T101" s="33"/>
      <c r="U101" s="33"/>
      <c r="V101" s="33"/>
      <c r="W101" s="46">
        <f t="shared" si="40"/>
        <v>6013.0680000000002</v>
      </c>
      <c r="X101" s="32"/>
      <c r="Y101" s="46"/>
      <c r="Z101" s="32"/>
      <c r="AA101" s="32"/>
      <c r="AB101" s="32"/>
      <c r="AC101" s="46"/>
      <c r="AD101" s="50"/>
      <c r="AE101" s="51"/>
      <c r="AF101" s="47"/>
      <c r="AG101" s="35">
        <v>60589597089</v>
      </c>
      <c r="AH101" s="35"/>
    </row>
    <row r="102" spans="1:34" s="18" customFormat="1">
      <c r="A102" s="33" t="s">
        <v>38</v>
      </c>
      <c r="B102" s="33" t="s">
        <v>166</v>
      </c>
      <c r="C102" s="33" t="s">
        <v>41</v>
      </c>
      <c r="D102" s="49">
        <v>43052</v>
      </c>
      <c r="E102" s="34">
        <v>638.96</v>
      </c>
      <c r="F102" s="34">
        <f>4425.269+13.099</f>
        <v>4438.3680000000004</v>
      </c>
      <c r="G102" s="31"/>
      <c r="H102" s="31"/>
      <c r="I102" s="34"/>
      <c r="J102" s="46">
        <f t="shared" si="41"/>
        <v>4438.3680000000004</v>
      </c>
      <c r="K102" s="34"/>
      <c r="L102" s="60"/>
      <c r="M102" s="34"/>
      <c r="N102" s="34"/>
      <c r="O102" s="61"/>
      <c r="P102" s="61"/>
      <c r="Q102" s="34"/>
      <c r="R102" s="32"/>
      <c r="S102" s="32"/>
      <c r="T102" s="33"/>
      <c r="U102" s="33"/>
      <c r="V102" s="33"/>
      <c r="W102" s="46">
        <f t="shared" si="40"/>
        <v>4438.3680000000004</v>
      </c>
      <c r="X102" s="32"/>
      <c r="Y102" s="46"/>
      <c r="Z102" s="32"/>
      <c r="AA102" s="32"/>
      <c r="AB102" s="32"/>
      <c r="AC102" s="46"/>
      <c r="AD102" s="50"/>
      <c r="AE102" s="51"/>
      <c r="AF102" s="47"/>
      <c r="AG102" s="35">
        <v>56714607256</v>
      </c>
      <c r="AH102" s="35"/>
    </row>
    <row r="103" spans="1:34" s="18" customFormat="1">
      <c r="A103" s="33" t="s">
        <v>40</v>
      </c>
      <c r="B103" s="33" t="s">
        <v>184</v>
      </c>
      <c r="C103" s="33" t="s">
        <v>97</v>
      </c>
      <c r="D103" s="49">
        <v>43117</v>
      </c>
      <c r="E103" s="34">
        <v>618.52</v>
      </c>
      <c r="F103" s="34">
        <v>738.2</v>
      </c>
      <c r="G103" s="31"/>
      <c r="H103" s="31"/>
      <c r="I103" s="34"/>
      <c r="J103" s="46">
        <f t="shared" si="41"/>
        <v>738.2</v>
      </c>
      <c r="K103" s="34"/>
      <c r="L103" s="60"/>
      <c r="M103" s="34"/>
      <c r="N103" s="34"/>
      <c r="O103" s="61" t="s">
        <v>127</v>
      </c>
      <c r="P103" s="61" t="s">
        <v>127</v>
      </c>
      <c r="Q103" s="34"/>
      <c r="R103" s="32"/>
      <c r="S103" s="32"/>
      <c r="T103" s="33"/>
      <c r="U103" s="33"/>
      <c r="V103" s="33"/>
      <c r="W103" s="46">
        <f t="shared" si="40"/>
        <v>738.2</v>
      </c>
      <c r="X103" s="32"/>
      <c r="Y103" s="46"/>
      <c r="Z103" s="32"/>
      <c r="AA103" s="32"/>
      <c r="AB103" s="32"/>
      <c r="AC103" s="46"/>
      <c r="AD103" s="50"/>
      <c r="AE103" s="51"/>
      <c r="AF103" s="47"/>
      <c r="AG103" s="35">
        <v>60598705779</v>
      </c>
      <c r="AH103" s="35"/>
    </row>
    <row r="104" spans="1:34" s="18" customFormat="1">
      <c r="A104" s="33" t="s">
        <v>40</v>
      </c>
      <c r="B104" s="33" t="s">
        <v>185</v>
      </c>
      <c r="C104" s="33" t="s">
        <v>97</v>
      </c>
      <c r="D104" s="49">
        <v>43117</v>
      </c>
      <c r="E104" s="34">
        <v>618.52</v>
      </c>
      <c r="F104" s="34">
        <v>742.9</v>
      </c>
      <c r="G104" s="31"/>
      <c r="H104" s="31"/>
      <c r="I104" s="34"/>
      <c r="J104" s="46">
        <f t="shared" si="41"/>
        <v>742.9</v>
      </c>
      <c r="K104" s="34"/>
      <c r="L104" s="60"/>
      <c r="M104" s="34"/>
      <c r="N104" s="34"/>
      <c r="O104" s="61" t="s">
        <v>127</v>
      </c>
      <c r="P104" s="61" t="s">
        <v>127</v>
      </c>
      <c r="Q104" s="34"/>
      <c r="R104" s="32"/>
      <c r="S104" s="32"/>
      <c r="T104" s="33"/>
      <c r="U104" s="33"/>
      <c r="V104" s="33"/>
      <c r="W104" s="46">
        <f t="shared" si="40"/>
        <v>742.9</v>
      </c>
      <c r="X104" s="32"/>
      <c r="Y104" s="46"/>
      <c r="Z104" s="32"/>
      <c r="AA104" s="32"/>
      <c r="AB104" s="32"/>
      <c r="AC104" s="46"/>
      <c r="AD104" s="50"/>
      <c r="AE104" s="51"/>
      <c r="AF104" s="47"/>
      <c r="AG104" s="35">
        <v>60598704895</v>
      </c>
      <c r="AH104" s="35"/>
    </row>
    <row r="105" spans="1:34" s="18" customFormat="1">
      <c r="A105" s="33" t="s">
        <v>40</v>
      </c>
      <c r="B105" s="33" t="s">
        <v>113</v>
      </c>
      <c r="C105" s="33" t="s">
        <v>97</v>
      </c>
      <c r="D105" s="49">
        <v>42752</v>
      </c>
      <c r="E105" s="34">
        <v>618.52</v>
      </c>
      <c r="F105" s="34">
        <f>2311.517+5.571</f>
        <v>2317.0879999999997</v>
      </c>
      <c r="G105" s="31"/>
      <c r="H105" s="31"/>
      <c r="I105" s="34"/>
      <c r="J105" s="46">
        <f t="shared" si="41"/>
        <v>2317.0879999999997</v>
      </c>
      <c r="K105" s="34"/>
      <c r="L105" s="60"/>
      <c r="M105" s="34"/>
      <c r="N105" s="34"/>
      <c r="O105" s="61" t="s">
        <v>127</v>
      </c>
      <c r="P105" s="61" t="s">
        <v>127</v>
      </c>
      <c r="Q105" s="34"/>
      <c r="R105" s="32"/>
      <c r="S105" s="32"/>
      <c r="T105" s="33"/>
      <c r="U105" s="33"/>
      <c r="V105" s="33"/>
      <c r="W105" s="46">
        <f t="shared" ref="W105:W110" si="64">+J105-SUM(K105:V105)</f>
        <v>2317.0879999999997</v>
      </c>
      <c r="X105" s="32">
        <f t="shared" ref="X105" si="65">IF(J105&gt;2250,J105*0.1,0)</f>
        <v>231.7088</v>
      </c>
      <c r="Y105" s="46">
        <f t="shared" ref="Y105" si="66">+W105-X105</f>
        <v>2085.3791999999999</v>
      </c>
      <c r="Z105" s="32"/>
      <c r="AA105" s="32"/>
      <c r="AB105" s="32"/>
      <c r="AC105" s="46"/>
      <c r="AD105" s="50"/>
      <c r="AE105" s="51"/>
      <c r="AF105" s="47"/>
      <c r="AG105" s="35">
        <v>60589634536</v>
      </c>
      <c r="AH105" s="35"/>
    </row>
    <row r="106" spans="1:34" s="18" customFormat="1">
      <c r="A106" s="33" t="s">
        <v>40</v>
      </c>
      <c r="B106" s="33" t="s">
        <v>96</v>
      </c>
      <c r="C106" s="33" t="s">
        <v>100</v>
      </c>
      <c r="D106" s="49">
        <v>29733</v>
      </c>
      <c r="E106" s="34">
        <v>627.13</v>
      </c>
      <c r="F106" s="34">
        <f>4209.709+3.714</f>
        <v>4213.4229999999998</v>
      </c>
      <c r="G106" s="31"/>
      <c r="H106" s="31"/>
      <c r="I106" s="34"/>
      <c r="J106" s="46">
        <f t="shared" si="41"/>
        <v>4213.4229999999998</v>
      </c>
      <c r="K106" s="34"/>
      <c r="L106" s="60"/>
      <c r="M106" s="34"/>
      <c r="N106" s="34">
        <v>150</v>
      </c>
      <c r="O106" s="61" t="s">
        <v>127</v>
      </c>
      <c r="P106" s="61" t="s">
        <v>127</v>
      </c>
      <c r="Q106" s="34"/>
      <c r="R106" s="32"/>
      <c r="S106" s="32"/>
      <c r="T106" s="33"/>
      <c r="U106" s="33"/>
      <c r="V106" s="33"/>
      <c r="W106" s="46">
        <f t="shared" si="64"/>
        <v>4063.4229999999998</v>
      </c>
      <c r="X106" s="32">
        <f t="shared" si="50"/>
        <v>421.34230000000002</v>
      </c>
      <c r="Y106" s="46">
        <f t="shared" si="51"/>
        <v>3642.0806999999995</v>
      </c>
      <c r="Z106" s="32">
        <f t="shared" si="52"/>
        <v>0</v>
      </c>
      <c r="AA106" s="32">
        <v>10.23</v>
      </c>
      <c r="AB106" s="32" t="str">
        <f t="shared" si="53"/>
        <v>XX</v>
      </c>
      <c r="AC106" s="46" t="e">
        <f t="shared" si="54"/>
        <v>#VALUE!</v>
      </c>
      <c r="AD106" s="50"/>
      <c r="AE106" s="51"/>
      <c r="AF106" s="47">
        <f t="shared" si="55"/>
        <v>-3642.0806999999995</v>
      </c>
      <c r="AG106" s="35">
        <v>60589747903</v>
      </c>
      <c r="AH106" s="35"/>
    </row>
    <row r="107" spans="1:34" s="18" customFormat="1">
      <c r="A107" s="33" t="s">
        <v>38</v>
      </c>
      <c r="B107" s="33" t="s">
        <v>162</v>
      </c>
      <c r="C107" s="33" t="s">
        <v>163</v>
      </c>
      <c r="D107" s="49">
        <v>43026</v>
      </c>
      <c r="E107" s="34">
        <v>638.96</v>
      </c>
      <c r="F107" s="34">
        <f>3879.724+7.428</f>
        <v>3887.152</v>
      </c>
      <c r="G107" s="34"/>
      <c r="H107" s="31"/>
      <c r="I107" s="34"/>
      <c r="J107" s="46">
        <f t="shared" si="41"/>
        <v>3887.152</v>
      </c>
      <c r="K107" s="34"/>
      <c r="L107" s="60"/>
      <c r="M107" s="34"/>
      <c r="N107" s="34"/>
      <c r="O107" s="61"/>
      <c r="P107" s="61"/>
      <c r="Q107" s="34"/>
      <c r="R107" s="32"/>
      <c r="S107" s="32"/>
      <c r="T107" s="33"/>
      <c r="U107" s="33"/>
      <c r="V107" s="33">
        <v>566.85</v>
      </c>
      <c r="W107" s="46">
        <f t="shared" si="64"/>
        <v>3320.3020000000001</v>
      </c>
      <c r="X107" s="32"/>
      <c r="Y107" s="46"/>
      <c r="Z107" s="32"/>
      <c r="AA107" s="32"/>
      <c r="AB107" s="32"/>
      <c r="AC107" s="46"/>
      <c r="AD107" s="50"/>
      <c r="AE107" s="51"/>
      <c r="AF107" s="47"/>
      <c r="AG107" s="35">
        <v>60578682154</v>
      </c>
      <c r="AH107" s="35"/>
    </row>
    <row r="108" spans="1:34" s="18" customFormat="1">
      <c r="A108" s="33" t="s">
        <v>38</v>
      </c>
      <c r="B108" s="33" t="s">
        <v>57</v>
      </c>
      <c r="C108" s="33" t="s">
        <v>41</v>
      </c>
      <c r="D108" s="49">
        <v>41549</v>
      </c>
      <c r="E108" s="34">
        <v>739.2</v>
      </c>
      <c r="F108" s="34">
        <f>6596.999+13.099</f>
        <v>6610.098</v>
      </c>
      <c r="G108" s="34"/>
      <c r="H108" s="34"/>
      <c r="I108" s="34"/>
      <c r="J108" s="46">
        <f t="shared" si="41"/>
        <v>6610.098</v>
      </c>
      <c r="K108" s="34"/>
      <c r="L108" s="60"/>
      <c r="M108" s="34"/>
      <c r="N108" s="34">
        <v>500</v>
      </c>
      <c r="O108" s="61"/>
      <c r="P108" s="61"/>
      <c r="Q108" s="34"/>
      <c r="R108" s="32"/>
      <c r="S108" s="32"/>
      <c r="T108" s="33"/>
      <c r="U108" s="33"/>
      <c r="V108" s="33"/>
      <c r="W108" s="46">
        <f t="shared" si="64"/>
        <v>6110.098</v>
      </c>
      <c r="X108" s="32">
        <f>IF(J108&gt;2250,J108*0.1,0)</f>
        <v>661.00980000000004</v>
      </c>
      <c r="Y108" s="46">
        <f>+W108-X108</f>
        <v>5449.0882000000001</v>
      </c>
      <c r="Z108" s="32">
        <f>IF(J108&lt;2250,J108*0.1,0)</f>
        <v>0</v>
      </c>
      <c r="AA108" s="32">
        <v>10.23</v>
      </c>
      <c r="AB108" s="32">
        <f>+O108</f>
        <v>0</v>
      </c>
      <c r="AC108" s="46">
        <f>+J108+Z108+AA108+AB108</f>
        <v>6620.3279999999995</v>
      </c>
      <c r="AD108" s="50"/>
      <c r="AE108" s="51"/>
      <c r="AF108" s="47">
        <f>+AD108+AE108-Y108</f>
        <v>-5449.0882000000001</v>
      </c>
      <c r="AG108" s="35">
        <v>56708846050</v>
      </c>
      <c r="AH108" s="35"/>
    </row>
    <row r="109" spans="1:34" s="18" customFormat="1">
      <c r="A109" s="33" t="s">
        <v>38</v>
      </c>
      <c r="B109" s="33" t="s">
        <v>175</v>
      </c>
      <c r="C109" s="33" t="s">
        <v>174</v>
      </c>
      <c r="D109" s="49">
        <v>43069</v>
      </c>
      <c r="E109" s="34">
        <v>1199.94</v>
      </c>
      <c r="F109" s="34">
        <v>0</v>
      </c>
      <c r="G109" s="34"/>
      <c r="H109" s="34"/>
      <c r="I109" s="34"/>
      <c r="J109" s="46">
        <f t="shared" si="41"/>
        <v>0</v>
      </c>
      <c r="K109" s="34"/>
      <c r="L109" s="60">
        <v>1</v>
      </c>
      <c r="M109" s="34"/>
      <c r="N109" s="34"/>
      <c r="O109" s="61"/>
      <c r="P109" s="61"/>
      <c r="Q109" s="34"/>
      <c r="R109" s="32"/>
      <c r="S109" s="32"/>
      <c r="T109" s="33"/>
      <c r="U109" s="33"/>
      <c r="V109" s="33"/>
      <c r="W109" s="46">
        <f t="shared" si="64"/>
        <v>-1</v>
      </c>
      <c r="X109" s="32"/>
      <c r="Y109" s="46"/>
      <c r="Z109" s="32"/>
      <c r="AA109" s="32"/>
      <c r="AB109" s="32"/>
      <c r="AC109" s="46"/>
      <c r="AD109" s="50"/>
      <c r="AE109" s="51"/>
      <c r="AF109" s="47"/>
      <c r="AG109" s="35">
        <v>60597522863</v>
      </c>
      <c r="AH109" s="35"/>
    </row>
    <row r="110" spans="1:34" s="18" customFormat="1">
      <c r="A110" s="33" t="s">
        <v>38</v>
      </c>
      <c r="B110" s="33" t="s">
        <v>179</v>
      </c>
      <c r="C110" s="33" t="s">
        <v>180</v>
      </c>
      <c r="D110" s="49">
        <v>43115</v>
      </c>
      <c r="E110" s="34">
        <v>729.19</v>
      </c>
      <c r="F110" s="34">
        <v>2654.4209999999998</v>
      </c>
      <c r="G110" s="34"/>
      <c r="H110" s="34"/>
      <c r="I110" s="34"/>
      <c r="J110" s="46">
        <f t="shared" si="41"/>
        <v>2654.4209999999998</v>
      </c>
      <c r="K110" s="34"/>
      <c r="L110" s="60"/>
      <c r="M110" s="34"/>
      <c r="N110" s="34"/>
      <c r="O110" s="61"/>
      <c r="P110" s="61"/>
      <c r="Q110" s="34"/>
      <c r="R110" s="32"/>
      <c r="S110" s="32"/>
      <c r="T110" s="33"/>
      <c r="U110" s="33"/>
      <c r="V110" s="33">
        <v>733</v>
      </c>
      <c r="W110" s="46">
        <f t="shared" si="64"/>
        <v>1921.4209999999998</v>
      </c>
      <c r="X110" s="32"/>
      <c r="Y110" s="46"/>
      <c r="Z110" s="32"/>
      <c r="AA110" s="32"/>
      <c r="AB110" s="32"/>
      <c r="AC110" s="46"/>
      <c r="AD110" s="50"/>
      <c r="AE110" s="51"/>
      <c r="AF110" s="47"/>
      <c r="AG110" s="35">
        <v>56716836770</v>
      </c>
      <c r="AH110" s="35"/>
    </row>
    <row r="111" spans="1:34">
      <c r="A111" s="28"/>
      <c r="B111" s="33"/>
      <c r="C111" s="28"/>
      <c r="D111" s="59"/>
      <c r="E111" s="59"/>
      <c r="F111" s="30"/>
      <c r="G111" s="30"/>
      <c r="H111" s="30"/>
      <c r="I111" s="30"/>
      <c r="J111" s="46">
        <f t="shared" si="41"/>
        <v>0</v>
      </c>
      <c r="K111" s="34"/>
      <c r="L111" s="34"/>
      <c r="M111" s="34"/>
      <c r="N111" s="34"/>
      <c r="O111" s="34"/>
      <c r="P111" s="34"/>
      <c r="Q111" s="34"/>
      <c r="R111" s="32"/>
      <c r="S111" s="32"/>
      <c r="T111" s="32"/>
      <c r="U111" s="32"/>
      <c r="V111" s="32"/>
      <c r="W111" s="46"/>
      <c r="X111" s="32"/>
      <c r="Y111" s="46"/>
      <c r="Z111" s="54"/>
      <c r="AA111" s="54"/>
      <c r="AB111" s="54"/>
      <c r="AC111" s="53"/>
      <c r="AD111" s="44"/>
      <c r="AE111" s="44"/>
      <c r="AF111" s="39"/>
      <c r="AG111" s="28"/>
      <c r="AH111" s="28"/>
    </row>
    <row r="112" spans="1:34">
      <c r="A112" s="28"/>
      <c r="B112" s="35" t="s">
        <v>116</v>
      </c>
      <c r="C112" s="28"/>
      <c r="D112" s="59"/>
      <c r="E112" s="38">
        <f t="shared" ref="E112:W112" si="67">SUM(E65:E110)</f>
        <v>31262.560000000012</v>
      </c>
      <c r="F112" s="38">
        <f t="shared" si="67"/>
        <v>129737.959</v>
      </c>
      <c r="G112" s="38">
        <f t="shared" si="67"/>
        <v>0</v>
      </c>
      <c r="H112" s="38">
        <f t="shared" si="67"/>
        <v>2275.38</v>
      </c>
      <c r="I112" s="38">
        <f t="shared" si="67"/>
        <v>0</v>
      </c>
      <c r="J112" s="38">
        <f t="shared" si="67"/>
        <v>132013.33900000001</v>
      </c>
      <c r="K112" s="38">
        <f t="shared" si="67"/>
        <v>0</v>
      </c>
      <c r="L112" s="38">
        <f t="shared" si="67"/>
        <v>2</v>
      </c>
      <c r="M112" s="38">
        <f t="shared" si="67"/>
        <v>0</v>
      </c>
      <c r="N112" s="38">
        <f t="shared" si="67"/>
        <v>3900</v>
      </c>
      <c r="O112" s="38">
        <f t="shared" si="67"/>
        <v>0</v>
      </c>
      <c r="P112" s="38">
        <f t="shared" si="67"/>
        <v>0</v>
      </c>
      <c r="Q112" s="38">
        <f t="shared" si="67"/>
        <v>0</v>
      </c>
      <c r="R112" s="38">
        <f t="shared" si="67"/>
        <v>0</v>
      </c>
      <c r="S112" s="38">
        <f t="shared" si="67"/>
        <v>0</v>
      </c>
      <c r="T112" s="38">
        <f t="shared" si="67"/>
        <v>0</v>
      </c>
      <c r="U112" s="38">
        <f t="shared" si="67"/>
        <v>0</v>
      </c>
      <c r="V112" s="38">
        <f t="shared" si="67"/>
        <v>4989.13</v>
      </c>
      <c r="W112" s="38">
        <f t="shared" si="67"/>
        <v>123122.20899999999</v>
      </c>
      <c r="X112" s="38">
        <f>SUM(X66:X108)</f>
        <v>7982.0412999999999</v>
      </c>
      <c r="Y112" s="38">
        <f>SUM(Y66:Y108)</f>
        <v>73936.465400000001</v>
      </c>
      <c r="Z112" s="54"/>
      <c r="AA112" s="54"/>
      <c r="AB112" s="54"/>
      <c r="AC112" s="53"/>
      <c r="AD112" s="44"/>
      <c r="AE112" s="44"/>
      <c r="AF112" s="39"/>
      <c r="AG112" s="28"/>
      <c r="AH112" s="28"/>
    </row>
    <row r="113" spans="1:34">
      <c r="B113" s="20"/>
      <c r="AC113" s="14" t="e">
        <f>+#REF!*0.16</f>
        <v>#REF!</v>
      </c>
    </row>
    <row r="117" spans="1:34" ht="23.25">
      <c r="A117" s="98" t="s">
        <v>25</v>
      </c>
      <c r="B117" s="98"/>
    </row>
    <row r="118" spans="1:34" s="18" customFormat="1" ht="15.75">
      <c r="A118" s="64" t="s">
        <v>39</v>
      </c>
      <c r="B118" s="64" t="s">
        <v>108</v>
      </c>
      <c r="C118" s="64" t="s">
        <v>43</v>
      </c>
      <c r="D118" s="49">
        <v>42199</v>
      </c>
      <c r="E118" s="34">
        <v>1633</v>
      </c>
      <c r="F118" s="34">
        <v>1633</v>
      </c>
      <c r="G118" s="34"/>
      <c r="H118" s="34"/>
      <c r="I118" s="34"/>
      <c r="J118" s="46">
        <f t="shared" ref="J118:J122" si="68">SUM(F118:I118)</f>
        <v>1633</v>
      </c>
      <c r="K118" s="34"/>
      <c r="L118" s="60"/>
      <c r="M118" s="34"/>
      <c r="N118" s="34">
        <v>150</v>
      </c>
      <c r="O118" s="61"/>
      <c r="P118" s="61"/>
      <c r="Q118" s="34"/>
      <c r="R118" s="32"/>
      <c r="S118" s="62"/>
      <c r="T118" s="33"/>
      <c r="U118" s="33"/>
      <c r="V118" s="57"/>
      <c r="W118" s="46">
        <f t="shared" ref="W118:W122" si="69">+J118-SUM(K118:V118)</f>
        <v>1483</v>
      </c>
      <c r="X118" s="32">
        <v>0</v>
      </c>
      <c r="Y118" s="46">
        <v>-150</v>
      </c>
      <c r="Z118" s="32"/>
      <c r="AA118" s="32"/>
      <c r="AB118" s="32"/>
      <c r="AC118" s="46"/>
      <c r="AD118" s="52"/>
      <c r="AE118" s="50"/>
      <c r="AF118" s="47"/>
      <c r="AG118" s="33">
        <v>60590405464</v>
      </c>
      <c r="AH118" s="65"/>
    </row>
    <row r="119" spans="1:34">
      <c r="A119" s="64" t="s">
        <v>37</v>
      </c>
      <c r="B119" s="64" t="s">
        <v>102</v>
      </c>
      <c r="C119" s="64" t="s">
        <v>43</v>
      </c>
      <c r="D119" s="49">
        <v>34275</v>
      </c>
      <c r="E119" s="34">
        <v>1633</v>
      </c>
      <c r="F119" s="34">
        <v>1633</v>
      </c>
      <c r="G119" s="34"/>
      <c r="H119" s="34"/>
      <c r="I119" s="34"/>
      <c r="J119" s="46">
        <f t="shared" si="68"/>
        <v>1633</v>
      </c>
      <c r="K119" s="34"/>
      <c r="L119" s="60"/>
      <c r="M119" s="34"/>
      <c r="N119" s="34"/>
      <c r="O119" s="61"/>
      <c r="P119" s="61"/>
      <c r="Q119" s="34"/>
      <c r="R119" s="32"/>
      <c r="S119" s="32"/>
      <c r="T119" s="33"/>
      <c r="U119" s="33"/>
      <c r="V119" s="33"/>
      <c r="W119" s="46">
        <f t="shared" si="69"/>
        <v>1633</v>
      </c>
      <c r="X119" s="32">
        <v>0</v>
      </c>
      <c r="Y119" s="46">
        <v>0</v>
      </c>
      <c r="Z119" s="54"/>
      <c r="AA119" s="54"/>
      <c r="AB119" s="54"/>
      <c r="AC119" s="53"/>
      <c r="AD119" s="44"/>
      <c r="AE119" s="44"/>
      <c r="AF119" s="39"/>
      <c r="AG119" s="28">
        <v>60590317373</v>
      </c>
      <c r="AH119" s="65"/>
    </row>
    <row r="120" spans="1:34">
      <c r="A120" s="64" t="s">
        <v>39</v>
      </c>
      <c r="B120" s="64" t="s">
        <v>114</v>
      </c>
      <c r="C120" s="64" t="s">
        <v>115</v>
      </c>
      <c r="D120" s="49">
        <v>38825</v>
      </c>
      <c r="E120" s="34">
        <v>2100</v>
      </c>
      <c r="F120" s="34"/>
      <c r="G120" s="34"/>
      <c r="H120" s="34"/>
      <c r="I120" s="34"/>
      <c r="J120" s="46">
        <f t="shared" si="68"/>
        <v>0</v>
      </c>
      <c r="K120" s="34"/>
      <c r="L120" s="60"/>
      <c r="M120" s="34"/>
      <c r="N120" s="34"/>
      <c r="O120" s="61"/>
      <c r="P120" s="61"/>
      <c r="Q120" s="34"/>
      <c r="R120" s="32"/>
      <c r="S120" s="32"/>
      <c r="T120" s="33"/>
      <c r="U120" s="33"/>
      <c r="V120" s="33"/>
      <c r="W120" s="46">
        <f t="shared" si="69"/>
        <v>0</v>
      </c>
      <c r="X120" s="32"/>
      <c r="Y120" s="46"/>
      <c r="Z120" s="54"/>
      <c r="AA120" s="54"/>
      <c r="AB120" s="54"/>
      <c r="AC120" s="53"/>
      <c r="AD120" s="44"/>
      <c r="AE120" s="44"/>
      <c r="AF120" s="39"/>
      <c r="AG120" s="28">
        <v>56708845376</v>
      </c>
      <c r="AH120" s="65"/>
    </row>
    <row r="121" spans="1:34">
      <c r="A121" s="64" t="s">
        <v>37</v>
      </c>
      <c r="B121" s="64" t="s">
        <v>104</v>
      </c>
      <c r="C121" s="64" t="s">
        <v>103</v>
      </c>
      <c r="D121" s="49">
        <v>42809</v>
      </c>
      <c r="E121" s="34">
        <v>937.5</v>
      </c>
      <c r="F121" s="34"/>
      <c r="G121" s="34"/>
      <c r="H121" s="34"/>
      <c r="I121" s="34"/>
      <c r="J121" s="46">
        <f t="shared" si="68"/>
        <v>0</v>
      </c>
      <c r="K121" s="34"/>
      <c r="L121" s="60"/>
      <c r="M121" s="34"/>
      <c r="N121" s="34"/>
      <c r="O121" s="61"/>
      <c r="P121" s="61"/>
      <c r="Q121" s="34"/>
      <c r="R121" s="32"/>
      <c r="S121" s="32"/>
      <c r="T121" s="33"/>
      <c r="U121" s="33"/>
      <c r="V121" s="33"/>
      <c r="W121" s="46">
        <f t="shared" si="69"/>
        <v>0</v>
      </c>
      <c r="X121" s="32"/>
      <c r="Y121" s="46"/>
      <c r="Z121" s="54"/>
      <c r="AA121" s="54"/>
      <c r="AB121" s="54"/>
      <c r="AC121" s="53"/>
      <c r="AD121" s="44"/>
      <c r="AE121" s="44"/>
      <c r="AF121" s="39"/>
      <c r="AG121" s="28">
        <v>60590314454</v>
      </c>
      <c r="AH121" s="65"/>
    </row>
    <row r="122" spans="1:34">
      <c r="A122" s="64" t="s">
        <v>39</v>
      </c>
      <c r="B122" s="64" t="s">
        <v>149</v>
      </c>
      <c r="C122" s="64" t="s">
        <v>150</v>
      </c>
      <c r="D122" s="49">
        <v>40147</v>
      </c>
      <c r="E122" s="34">
        <v>1900</v>
      </c>
      <c r="F122" s="34"/>
      <c r="G122" s="34"/>
      <c r="H122" s="34"/>
      <c r="I122" s="34"/>
      <c r="J122" s="46">
        <f t="shared" si="68"/>
        <v>0</v>
      </c>
      <c r="K122" s="34"/>
      <c r="L122" s="60"/>
      <c r="M122" s="34"/>
      <c r="N122" s="34"/>
      <c r="O122" s="61"/>
      <c r="P122" s="61"/>
      <c r="Q122" s="34"/>
      <c r="R122" s="32"/>
      <c r="S122" s="32"/>
      <c r="T122" s="33"/>
      <c r="U122" s="33"/>
      <c r="V122" s="33"/>
      <c r="W122" s="46">
        <f t="shared" si="69"/>
        <v>0</v>
      </c>
      <c r="X122" s="32"/>
      <c r="Y122" s="46"/>
      <c r="Z122" s="54"/>
      <c r="AA122" s="54"/>
      <c r="AB122" s="54"/>
      <c r="AC122" s="53"/>
      <c r="AD122" s="44"/>
      <c r="AE122" s="44"/>
      <c r="AF122" s="39"/>
      <c r="AG122" s="28">
        <v>60590324373</v>
      </c>
      <c r="AH122" s="65"/>
    </row>
    <row r="126" spans="1:34">
      <c r="A126" s="19" t="s">
        <v>17</v>
      </c>
      <c r="B126" s="13"/>
    </row>
    <row r="127" spans="1:34">
      <c r="A127" s="19" t="s">
        <v>18</v>
      </c>
      <c r="B127" s="13"/>
    </row>
    <row r="128" spans="1:34">
      <c r="A128" s="19" t="s">
        <v>19</v>
      </c>
      <c r="B128" s="13"/>
    </row>
    <row r="129" spans="1:2">
      <c r="A129" s="19" t="s">
        <v>20</v>
      </c>
      <c r="B129" s="13"/>
    </row>
    <row r="130" spans="1:2">
      <c r="A130" s="19" t="s">
        <v>21</v>
      </c>
      <c r="B130" s="13"/>
    </row>
    <row r="131" spans="1:2">
      <c r="A131" s="19" t="s">
        <v>22</v>
      </c>
      <c r="B131" s="13"/>
    </row>
    <row r="135" spans="1:2">
      <c r="B135" s="17"/>
    </row>
    <row r="136" spans="1:2">
      <c r="B136" s="17"/>
    </row>
    <row r="137" spans="1:2">
      <c r="B137" s="17"/>
    </row>
  </sheetData>
  <sheetProtection selectLockedCells="1" selectUnlockedCells="1"/>
  <autoFilter ref="A5:AH60">
    <filterColumn colId="29" showButton="0"/>
    <sortState ref="A8:AH99">
      <sortCondition ref="B5:B99"/>
    </sortState>
  </autoFilter>
  <mergeCells count="34">
    <mergeCell ref="A117:B117"/>
    <mergeCell ref="F5:F6"/>
    <mergeCell ref="A5:A6"/>
    <mergeCell ref="B5:B6"/>
    <mergeCell ref="C5:C6"/>
    <mergeCell ref="D5:D6"/>
    <mergeCell ref="E5:E6"/>
    <mergeCell ref="A64:B64"/>
    <mergeCell ref="G5:G6"/>
    <mergeCell ref="S5:S6"/>
    <mergeCell ref="Q5:Q6"/>
    <mergeCell ref="R5:R6"/>
    <mergeCell ref="L5:L6"/>
    <mergeCell ref="M5:M6"/>
    <mergeCell ref="H5:H6"/>
    <mergeCell ref="I5:I6"/>
    <mergeCell ref="J5:J6"/>
    <mergeCell ref="K5:K6"/>
    <mergeCell ref="N5:N6"/>
    <mergeCell ref="AH5:AH6"/>
    <mergeCell ref="T5:T6"/>
    <mergeCell ref="O5:O6"/>
    <mergeCell ref="P5:P6"/>
    <mergeCell ref="U5:U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</mergeCells>
  <pageMargins left="0.32708333333333334" right="8.4027777777777785E-2" top="0.29097222222222224" bottom="0.35277777777777775" header="2.5694444444444443E-2" footer="8.7499999999999994E-2"/>
  <pageSetup scale="22" orientation="landscape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/>
  </sheetViews>
  <sheetFormatPr baseColWidth="10" defaultRowHeight="12.75"/>
  <sheetData>
    <row r="4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2018-02-02T17:10:54Z</cp:lastPrinted>
  <dcterms:created xsi:type="dcterms:W3CDTF">2015-07-23T15:19:36Z</dcterms:created>
  <dcterms:modified xsi:type="dcterms:W3CDTF">2018-02-23T00:18:19Z</dcterms:modified>
</cp:coreProperties>
</file>