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11595"/>
  </bookViews>
  <sheets>
    <sheet name="FORMATO NOMINA" sheetId="4" r:id="rId1"/>
  </sheets>
  <definedNames>
    <definedName name="_xlnm._FilterDatabase" localSheetId="0" hidden="1">'FORMATO NOMINA'!$A$5:$AH$63</definedName>
  </definedNames>
  <calcPr calcId="145621"/>
  <fileRecoveryPr repairLoad="1"/>
</workbook>
</file>

<file path=xl/calcChain.xml><?xml version="1.0" encoding="utf-8"?>
<calcChain xmlns="http://schemas.openxmlformats.org/spreadsheetml/2006/main">
  <c r="J107" i="4" l="1"/>
  <c r="W107" i="4" s="1"/>
  <c r="J108" i="4"/>
  <c r="W108" i="4" s="1"/>
  <c r="J110" i="4"/>
  <c r="F71" i="4" l="1"/>
  <c r="F96" i="4"/>
  <c r="F98" i="4"/>
  <c r="F74" i="4"/>
  <c r="F89" i="4"/>
  <c r="F87" i="4"/>
  <c r="F113" i="4"/>
  <c r="F104" i="4"/>
  <c r="F105" i="4"/>
  <c r="F77" i="4"/>
  <c r="F80" i="4"/>
  <c r="F76" i="4"/>
  <c r="F99" i="4"/>
  <c r="F78" i="4"/>
  <c r="F109" i="4"/>
  <c r="J109" i="4" s="1"/>
  <c r="F95" i="4"/>
  <c r="F73" i="4"/>
  <c r="F111" i="4"/>
  <c r="F90" i="4"/>
  <c r="F94" i="4"/>
  <c r="F70" i="4"/>
  <c r="F85" i="4"/>
  <c r="F106" i="4"/>
  <c r="F112" i="4"/>
  <c r="F88" i="4"/>
  <c r="F97" i="4"/>
  <c r="F93" i="4"/>
  <c r="F100" i="4"/>
  <c r="F103" i="4"/>
  <c r="F82" i="4"/>
  <c r="F92" i="4"/>
  <c r="F79" i="4"/>
  <c r="F84" i="4"/>
  <c r="F86" i="4"/>
  <c r="F69" i="4"/>
  <c r="J61" i="4"/>
  <c r="U65" i="4" l="1"/>
  <c r="U117" i="4" l="1"/>
  <c r="V117" i="4" l="1"/>
  <c r="J80" i="4"/>
  <c r="J81" i="4"/>
  <c r="W81" i="4" s="1"/>
  <c r="J82" i="4"/>
  <c r="W82" i="4" s="1"/>
  <c r="J83" i="4"/>
  <c r="W83" i="4" s="1"/>
  <c r="J84" i="4"/>
  <c r="W84" i="4" s="1"/>
  <c r="J85" i="4"/>
  <c r="W85" i="4" s="1"/>
  <c r="J86" i="4"/>
  <c r="W86" i="4" s="1"/>
  <c r="J87" i="4"/>
  <c r="W87" i="4" s="1"/>
  <c r="J88" i="4"/>
  <c r="W88" i="4" s="1"/>
  <c r="J89" i="4"/>
  <c r="W89" i="4" s="1"/>
  <c r="J90" i="4"/>
  <c r="W90" i="4" s="1"/>
  <c r="J91" i="4"/>
  <c r="W91" i="4" s="1"/>
  <c r="F117" i="4"/>
  <c r="G117" i="4"/>
  <c r="H117" i="4"/>
  <c r="I117" i="4"/>
  <c r="K117" i="4"/>
  <c r="L117" i="4"/>
  <c r="M117" i="4"/>
  <c r="N117" i="4"/>
  <c r="O117" i="4"/>
  <c r="P117" i="4"/>
  <c r="Q117" i="4"/>
  <c r="R117" i="4"/>
  <c r="S117" i="4"/>
  <c r="T117" i="4"/>
  <c r="E117" i="4"/>
  <c r="J115" i="4"/>
  <c r="W115" i="4" s="1"/>
  <c r="J37" i="4" l="1"/>
  <c r="J21" i="4"/>
  <c r="J22" i="4"/>
  <c r="W22" i="4" s="1"/>
  <c r="J60" i="4"/>
  <c r="J62" i="4"/>
  <c r="J63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28" i="4"/>
  <c r="J29" i="4"/>
  <c r="J30" i="4"/>
  <c r="J31" i="4"/>
  <c r="J32" i="4"/>
  <c r="J33" i="4"/>
  <c r="J34" i="4"/>
  <c r="J35" i="4"/>
  <c r="J36" i="4"/>
  <c r="J38" i="4"/>
  <c r="J39" i="4"/>
  <c r="J9" i="4"/>
  <c r="J10" i="4"/>
  <c r="J11" i="4"/>
  <c r="J12" i="4"/>
  <c r="J13" i="4"/>
  <c r="J14" i="4"/>
  <c r="J15" i="4"/>
  <c r="J16" i="4"/>
  <c r="J17" i="4"/>
  <c r="J18" i="4"/>
  <c r="J19" i="4"/>
  <c r="J20" i="4"/>
  <c r="J23" i="4"/>
  <c r="J24" i="4"/>
  <c r="J25" i="4"/>
  <c r="J26" i="4"/>
  <c r="J27" i="4"/>
  <c r="W47" i="4" l="1"/>
  <c r="W17" i="4" l="1"/>
  <c r="W16" i="4"/>
  <c r="W18" i="4"/>
  <c r="W48" i="4" l="1"/>
  <c r="J114" i="4"/>
  <c r="W114" i="4" s="1"/>
  <c r="W36" i="4" l="1"/>
  <c r="W30" i="4" l="1"/>
  <c r="W19" i="4" l="1"/>
  <c r="J103" i="4"/>
  <c r="V65" i="4" l="1"/>
  <c r="F65" i="4" l="1"/>
  <c r="J111" i="4" l="1"/>
  <c r="W110" i="4"/>
  <c r="J106" i="4"/>
  <c r="W106" i="4" s="1"/>
  <c r="J68" i="4"/>
  <c r="G65" i="4"/>
  <c r="H65" i="4"/>
  <c r="I65" i="4"/>
  <c r="K65" i="4"/>
  <c r="L65" i="4"/>
  <c r="M65" i="4"/>
  <c r="N65" i="4"/>
  <c r="O65" i="4"/>
  <c r="P65" i="4"/>
  <c r="Q65" i="4"/>
  <c r="R65" i="4"/>
  <c r="S65" i="4"/>
  <c r="T65" i="4"/>
  <c r="E65" i="4"/>
  <c r="W68" i="4" l="1"/>
  <c r="J112" i="4"/>
  <c r="W112" i="4" s="1"/>
  <c r="W24" i="4" l="1"/>
  <c r="W46" i="4"/>
  <c r="J127" i="4" l="1"/>
  <c r="W127" i="4" s="1"/>
  <c r="W14" i="4" l="1"/>
  <c r="W20" i="4"/>
  <c r="W35" i="4"/>
  <c r="W42" i="4" l="1"/>
  <c r="J71" i="4" l="1"/>
  <c r="J8" i="4" l="1"/>
  <c r="W21" i="4"/>
  <c r="W27" i="4"/>
  <c r="W28" i="4"/>
  <c r="W33" i="4"/>
  <c r="W40" i="4"/>
  <c r="W43" i="4"/>
  <c r="W59" i="4"/>
  <c r="J7" i="4"/>
  <c r="J65" i="4" l="1"/>
  <c r="J97" i="4" l="1"/>
  <c r="W97" i="4" s="1"/>
  <c r="J98" i="4"/>
  <c r="W98" i="4" s="1"/>
  <c r="J99" i="4"/>
  <c r="J92" i="4"/>
  <c r="W92" i="4" s="1"/>
  <c r="J93" i="4"/>
  <c r="W93" i="4" s="1"/>
  <c r="W44" i="4" l="1"/>
  <c r="W45" i="4"/>
  <c r="W49" i="4"/>
  <c r="W50" i="4"/>
  <c r="W15" i="4"/>
  <c r="W23" i="4"/>
  <c r="W25" i="4"/>
  <c r="W26" i="4"/>
  <c r="J94" i="4"/>
  <c r="W94" i="4" s="1"/>
  <c r="J95" i="4"/>
  <c r="W95" i="4" s="1"/>
  <c r="J96" i="4"/>
  <c r="W96" i="4" s="1"/>
  <c r="J100" i="4"/>
  <c r="W100" i="4" s="1"/>
  <c r="J101" i="4"/>
  <c r="W101" i="4" s="1"/>
  <c r="J102" i="4"/>
  <c r="W102" i="4" s="1"/>
  <c r="W103" i="4"/>
  <c r="J73" i="4"/>
  <c r="W73" i="4" s="1"/>
  <c r="J74" i="4"/>
  <c r="W74" i="4" s="1"/>
  <c r="J75" i="4"/>
  <c r="W75" i="4" s="1"/>
  <c r="J76" i="4"/>
  <c r="W76" i="4" s="1"/>
  <c r="J77" i="4"/>
  <c r="W77" i="4" s="1"/>
  <c r="W13" i="4" l="1"/>
  <c r="AB92" i="4" l="1"/>
  <c r="Z27" i="4"/>
  <c r="X27" i="4" l="1"/>
  <c r="W39" i="4" l="1"/>
  <c r="W57" i="4" l="1"/>
  <c r="J79" i="4" l="1"/>
  <c r="W79" i="4" s="1"/>
  <c r="J126" i="4" l="1"/>
  <c r="W126" i="4" s="1"/>
  <c r="J123" i="4"/>
  <c r="W123" i="4" s="1"/>
  <c r="J124" i="4"/>
  <c r="W124" i="4" s="1"/>
  <c r="J125" i="4"/>
  <c r="W125" i="4" s="1"/>
  <c r="J70" i="4"/>
  <c r="W71" i="4"/>
  <c r="J72" i="4"/>
  <c r="W72" i="4" s="1"/>
  <c r="J78" i="4"/>
  <c r="W78" i="4" s="1"/>
  <c r="W80" i="4"/>
  <c r="W38" i="4"/>
  <c r="J104" i="4"/>
  <c r="W104" i="4" s="1"/>
  <c r="J105" i="4"/>
  <c r="W105" i="4" s="1"/>
  <c r="W109" i="4"/>
  <c r="W111" i="4"/>
  <c r="J113" i="4"/>
  <c r="W113" i="4" s="1"/>
  <c r="J116" i="4"/>
  <c r="W29" i="4"/>
  <c r="W70" i="4" l="1"/>
  <c r="W99" i="4"/>
  <c r="X96" i="4" l="1"/>
  <c r="Y38" i="4"/>
  <c r="Z38" i="4"/>
  <c r="AC38" i="4" s="1"/>
  <c r="X38" i="4"/>
  <c r="Y96" i="4" l="1"/>
  <c r="X109" i="4"/>
  <c r="Y109" i="4" l="1"/>
  <c r="X92" i="4" l="1"/>
  <c r="Y92" i="4" l="1"/>
  <c r="X62" i="4" l="1"/>
  <c r="W62" i="4" l="1"/>
  <c r="Y62" i="4" s="1"/>
  <c r="X40" i="4"/>
  <c r="Y40" i="4" l="1"/>
  <c r="X76" i="4" l="1"/>
  <c r="Y76" i="4" s="1"/>
  <c r="X23" i="4" l="1"/>
  <c r="Y23" i="4" l="1"/>
  <c r="X50" i="4"/>
  <c r="Y50" i="4" l="1"/>
  <c r="X101" i="4"/>
  <c r="Y101" i="4" l="1"/>
  <c r="W54" i="4" l="1"/>
  <c r="X54" i="4" l="1"/>
  <c r="Y54" i="4" s="1"/>
  <c r="Z54" i="4"/>
  <c r="W58" i="4" l="1"/>
  <c r="AB58" i="4"/>
  <c r="Z58" i="4" l="1"/>
  <c r="AC58" i="4" s="1"/>
  <c r="X58" i="4"/>
  <c r="Y58" i="4" s="1"/>
  <c r="AB25" i="4" l="1"/>
  <c r="AB26" i="4"/>
  <c r="AB80" i="4"/>
  <c r="AB29" i="4"/>
  <c r="AB31" i="4"/>
  <c r="Z31" i="4" l="1"/>
  <c r="AC31" i="4" s="1"/>
  <c r="W31" i="4"/>
  <c r="X31" i="4"/>
  <c r="Y31" i="4" l="1"/>
  <c r="X80" i="4" l="1"/>
  <c r="Z80" i="4"/>
  <c r="AC80" i="4" s="1"/>
  <c r="Y80" i="4" l="1"/>
  <c r="AB60" i="4" l="1"/>
  <c r="AB45" i="4"/>
  <c r="Z26" i="4" l="1"/>
  <c r="AC26" i="4" s="1"/>
  <c r="X26" i="4"/>
  <c r="W60" i="4"/>
  <c r="Z60" i="4"/>
  <c r="AC60" i="4" s="1"/>
  <c r="X45" i="4"/>
  <c r="Z45" i="4"/>
  <c r="AC45" i="4" s="1"/>
  <c r="X60" i="4"/>
  <c r="AB49" i="4"/>
  <c r="Z49" i="4"/>
  <c r="Y26" i="4" l="1"/>
  <c r="AF26" i="4" s="1"/>
  <c r="Y60" i="4"/>
  <c r="Y45" i="4"/>
  <c r="AC49" i="4"/>
  <c r="X49" i="4"/>
  <c r="Y49" i="4" l="1"/>
  <c r="AF60" i="4" l="1"/>
  <c r="AF45" i="4" l="1"/>
  <c r="AB55" i="4"/>
  <c r="X90" i="4" l="1"/>
  <c r="Z90" i="4"/>
  <c r="AB90" i="4"/>
  <c r="AC90" i="4" l="1"/>
  <c r="Y90" i="4"/>
  <c r="AF90" i="4" s="1"/>
  <c r="AB20" i="4" l="1"/>
  <c r="X20" i="4" l="1"/>
  <c r="Z20" i="4"/>
  <c r="AC20" i="4" s="1"/>
  <c r="Y20" i="4" l="1"/>
  <c r="AF20" i="4" l="1"/>
  <c r="AB56" i="4" l="1"/>
  <c r="Z56" i="4" l="1"/>
  <c r="X56" i="4" l="1"/>
  <c r="W56" i="4"/>
  <c r="AC56" i="4"/>
  <c r="Y56" i="4" l="1"/>
  <c r="AF56" i="4" s="1"/>
  <c r="X99" i="4" l="1"/>
  <c r="Z99" i="4"/>
  <c r="AB113" i="4"/>
  <c r="AB104" i="4"/>
  <c r="AB52" i="4"/>
  <c r="AB51" i="4"/>
  <c r="AB98" i="4"/>
  <c r="AB96" i="4"/>
  <c r="AB37" i="4"/>
  <c r="AB89" i="4"/>
  <c r="AB32" i="4"/>
  <c r="AB19" i="4"/>
  <c r="AB74" i="4"/>
  <c r="AB15" i="4"/>
  <c r="AB10" i="4"/>
  <c r="AB8" i="4"/>
  <c r="AB7" i="4"/>
  <c r="AB99" i="4" l="1"/>
  <c r="AC99" i="4" l="1"/>
  <c r="Y99" i="4"/>
  <c r="AF99" i="4" s="1"/>
  <c r="X98" i="4" l="1"/>
  <c r="Z98" i="4"/>
  <c r="AC98" i="4" s="1"/>
  <c r="AA65" i="4"/>
  <c r="J69" i="4"/>
  <c r="J117" i="4" s="1"/>
  <c r="AE65" i="4"/>
  <c r="AD65" i="4"/>
  <c r="Z55" i="4"/>
  <c r="Y98" i="4" l="1"/>
  <c r="AF98" i="4" s="1"/>
  <c r="X29" i="4"/>
  <c r="Z29" i="4"/>
  <c r="AC29" i="4" s="1"/>
  <c r="X32" i="4"/>
  <c r="Z32" i="4"/>
  <c r="X37" i="4"/>
  <c r="Z37" i="4"/>
  <c r="X8" i="4"/>
  <c r="Z8" i="4"/>
  <c r="AC8" i="4" s="1"/>
  <c r="X15" i="4"/>
  <c r="Z15" i="4"/>
  <c r="AC15" i="4" s="1"/>
  <c r="X71" i="4"/>
  <c r="Z71" i="4"/>
  <c r="Z96" i="4"/>
  <c r="AC96" i="4" s="1"/>
  <c r="X74" i="4"/>
  <c r="Z74" i="4"/>
  <c r="AC74" i="4" s="1"/>
  <c r="X73" i="4"/>
  <c r="Z73" i="4"/>
  <c r="X94" i="4"/>
  <c r="Z94" i="4"/>
  <c r="X70" i="4"/>
  <c r="Z70" i="4"/>
  <c r="X84" i="4"/>
  <c r="Z84" i="4"/>
  <c r="X77" i="4"/>
  <c r="Z77" i="4"/>
  <c r="X89" i="4"/>
  <c r="Z89" i="4"/>
  <c r="AC89" i="4" s="1"/>
  <c r="X52" i="4"/>
  <c r="Z52" i="4"/>
  <c r="X111" i="4"/>
  <c r="Z111" i="4"/>
  <c r="X104" i="4"/>
  <c r="Z104" i="4"/>
  <c r="AC104" i="4" s="1"/>
  <c r="X113" i="4"/>
  <c r="Z113" i="4"/>
  <c r="AC113" i="4" s="1"/>
  <c r="X51" i="4"/>
  <c r="Z51" i="4"/>
  <c r="AC51" i="4" s="1"/>
  <c r="X103" i="4"/>
  <c r="Z103" i="4"/>
  <c r="X102" i="4"/>
  <c r="Z102" i="4"/>
  <c r="X95" i="4"/>
  <c r="Z95" i="4"/>
  <c r="X88" i="4"/>
  <c r="Z88" i="4"/>
  <c r="X86" i="4"/>
  <c r="Z86" i="4"/>
  <c r="X78" i="4"/>
  <c r="Z78" i="4"/>
  <c r="X55" i="4"/>
  <c r="AB86" i="4"/>
  <c r="AC55" i="4"/>
  <c r="AB77" i="4"/>
  <c r="AB73" i="4"/>
  <c r="W8" i="4"/>
  <c r="AB88" i="4"/>
  <c r="AB84" i="4"/>
  <c r="AB71" i="4"/>
  <c r="AB78" i="4"/>
  <c r="AB70" i="4"/>
  <c r="AF49" i="4"/>
  <c r="AB94" i="4"/>
  <c r="AB95" i="4"/>
  <c r="AB111" i="4"/>
  <c r="W51" i="4"/>
  <c r="AB102" i="4"/>
  <c r="AB103" i="4"/>
  <c r="W55" i="4"/>
  <c r="Z25" i="4" l="1"/>
  <c r="AC25" i="4" s="1"/>
  <c r="X25" i="4"/>
  <c r="Y29" i="4"/>
  <c r="Y113" i="4"/>
  <c r="AF113" i="4" s="1"/>
  <c r="Y89" i="4"/>
  <c r="AF89" i="4" s="1"/>
  <c r="X19" i="4"/>
  <c r="Z19" i="4"/>
  <c r="AC19" i="4" s="1"/>
  <c r="Z10" i="4"/>
  <c r="AC10" i="4" s="1"/>
  <c r="X7" i="4"/>
  <c r="Z7" i="4"/>
  <c r="AC7" i="4" s="1"/>
  <c r="W69" i="4"/>
  <c r="W117" i="4" s="1"/>
  <c r="W10" i="4"/>
  <c r="X10" i="4"/>
  <c r="AF80" i="4"/>
  <c r="Y15" i="4"/>
  <c r="AF15" i="4" s="1"/>
  <c r="AF96" i="4"/>
  <c r="Y74" i="4"/>
  <c r="AF74" i="4" s="1"/>
  <c r="Y104" i="4"/>
  <c r="AF104" i="4" s="1"/>
  <c r="Y51" i="4"/>
  <c r="AF51" i="4" s="1"/>
  <c r="Y8" i="4"/>
  <c r="AF8" i="4" s="1"/>
  <c r="Y55" i="4"/>
  <c r="AF55" i="4" s="1"/>
  <c r="AC78" i="4"/>
  <c r="AC111" i="4"/>
  <c r="AC103" i="4"/>
  <c r="AC86" i="4"/>
  <c r="AC84" i="4"/>
  <c r="AC88" i="4"/>
  <c r="AC73" i="4"/>
  <c r="AC70" i="4"/>
  <c r="AC94" i="4"/>
  <c r="AC77" i="4"/>
  <c r="AC71" i="4"/>
  <c r="AC95" i="4"/>
  <c r="AC102" i="4"/>
  <c r="AB65" i="4"/>
  <c r="Y86" i="4"/>
  <c r="AF86" i="4" s="1"/>
  <c r="Y88" i="4"/>
  <c r="AF88" i="4" s="1"/>
  <c r="Y103" i="4"/>
  <c r="AF103" i="4" s="1"/>
  <c r="Y77" i="4"/>
  <c r="AF77" i="4" s="1"/>
  <c r="W32" i="4"/>
  <c r="AC32" i="4"/>
  <c r="AC52" i="4"/>
  <c r="W37" i="4"/>
  <c r="AC37" i="4"/>
  <c r="Y73" i="4"/>
  <c r="AF73" i="4" s="1"/>
  <c r="Y94" i="4"/>
  <c r="AF94" i="4" s="1"/>
  <c r="Y95" i="4"/>
  <c r="AF95" i="4" s="1"/>
  <c r="Y84" i="4"/>
  <c r="AF84" i="4" s="1"/>
  <c r="Y78" i="4"/>
  <c r="AF78" i="4" s="1"/>
  <c r="Y71" i="4"/>
  <c r="AF71" i="4" s="1"/>
  <c r="Y111" i="4"/>
  <c r="AF111" i="4" s="1"/>
  <c r="W7" i="4"/>
  <c r="W52" i="4"/>
  <c r="Y70" i="4"/>
  <c r="AF70" i="4" s="1"/>
  <c r="Y102" i="4"/>
  <c r="AF102" i="4" s="1"/>
  <c r="X69" i="4" l="1"/>
  <c r="X117" i="4" s="1"/>
  <c r="Y25" i="4"/>
  <c r="AF25" i="4" s="1"/>
  <c r="Y19" i="4"/>
  <c r="AF19" i="4" s="1"/>
  <c r="Y69" i="4"/>
  <c r="Y117" i="4" s="1"/>
  <c r="Z69" i="4"/>
  <c r="AC69" i="4" s="1"/>
  <c r="AC118" i="4" s="1"/>
  <c r="Y10" i="4"/>
  <c r="AF10" i="4" s="1"/>
  <c r="AF29" i="4"/>
  <c r="Y32" i="4"/>
  <c r="AF32" i="4" s="1"/>
  <c r="Y52" i="4"/>
  <c r="AF52" i="4" s="1"/>
  <c r="Y37" i="4"/>
  <c r="AF37" i="4" s="1"/>
  <c r="Y7" i="4"/>
  <c r="AF7" i="4" s="1"/>
  <c r="Z65" i="4" l="1"/>
  <c r="X65" i="4"/>
  <c r="W65" i="4" l="1"/>
  <c r="AC65" i="4"/>
  <c r="Y65" i="4" l="1"/>
  <c r="AF65" i="4"/>
  <c r="AC66" i="4"/>
  <c r="AC67" i="4" s="1"/>
</calcChain>
</file>

<file path=xl/comments1.xml><?xml version="1.0" encoding="utf-8"?>
<comments xmlns="http://schemas.openxmlformats.org/spreadsheetml/2006/main">
  <authors>
    <author>usuario</author>
  </authors>
  <commentList>
    <comment ref="H55" authorId="0">
      <text>
        <r>
          <rPr>
            <b/>
            <sz val="8"/>
            <color indexed="81"/>
            <rFont val="Tahoma"/>
            <charset val="1"/>
          </rPr>
          <t>usuario:</t>
        </r>
        <r>
          <rPr>
            <sz val="8"/>
            <color indexed="81"/>
            <rFont val="Tahoma"/>
            <charset val="1"/>
          </rPr>
          <t xml:space="preserve">
PAGO PV PERIODO 2</t>
        </r>
      </text>
    </comment>
    <comment ref="N71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300</t>
        </r>
      </text>
    </comment>
    <comment ref="N77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500 A LA SEMANA PERO ESTA DE INCAPACIDAD</t>
        </r>
      </text>
    </comment>
    <comment ref="H95" authorId="0">
      <text>
        <r>
          <rPr>
            <b/>
            <sz val="8"/>
            <color indexed="81"/>
            <rFont val="Tahoma"/>
            <charset val="1"/>
          </rPr>
          <t>usuario:</t>
        </r>
        <r>
          <rPr>
            <sz val="8"/>
            <color indexed="81"/>
            <rFont val="Tahoma"/>
            <charset val="1"/>
          </rPr>
          <t xml:space="preserve">
PAGO PV PERIODO 3</t>
        </r>
      </text>
    </comment>
  </commentList>
</comments>
</file>

<file path=xl/sharedStrings.xml><?xml version="1.0" encoding="utf-8"?>
<sst xmlns="http://schemas.openxmlformats.org/spreadsheetml/2006/main" count="447" uniqueCount="208">
  <si>
    <t>Puesto</t>
  </si>
  <si>
    <t>TOTAL NOMINA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</si>
  <si>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</si>
  <si>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</si>
  <si>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</si>
  <si>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</si>
  <si>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</si>
  <si>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</si>
  <si>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</si>
  <si>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</si>
  <si>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</si>
  <si>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</si>
  <si>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</si>
  <si>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</si>
  <si>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</si>
  <si>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</si>
  <si>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</si>
  <si>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</si>
  <si>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</si>
  <si>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</si>
  <si>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</si>
  <si>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</si>
  <si>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</si>
  <si>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</si>
  <si>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</si>
  <si>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</si>
  <si>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</si>
  <si>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</si>
  <si>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</si>
  <si>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</si>
  <si>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</si>
  <si>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</si>
  <si>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</si>
  <si>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</si>
  <si>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</si>
  <si>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ARENAS VARGAS MOISES</t>
  </si>
  <si>
    <t>RUIZ RODRIGUEZ OMAR</t>
  </si>
  <si>
    <t>SERVICIO</t>
  </si>
  <si>
    <t>HOJALATERIA</t>
  </si>
  <si>
    <t>ADMINISTRACION</t>
  </si>
  <si>
    <t>COSTO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</si>
  <si>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</si>
  <si>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</si>
  <si>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</si>
  <si>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</si>
  <si>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</si>
  <si>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</si>
  <si>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</si>
  <si>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</si>
  <si>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MARTINEZ ALVARADO ADRIAN</t>
  </si>
  <si>
    <t>SANCHEZ HURTADO CARLOS</t>
  </si>
  <si>
    <t>MARTINEZ GUERRERO LEONEL</t>
  </si>
  <si>
    <t>ALAVEZ LOPEZ INOCENCIO</t>
  </si>
  <si>
    <t>CANCINO RODRIGUEZ GREGORIO</t>
  </si>
  <si>
    <t>OLVERA SOTO LUIS ANGEL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</si>
  <si>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</si>
  <si>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</si>
  <si>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</si>
  <si>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</si>
  <si>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</si>
  <si>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</si>
  <si>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ARROYO ZARAZUA GILBERTO</t>
  </si>
  <si>
    <t>FONSECA GUILLEN JOSE FELIPE</t>
  </si>
  <si>
    <t>HERNANDEZ SILVA EDGAR SAMUEL</t>
  </si>
  <si>
    <t>MARTINEZ LORENZO LUIS ALEJANDRO</t>
  </si>
  <si>
    <t>AGUILAR BRAVO CRISTIAN SAUL</t>
  </si>
  <si>
    <t>RIVERA AGUILAR GABRIEL</t>
  </si>
  <si>
    <t>FECHA DE INICIO</t>
  </si>
  <si>
    <t>ADMON VENTAS</t>
  </si>
  <si>
    <t>CUENTA</t>
  </si>
  <si>
    <t>OBSERVACIONES</t>
  </si>
  <si>
    <t>MARTINEZ GALLEGOS LUIS FERNANDO</t>
  </si>
  <si>
    <t>CARRASCO TOVAR ARTURO</t>
  </si>
  <si>
    <t>RESENDIZ CAMPUZANO ISRAEL</t>
  </si>
  <si>
    <t>UNIFORMES</t>
  </si>
  <si>
    <t>ESPECIALES</t>
  </si>
  <si>
    <t>MORALES SANCHEZ ANGEL</t>
  </si>
  <si>
    <t>SERENO CUELLAR JUVENAL</t>
  </si>
  <si>
    <t>DISPERSION</t>
  </si>
  <si>
    <t>CORTEZ OVANDO FAUSTINO ALI</t>
  </si>
  <si>
    <t>RESENDIZ ECHEVERRIA MARIO ALBERTO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</si>
  <si>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</si>
  <si>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</si>
  <si>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</si>
  <si>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</si>
  <si>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</si>
  <si>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</si>
  <si>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</si>
  <si>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TRONCOSO PEÑA GERARDO</t>
  </si>
  <si>
    <t>PATIÑO NAVARRO OSCAR MARTIN</t>
  </si>
  <si>
    <t>HERNANDEZ ARREOLA RODOLFO MAYOLO</t>
  </si>
  <si>
    <t>JEFE DE TALLER</t>
  </si>
  <si>
    <t>FALTAS</t>
  </si>
  <si>
    <t>SOLORZANO LUNA MARIANA</t>
  </si>
  <si>
    <t>MATILDE SANTIAGO URIEL</t>
  </si>
  <si>
    <t>SIFONTES SARDUA DAYAN JESUS</t>
  </si>
  <si>
    <t>VALDEZ MARTINEZ MARTIN</t>
  </si>
  <si>
    <t>AYUDANTE</t>
  </si>
  <si>
    <t>ESTETICAS AYUDANTE</t>
  </si>
  <si>
    <t>MANTENIMIENTO</t>
  </si>
  <si>
    <t>TECNICO A</t>
  </si>
  <si>
    <t>TECNICO B</t>
  </si>
  <si>
    <t>SANCHEZ DE SANTIAGO RICARDO</t>
  </si>
  <si>
    <t>WEB MASTER</t>
  </si>
  <si>
    <t>GUZMAN NAVARRO EDUARDO</t>
  </si>
  <si>
    <t>SALDAÑA SANCHEZ JULIO CESAR</t>
  </si>
  <si>
    <t>SALAS MARTINEZ OSCAR JESUS</t>
  </si>
  <si>
    <t>RODRIGUEZ PINACHO CESAR OCTAVIO</t>
  </si>
  <si>
    <t>GALLEGOS ROMERO CRISTIAN</t>
  </si>
  <si>
    <t>COACH BDC</t>
  </si>
  <si>
    <t>GAYTAN MARTINEZ RAUL</t>
  </si>
  <si>
    <t>DOMINGUEZ GUDIÑO OMAR</t>
  </si>
  <si>
    <t>NAVARRO ARENAS ANDREA ARELI</t>
  </si>
  <si>
    <t>VARGAS GOMEZ RAUL ARMANDO</t>
  </si>
  <si>
    <t>Ingenieria Fiscal Laboral S.C.</t>
  </si>
  <si>
    <t>TECNICO</t>
  </si>
  <si>
    <t>VALDEZ BERNAL JUAN PABLO</t>
  </si>
  <si>
    <t>FERRER GONZALEZ MARIA ELENA</t>
  </si>
  <si>
    <t>AUX. ADMON.</t>
  </si>
  <si>
    <t>TOTAL DE LA NOMINA</t>
  </si>
  <si>
    <t>BAUTISTA RAMIREZ MARIO ALEXIS</t>
  </si>
  <si>
    <t>JUAREZ URIBE MICHEL</t>
  </si>
  <si>
    <t>DE JESUS PADILLA ALFREDO</t>
  </si>
  <si>
    <t>SAUCEDO MAGAÑA VICTOR HUGO</t>
  </si>
  <si>
    <t>BANCOMER</t>
  </si>
  <si>
    <t>HERNANDEZ MATA AURELIANO</t>
  </si>
  <si>
    <t>HURTADO PAJARO JOSE EDUARDO</t>
  </si>
  <si>
    <t>GUTIERREZ LARA GEOVANNI</t>
  </si>
  <si>
    <t>SOLANO PEREZ JOSE ANTONIO</t>
  </si>
  <si>
    <t>HERNANDEZ SOLIS GUMECINDO</t>
  </si>
  <si>
    <t>XX</t>
  </si>
  <si>
    <t>JUAREZ MARTINEZ LUIS MIGUEL</t>
  </si>
  <si>
    <t>BERDEJA LEON FRANCISCO GERARDO</t>
  </si>
  <si>
    <t>PADILLA RUIZ JOSE ANTONIO</t>
  </si>
  <si>
    <t>COACH DE VENTAS SEM</t>
  </si>
  <si>
    <t>MECANICO NOCTURNO</t>
  </si>
  <si>
    <t>RAMIREZ MONTES MISSAEL GUILLERMO</t>
  </si>
  <si>
    <t>HERNANDEZ RAMOS LUIS FELIPE</t>
  </si>
  <si>
    <t>DURAN GUERRA VICTOR MANUEL</t>
  </si>
  <si>
    <t>LANDAVERDE GARCIA JUAN</t>
  </si>
  <si>
    <t>MORENO VALERA NORMA</t>
  </si>
  <si>
    <t>ONTIVEROS PLIEGO LUIS GERARDO</t>
  </si>
  <si>
    <t>SUEDO BASE</t>
  </si>
  <si>
    <t>EFECTIVO</t>
  </si>
  <si>
    <t>NAVA RUBIO JAVIER (-$461.01)</t>
  </si>
  <si>
    <t>RODRIGUEZ RODRIGUEZ RODOLFO ANUAR</t>
  </si>
  <si>
    <t>TORRES IBARRA LUIS GERARDO</t>
  </si>
  <si>
    <t>AGUILAR PEREZ MARCOS ARTEMIO</t>
  </si>
  <si>
    <t>MARTINEZ GARCIA JOSE JUAN</t>
  </si>
  <si>
    <t>NIETO GONZALEZ ANGEL RICARDO</t>
  </si>
  <si>
    <t>OLIVAS MANCILLA JESUS SADIEL</t>
  </si>
  <si>
    <t>LOYOLA SANDOVAL JOSE ANDRES</t>
  </si>
  <si>
    <t>CARDENAS CASAS MARIA DEL ROCIO</t>
  </si>
  <si>
    <t>BECERRA JIMENEZ ALEJANDRO BONIFACIO</t>
  </si>
  <si>
    <t>JARDINERO</t>
  </si>
  <si>
    <t>OCHOA PALACIOS RAUL ALEJANDRO</t>
  </si>
  <si>
    <t>PEREZ LOPEZ JIMMY FLORENTINO</t>
  </si>
  <si>
    <t>CUATZON APARICIO GELASIO</t>
  </si>
  <si>
    <t>LAVADOR HYP</t>
  </si>
  <si>
    <t>AYUDANTE MECANICO HYP</t>
  </si>
  <si>
    <t>0462465140</t>
  </si>
  <si>
    <t>GARCIA TORRES JUAN MANUEL</t>
  </si>
  <si>
    <t>1543342964</t>
  </si>
  <si>
    <t>ARIAS GONZALEZ LUIS IGNACIO</t>
  </si>
  <si>
    <t>COMPENSACION</t>
  </si>
  <si>
    <t>ROCHA MORENO HUGO AMADO</t>
  </si>
  <si>
    <t>VIDAL REYES EDGAR OMAR</t>
  </si>
  <si>
    <t>PINTOR</t>
  </si>
  <si>
    <t>ABOYTES MAQUEDA FRANCISCO</t>
  </si>
  <si>
    <t>AYUDANTE HYP</t>
  </si>
  <si>
    <t>SIMBRON CRUZ DANIEL</t>
  </si>
  <si>
    <t>SAENZ JUAREZ JOSUE</t>
  </si>
  <si>
    <t>CONTACT CENTER</t>
  </si>
  <si>
    <t>LOPEZ PEDROZA MIROSLAVA</t>
  </si>
  <si>
    <t>MECANICO</t>
  </si>
  <si>
    <t>VALDEZ ESPINO JOSE JACOB</t>
  </si>
  <si>
    <t>HURRLE SALZMANN CARLOS ABELARDO</t>
  </si>
  <si>
    <t>CASTRUITA AGUILAR DAVID ARTURO</t>
  </si>
  <si>
    <t>LOZANO PEREZ JOSE ENRIQUE</t>
  </si>
  <si>
    <t>TECNICO MANTENIMIENTO</t>
  </si>
  <si>
    <t>AVILES PALAZUELOS ALFREDO</t>
  </si>
  <si>
    <t>AYUDANTE GENERAL</t>
  </si>
  <si>
    <t>VILLEGAS CRUZ ANDRES</t>
  </si>
  <si>
    <t>RAMOS GARDUÑO KRISTAL</t>
  </si>
  <si>
    <t>VILLARREAL LOPEZ CARLOS ALBERTO</t>
  </si>
  <si>
    <t>MARTINEZ FLORES FRANCISCO</t>
  </si>
  <si>
    <t>AVALOS RUDAMAS MARTHA KATHERINE</t>
  </si>
  <si>
    <t>CASTILLO ORDOÑEZ JORGE</t>
  </si>
  <si>
    <t>RAMIREZ GONZALEZ JOSE SALVADOR</t>
  </si>
  <si>
    <t>FLORES GOMEZ PATRICIA</t>
  </si>
  <si>
    <t>VILLEGAS GONZALEZ JUAN FRANCISCO</t>
  </si>
  <si>
    <t>PULIDOR</t>
  </si>
  <si>
    <t>HURTADO VAZQUEZ JUAN DE DIOS</t>
  </si>
  <si>
    <t>MENDOZA BRIONES ASAEL ALEJANDRO</t>
  </si>
  <si>
    <t>Infonavit 2017</t>
  </si>
  <si>
    <t>XXX</t>
  </si>
  <si>
    <t>Periodo Semana 4</t>
  </si>
  <si>
    <t>17/01/18 AL 23/01/18</t>
  </si>
  <si>
    <t>PASA DE SEMANAL A QUINCENAL</t>
  </si>
  <si>
    <t>DESC CTA 254 11/16 PRESTAMO</t>
  </si>
  <si>
    <t>DESC CTA 254 11/12 PRESTAMO</t>
  </si>
  <si>
    <t>VALDEZ HERNANDEZ ELDA NELLY</t>
  </si>
  <si>
    <t>pasa de quincenal a semanal</t>
  </si>
  <si>
    <t>7 DIAS INCAPACIDAD</t>
  </si>
  <si>
    <t>7 DIAS DE INCAPACIDAD</t>
  </si>
  <si>
    <t>PAGO 24 HRS EXTRAS</t>
  </si>
  <si>
    <t>TREJO LUGO GUSTAVO</t>
  </si>
  <si>
    <t>TREJO ROBLES JOSE DARINEL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</si>
</sst>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"/>
  </numFmts>
  <fonts count="27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  <font>
      <b/>
      <sz val="18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</borders>
  <cellStyleXfs count="12">
    <xf numFmtId="0" fontId="0" fillId="0" borderId="0"/>
    <xf numFmtId="0" fontId="10" fillId="0" borderId="0"/>
    <xf numFmtId="43" fontId="8" fillId="0" borderId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20">
    <xf numFmtId="0" fontId="0" fillId="0" borderId="0" xfId="0"/>
    <xf numFmtId="43" fontId="8" fillId="0" borderId="0" xfId="2"/>
    <xf numFmtId="0" fontId="11" fillId="0" borderId="0" xfId="3" applyFont="1" applyFill="1" applyAlignment="1" applyProtection="1">
      <alignment horizontal="left"/>
    </xf>
    <xf numFmtId="0" fontId="11" fillId="0" borderId="0" xfId="3" applyFont="1" applyFill="1" applyAlignment="1" applyProtection="1">
      <alignment horizontal="center"/>
    </xf>
    <xf numFmtId="43" fontId="12" fillId="0" borderId="0" xfId="2" applyFont="1" applyFill="1" applyAlignment="1" applyProtection="1">
      <alignment horizontal="center"/>
    </xf>
    <xf numFmtId="43" fontId="13" fillId="0" borderId="0" xfId="2" applyFont="1" applyFill="1" applyAlignment="1" applyProtection="1">
      <alignment horizontal="center"/>
    </xf>
    <xf numFmtId="0" fontId="12" fillId="0" borderId="0" xfId="0" applyFont="1" applyFill="1" applyProtection="1"/>
    <xf numFmtId="0" fontId="12" fillId="0" borderId="0" xfId="0" applyFont="1" applyProtection="1"/>
    <xf numFmtId="0" fontId="14" fillId="0" borderId="0" xfId="3" applyFont="1" applyFill="1" applyAlignment="1" applyProtection="1">
      <alignment horizontal="left"/>
    </xf>
    <xf numFmtId="0" fontId="14" fillId="0" borderId="0" xfId="3" applyFont="1" applyFill="1" applyAlignment="1" applyProtection="1">
      <alignment horizontal="center"/>
    </xf>
    <xf numFmtId="15" fontId="11" fillId="0" borderId="0" xfId="3" applyNumberFormat="1" applyFont="1" applyFill="1" applyAlignment="1" applyProtection="1">
      <alignment horizontal="left"/>
    </xf>
    <xf numFmtId="15" fontId="11" fillId="0" borderId="0" xfId="3" applyNumberFormat="1" applyFont="1" applyFill="1" applyAlignment="1" applyProtection="1">
      <alignment horizontal="center"/>
    </xf>
    <xf numFmtId="0" fontId="13" fillId="0" borderId="0" xfId="0" applyFont="1"/>
    <xf numFmtId="43" fontId="12" fillId="0" borderId="0" xfId="2" applyFont="1"/>
    <xf numFmtId="43" fontId="13" fillId="0" borderId="0" xfId="2" applyFont="1"/>
    <xf numFmtId="43" fontId="12" fillId="0" borderId="0" xfId="2" applyFont="1" applyFill="1"/>
    <xf numFmtId="0" fontId="13" fillId="0" borderId="0" xfId="0" applyFont="1" applyFill="1"/>
    <xf numFmtId="0" fontId="12" fillId="0" borderId="1" xfId="0" applyFont="1" applyBorder="1"/>
    <xf numFmtId="0" fontId="12" fillId="0" borderId="0" xfId="0" applyFont="1" applyFill="1"/>
    <xf numFmtId="0" fontId="12" fillId="0" borderId="0" xfId="0" applyFont="1"/>
    <xf numFmtId="0" fontId="15" fillId="0" borderId="0" xfId="0" applyFont="1"/>
    <xf numFmtId="43" fontId="8" fillId="0" borderId="0" xfId="2" applyProtection="1"/>
    <xf numFmtId="43" fontId="8" fillId="0" borderId="0" xfId="2" applyFill="1"/>
    <xf numFmtId="43" fontId="13" fillId="5" borderId="1" xfId="2" applyFont="1" applyFill="1" applyBorder="1" applyAlignment="1">
      <alignment horizontal="center" wrapText="1"/>
    </xf>
    <xf numFmtId="0" fontId="13" fillId="0" borderId="6" xfId="0" applyFont="1" applyFill="1" applyBorder="1"/>
    <xf numFmtId="0" fontId="12" fillId="0" borderId="8" xfId="0" applyFont="1" applyFill="1" applyBorder="1"/>
    <xf numFmtId="43" fontId="12" fillId="0" borderId="8" xfId="2" applyFont="1" applyFill="1" applyBorder="1"/>
    <xf numFmtId="43" fontId="13" fillId="0" borderId="8" xfId="2" applyFont="1" applyFill="1" applyBorder="1"/>
    <xf numFmtId="0" fontId="12" fillId="0" borderId="7" xfId="0" applyFont="1" applyBorder="1"/>
    <xf numFmtId="0" fontId="12" fillId="2" borderId="7" xfId="0" applyFont="1" applyFill="1" applyBorder="1"/>
    <xf numFmtId="43" fontId="12" fillId="0" borderId="7" xfId="2" applyFont="1" applyBorder="1"/>
    <xf numFmtId="43" fontId="12" fillId="2" borderId="7" xfId="2" applyFont="1" applyFill="1" applyBorder="1"/>
    <xf numFmtId="43" fontId="12" fillId="0" borderId="7" xfId="2" applyFont="1" applyFill="1" applyBorder="1" applyAlignment="1">
      <alignment horizontal="center"/>
    </xf>
    <xf numFmtId="0" fontId="12" fillId="0" borderId="7" xfId="0" applyFont="1" applyFill="1" applyBorder="1"/>
    <xf numFmtId="43" fontId="12" fillId="0" borderId="7" xfId="2" applyFont="1" applyFill="1" applyBorder="1"/>
    <xf numFmtId="0" fontId="13" fillId="0" borderId="7" xfId="0" applyFont="1" applyFill="1" applyBorder="1"/>
    <xf numFmtId="43" fontId="12" fillId="0" borderId="8" xfId="2" applyFont="1" applyFill="1" applyBorder="1" applyAlignment="1">
      <alignment horizontal="center"/>
    </xf>
    <xf numFmtId="0" fontId="13" fillId="0" borderId="7" xfId="0" applyFont="1" applyBorder="1"/>
    <xf numFmtId="43" fontId="13" fillId="0" borderId="7" xfId="2" applyFont="1" applyBorder="1"/>
    <xf numFmtId="43" fontId="8" fillId="0" borderId="7" xfId="2" applyBorder="1"/>
    <xf numFmtId="43" fontId="8" fillId="3" borderId="7" xfId="2" applyFill="1" applyBorder="1"/>
    <xf numFmtId="43" fontId="17" fillId="0" borderId="0" xfId="2" applyFont="1" applyProtection="1"/>
    <xf numFmtId="43" fontId="17" fillId="0" borderId="0" xfId="2" applyFont="1"/>
    <xf numFmtId="43" fontId="17" fillId="0" borderId="0" xfId="2" applyFont="1" applyFill="1"/>
    <xf numFmtId="43" fontId="17" fillId="0" borderId="7" xfId="2" applyFont="1" applyBorder="1"/>
    <xf numFmtId="43" fontId="17" fillId="3" borderId="7" xfId="2" applyFont="1" applyFill="1" applyBorder="1"/>
    <xf numFmtId="43" fontId="13" fillId="0" borderId="7" xfId="2" applyFont="1" applyFill="1" applyBorder="1"/>
    <xf numFmtId="43" fontId="18" fillId="0" borderId="7" xfId="2" applyFont="1" applyFill="1" applyBorder="1"/>
    <xf numFmtId="2" fontId="12" fillId="0" borderId="7" xfId="0" applyNumberFormat="1" applyFont="1" applyFill="1" applyBorder="1"/>
    <xf numFmtId="164" fontId="18" fillId="0" borderId="7" xfId="0" applyNumberFormat="1" applyFont="1" applyFill="1" applyBorder="1"/>
    <xf numFmtId="0" fontId="18" fillId="0" borderId="7" xfId="0" applyFont="1" applyFill="1" applyBorder="1" applyAlignment="1">
      <alignment wrapText="1"/>
    </xf>
    <xf numFmtId="4" fontId="18" fillId="0" borderId="7" xfId="0" applyNumberFormat="1" applyFont="1" applyFill="1" applyBorder="1" applyAlignment="1">
      <alignment wrapText="1"/>
    </xf>
    <xf numFmtId="0" fontId="19" fillId="0" borderId="7" xfId="0" applyFont="1" applyFill="1" applyBorder="1"/>
    <xf numFmtId="43" fontId="13" fillId="7" borderId="7" xfId="2" applyFont="1" applyFill="1" applyBorder="1"/>
    <xf numFmtId="43" fontId="12" fillId="7" borderId="7" xfId="2" applyFont="1" applyFill="1" applyBorder="1" applyAlignment="1">
      <alignment horizontal="center"/>
    </xf>
    <xf numFmtId="0" fontId="18" fillId="0" borderId="7" xfId="0" applyFont="1" applyFill="1" applyBorder="1"/>
    <xf numFmtId="4" fontId="18" fillId="0" borderId="7" xfId="0" applyNumberFormat="1" applyFont="1" applyFill="1" applyBorder="1"/>
    <xf numFmtId="4" fontId="12" fillId="0" borderId="7" xfId="0" applyNumberFormat="1" applyFont="1" applyFill="1" applyBorder="1"/>
    <xf numFmtId="43" fontId="12" fillId="0" borderId="7" xfId="0" applyNumberFormat="1" applyFont="1" applyFill="1" applyBorder="1"/>
    <xf numFmtId="14" fontId="12" fillId="0" borderId="7" xfId="0" applyNumberFormat="1" applyFont="1" applyBorder="1"/>
    <xf numFmtId="0" fontId="13" fillId="0" borderId="7" xfId="2" applyNumberFormat="1" applyFont="1" applyFill="1" applyBorder="1" applyAlignment="1">
      <alignment horizontal="center"/>
    </xf>
    <xf numFmtId="43" fontId="13" fillId="0" borderId="7" xfId="2" applyFont="1" applyFill="1" applyBorder="1" applyAlignment="1">
      <alignment horizontal="center"/>
    </xf>
    <xf numFmtId="43" fontId="20" fillId="0" borderId="7" xfId="2" applyFont="1" applyFill="1" applyBorder="1" applyAlignment="1">
      <alignment horizontal="center"/>
    </xf>
    <xf numFmtId="43" fontId="21" fillId="0" borderId="7" xfId="2" applyFont="1" applyFill="1" applyBorder="1"/>
    <xf numFmtId="0" fontId="12" fillId="7" borderId="7" xfId="0" applyFont="1" applyFill="1" applyBorder="1"/>
    <xf numFmtId="0" fontId="13" fillId="7" borderId="7" xfId="0" applyFont="1" applyFill="1" applyBorder="1" applyAlignment="1">
      <alignment wrapText="1"/>
    </xf>
    <xf numFmtId="9" fontId="20" fillId="0" borderId="7" xfId="2" applyNumberFormat="1" applyFont="1" applyFill="1" applyBorder="1" applyAlignment="1">
      <alignment horizontal="center"/>
    </xf>
    <xf numFmtId="43" fontId="13" fillId="5" borderId="2" xfId="2" applyFont="1" applyFill="1" applyBorder="1" applyAlignment="1">
      <alignment horizontal="center" wrapText="1"/>
    </xf>
    <xf numFmtId="43" fontId="16" fillId="5" borderId="2" xfId="2" applyFont="1" applyFill="1" applyBorder="1" applyAlignment="1">
      <alignment horizontal="center" wrapText="1"/>
    </xf>
    <xf numFmtId="0" fontId="13" fillId="0" borderId="0" xfId="0" applyFont="1" applyFill="1" applyAlignment="1">
      <alignment horizontal="center" wrapText="1"/>
    </xf>
    <xf numFmtId="0" fontId="13" fillId="0" borderId="0" xfId="0" applyFont="1" applyAlignment="1">
      <alignment horizontal="center" wrapText="1"/>
    </xf>
    <xf numFmtId="0" fontId="12" fillId="8" borderId="7" xfId="0" applyFont="1" applyFill="1" applyBorder="1"/>
    <xf numFmtId="0" fontId="12" fillId="0" borderId="7" xfId="0" applyFont="1" applyFill="1" applyBorder="1" applyAlignment="1">
      <alignment horizontal="center"/>
    </xf>
    <xf numFmtId="0" fontId="13" fillId="0" borderId="7" xfId="0" applyFont="1" applyFill="1" applyBorder="1" applyAlignment="1">
      <alignment horizontal="right"/>
    </xf>
    <xf numFmtId="164" fontId="18" fillId="7" borderId="7" xfId="0" applyNumberFormat="1" applyFont="1" applyFill="1" applyBorder="1"/>
    <xf numFmtId="43" fontId="12" fillId="7" borderId="7" xfId="2" applyFont="1" applyFill="1" applyBorder="1"/>
    <xf numFmtId="0" fontId="13" fillId="7" borderId="7" xfId="2" applyNumberFormat="1" applyFont="1" applyFill="1" applyBorder="1" applyAlignment="1">
      <alignment horizontal="center"/>
    </xf>
    <xf numFmtId="43" fontId="13" fillId="7" borderId="7" xfId="2" applyFont="1" applyFill="1" applyBorder="1" applyAlignment="1">
      <alignment horizontal="center"/>
    </xf>
    <xf numFmtId="9" fontId="20" fillId="7" borderId="7" xfId="2" applyNumberFormat="1" applyFont="1" applyFill="1" applyBorder="1" applyAlignment="1">
      <alignment horizontal="center"/>
    </xf>
    <xf numFmtId="0" fontId="18" fillId="7" borderId="7" xfId="0" applyFont="1" applyFill="1" applyBorder="1" applyAlignment="1">
      <alignment wrapText="1"/>
    </xf>
    <xf numFmtId="4" fontId="18" fillId="7" borderId="7" xfId="0" applyNumberFormat="1" applyFont="1" applyFill="1" applyBorder="1" applyAlignment="1">
      <alignment wrapText="1"/>
    </xf>
    <xf numFmtId="43" fontId="18" fillId="7" borderId="7" xfId="2" applyFont="1" applyFill="1" applyBorder="1"/>
    <xf numFmtId="0" fontId="13" fillId="7" borderId="7" xfId="0" applyFont="1" applyFill="1" applyBorder="1"/>
    <xf numFmtId="0" fontId="12" fillId="7" borderId="0" xfId="0" applyFont="1" applyFill="1"/>
    <xf numFmtId="0" fontId="12" fillId="9" borderId="7" xfId="0" applyFont="1" applyFill="1" applyBorder="1"/>
    <xf numFmtId="164" fontId="18" fillId="9" borderId="7" xfId="0" applyNumberFormat="1" applyFont="1" applyFill="1" applyBorder="1"/>
    <xf numFmtId="43" fontId="12" fillId="9" borderId="7" xfId="2" applyFont="1" applyFill="1" applyBorder="1"/>
    <xf numFmtId="43" fontId="13" fillId="9" borderId="7" xfId="2" applyFont="1" applyFill="1" applyBorder="1"/>
    <xf numFmtId="0" fontId="13" fillId="9" borderId="7" xfId="2" applyNumberFormat="1" applyFont="1" applyFill="1" applyBorder="1" applyAlignment="1">
      <alignment horizontal="center"/>
    </xf>
    <xf numFmtId="43" fontId="13" fillId="9" borderId="7" xfId="2" applyFont="1" applyFill="1" applyBorder="1" applyAlignment="1">
      <alignment horizontal="center"/>
    </xf>
    <xf numFmtId="43" fontId="12" fillId="9" borderId="7" xfId="2" applyFont="1" applyFill="1" applyBorder="1" applyAlignment="1">
      <alignment horizontal="center"/>
    </xf>
    <xf numFmtId="9" fontId="20" fillId="9" borderId="7" xfId="2" applyNumberFormat="1" applyFont="1" applyFill="1" applyBorder="1" applyAlignment="1">
      <alignment horizontal="center"/>
    </xf>
    <xf numFmtId="0" fontId="18" fillId="9" borderId="7" xfId="0" applyFont="1" applyFill="1" applyBorder="1" applyAlignment="1">
      <alignment wrapText="1"/>
    </xf>
    <xf numFmtId="4" fontId="18" fillId="9" borderId="7" xfId="0" applyNumberFormat="1" applyFont="1" applyFill="1" applyBorder="1" applyAlignment="1">
      <alignment wrapText="1"/>
    </xf>
    <xf numFmtId="43" fontId="18" fillId="9" borderId="7" xfId="2" applyFont="1" applyFill="1" applyBorder="1"/>
    <xf numFmtId="0" fontId="13" fillId="9" borderId="7" xfId="0" applyFont="1" applyFill="1" applyBorder="1"/>
    <xf numFmtId="0" fontId="12" fillId="9" borderId="0" xfId="0" applyFont="1" applyFill="1"/>
    <xf numFmtId="0" fontId="12" fillId="9" borderId="7" xfId="0" applyFont="1" applyFill="1" applyBorder="1" applyAlignment="1">
      <alignment horizontal="center"/>
    </xf>
    <xf numFmtId="0" fontId="12" fillId="10" borderId="7" xfId="0" applyFont="1" applyFill="1" applyBorder="1"/>
    <xf numFmtId="164" fontId="18" fillId="10" borderId="7" xfId="0" applyNumberFormat="1" applyFont="1" applyFill="1" applyBorder="1"/>
    <xf numFmtId="43" fontId="12" fillId="10" borderId="7" xfId="2" applyFont="1" applyFill="1" applyBorder="1"/>
    <xf numFmtId="0" fontId="13" fillId="10" borderId="7" xfId="0" applyFont="1" applyFill="1" applyBorder="1"/>
    <xf numFmtId="0" fontId="13" fillId="4" borderId="5" xfId="0" applyFont="1" applyFill="1" applyBorder="1" applyAlignment="1">
      <alignment horizontal="center" vertical="center"/>
    </xf>
    <xf numFmtId="43" fontId="13" fillId="5" borderId="1" xfId="2" applyFont="1" applyFill="1" applyBorder="1" applyAlignment="1">
      <alignment horizontal="center" vertical="center" wrapText="1"/>
    </xf>
    <xf numFmtId="43" fontId="13" fillId="5" borderId="2" xfId="2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3" fillId="6" borderId="8" xfId="0" applyFont="1" applyFill="1" applyBorder="1" applyAlignment="1">
      <alignment horizontal="center" vertical="center" wrapText="1"/>
    </xf>
    <xf numFmtId="43" fontId="13" fillId="5" borderId="1" xfId="2" applyFont="1" applyFill="1" applyBorder="1" applyAlignment="1">
      <alignment horizontal="center" wrapText="1"/>
    </xf>
    <xf numFmtId="43" fontId="13" fillId="5" borderId="2" xfId="2" applyFont="1" applyFill="1" applyBorder="1" applyAlignment="1">
      <alignment horizontal="center" wrapText="1"/>
    </xf>
    <xf numFmtId="43" fontId="16" fillId="5" borderId="3" xfId="2" applyFont="1" applyFill="1" applyBorder="1" applyAlignment="1">
      <alignment horizontal="center" wrapText="1"/>
    </xf>
    <xf numFmtId="43" fontId="16" fillId="5" borderId="4" xfId="2" applyFont="1" applyFill="1" applyBorder="1" applyAlignment="1">
      <alignment horizontal="center" wrapText="1"/>
    </xf>
    <xf numFmtId="43" fontId="8" fillId="4" borderId="5" xfId="2" applyFill="1" applyBorder="1" applyAlignment="1">
      <alignment horizontal="center"/>
    </xf>
    <xf numFmtId="43" fontId="13" fillId="5" borderId="9" xfId="2" applyFont="1" applyFill="1" applyBorder="1" applyAlignment="1">
      <alignment horizontal="center" vertical="center" wrapText="1"/>
    </xf>
    <xf numFmtId="0" fontId="22" fillId="0" borderId="7" xfId="0" applyFont="1" applyBorder="1" applyAlignment="1">
      <alignment horizontal="center"/>
    </xf>
    <xf numFmtId="43" fontId="13" fillId="5" borderId="8" xfId="2" applyFont="1" applyFill="1" applyBorder="1" applyAlignment="1">
      <alignment horizontal="center" vertical="center" wrapText="1"/>
    </xf>
    <xf numFmtId="3" fontId="13" fillId="5" borderId="2" xfId="0" applyNumberFormat="1" applyFont="1" applyFill="1" applyBorder="1" applyAlignment="1">
      <alignment horizontal="center" vertical="center"/>
    </xf>
    <xf numFmtId="3" fontId="13" fillId="5" borderId="9" xfId="0" applyNumberFormat="1" applyFont="1" applyFill="1" applyBorder="1" applyAlignment="1">
      <alignment horizontal="center" vertical="center"/>
    </xf>
    <xf numFmtId="3" fontId="13" fillId="5" borderId="2" xfId="0" applyNumberFormat="1" applyFont="1" applyFill="1" applyBorder="1" applyAlignment="1">
      <alignment horizontal="center" vertical="center" wrapText="1"/>
    </xf>
    <xf numFmtId="3" fontId="13" fillId="5" borderId="9" xfId="0" applyNumberFormat="1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/>
    </xf>
  </cellXfs>
  <cellStyles count="12">
    <cellStyle name="Excel Built-in Normal" xfId="1"/>
    <cellStyle name="Millares" xfId="2" builtinId="3"/>
    <cellStyle name="Normal" xfId="0" builtinId="0"/>
    <cellStyle name="Normal 2" xfId="5"/>
    <cellStyle name="Normal 3" xfId="6"/>
    <cellStyle name="Normal 4" xfId="4"/>
    <cellStyle name="Normal 5" xfId="7"/>
    <cellStyle name="Normal 6" xfId="8"/>
    <cellStyle name="Normal 7" xfId="9"/>
    <cellStyle name="Normal 8" xfId="10"/>
    <cellStyle name="Normal 9" xfId="11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CCFF"/>
      <color rgb="FF33CCFF"/>
      <color rgb="FFFF00FF"/>
      <color rgb="FFFFFF66"/>
      <color rgb="FFF4B082"/>
      <color rgb="FF9999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142"/>
  <sheetViews>
    <sheetView tabSelected="1" zoomScale="110" zoomScaleNormal="11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3" sqref="A3"/>
    </sheetView>
  </sheetViews>
  <sheetFormatPr baseColWidth="10" defaultColWidth="11.5703125" defaultRowHeight="15"/>
  <cols>
    <col min="1" max="1" width="17.140625" style="19" customWidth="1"/>
    <col min="2" max="2" width="40" style="19" customWidth="1"/>
    <col min="3" max="3" width="22.42578125" style="19" bestFit="1" customWidth="1"/>
    <col min="4" max="5" width="13.28515625" style="19" customWidth="1"/>
    <col min="6" max="6" width="13.85546875" style="13" customWidth="1"/>
    <col min="7" max="7" width="15.85546875" style="13" bestFit="1" customWidth="1"/>
    <col min="8" max="9" width="13.5703125" style="13" customWidth="1"/>
    <col min="10" max="10" width="17" style="14" customWidth="1"/>
    <col min="11" max="13" width="13.5703125" style="13" customWidth="1"/>
    <col min="14" max="14" width="13.5703125" style="15" customWidth="1"/>
    <col min="15" max="15" width="19.28515625" style="15" customWidth="1"/>
    <col min="16" max="16" width="16.85546875" style="15" customWidth="1"/>
    <col min="17" max="17" width="16.140625" style="15" customWidth="1"/>
    <col min="18" max="22" width="13.5703125" style="13" customWidth="1"/>
    <col min="23" max="23" width="16.7109375" style="14" customWidth="1"/>
    <col min="24" max="24" width="16.7109375" style="13" hidden="1" customWidth="1"/>
    <col min="25" max="25" width="15.42578125" style="14" hidden="1" customWidth="1"/>
    <col min="26" max="28" width="13.5703125" style="13" hidden="1" customWidth="1"/>
    <col min="29" max="29" width="15.42578125" style="14" hidden="1" customWidth="1"/>
    <col min="30" max="30" width="15.28515625" style="42" hidden="1" customWidth="1"/>
    <col min="31" max="31" width="12.7109375" style="42" hidden="1" customWidth="1"/>
    <col min="32" max="32" width="11.5703125" style="1" hidden="1" customWidth="1"/>
    <col min="33" max="33" width="19.28515625" style="19" bestFit="1" customWidth="1"/>
    <col min="34" max="34" width="35" style="19" bestFit="1" customWidth="1"/>
    <col min="35" max="35" width="11.85546875" style="18" bestFit="1" customWidth="1"/>
    <col min="36" max="16384" width="11.5703125" style="19"/>
  </cols>
  <sheetData>
    <row r="1" spans="1:35" s="7" customFormat="1">
      <c r="A1" s="2" t="s">
        <v>114</v>
      </c>
      <c r="B1" s="2"/>
      <c r="C1" s="3"/>
      <c r="D1" s="3"/>
      <c r="E1" s="3"/>
      <c r="F1" s="4"/>
      <c r="G1" s="4"/>
      <c r="H1" s="4"/>
      <c r="I1" s="4"/>
      <c r="J1" s="5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"/>
      <c r="X1" s="4"/>
      <c r="Y1" s="5"/>
      <c r="Z1" s="4"/>
      <c r="AA1" s="4"/>
      <c r="AB1" s="4"/>
      <c r="AC1" s="5"/>
      <c r="AD1" s="41"/>
      <c r="AE1" s="41"/>
      <c r="AF1" s="21"/>
      <c r="AI1" s="6"/>
    </row>
    <row r="2" spans="1:35" s="7" customFormat="1">
      <c r="A2" s="8" t="s">
        <v>33</v>
      </c>
      <c r="B2" s="8"/>
      <c r="C2" s="9"/>
      <c r="D2" s="9"/>
      <c r="E2" s="9"/>
      <c r="F2" s="4"/>
      <c r="G2" s="4"/>
      <c r="H2" s="4"/>
      <c r="I2" s="4"/>
      <c r="J2" s="5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5"/>
      <c r="Z2" s="4"/>
      <c r="AA2" s="4"/>
      <c r="AB2" s="4"/>
      <c r="AC2" s="5"/>
      <c r="AD2" s="41"/>
      <c r="AE2" s="41"/>
      <c r="AF2" s="21"/>
      <c r="AI2" s="6"/>
    </row>
    <row r="3" spans="1:35" s="7" customFormat="1">
      <c r="A3" s="10" t="s">
        <v>196</v>
      </c>
      <c r="B3" s="10"/>
      <c r="C3" s="11"/>
      <c r="D3" s="11"/>
      <c r="E3" s="11"/>
      <c r="F3" s="4"/>
      <c r="G3" s="4"/>
      <c r="H3" s="4"/>
      <c r="I3" s="4"/>
      <c r="J3" s="5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5"/>
      <c r="Z3" s="4"/>
      <c r="AA3" s="4"/>
      <c r="AB3" s="4"/>
      <c r="AC3" s="5"/>
      <c r="AD3" s="41"/>
      <c r="AE3" s="41"/>
      <c r="AF3" s="21"/>
      <c r="AI3" s="6"/>
    </row>
    <row r="4" spans="1:35" s="12" customFormat="1">
      <c r="A4" s="12" t="s">
        <v>197</v>
      </c>
      <c r="F4" s="13"/>
      <c r="G4" s="13"/>
      <c r="H4" s="13"/>
      <c r="I4" s="13"/>
      <c r="J4" s="14"/>
      <c r="K4" s="13"/>
      <c r="L4" s="13"/>
      <c r="M4" s="13"/>
      <c r="N4" s="15"/>
      <c r="O4" s="15"/>
      <c r="P4" s="15"/>
      <c r="Q4" s="15"/>
      <c r="R4" s="13"/>
      <c r="S4" s="13"/>
      <c r="T4" s="13"/>
      <c r="U4" s="13"/>
      <c r="V4" s="13"/>
      <c r="W4" s="14"/>
      <c r="X4" s="13"/>
      <c r="Y4" s="14"/>
      <c r="Z4" s="13"/>
      <c r="AA4" s="13"/>
      <c r="AB4" s="13"/>
      <c r="AC4" s="14"/>
      <c r="AD4" s="42"/>
      <c r="AE4" s="42"/>
      <c r="AF4" s="1"/>
      <c r="AI4" s="16"/>
    </row>
    <row r="5" spans="1:35" s="12" customFormat="1" ht="28.5" customHeight="1">
      <c r="A5" s="115" t="s">
        <v>13</v>
      </c>
      <c r="B5" s="115" t="s">
        <v>14</v>
      </c>
      <c r="C5" s="115" t="s">
        <v>0</v>
      </c>
      <c r="D5" s="117" t="s">
        <v>67</v>
      </c>
      <c r="E5" s="117" t="s">
        <v>142</v>
      </c>
      <c r="F5" s="104" t="s">
        <v>32</v>
      </c>
      <c r="G5" s="104" t="s">
        <v>164</v>
      </c>
      <c r="H5" s="103" t="s">
        <v>9</v>
      </c>
      <c r="I5" s="103" t="s">
        <v>10</v>
      </c>
      <c r="J5" s="103" t="s">
        <v>11</v>
      </c>
      <c r="K5" s="103" t="s">
        <v>12</v>
      </c>
      <c r="L5" s="104" t="s">
        <v>92</v>
      </c>
      <c r="M5" s="104" t="s">
        <v>74</v>
      </c>
      <c r="N5" s="105" t="s">
        <v>46</v>
      </c>
      <c r="O5" s="105" t="s">
        <v>60</v>
      </c>
      <c r="P5" s="105" t="s">
        <v>59</v>
      </c>
      <c r="Q5" s="105" t="s">
        <v>47</v>
      </c>
      <c r="R5" s="103" t="s">
        <v>6</v>
      </c>
      <c r="S5" s="103" t="s">
        <v>16</v>
      </c>
      <c r="T5" s="103" t="s">
        <v>15</v>
      </c>
      <c r="U5" s="103" t="s">
        <v>194</v>
      </c>
      <c r="V5" s="103" t="s">
        <v>8</v>
      </c>
      <c r="W5" s="103" t="s">
        <v>23</v>
      </c>
      <c r="X5" s="107" t="s">
        <v>3</v>
      </c>
      <c r="Y5" s="107" t="s">
        <v>7</v>
      </c>
      <c r="Z5" s="107" t="s">
        <v>2</v>
      </c>
      <c r="AA5" s="107" t="s">
        <v>4</v>
      </c>
      <c r="AB5" s="23"/>
      <c r="AC5" s="107" t="s">
        <v>5</v>
      </c>
      <c r="AD5" s="109" t="s">
        <v>78</v>
      </c>
      <c r="AE5" s="110"/>
      <c r="AF5" s="111" t="s">
        <v>48</v>
      </c>
      <c r="AG5" s="102" t="s">
        <v>69</v>
      </c>
      <c r="AH5" s="102" t="s">
        <v>70</v>
      </c>
      <c r="AI5" s="16"/>
    </row>
    <row r="6" spans="1:35" s="70" customFormat="1" ht="39" customHeight="1">
      <c r="A6" s="116"/>
      <c r="B6" s="116"/>
      <c r="C6" s="116"/>
      <c r="D6" s="118"/>
      <c r="E6" s="118"/>
      <c r="F6" s="114"/>
      <c r="G6" s="112"/>
      <c r="H6" s="104"/>
      <c r="I6" s="104"/>
      <c r="J6" s="104"/>
      <c r="K6" s="104"/>
      <c r="L6" s="112"/>
      <c r="M6" s="112"/>
      <c r="N6" s="106"/>
      <c r="O6" s="106"/>
      <c r="P6" s="106"/>
      <c r="Q6" s="106"/>
      <c r="R6" s="104"/>
      <c r="S6" s="104"/>
      <c r="T6" s="104"/>
      <c r="U6" s="104"/>
      <c r="V6" s="104"/>
      <c r="W6" s="104"/>
      <c r="X6" s="108"/>
      <c r="Y6" s="108"/>
      <c r="Z6" s="108"/>
      <c r="AA6" s="108"/>
      <c r="AB6" s="67"/>
      <c r="AC6" s="108"/>
      <c r="AD6" s="68" t="s">
        <v>24</v>
      </c>
      <c r="AE6" s="68" t="s">
        <v>25</v>
      </c>
      <c r="AF6" s="111"/>
      <c r="AG6" s="102"/>
      <c r="AH6" s="102"/>
      <c r="AI6" s="69"/>
    </row>
    <row r="7" spans="1:35" s="18" customFormat="1">
      <c r="A7" s="71" t="s">
        <v>37</v>
      </c>
      <c r="B7" s="33" t="s">
        <v>65</v>
      </c>
      <c r="C7" s="33" t="s">
        <v>29</v>
      </c>
      <c r="D7" s="49">
        <v>42062</v>
      </c>
      <c r="E7" s="34">
        <v>1166.27</v>
      </c>
      <c r="F7" s="34">
        <v>1653.36</v>
      </c>
      <c r="G7" s="34"/>
      <c r="H7" s="34"/>
      <c r="I7" s="34"/>
      <c r="J7" s="46">
        <f t="shared" ref="J7:J63" si="0">SUM(F7:I7)</f>
        <v>1653.36</v>
      </c>
      <c r="K7" s="34"/>
      <c r="L7" s="60"/>
      <c r="M7" s="34"/>
      <c r="N7" s="34"/>
      <c r="O7" s="61"/>
      <c r="P7" s="61"/>
      <c r="Q7" s="34"/>
      <c r="R7" s="32"/>
      <c r="S7" s="32"/>
      <c r="T7" s="33"/>
      <c r="U7" s="33"/>
      <c r="V7" s="33"/>
      <c r="W7" s="46">
        <f t="shared" ref="W7:W30" si="1">+J7-SUM(K7:V7)</f>
        <v>1653.36</v>
      </c>
      <c r="X7" s="32">
        <f t="shared" ref="X7:X25" si="2">IF(J7&gt;2250,J7*0.1,0)</f>
        <v>0</v>
      </c>
      <c r="Y7" s="46">
        <f t="shared" ref="Y7:Y25" si="3">+W7-X7</f>
        <v>1653.36</v>
      </c>
      <c r="Z7" s="32">
        <f t="shared" ref="Z7:Z25" si="4">IF(J7&lt;2250,J7*0.1,0)</f>
        <v>165.33600000000001</v>
      </c>
      <c r="AA7" s="32">
        <v>10.23</v>
      </c>
      <c r="AB7" s="32">
        <f t="shared" ref="AB7:AB25" si="5">+O7</f>
        <v>0</v>
      </c>
      <c r="AC7" s="46">
        <f t="shared" ref="AC7:AC25" si="6">+J7+Z7+AA7+AB7</f>
        <v>1828.9259999999999</v>
      </c>
      <c r="AD7" s="50"/>
      <c r="AE7" s="51"/>
      <c r="AF7" s="47">
        <f t="shared" ref="AF7:AF10" si="7">+AD7+AE7-Y7</f>
        <v>-1653.36</v>
      </c>
      <c r="AG7" s="35">
        <v>56708844887</v>
      </c>
      <c r="AH7" s="33"/>
    </row>
    <row r="8" spans="1:35" s="18" customFormat="1">
      <c r="A8" s="71" t="s">
        <v>28</v>
      </c>
      <c r="B8" s="33" t="s">
        <v>35</v>
      </c>
      <c r="C8" s="33" t="s">
        <v>31</v>
      </c>
      <c r="D8" s="49">
        <v>39508</v>
      </c>
      <c r="E8" s="34">
        <v>4666.6899999999996</v>
      </c>
      <c r="F8" s="34"/>
      <c r="G8" s="34"/>
      <c r="H8" s="34"/>
      <c r="I8" s="34"/>
      <c r="J8" s="46">
        <f t="shared" si="0"/>
        <v>0</v>
      </c>
      <c r="K8" s="34"/>
      <c r="L8" s="60"/>
      <c r="M8" s="34"/>
      <c r="N8" s="34"/>
      <c r="O8" s="61"/>
      <c r="P8" s="61"/>
      <c r="Q8" s="34"/>
      <c r="R8" s="32"/>
      <c r="S8" s="32"/>
      <c r="T8" s="33"/>
      <c r="U8" s="33"/>
      <c r="V8" s="33">
        <v>199.97</v>
      </c>
      <c r="W8" s="46">
        <f t="shared" si="1"/>
        <v>-199.97</v>
      </c>
      <c r="X8" s="32">
        <f t="shared" si="2"/>
        <v>0</v>
      </c>
      <c r="Y8" s="46">
        <f t="shared" si="3"/>
        <v>-199.97</v>
      </c>
      <c r="Z8" s="32">
        <f t="shared" si="4"/>
        <v>0</v>
      </c>
      <c r="AA8" s="32">
        <v>10.23</v>
      </c>
      <c r="AB8" s="32">
        <f t="shared" si="5"/>
        <v>0</v>
      </c>
      <c r="AC8" s="46">
        <f t="shared" si="6"/>
        <v>10.23</v>
      </c>
      <c r="AD8" s="50"/>
      <c r="AE8" s="51"/>
      <c r="AF8" s="47">
        <f t="shared" si="7"/>
        <v>199.97</v>
      </c>
      <c r="AG8" s="35">
        <v>56708881292</v>
      </c>
      <c r="AH8" s="33"/>
    </row>
    <row r="9" spans="1:35" s="18" customFormat="1">
      <c r="A9" s="71" t="s">
        <v>27</v>
      </c>
      <c r="B9" s="33" t="s">
        <v>163</v>
      </c>
      <c r="C9" s="33" t="s">
        <v>44</v>
      </c>
      <c r="D9" s="49">
        <v>43017</v>
      </c>
      <c r="E9" s="34">
        <v>1026.69</v>
      </c>
      <c r="F9" s="34"/>
      <c r="G9" s="34"/>
      <c r="H9" s="34"/>
      <c r="I9" s="34"/>
      <c r="J9" s="46">
        <f t="shared" si="0"/>
        <v>0</v>
      </c>
      <c r="K9" s="34"/>
      <c r="L9" s="60"/>
      <c r="M9" s="34"/>
      <c r="N9" s="34"/>
      <c r="O9" s="61"/>
      <c r="P9" s="61"/>
      <c r="Q9" s="34"/>
      <c r="R9" s="32"/>
      <c r="S9" s="32"/>
      <c r="T9" s="33"/>
      <c r="U9" s="33"/>
      <c r="V9" s="72"/>
      <c r="W9" s="46"/>
      <c r="X9" s="32"/>
      <c r="Y9" s="46"/>
      <c r="Z9" s="32"/>
      <c r="AA9" s="32"/>
      <c r="AB9" s="32"/>
      <c r="AC9" s="46"/>
      <c r="AD9" s="50"/>
      <c r="AE9" s="51"/>
      <c r="AF9" s="47"/>
      <c r="AG9" s="73" t="s">
        <v>162</v>
      </c>
      <c r="AH9" s="35"/>
    </row>
    <row r="10" spans="1:35" s="18" customFormat="1">
      <c r="A10" s="71" t="s">
        <v>28</v>
      </c>
      <c r="B10" s="33" t="s">
        <v>61</v>
      </c>
      <c r="C10" s="33" t="s">
        <v>30</v>
      </c>
      <c r="D10" s="49">
        <v>42383</v>
      </c>
      <c r="E10" s="34">
        <v>1026.69</v>
      </c>
      <c r="F10" s="34">
        <v>4130.87</v>
      </c>
      <c r="G10" s="34"/>
      <c r="H10" s="34"/>
      <c r="I10" s="34"/>
      <c r="J10" s="46">
        <f t="shared" si="0"/>
        <v>4130.87</v>
      </c>
      <c r="K10" s="34"/>
      <c r="L10" s="60"/>
      <c r="M10" s="34"/>
      <c r="N10" s="34"/>
      <c r="O10" s="61"/>
      <c r="P10" s="61"/>
      <c r="Q10" s="34"/>
      <c r="R10" s="32">
        <v>770.97</v>
      </c>
      <c r="S10" s="32"/>
      <c r="T10" s="33"/>
      <c r="U10" s="33"/>
      <c r="V10" s="33">
        <v>370.48</v>
      </c>
      <c r="W10" s="46">
        <f t="shared" si="1"/>
        <v>2989.42</v>
      </c>
      <c r="X10" s="32">
        <f t="shared" si="2"/>
        <v>413.08699999999999</v>
      </c>
      <c r="Y10" s="46">
        <f t="shared" si="3"/>
        <v>2576.3330000000001</v>
      </c>
      <c r="Z10" s="32">
        <f t="shared" si="4"/>
        <v>0</v>
      </c>
      <c r="AA10" s="32">
        <v>10.23</v>
      </c>
      <c r="AB10" s="32">
        <f t="shared" si="5"/>
        <v>0</v>
      </c>
      <c r="AC10" s="46">
        <f t="shared" si="6"/>
        <v>4141.0999999999995</v>
      </c>
      <c r="AD10" s="50"/>
      <c r="AE10" s="51"/>
      <c r="AF10" s="47">
        <f t="shared" si="7"/>
        <v>-2576.3330000000001</v>
      </c>
      <c r="AG10" s="35">
        <v>56708881304</v>
      </c>
      <c r="AH10" s="33"/>
    </row>
    <row r="11" spans="1:35" s="18" customFormat="1">
      <c r="A11" s="71" t="s">
        <v>37</v>
      </c>
      <c r="B11" s="33" t="s">
        <v>186</v>
      </c>
      <c r="C11" s="33" t="s">
        <v>172</v>
      </c>
      <c r="D11" s="49">
        <v>43054</v>
      </c>
      <c r="E11" s="34">
        <v>1400</v>
      </c>
      <c r="F11" s="34"/>
      <c r="G11" s="34"/>
      <c r="H11" s="34"/>
      <c r="I11" s="34"/>
      <c r="J11" s="46">
        <f t="shared" si="0"/>
        <v>0</v>
      </c>
      <c r="K11" s="34"/>
      <c r="L11" s="60"/>
      <c r="M11" s="34"/>
      <c r="N11" s="34"/>
      <c r="O11" s="61"/>
      <c r="P11" s="61"/>
      <c r="Q11" s="34"/>
      <c r="R11" s="32"/>
      <c r="S11" s="32"/>
      <c r="T11" s="33"/>
      <c r="U11" s="33"/>
      <c r="V11" s="72"/>
      <c r="W11" s="46"/>
      <c r="X11" s="32"/>
      <c r="Y11" s="46"/>
      <c r="Z11" s="32"/>
      <c r="AA11" s="32"/>
      <c r="AB11" s="32"/>
      <c r="AC11" s="46"/>
      <c r="AD11" s="50"/>
      <c r="AE11" s="51"/>
      <c r="AF11" s="47"/>
      <c r="AG11" s="35">
        <v>60597130077</v>
      </c>
      <c r="AH11" s="33"/>
    </row>
    <row r="12" spans="1:35" s="18" customFormat="1">
      <c r="A12" s="71" t="s">
        <v>28</v>
      </c>
      <c r="B12" s="33" t="s">
        <v>180</v>
      </c>
      <c r="C12" s="33" t="s">
        <v>30</v>
      </c>
      <c r="D12" s="49">
        <v>43062</v>
      </c>
      <c r="E12" s="34">
        <v>1026.69</v>
      </c>
      <c r="F12" s="34"/>
      <c r="G12" s="34"/>
      <c r="H12" s="34"/>
      <c r="I12" s="34"/>
      <c r="J12" s="46">
        <f t="shared" si="0"/>
        <v>0</v>
      </c>
      <c r="K12" s="34"/>
      <c r="L12" s="60"/>
      <c r="M12" s="34"/>
      <c r="N12" s="34"/>
      <c r="O12" s="61"/>
      <c r="P12" s="61"/>
      <c r="Q12" s="34"/>
      <c r="R12" s="32"/>
      <c r="S12" s="32"/>
      <c r="T12" s="33"/>
      <c r="U12" s="33"/>
      <c r="V12" s="33"/>
      <c r="W12" s="46"/>
      <c r="X12" s="32"/>
      <c r="Y12" s="46"/>
      <c r="Z12" s="32"/>
      <c r="AA12" s="32"/>
      <c r="AB12" s="32"/>
      <c r="AC12" s="46"/>
      <c r="AD12" s="50"/>
      <c r="AE12" s="51"/>
      <c r="AF12" s="47"/>
      <c r="AG12" s="35">
        <v>1522786230</v>
      </c>
      <c r="AH12" s="33"/>
      <c r="AI12" s="18" t="s">
        <v>124</v>
      </c>
    </row>
    <row r="13" spans="1:35" s="18" customFormat="1" ht="15.75">
      <c r="A13" s="71" t="s">
        <v>28</v>
      </c>
      <c r="B13" s="33" t="s">
        <v>132</v>
      </c>
      <c r="C13" s="33" t="s">
        <v>30</v>
      </c>
      <c r="D13" s="49">
        <v>42878</v>
      </c>
      <c r="E13" s="34">
        <v>1026.69</v>
      </c>
      <c r="F13" s="34">
        <v>9866.2000000000007</v>
      </c>
      <c r="G13" s="34"/>
      <c r="H13" s="34"/>
      <c r="I13" s="34"/>
      <c r="J13" s="46">
        <f t="shared" si="0"/>
        <v>9866.2000000000007</v>
      </c>
      <c r="K13" s="34"/>
      <c r="L13" s="60"/>
      <c r="M13" s="34"/>
      <c r="N13" s="34"/>
      <c r="O13" s="61"/>
      <c r="P13" s="61"/>
      <c r="Q13" s="34"/>
      <c r="R13" s="32"/>
      <c r="S13" s="66">
        <v>0.3</v>
      </c>
      <c r="T13" s="33"/>
      <c r="U13" s="33"/>
      <c r="V13" s="72">
        <v>4000</v>
      </c>
      <c r="W13" s="46">
        <f t="shared" si="1"/>
        <v>5865.9000000000005</v>
      </c>
      <c r="X13" s="32"/>
      <c r="Y13" s="46"/>
      <c r="Z13" s="32"/>
      <c r="AA13" s="32"/>
      <c r="AB13" s="32"/>
      <c r="AC13" s="46"/>
      <c r="AD13" s="50"/>
      <c r="AE13" s="51"/>
      <c r="AF13" s="47"/>
      <c r="AG13" s="35">
        <v>53917427816</v>
      </c>
      <c r="AH13" s="33"/>
    </row>
    <row r="14" spans="1:35" s="18" customFormat="1">
      <c r="A14" s="71" t="s">
        <v>37</v>
      </c>
      <c r="B14" s="33" t="s">
        <v>152</v>
      </c>
      <c r="C14" s="33" t="s">
        <v>42</v>
      </c>
      <c r="D14" s="49">
        <v>42977</v>
      </c>
      <c r="E14" s="34">
        <v>933.31</v>
      </c>
      <c r="F14" s="34">
        <v>2010</v>
      </c>
      <c r="G14" s="34"/>
      <c r="H14" s="34"/>
      <c r="I14" s="34"/>
      <c r="J14" s="46">
        <f t="shared" si="0"/>
        <v>2010</v>
      </c>
      <c r="K14" s="34"/>
      <c r="L14" s="60"/>
      <c r="M14" s="34"/>
      <c r="N14" s="34"/>
      <c r="O14" s="61"/>
      <c r="P14" s="61"/>
      <c r="Q14" s="34"/>
      <c r="R14" s="32"/>
      <c r="S14" s="32"/>
      <c r="T14" s="33"/>
      <c r="U14" s="33"/>
      <c r="V14" s="33"/>
      <c r="W14" s="46">
        <f t="shared" si="1"/>
        <v>2010</v>
      </c>
      <c r="X14" s="32"/>
      <c r="Y14" s="46"/>
      <c r="Z14" s="32"/>
      <c r="AA14" s="32"/>
      <c r="AB14" s="32"/>
      <c r="AC14" s="46"/>
      <c r="AD14" s="50"/>
      <c r="AE14" s="51"/>
      <c r="AF14" s="47"/>
      <c r="AG14" s="35">
        <v>60594701908</v>
      </c>
      <c r="AH14" s="33"/>
    </row>
    <row r="15" spans="1:35" s="18" customFormat="1">
      <c r="A15" s="71" t="s">
        <v>28</v>
      </c>
      <c r="B15" s="33" t="s">
        <v>72</v>
      </c>
      <c r="C15" s="33" t="s">
        <v>31</v>
      </c>
      <c r="D15" s="49">
        <v>39699</v>
      </c>
      <c r="E15" s="34">
        <v>4666.6899999999996</v>
      </c>
      <c r="F15" s="34">
        <v>14727.13</v>
      </c>
      <c r="G15" s="34"/>
      <c r="H15" s="34"/>
      <c r="I15" s="34"/>
      <c r="J15" s="46">
        <f t="shared" si="0"/>
        <v>14727.13</v>
      </c>
      <c r="K15" s="34">
        <v>1250</v>
      </c>
      <c r="L15" s="60"/>
      <c r="M15" s="34"/>
      <c r="N15" s="34">
        <v>1000</v>
      </c>
      <c r="O15" s="61"/>
      <c r="P15" s="61"/>
      <c r="Q15" s="34"/>
      <c r="R15" s="32">
        <v>5323.5</v>
      </c>
      <c r="S15" s="32"/>
      <c r="T15" s="33"/>
      <c r="U15" s="33"/>
      <c r="V15" s="33"/>
      <c r="W15" s="46">
        <f t="shared" si="1"/>
        <v>7153.6299999999992</v>
      </c>
      <c r="X15" s="32">
        <f t="shared" si="2"/>
        <v>1472.713</v>
      </c>
      <c r="Y15" s="46">
        <f t="shared" si="3"/>
        <v>5680.9169999999995</v>
      </c>
      <c r="Z15" s="32">
        <f t="shared" si="4"/>
        <v>0</v>
      </c>
      <c r="AA15" s="32">
        <v>10.23</v>
      </c>
      <c r="AB15" s="32">
        <f t="shared" si="5"/>
        <v>0</v>
      </c>
      <c r="AC15" s="46">
        <f t="shared" si="6"/>
        <v>14737.359999999999</v>
      </c>
      <c r="AD15" s="50"/>
      <c r="AE15" s="51"/>
      <c r="AF15" s="47">
        <f t="shared" ref="AF15" si="8">+AD15+AE15-Y15</f>
        <v>-5680.9169999999995</v>
      </c>
      <c r="AG15" s="35">
        <v>56708881349</v>
      </c>
      <c r="AH15" s="35" t="s">
        <v>199</v>
      </c>
    </row>
    <row r="16" spans="1:35" s="18" customFormat="1">
      <c r="A16" s="71" t="s">
        <v>27</v>
      </c>
      <c r="B16" s="33" t="s">
        <v>187</v>
      </c>
      <c r="C16" s="33" t="s">
        <v>44</v>
      </c>
      <c r="D16" s="49">
        <v>43082</v>
      </c>
      <c r="E16" s="34">
        <v>1026.69</v>
      </c>
      <c r="F16" s="34"/>
      <c r="G16" s="34"/>
      <c r="H16" s="34"/>
      <c r="I16" s="34"/>
      <c r="J16" s="46">
        <f t="shared" si="0"/>
        <v>0</v>
      </c>
      <c r="K16" s="34"/>
      <c r="L16" s="60"/>
      <c r="M16" s="34"/>
      <c r="N16" s="34"/>
      <c r="O16" s="61"/>
      <c r="P16" s="61"/>
      <c r="Q16" s="34"/>
      <c r="R16" s="32"/>
      <c r="S16" s="32"/>
      <c r="T16" s="33"/>
      <c r="U16" s="72" t="s">
        <v>195</v>
      </c>
      <c r="V16" s="33">
        <v>620.32000000000005</v>
      </c>
      <c r="W16" s="46">
        <f t="shared" si="1"/>
        <v>-620.32000000000005</v>
      </c>
      <c r="X16" s="32"/>
      <c r="Y16" s="46"/>
      <c r="Z16" s="32"/>
      <c r="AA16" s="32"/>
      <c r="AB16" s="32"/>
      <c r="AC16" s="46"/>
      <c r="AD16" s="50"/>
      <c r="AE16" s="51"/>
      <c r="AF16" s="47"/>
      <c r="AG16" s="35">
        <v>56708844947</v>
      </c>
      <c r="AH16" s="35"/>
    </row>
    <row r="17" spans="1:35" s="18" customFormat="1">
      <c r="A17" s="71" t="s">
        <v>28</v>
      </c>
      <c r="B17" s="33" t="s">
        <v>177</v>
      </c>
      <c r="C17" s="33" t="s">
        <v>30</v>
      </c>
      <c r="D17" s="49">
        <v>43055</v>
      </c>
      <c r="E17" s="34">
        <v>1026.69</v>
      </c>
      <c r="F17" s="34"/>
      <c r="G17" s="34"/>
      <c r="H17" s="34"/>
      <c r="I17" s="34"/>
      <c r="J17" s="46">
        <f t="shared" si="0"/>
        <v>0</v>
      </c>
      <c r="K17" s="34"/>
      <c r="L17" s="60"/>
      <c r="M17" s="34"/>
      <c r="N17" s="34"/>
      <c r="O17" s="61"/>
      <c r="P17" s="61"/>
      <c r="Q17" s="34"/>
      <c r="R17" s="32"/>
      <c r="S17" s="32"/>
      <c r="T17" s="33"/>
      <c r="U17" s="33"/>
      <c r="V17" s="33"/>
      <c r="W17" s="46">
        <f t="shared" si="1"/>
        <v>0</v>
      </c>
      <c r="X17" s="32"/>
      <c r="Y17" s="46"/>
      <c r="Z17" s="32"/>
      <c r="AA17" s="32"/>
      <c r="AB17" s="32"/>
      <c r="AC17" s="46"/>
      <c r="AD17" s="50"/>
      <c r="AE17" s="51"/>
      <c r="AF17" s="47"/>
      <c r="AG17" s="35">
        <v>60597155367</v>
      </c>
      <c r="AH17" s="33"/>
    </row>
    <row r="18" spans="1:35" s="18" customFormat="1" ht="15.75">
      <c r="A18" s="71" t="s">
        <v>27</v>
      </c>
      <c r="B18" s="33" t="s">
        <v>157</v>
      </c>
      <c r="C18" s="33" t="s">
        <v>30</v>
      </c>
      <c r="D18" s="49">
        <v>43005</v>
      </c>
      <c r="E18" s="34">
        <v>1026.69</v>
      </c>
      <c r="F18" s="34">
        <v>4356.59</v>
      </c>
      <c r="G18" s="34"/>
      <c r="H18" s="34"/>
      <c r="I18" s="34"/>
      <c r="J18" s="46">
        <f t="shared" si="0"/>
        <v>4356.59</v>
      </c>
      <c r="K18" s="34"/>
      <c r="L18" s="60"/>
      <c r="M18" s="34"/>
      <c r="N18" s="34"/>
      <c r="O18" s="61"/>
      <c r="P18" s="61"/>
      <c r="Q18" s="34"/>
      <c r="R18" s="32">
        <v>318.17</v>
      </c>
      <c r="S18" s="66"/>
      <c r="T18" s="33"/>
      <c r="U18" s="33"/>
      <c r="V18" s="33">
        <v>313.26</v>
      </c>
      <c r="W18" s="46">
        <f t="shared" si="1"/>
        <v>3725.16</v>
      </c>
      <c r="X18" s="32"/>
      <c r="Y18" s="46"/>
      <c r="Z18" s="32"/>
      <c r="AA18" s="32"/>
      <c r="AB18" s="32"/>
      <c r="AC18" s="46"/>
      <c r="AD18" s="50"/>
      <c r="AE18" s="51"/>
      <c r="AF18" s="47"/>
      <c r="AG18" s="35">
        <v>60595911850</v>
      </c>
      <c r="AH18" s="33"/>
    </row>
    <row r="19" spans="1:35" s="18" customFormat="1" ht="15.75">
      <c r="A19" s="71" t="s">
        <v>68</v>
      </c>
      <c r="B19" s="33" t="s">
        <v>55</v>
      </c>
      <c r="C19" s="33" t="s">
        <v>43</v>
      </c>
      <c r="D19" s="49">
        <v>42205</v>
      </c>
      <c r="E19" s="34">
        <v>1869</v>
      </c>
      <c r="F19" s="34"/>
      <c r="G19" s="34"/>
      <c r="H19" s="34"/>
      <c r="I19" s="34"/>
      <c r="J19" s="46">
        <f t="shared" si="0"/>
        <v>0</v>
      </c>
      <c r="K19" s="34"/>
      <c r="L19" s="60"/>
      <c r="M19" s="34"/>
      <c r="N19" s="34">
        <v>300</v>
      </c>
      <c r="O19" s="61"/>
      <c r="P19" s="61"/>
      <c r="Q19" s="34"/>
      <c r="R19" s="32"/>
      <c r="S19" s="66">
        <v>0.3</v>
      </c>
      <c r="T19" s="33"/>
      <c r="U19" s="33"/>
      <c r="V19" s="33"/>
      <c r="W19" s="46">
        <f t="shared" si="1"/>
        <v>-300.3</v>
      </c>
      <c r="X19" s="32">
        <f t="shared" si="2"/>
        <v>0</v>
      </c>
      <c r="Y19" s="46">
        <f t="shared" si="3"/>
        <v>-300.3</v>
      </c>
      <c r="Z19" s="32">
        <f t="shared" si="4"/>
        <v>0</v>
      </c>
      <c r="AA19" s="32">
        <v>10.23</v>
      </c>
      <c r="AB19" s="32">
        <f t="shared" si="5"/>
        <v>0</v>
      </c>
      <c r="AC19" s="46">
        <f t="shared" si="6"/>
        <v>10.23</v>
      </c>
      <c r="AD19" s="50"/>
      <c r="AE19" s="51"/>
      <c r="AF19" s="47">
        <f t="shared" ref="AF19" si="9">+AD19+AE19-Y19</f>
        <v>300.3</v>
      </c>
      <c r="AG19" s="35">
        <v>56708844950</v>
      </c>
      <c r="AH19" s="35"/>
    </row>
    <row r="20" spans="1:35" s="18" customFormat="1" ht="15.75">
      <c r="A20" s="71" t="s">
        <v>68</v>
      </c>
      <c r="B20" s="33" t="s">
        <v>85</v>
      </c>
      <c r="C20" s="33" t="s">
        <v>43</v>
      </c>
      <c r="D20" s="49">
        <v>42476</v>
      </c>
      <c r="E20" s="34">
        <v>1869</v>
      </c>
      <c r="F20" s="34"/>
      <c r="G20" s="34"/>
      <c r="H20" s="34"/>
      <c r="I20" s="34"/>
      <c r="J20" s="46">
        <f t="shared" si="0"/>
        <v>0</v>
      </c>
      <c r="K20" s="34"/>
      <c r="L20" s="60"/>
      <c r="M20" s="34"/>
      <c r="N20" s="34"/>
      <c r="O20" s="61"/>
      <c r="P20" s="61"/>
      <c r="Q20" s="34"/>
      <c r="R20" s="32"/>
      <c r="S20" s="66"/>
      <c r="T20" s="33"/>
      <c r="U20" s="33"/>
      <c r="V20" s="33"/>
      <c r="W20" s="46">
        <f t="shared" si="1"/>
        <v>0</v>
      </c>
      <c r="X20" s="32">
        <f t="shared" ref="X20" si="10">IF(J20&gt;2250,J20*0.1,0)</f>
        <v>0</v>
      </c>
      <c r="Y20" s="46">
        <f t="shared" ref="Y20" si="11">+W20-X20</f>
        <v>0</v>
      </c>
      <c r="Z20" s="32">
        <f t="shared" si="4"/>
        <v>0</v>
      </c>
      <c r="AA20" s="32">
        <v>10.23</v>
      </c>
      <c r="AB20" s="32">
        <f t="shared" si="5"/>
        <v>0</v>
      </c>
      <c r="AC20" s="46">
        <f t="shared" si="6"/>
        <v>10.23</v>
      </c>
      <c r="AD20" s="50"/>
      <c r="AE20" s="51"/>
      <c r="AF20" s="47" t="e">
        <f>+AD20+AE20-#REF!</f>
        <v>#REF!</v>
      </c>
      <c r="AG20" s="35">
        <v>56708844964</v>
      </c>
      <c r="AH20" s="35" t="s">
        <v>205</v>
      </c>
    </row>
    <row r="21" spans="1:35" s="18" customFormat="1" ht="15.75">
      <c r="A21" s="71" t="s">
        <v>28</v>
      </c>
      <c r="B21" s="33" t="s">
        <v>138</v>
      </c>
      <c r="C21" s="33" t="s">
        <v>30</v>
      </c>
      <c r="D21" s="49">
        <v>42916</v>
      </c>
      <c r="E21" s="34">
        <v>1026.69</v>
      </c>
      <c r="F21" s="34"/>
      <c r="G21" s="34"/>
      <c r="H21" s="34"/>
      <c r="I21" s="34"/>
      <c r="J21" s="46">
        <f t="shared" si="0"/>
        <v>0</v>
      </c>
      <c r="K21" s="34"/>
      <c r="L21" s="60"/>
      <c r="M21" s="34"/>
      <c r="N21" s="34"/>
      <c r="O21" s="61"/>
      <c r="P21" s="61"/>
      <c r="Q21" s="34"/>
      <c r="R21" s="32"/>
      <c r="S21" s="66"/>
      <c r="T21" s="33"/>
      <c r="U21" s="33"/>
      <c r="V21" s="33">
        <v>0</v>
      </c>
      <c r="W21" s="46">
        <f t="shared" si="1"/>
        <v>0</v>
      </c>
      <c r="X21" s="32"/>
      <c r="Y21" s="46"/>
      <c r="Z21" s="32"/>
      <c r="AA21" s="32"/>
      <c r="AB21" s="32"/>
      <c r="AC21" s="46"/>
      <c r="AD21" s="50"/>
      <c r="AE21" s="51"/>
      <c r="AF21" s="47"/>
      <c r="AG21" s="35">
        <v>60592609882</v>
      </c>
      <c r="AH21" s="33"/>
    </row>
    <row r="22" spans="1:35" s="96" customFormat="1" ht="15.75">
      <c r="A22" s="84" t="s">
        <v>28</v>
      </c>
      <c r="B22" s="84" t="s">
        <v>189</v>
      </c>
      <c r="C22" s="84" t="s">
        <v>172</v>
      </c>
      <c r="D22" s="85">
        <v>43106</v>
      </c>
      <c r="E22" s="86">
        <v>1400</v>
      </c>
      <c r="F22" s="86"/>
      <c r="G22" s="86"/>
      <c r="H22" s="86"/>
      <c r="I22" s="86"/>
      <c r="J22" s="87">
        <f>SUM(F22:I22)</f>
        <v>0</v>
      </c>
      <c r="K22" s="86"/>
      <c r="L22" s="88"/>
      <c r="M22" s="86"/>
      <c r="N22" s="86"/>
      <c r="O22" s="89"/>
      <c r="P22" s="89"/>
      <c r="Q22" s="86"/>
      <c r="R22" s="90"/>
      <c r="S22" s="91"/>
      <c r="T22" s="84"/>
      <c r="U22" s="84"/>
      <c r="V22" s="97" t="s">
        <v>195</v>
      </c>
      <c r="W22" s="87">
        <f t="shared" si="1"/>
        <v>0</v>
      </c>
      <c r="X22" s="90"/>
      <c r="Y22" s="87"/>
      <c r="Z22" s="90"/>
      <c r="AA22" s="90"/>
      <c r="AB22" s="90"/>
      <c r="AC22" s="87"/>
      <c r="AD22" s="92"/>
      <c r="AE22" s="93"/>
      <c r="AF22" s="94"/>
      <c r="AG22" s="95">
        <v>60597731747</v>
      </c>
      <c r="AH22" s="84"/>
    </row>
    <row r="23" spans="1:35" s="18" customFormat="1" ht="15.75">
      <c r="A23" s="71" t="s">
        <v>28</v>
      </c>
      <c r="B23" s="33" t="s">
        <v>108</v>
      </c>
      <c r="C23" s="33" t="s">
        <v>109</v>
      </c>
      <c r="D23" s="49">
        <v>41359</v>
      </c>
      <c r="E23" s="34">
        <v>4666.6899999999996</v>
      </c>
      <c r="F23" s="34">
        <v>17419.830000000002</v>
      </c>
      <c r="G23" s="34"/>
      <c r="H23" s="34"/>
      <c r="I23" s="34"/>
      <c r="J23" s="46">
        <f t="shared" si="0"/>
        <v>17419.830000000002</v>
      </c>
      <c r="K23" s="34"/>
      <c r="L23" s="60"/>
      <c r="M23" s="34"/>
      <c r="N23" s="34"/>
      <c r="O23" s="61"/>
      <c r="P23" s="61"/>
      <c r="Q23" s="34"/>
      <c r="R23" s="32"/>
      <c r="S23" s="66"/>
      <c r="T23" s="33"/>
      <c r="U23" s="33"/>
      <c r="V23" s="33"/>
      <c r="W23" s="46">
        <f t="shared" si="1"/>
        <v>17419.830000000002</v>
      </c>
      <c r="X23" s="32">
        <f t="shared" ref="X23" si="12">IF(J23&gt;2250,J23*0.1,0)</f>
        <v>1741.9830000000002</v>
      </c>
      <c r="Y23" s="46">
        <f t="shared" ref="Y23" si="13">+W23-X23</f>
        <v>15677.847000000002</v>
      </c>
      <c r="Z23" s="32"/>
      <c r="AA23" s="32"/>
      <c r="AB23" s="32"/>
      <c r="AC23" s="46"/>
      <c r="AD23" s="50"/>
      <c r="AE23" s="51"/>
      <c r="AF23" s="47"/>
      <c r="AG23" s="35">
        <v>56708881383</v>
      </c>
      <c r="AH23" s="33"/>
    </row>
    <row r="24" spans="1:35" s="18" customFormat="1">
      <c r="A24" s="71" t="s">
        <v>28</v>
      </c>
      <c r="B24" s="33" t="s">
        <v>161</v>
      </c>
      <c r="C24" s="33" t="s">
        <v>30</v>
      </c>
      <c r="D24" s="49">
        <v>43012</v>
      </c>
      <c r="E24" s="34">
        <v>1026.69</v>
      </c>
      <c r="F24" s="34">
        <v>2641.1</v>
      </c>
      <c r="G24" s="34"/>
      <c r="H24" s="34"/>
      <c r="I24" s="34"/>
      <c r="J24" s="46">
        <f t="shared" si="0"/>
        <v>2641.1</v>
      </c>
      <c r="K24" s="34"/>
      <c r="L24" s="60"/>
      <c r="M24" s="34"/>
      <c r="N24" s="34"/>
      <c r="O24" s="61"/>
      <c r="P24" s="61"/>
      <c r="Q24" s="34"/>
      <c r="R24" s="32"/>
      <c r="S24" s="32"/>
      <c r="T24" s="33"/>
      <c r="U24" s="33"/>
      <c r="V24" s="72"/>
      <c r="W24" s="46">
        <f t="shared" si="1"/>
        <v>2641.1</v>
      </c>
      <c r="X24" s="32"/>
      <c r="Y24" s="46"/>
      <c r="Z24" s="32"/>
      <c r="AA24" s="32"/>
      <c r="AB24" s="32"/>
      <c r="AC24" s="46"/>
      <c r="AD24" s="50"/>
      <c r="AE24" s="51"/>
      <c r="AF24" s="47"/>
      <c r="AG24" s="73" t="s">
        <v>160</v>
      </c>
      <c r="AH24" s="35"/>
      <c r="AI24" s="18" t="s">
        <v>124</v>
      </c>
    </row>
    <row r="25" spans="1:35" s="18" customFormat="1" ht="15.75">
      <c r="A25" s="71" t="s">
        <v>28</v>
      </c>
      <c r="B25" s="33" t="s">
        <v>84</v>
      </c>
      <c r="C25" s="33" t="s">
        <v>30</v>
      </c>
      <c r="D25" s="49">
        <v>42413</v>
      </c>
      <c r="E25" s="34">
        <v>1026.69</v>
      </c>
      <c r="F25" s="34"/>
      <c r="G25" s="34"/>
      <c r="H25" s="34"/>
      <c r="I25" s="34"/>
      <c r="J25" s="46">
        <f t="shared" si="0"/>
        <v>0</v>
      </c>
      <c r="K25" s="34"/>
      <c r="L25" s="60"/>
      <c r="M25" s="34"/>
      <c r="N25" s="34"/>
      <c r="O25" s="61"/>
      <c r="P25" s="61"/>
      <c r="Q25" s="34"/>
      <c r="R25" s="32"/>
      <c r="S25" s="66"/>
      <c r="T25" s="33"/>
      <c r="U25" s="33"/>
      <c r="V25" s="33"/>
      <c r="W25" s="46">
        <f t="shared" si="1"/>
        <v>0</v>
      </c>
      <c r="X25" s="32">
        <f t="shared" si="2"/>
        <v>0</v>
      </c>
      <c r="Y25" s="46">
        <f t="shared" si="3"/>
        <v>0</v>
      </c>
      <c r="Z25" s="32">
        <f t="shared" si="4"/>
        <v>0</v>
      </c>
      <c r="AA25" s="32">
        <v>13.23</v>
      </c>
      <c r="AB25" s="32">
        <f t="shared" si="5"/>
        <v>0</v>
      </c>
      <c r="AC25" s="46">
        <f t="shared" si="6"/>
        <v>13.23</v>
      </c>
      <c r="AD25" s="50"/>
      <c r="AE25" s="51"/>
      <c r="AF25" s="47">
        <f>+AD25+AE25-Y25</f>
        <v>0</v>
      </c>
      <c r="AG25" s="35">
        <v>60590329504</v>
      </c>
      <c r="AH25" s="33"/>
    </row>
    <row r="26" spans="1:35" s="18" customFormat="1" ht="15.75">
      <c r="A26" s="71" t="s">
        <v>28</v>
      </c>
      <c r="B26" s="33" t="s">
        <v>90</v>
      </c>
      <c r="C26" s="33" t="s">
        <v>99</v>
      </c>
      <c r="D26" s="49">
        <v>42480</v>
      </c>
      <c r="E26" s="34">
        <v>2800</v>
      </c>
      <c r="F26" s="34"/>
      <c r="G26" s="34"/>
      <c r="H26" s="34"/>
      <c r="I26" s="34"/>
      <c r="J26" s="46">
        <f t="shared" si="0"/>
        <v>0</v>
      </c>
      <c r="K26" s="34"/>
      <c r="L26" s="60"/>
      <c r="M26" s="34"/>
      <c r="N26" s="34"/>
      <c r="O26" s="61"/>
      <c r="P26" s="61"/>
      <c r="Q26" s="34"/>
      <c r="R26" s="32"/>
      <c r="S26" s="66"/>
      <c r="T26" s="33"/>
      <c r="U26" s="33"/>
      <c r="V26" s="33"/>
      <c r="W26" s="46">
        <f t="shared" si="1"/>
        <v>0</v>
      </c>
      <c r="X26" s="32">
        <f t="shared" ref="X26:X45" si="14">IF(J26&gt;2250,J26*0.1,0)</f>
        <v>0</v>
      </c>
      <c r="Y26" s="46">
        <f t="shared" ref="Y26:Y45" si="15">+W26-X26</f>
        <v>0</v>
      </c>
      <c r="Z26" s="32">
        <f t="shared" ref="Z26:Z45" si="16">IF(J26&lt;2250,J26*0.1,0)</f>
        <v>0</v>
      </c>
      <c r="AA26" s="32">
        <v>17.23</v>
      </c>
      <c r="AB26" s="32">
        <f t="shared" ref="AB26:AB45" si="17">+O26</f>
        <v>0</v>
      </c>
      <c r="AC26" s="46">
        <f t="shared" ref="AC26:AC45" si="18">+J26+Z26+AA26+AB26</f>
        <v>17.23</v>
      </c>
      <c r="AD26" s="50"/>
      <c r="AE26" s="51"/>
      <c r="AF26" s="47">
        <f>+AD26+AE26-Y26</f>
        <v>0</v>
      </c>
      <c r="AG26" s="35">
        <v>56708845010</v>
      </c>
      <c r="AH26" s="33"/>
    </row>
    <row r="27" spans="1:35" s="18" customFormat="1" ht="15.75">
      <c r="A27" s="71" t="s">
        <v>39</v>
      </c>
      <c r="B27" s="33" t="s">
        <v>125</v>
      </c>
      <c r="C27" s="33" t="s">
        <v>43</v>
      </c>
      <c r="D27" s="49">
        <v>42826</v>
      </c>
      <c r="E27" s="34">
        <v>1633.31</v>
      </c>
      <c r="F27" s="34"/>
      <c r="G27" s="34"/>
      <c r="H27" s="34"/>
      <c r="I27" s="34"/>
      <c r="J27" s="46">
        <f t="shared" si="0"/>
        <v>0</v>
      </c>
      <c r="K27" s="34"/>
      <c r="L27" s="60"/>
      <c r="M27" s="34"/>
      <c r="N27" s="34"/>
      <c r="O27" s="61"/>
      <c r="P27" s="61"/>
      <c r="Q27" s="34"/>
      <c r="R27" s="32"/>
      <c r="S27" s="66"/>
      <c r="T27" s="33"/>
      <c r="U27" s="33"/>
      <c r="V27" s="33"/>
      <c r="W27" s="46">
        <f t="shared" si="1"/>
        <v>0</v>
      </c>
      <c r="X27" s="32">
        <f t="shared" si="14"/>
        <v>0</v>
      </c>
      <c r="Y27" s="46"/>
      <c r="Z27" s="32">
        <f t="shared" si="16"/>
        <v>0</v>
      </c>
      <c r="AA27" s="32"/>
      <c r="AB27" s="32"/>
      <c r="AC27" s="46"/>
      <c r="AD27" s="50"/>
      <c r="AE27" s="51"/>
      <c r="AF27" s="47"/>
      <c r="AG27" s="35">
        <v>60590035118</v>
      </c>
      <c r="AH27" s="35"/>
    </row>
    <row r="28" spans="1:35" s="18" customFormat="1" ht="15.75">
      <c r="A28" s="71" t="s">
        <v>27</v>
      </c>
      <c r="B28" s="33" t="s">
        <v>137</v>
      </c>
      <c r="C28" s="33" t="s">
        <v>44</v>
      </c>
      <c r="D28" s="49">
        <v>42916</v>
      </c>
      <c r="E28" s="34">
        <v>1026.69</v>
      </c>
      <c r="F28" s="34">
        <v>685.6</v>
      </c>
      <c r="G28" s="34"/>
      <c r="H28" s="34"/>
      <c r="I28" s="34"/>
      <c r="J28" s="46">
        <f t="shared" si="0"/>
        <v>685.6</v>
      </c>
      <c r="K28" s="34"/>
      <c r="L28" s="60"/>
      <c r="M28" s="34"/>
      <c r="N28" s="34"/>
      <c r="O28" s="61"/>
      <c r="P28" s="61"/>
      <c r="Q28" s="34"/>
      <c r="R28" s="32"/>
      <c r="S28" s="66"/>
      <c r="T28" s="33"/>
      <c r="U28" s="33"/>
      <c r="V28" s="33">
        <v>300</v>
      </c>
      <c r="W28" s="46">
        <f t="shared" si="1"/>
        <v>385.6</v>
      </c>
      <c r="X28" s="32"/>
      <c r="Y28" s="46"/>
      <c r="Z28" s="32"/>
      <c r="AA28" s="32"/>
      <c r="AB28" s="32"/>
      <c r="AC28" s="46"/>
      <c r="AD28" s="50"/>
      <c r="AE28" s="51"/>
      <c r="AF28" s="47"/>
      <c r="AG28" s="35">
        <v>60584074827</v>
      </c>
      <c r="AH28" s="33"/>
    </row>
    <row r="29" spans="1:35" s="18" customFormat="1" ht="15.75">
      <c r="A29" s="71" t="s">
        <v>28</v>
      </c>
      <c r="B29" s="33" t="s">
        <v>129</v>
      </c>
      <c r="C29" s="33" t="s">
        <v>30</v>
      </c>
      <c r="D29" s="49">
        <v>41463</v>
      </c>
      <c r="E29" s="34">
        <v>1026.69</v>
      </c>
      <c r="F29" s="34">
        <v>2097.35</v>
      </c>
      <c r="G29" s="34"/>
      <c r="H29" s="34"/>
      <c r="I29" s="34"/>
      <c r="J29" s="46">
        <f t="shared" si="0"/>
        <v>2097.35</v>
      </c>
      <c r="K29" s="34"/>
      <c r="L29" s="60"/>
      <c r="M29" s="34"/>
      <c r="N29" s="34"/>
      <c r="O29" s="61"/>
      <c r="P29" s="61"/>
      <c r="Q29" s="34"/>
      <c r="R29" s="32"/>
      <c r="S29" s="66"/>
      <c r="T29" s="33"/>
      <c r="U29" s="33"/>
      <c r="V29" s="33"/>
      <c r="W29" s="46">
        <f t="shared" si="1"/>
        <v>2097.35</v>
      </c>
      <c r="X29" s="32">
        <f t="shared" si="14"/>
        <v>0</v>
      </c>
      <c r="Y29" s="46">
        <f t="shared" si="15"/>
        <v>2097.35</v>
      </c>
      <c r="Z29" s="32">
        <f t="shared" si="16"/>
        <v>209.73500000000001</v>
      </c>
      <c r="AA29" s="32">
        <v>20.23</v>
      </c>
      <c r="AB29" s="32">
        <f t="shared" si="17"/>
        <v>0</v>
      </c>
      <c r="AC29" s="46">
        <f t="shared" si="18"/>
        <v>2327.3150000000001</v>
      </c>
      <c r="AD29" s="50"/>
      <c r="AE29" s="51"/>
      <c r="AF29" s="47">
        <f>+AD29+AE29-Y29</f>
        <v>-2097.35</v>
      </c>
      <c r="AG29" s="35">
        <v>56708881457</v>
      </c>
      <c r="AH29" s="33"/>
    </row>
    <row r="30" spans="1:35" s="18" customFormat="1" ht="15.75">
      <c r="A30" s="71" t="s">
        <v>28</v>
      </c>
      <c r="B30" s="33" t="s">
        <v>176</v>
      </c>
      <c r="C30" s="33" t="s">
        <v>30</v>
      </c>
      <c r="D30" s="49">
        <v>43052</v>
      </c>
      <c r="E30" s="34">
        <v>1026.69</v>
      </c>
      <c r="F30" s="34">
        <v>14545.11</v>
      </c>
      <c r="G30" s="34"/>
      <c r="H30" s="34"/>
      <c r="I30" s="34"/>
      <c r="J30" s="46">
        <f t="shared" si="0"/>
        <v>14545.11</v>
      </c>
      <c r="K30" s="34"/>
      <c r="L30" s="60"/>
      <c r="M30" s="34"/>
      <c r="N30" s="34"/>
      <c r="O30" s="61"/>
      <c r="P30" s="61"/>
      <c r="Q30" s="34"/>
      <c r="R30" s="32"/>
      <c r="S30" s="66"/>
      <c r="T30" s="33"/>
      <c r="U30" s="33"/>
      <c r="V30" s="33"/>
      <c r="W30" s="46">
        <f t="shared" si="1"/>
        <v>14545.11</v>
      </c>
      <c r="X30" s="32"/>
      <c r="Y30" s="46"/>
      <c r="Z30" s="32"/>
      <c r="AA30" s="32"/>
      <c r="AB30" s="32"/>
      <c r="AC30" s="46"/>
      <c r="AD30" s="50"/>
      <c r="AE30" s="51"/>
      <c r="AF30" s="47"/>
      <c r="AG30" s="35">
        <v>60597082882</v>
      </c>
      <c r="AH30" s="33"/>
    </row>
    <row r="31" spans="1:35" s="18" customFormat="1" ht="15.75">
      <c r="A31" s="71" t="s">
        <v>26</v>
      </c>
      <c r="B31" s="33" t="s">
        <v>126</v>
      </c>
      <c r="C31" s="33" t="s">
        <v>91</v>
      </c>
      <c r="D31" s="49">
        <v>40618</v>
      </c>
      <c r="E31" s="34">
        <v>1633.31</v>
      </c>
      <c r="F31" s="34">
        <v>2759.84</v>
      </c>
      <c r="G31" s="34"/>
      <c r="H31" s="34"/>
      <c r="I31" s="34"/>
      <c r="J31" s="46">
        <f t="shared" si="0"/>
        <v>2759.84</v>
      </c>
      <c r="K31" s="34"/>
      <c r="L31" s="60"/>
      <c r="M31" s="34"/>
      <c r="N31" s="34"/>
      <c r="O31" s="61"/>
      <c r="P31" s="61"/>
      <c r="Q31" s="34"/>
      <c r="R31" s="32"/>
      <c r="S31" s="66"/>
      <c r="T31" s="33"/>
      <c r="U31" s="33"/>
      <c r="V31" s="33"/>
      <c r="W31" s="46">
        <f t="shared" ref="W31:W37" si="19">+J31-SUM(K31:V31)</f>
        <v>2759.84</v>
      </c>
      <c r="X31" s="32">
        <f t="shared" si="14"/>
        <v>275.98400000000004</v>
      </c>
      <c r="Y31" s="46">
        <f t="shared" si="15"/>
        <v>2483.8560000000002</v>
      </c>
      <c r="Z31" s="32">
        <f t="shared" si="16"/>
        <v>0</v>
      </c>
      <c r="AA31" s="32">
        <v>21.23</v>
      </c>
      <c r="AB31" s="32">
        <f t="shared" si="17"/>
        <v>0</v>
      </c>
      <c r="AC31" s="46">
        <f t="shared" si="18"/>
        <v>2781.07</v>
      </c>
      <c r="AD31" s="50"/>
      <c r="AE31" s="51"/>
      <c r="AF31" s="47"/>
      <c r="AG31" s="35">
        <v>56708845038</v>
      </c>
      <c r="AH31" s="33"/>
    </row>
    <row r="32" spans="1:35" s="18" customFormat="1" ht="15.75">
      <c r="A32" s="71" t="s">
        <v>28</v>
      </c>
      <c r="B32" s="33" t="s">
        <v>83</v>
      </c>
      <c r="C32" s="33" t="s">
        <v>30</v>
      </c>
      <c r="D32" s="49">
        <v>42296</v>
      </c>
      <c r="E32" s="34">
        <v>1026.69</v>
      </c>
      <c r="F32" s="34">
        <v>6770.48</v>
      </c>
      <c r="G32" s="34"/>
      <c r="H32" s="34"/>
      <c r="I32" s="34"/>
      <c r="J32" s="46">
        <f t="shared" si="0"/>
        <v>6770.48</v>
      </c>
      <c r="K32" s="34"/>
      <c r="L32" s="60"/>
      <c r="M32" s="34"/>
      <c r="N32" s="34"/>
      <c r="O32" s="61"/>
      <c r="P32" s="61"/>
      <c r="Q32" s="34"/>
      <c r="R32" s="32">
        <v>4381</v>
      </c>
      <c r="S32" s="66"/>
      <c r="T32" s="33"/>
      <c r="U32" s="33"/>
      <c r="V32" s="33">
        <v>829.9</v>
      </c>
      <c r="W32" s="46">
        <f t="shared" si="19"/>
        <v>1559.58</v>
      </c>
      <c r="X32" s="32">
        <f t="shared" si="14"/>
        <v>677.048</v>
      </c>
      <c r="Y32" s="46">
        <f t="shared" si="15"/>
        <v>882.53199999999993</v>
      </c>
      <c r="Z32" s="32">
        <f t="shared" si="16"/>
        <v>0</v>
      </c>
      <c r="AA32" s="32">
        <v>10.23</v>
      </c>
      <c r="AB32" s="32">
        <f t="shared" si="17"/>
        <v>0</v>
      </c>
      <c r="AC32" s="46">
        <f t="shared" si="18"/>
        <v>6780.7099999999991</v>
      </c>
      <c r="AD32" s="50"/>
      <c r="AE32" s="51"/>
      <c r="AF32" s="47">
        <f>+AD32+AE32-Y32</f>
        <v>-882.53199999999993</v>
      </c>
      <c r="AG32" s="35">
        <v>56708881460</v>
      </c>
      <c r="AH32" s="33"/>
    </row>
    <row r="33" spans="1:35" s="18" customFormat="1" ht="15.75">
      <c r="A33" s="71" t="s">
        <v>27</v>
      </c>
      <c r="B33" s="33" t="s">
        <v>139</v>
      </c>
      <c r="C33" s="33" t="s">
        <v>44</v>
      </c>
      <c r="D33" s="49">
        <v>42916</v>
      </c>
      <c r="E33" s="34">
        <v>1026.69</v>
      </c>
      <c r="F33" s="34">
        <v>4864.5200000000004</v>
      </c>
      <c r="G33" s="34"/>
      <c r="H33" s="34"/>
      <c r="I33" s="34"/>
      <c r="J33" s="46">
        <f t="shared" si="0"/>
        <v>4864.5200000000004</v>
      </c>
      <c r="K33" s="34"/>
      <c r="L33" s="60"/>
      <c r="M33" s="34"/>
      <c r="N33" s="34"/>
      <c r="O33" s="61"/>
      <c r="P33" s="61"/>
      <c r="Q33" s="34"/>
      <c r="R33" s="32"/>
      <c r="S33" s="66"/>
      <c r="T33" s="33"/>
      <c r="U33" s="33"/>
      <c r="V33" s="33"/>
      <c r="W33" s="46">
        <f t="shared" si="19"/>
        <v>4864.5200000000004</v>
      </c>
      <c r="X33" s="32"/>
      <c r="Y33" s="46"/>
      <c r="Z33" s="32"/>
      <c r="AA33" s="32"/>
      <c r="AB33" s="32"/>
      <c r="AC33" s="46"/>
      <c r="AD33" s="50"/>
      <c r="AE33" s="51"/>
      <c r="AF33" s="47"/>
      <c r="AG33" s="35">
        <v>60592636121</v>
      </c>
      <c r="AH33" s="33"/>
    </row>
    <row r="34" spans="1:35" s="18" customFormat="1" ht="15.75">
      <c r="A34" s="71" t="s">
        <v>28</v>
      </c>
      <c r="B34" s="33" t="s">
        <v>173</v>
      </c>
      <c r="C34" s="33" t="s">
        <v>172</v>
      </c>
      <c r="D34" s="49">
        <v>43035</v>
      </c>
      <c r="E34" s="34">
        <v>1400</v>
      </c>
      <c r="F34" s="34">
        <v>696.34</v>
      </c>
      <c r="G34" s="34"/>
      <c r="H34" s="34"/>
      <c r="I34" s="34"/>
      <c r="J34" s="46">
        <f t="shared" si="0"/>
        <v>696.34</v>
      </c>
      <c r="K34" s="34"/>
      <c r="L34" s="60">
        <v>2</v>
      </c>
      <c r="M34" s="34"/>
      <c r="N34" s="34"/>
      <c r="O34" s="61"/>
      <c r="P34" s="61"/>
      <c r="Q34" s="34"/>
      <c r="R34" s="32"/>
      <c r="S34" s="66"/>
      <c r="T34" s="33"/>
      <c r="U34" s="33"/>
      <c r="V34" s="33"/>
      <c r="W34" s="46"/>
      <c r="X34" s="32"/>
      <c r="Y34" s="46"/>
      <c r="Z34" s="32"/>
      <c r="AA34" s="32"/>
      <c r="AB34" s="32"/>
      <c r="AC34" s="46"/>
      <c r="AD34" s="50"/>
      <c r="AE34" s="51"/>
      <c r="AF34" s="47"/>
      <c r="AG34" s="35">
        <v>60596635649</v>
      </c>
      <c r="AH34" s="33"/>
    </row>
    <row r="35" spans="1:35" s="18" customFormat="1" ht="15.75">
      <c r="A35" s="71" t="s">
        <v>37</v>
      </c>
      <c r="B35" s="33" t="s">
        <v>151</v>
      </c>
      <c r="C35" s="33" t="s">
        <v>29</v>
      </c>
      <c r="D35" s="49">
        <v>42978</v>
      </c>
      <c r="E35" s="34">
        <v>1166.6199999999999</v>
      </c>
      <c r="F35" s="34">
        <v>2781.3</v>
      </c>
      <c r="G35" s="34"/>
      <c r="H35" s="34"/>
      <c r="I35" s="34"/>
      <c r="J35" s="46">
        <f t="shared" si="0"/>
        <v>2781.3</v>
      </c>
      <c r="K35" s="34"/>
      <c r="L35" s="60"/>
      <c r="M35" s="34"/>
      <c r="N35" s="34"/>
      <c r="O35" s="61"/>
      <c r="P35" s="61"/>
      <c r="Q35" s="34"/>
      <c r="R35" s="32"/>
      <c r="S35" s="66"/>
      <c r="T35" s="33"/>
      <c r="U35" s="33"/>
      <c r="V35" s="33"/>
      <c r="W35" s="46">
        <f t="shared" si="19"/>
        <v>2781.3</v>
      </c>
      <c r="X35" s="32"/>
      <c r="Y35" s="46"/>
      <c r="Z35" s="32"/>
      <c r="AA35" s="32"/>
      <c r="AB35" s="32"/>
      <c r="AC35" s="46"/>
      <c r="AD35" s="50"/>
      <c r="AE35" s="51"/>
      <c r="AF35" s="47"/>
      <c r="AG35" s="35">
        <v>60594750506</v>
      </c>
      <c r="AH35" s="33"/>
    </row>
    <row r="36" spans="1:35" s="18" customFormat="1" ht="15.75">
      <c r="A36" s="71" t="s">
        <v>28</v>
      </c>
      <c r="B36" s="33" t="s">
        <v>178</v>
      </c>
      <c r="C36" s="33" t="s">
        <v>179</v>
      </c>
      <c r="D36" s="49">
        <v>43063</v>
      </c>
      <c r="E36" s="34">
        <v>2333.31</v>
      </c>
      <c r="F36" s="34"/>
      <c r="G36" s="34"/>
      <c r="H36" s="34"/>
      <c r="I36" s="34"/>
      <c r="J36" s="46">
        <f t="shared" si="0"/>
        <v>0</v>
      </c>
      <c r="K36" s="34"/>
      <c r="L36" s="60"/>
      <c r="M36" s="34"/>
      <c r="N36" s="34"/>
      <c r="O36" s="61"/>
      <c r="P36" s="61"/>
      <c r="Q36" s="34"/>
      <c r="R36" s="32"/>
      <c r="S36" s="66"/>
      <c r="T36" s="33"/>
      <c r="U36" s="33"/>
      <c r="V36" s="33"/>
      <c r="W36" s="46">
        <f t="shared" si="19"/>
        <v>0</v>
      </c>
      <c r="X36" s="32"/>
      <c r="Y36" s="46"/>
      <c r="Z36" s="32"/>
      <c r="AA36" s="32"/>
      <c r="AB36" s="32"/>
      <c r="AC36" s="46"/>
      <c r="AD36" s="50"/>
      <c r="AE36" s="51"/>
      <c r="AF36" s="47"/>
      <c r="AG36" s="35">
        <v>56701660014</v>
      </c>
      <c r="AH36" s="33"/>
    </row>
    <row r="37" spans="1:35" s="18" customFormat="1">
      <c r="A37" s="71" t="s">
        <v>28</v>
      </c>
      <c r="B37" s="33" t="s">
        <v>86</v>
      </c>
      <c r="C37" s="33" t="s">
        <v>30</v>
      </c>
      <c r="D37" s="49">
        <v>37834</v>
      </c>
      <c r="E37" s="34">
        <v>1026.69</v>
      </c>
      <c r="F37" s="34"/>
      <c r="G37" s="34"/>
      <c r="H37" s="34"/>
      <c r="I37" s="34"/>
      <c r="J37" s="46">
        <f t="shared" si="0"/>
        <v>0</v>
      </c>
      <c r="K37" s="34"/>
      <c r="L37" s="60"/>
      <c r="M37" s="34"/>
      <c r="N37" s="34"/>
      <c r="O37" s="61"/>
      <c r="P37" s="61"/>
      <c r="Q37" s="34"/>
      <c r="R37" s="32"/>
      <c r="S37" s="32"/>
      <c r="T37" s="33"/>
      <c r="U37" s="33"/>
      <c r="V37" s="33"/>
      <c r="W37" s="46">
        <f t="shared" si="19"/>
        <v>0</v>
      </c>
      <c r="X37" s="32">
        <f t="shared" si="14"/>
        <v>0</v>
      </c>
      <c r="Y37" s="46">
        <f t="shared" si="15"/>
        <v>0</v>
      </c>
      <c r="Z37" s="32">
        <f t="shared" si="16"/>
        <v>0</v>
      </c>
      <c r="AA37" s="32">
        <v>10.23</v>
      </c>
      <c r="AB37" s="32">
        <f t="shared" si="17"/>
        <v>0</v>
      </c>
      <c r="AC37" s="46">
        <f t="shared" si="18"/>
        <v>10.23</v>
      </c>
      <c r="AD37" s="50"/>
      <c r="AE37" s="51"/>
      <c r="AF37" s="47">
        <f t="shared" ref="AF37" si="20">+AD37+AE37-Y37</f>
        <v>0</v>
      </c>
      <c r="AG37" s="35">
        <v>56708881503</v>
      </c>
      <c r="AH37" s="35"/>
    </row>
    <row r="38" spans="1:35" s="18" customFormat="1">
      <c r="A38" s="71" t="s">
        <v>28</v>
      </c>
      <c r="B38" s="33" t="s">
        <v>76</v>
      </c>
      <c r="C38" s="33" t="s">
        <v>43</v>
      </c>
      <c r="D38" s="49">
        <v>40813</v>
      </c>
      <c r="E38" s="34">
        <v>1869</v>
      </c>
      <c r="F38" s="63"/>
      <c r="G38" s="63"/>
      <c r="H38" s="34"/>
      <c r="I38" s="34"/>
      <c r="J38" s="46">
        <f t="shared" si="0"/>
        <v>0</v>
      </c>
      <c r="K38" s="34"/>
      <c r="L38" s="60"/>
      <c r="M38" s="34"/>
      <c r="N38" s="34"/>
      <c r="O38" s="61"/>
      <c r="P38" s="61"/>
      <c r="Q38" s="34"/>
      <c r="R38" s="32"/>
      <c r="S38" s="32"/>
      <c r="T38" s="48"/>
      <c r="U38" s="48"/>
      <c r="V38" s="48"/>
      <c r="W38" s="46">
        <f t="shared" ref="W38:W50" si="21">+J38-SUM(K38:V38)</f>
        <v>0</v>
      </c>
      <c r="X38" s="32">
        <f t="shared" ref="X38" si="22">+W38*0.05</f>
        <v>0</v>
      </c>
      <c r="Y38" s="46">
        <f t="shared" ref="Y38" si="23">+W38-R38-V38</f>
        <v>0</v>
      </c>
      <c r="Z38" s="32">
        <f t="shared" ref="Z38" si="24">IF(W38&lt;3000,W38*0.1,0)</f>
        <v>0</v>
      </c>
      <c r="AA38" s="32"/>
      <c r="AB38" s="32"/>
      <c r="AC38" s="46">
        <f t="shared" ref="AC38" si="25">+W38+Z38+AA38</f>
        <v>0</v>
      </c>
      <c r="AD38" s="50"/>
      <c r="AE38" s="51"/>
      <c r="AF38" s="47"/>
      <c r="AG38" s="35">
        <v>60589552237</v>
      </c>
      <c r="AH38" s="35"/>
    </row>
    <row r="39" spans="1:35" s="18" customFormat="1">
      <c r="A39" s="71" t="s">
        <v>27</v>
      </c>
      <c r="B39" s="33" t="s">
        <v>140</v>
      </c>
      <c r="C39" s="33" t="s">
        <v>30</v>
      </c>
      <c r="D39" s="49">
        <v>42852</v>
      </c>
      <c r="E39" s="34">
        <v>1026.69</v>
      </c>
      <c r="F39" s="34">
        <v>6000</v>
      </c>
      <c r="G39" s="34"/>
      <c r="H39" s="34"/>
      <c r="I39" s="34"/>
      <c r="J39" s="46">
        <f t="shared" si="0"/>
        <v>6000</v>
      </c>
      <c r="K39" s="34"/>
      <c r="L39" s="60"/>
      <c r="M39" s="34"/>
      <c r="N39" s="34"/>
      <c r="O39" s="61"/>
      <c r="P39" s="61"/>
      <c r="Q39" s="34"/>
      <c r="R39" s="32"/>
      <c r="S39" s="32"/>
      <c r="T39" s="48"/>
      <c r="U39" s="48"/>
      <c r="V39" s="48"/>
      <c r="W39" s="46">
        <f t="shared" si="21"/>
        <v>6000</v>
      </c>
      <c r="X39" s="32"/>
      <c r="Y39" s="46"/>
      <c r="Z39" s="32"/>
      <c r="AA39" s="32"/>
      <c r="AB39" s="32"/>
      <c r="AC39" s="46"/>
      <c r="AD39" s="50"/>
      <c r="AE39" s="51"/>
      <c r="AF39" s="47"/>
      <c r="AG39" s="35">
        <v>60590678030</v>
      </c>
      <c r="AH39" s="35"/>
    </row>
    <row r="40" spans="1:35" s="18" customFormat="1">
      <c r="A40" s="71" t="s">
        <v>27</v>
      </c>
      <c r="B40" s="33" t="s">
        <v>112</v>
      </c>
      <c r="C40" s="33" t="s">
        <v>134</v>
      </c>
      <c r="D40" s="49">
        <v>42644</v>
      </c>
      <c r="E40" s="34">
        <v>1633.38</v>
      </c>
      <c r="F40" s="34"/>
      <c r="G40" s="34"/>
      <c r="H40" s="34"/>
      <c r="I40" s="34"/>
      <c r="J40" s="46">
        <f t="shared" si="0"/>
        <v>0</v>
      </c>
      <c r="K40" s="34"/>
      <c r="L40" s="60"/>
      <c r="M40" s="34"/>
      <c r="N40" s="34"/>
      <c r="O40" s="61"/>
      <c r="P40" s="61"/>
      <c r="Q40" s="34"/>
      <c r="R40" s="32">
        <v>845.43</v>
      </c>
      <c r="S40" s="32"/>
      <c r="T40" s="48"/>
      <c r="U40" s="48"/>
      <c r="V40" s="48"/>
      <c r="W40" s="46">
        <f t="shared" si="21"/>
        <v>-845.43</v>
      </c>
      <c r="X40" s="32">
        <f t="shared" ref="X40" si="26">IF(J40&gt;2250,J40*0.1,0)</f>
        <v>0</v>
      </c>
      <c r="Y40" s="46">
        <f t="shared" ref="Y40" si="27">+W40-X40</f>
        <v>-845.43</v>
      </c>
      <c r="Z40" s="32"/>
      <c r="AA40" s="32"/>
      <c r="AB40" s="32"/>
      <c r="AC40" s="46"/>
      <c r="AD40" s="50"/>
      <c r="AE40" s="51"/>
      <c r="AF40" s="47"/>
      <c r="AG40" s="35">
        <v>56708845530</v>
      </c>
      <c r="AH40" s="35"/>
    </row>
    <row r="41" spans="1:35" s="18" customFormat="1">
      <c r="A41" s="71" t="s">
        <v>26</v>
      </c>
      <c r="B41" s="33" t="s">
        <v>155</v>
      </c>
      <c r="C41" s="33" t="s">
        <v>29</v>
      </c>
      <c r="D41" s="49">
        <v>42991</v>
      </c>
      <c r="E41" s="34">
        <v>1166.6199999999999</v>
      </c>
      <c r="F41" s="34">
        <v>1535.48</v>
      </c>
      <c r="G41" s="34"/>
      <c r="H41" s="34"/>
      <c r="I41" s="34"/>
      <c r="J41" s="46">
        <f t="shared" si="0"/>
        <v>1535.48</v>
      </c>
      <c r="K41" s="34"/>
      <c r="L41" s="60"/>
      <c r="M41" s="34"/>
      <c r="N41" s="34"/>
      <c r="O41" s="61"/>
      <c r="P41" s="61"/>
      <c r="Q41" s="34"/>
      <c r="R41" s="32"/>
      <c r="S41" s="32"/>
      <c r="T41" s="33"/>
      <c r="U41" s="33"/>
      <c r="V41" s="33"/>
      <c r="W41" s="46"/>
      <c r="X41" s="32"/>
      <c r="Y41" s="46"/>
      <c r="Z41" s="32"/>
      <c r="AA41" s="32"/>
      <c r="AB41" s="32"/>
      <c r="AC41" s="46"/>
      <c r="AD41" s="50"/>
      <c r="AE41" s="51"/>
      <c r="AF41" s="47"/>
      <c r="AG41" s="35">
        <v>1168500843</v>
      </c>
      <c r="AH41" s="33"/>
      <c r="AI41" s="18" t="s">
        <v>124</v>
      </c>
    </row>
    <row r="42" spans="1:35" s="18" customFormat="1">
      <c r="A42" s="71" t="s">
        <v>28</v>
      </c>
      <c r="B42" s="33" t="s">
        <v>150</v>
      </c>
      <c r="C42" s="33" t="s">
        <v>30</v>
      </c>
      <c r="D42" s="49">
        <v>42961</v>
      </c>
      <c r="E42" s="34">
        <v>1022.56</v>
      </c>
      <c r="F42" s="34">
        <v>13519.46</v>
      </c>
      <c r="G42" s="34"/>
      <c r="H42" s="34"/>
      <c r="I42" s="34"/>
      <c r="J42" s="46">
        <f t="shared" si="0"/>
        <v>13519.46</v>
      </c>
      <c r="K42" s="34"/>
      <c r="L42" s="60"/>
      <c r="M42" s="34"/>
      <c r="N42" s="34"/>
      <c r="O42" s="61"/>
      <c r="P42" s="61"/>
      <c r="Q42" s="34"/>
      <c r="R42" s="32"/>
      <c r="S42" s="32"/>
      <c r="T42" s="48"/>
      <c r="U42" s="48"/>
      <c r="V42" s="48"/>
      <c r="W42" s="46">
        <f t="shared" si="21"/>
        <v>13519.46</v>
      </c>
      <c r="X42" s="32"/>
      <c r="Y42" s="46"/>
      <c r="Z42" s="32"/>
      <c r="AA42" s="32"/>
      <c r="AB42" s="32"/>
      <c r="AC42" s="46"/>
      <c r="AD42" s="50"/>
      <c r="AE42" s="51"/>
      <c r="AF42" s="47"/>
      <c r="AG42" s="35">
        <v>60589665774</v>
      </c>
      <c r="AH42" s="35"/>
    </row>
    <row r="43" spans="1:35" s="18" customFormat="1">
      <c r="A43" s="71" t="s">
        <v>28</v>
      </c>
      <c r="B43" s="33" t="s">
        <v>141</v>
      </c>
      <c r="C43" s="33" t="s">
        <v>30</v>
      </c>
      <c r="D43" s="49">
        <v>42380</v>
      </c>
      <c r="E43" s="34">
        <v>1022.56</v>
      </c>
      <c r="F43" s="34">
        <v>17096.919999999998</v>
      </c>
      <c r="G43" s="34"/>
      <c r="H43" s="34"/>
      <c r="I43" s="34"/>
      <c r="J43" s="46">
        <f t="shared" si="0"/>
        <v>17096.919999999998</v>
      </c>
      <c r="K43" s="34"/>
      <c r="L43" s="60"/>
      <c r="M43" s="34"/>
      <c r="N43" s="34"/>
      <c r="O43" s="61"/>
      <c r="P43" s="61"/>
      <c r="Q43" s="34"/>
      <c r="R43" s="32">
        <v>260</v>
      </c>
      <c r="S43" s="32"/>
      <c r="T43" s="33"/>
      <c r="U43" s="33"/>
      <c r="V43" s="33"/>
      <c r="W43" s="46">
        <f t="shared" si="21"/>
        <v>16836.919999999998</v>
      </c>
      <c r="X43" s="32"/>
      <c r="Y43" s="46"/>
      <c r="Z43" s="32"/>
      <c r="AA43" s="32"/>
      <c r="AB43" s="32"/>
      <c r="AC43" s="46"/>
      <c r="AD43" s="50"/>
      <c r="AE43" s="51"/>
      <c r="AF43" s="47"/>
      <c r="AG43" s="35">
        <v>56708881702</v>
      </c>
      <c r="AH43" s="33"/>
    </row>
    <row r="44" spans="1:35" s="18" customFormat="1">
      <c r="A44" s="71" t="s">
        <v>39</v>
      </c>
      <c r="B44" s="33" t="s">
        <v>133</v>
      </c>
      <c r="C44" s="33" t="s">
        <v>43</v>
      </c>
      <c r="D44" s="49">
        <v>42891</v>
      </c>
      <c r="E44" s="34">
        <v>1633.31</v>
      </c>
      <c r="F44" s="34"/>
      <c r="G44" s="34"/>
      <c r="H44" s="34"/>
      <c r="I44" s="34"/>
      <c r="J44" s="46">
        <f t="shared" si="0"/>
        <v>0</v>
      </c>
      <c r="K44" s="34"/>
      <c r="L44" s="60"/>
      <c r="M44" s="34"/>
      <c r="N44" s="34"/>
      <c r="O44" s="61"/>
      <c r="P44" s="61"/>
      <c r="Q44" s="34"/>
      <c r="R44" s="32"/>
      <c r="S44" s="32"/>
      <c r="T44" s="33"/>
      <c r="U44" s="33"/>
      <c r="V44" s="33"/>
      <c r="W44" s="46">
        <f t="shared" si="21"/>
        <v>0</v>
      </c>
      <c r="X44" s="32"/>
      <c r="Y44" s="46"/>
      <c r="Z44" s="32"/>
      <c r="AA44" s="32"/>
      <c r="AB44" s="32"/>
      <c r="AC44" s="46"/>
      <c r="AD44" s="50"/>
      <c r="AE44" s="51"/>
      <c r="AF44" s="47"/>
      <c r="AG44" s="35">
        <v>60590340221</v>
      </c>
      <c r="AH44" s="35"/>
    </row>
    <row r="45" spans="1:35" s="18" customFormat="1">
      <c r="A45" s="71" t="s">
        <v>37</v>
      </c>
      <c r="B45" s="33" t="s">
        <v>89</v>
      </c>
      <c r="C45" s="33" t="s">
        <v>29</v>
      </c>
      <c r="D45" s="49">
        <v>42506</v>
      </c>
      <c r="E45" s="34">
        <v>1166.27</v>
      </c>
      <c r="F45" s="34">
        <v>2602.5300000000002</v>
      </c>
      <c r="G45" s="34"/>
      <c r="H45" s="34"/>
      <c r="I45" s="34"/>
      <c r="J45" s="46">
        <f t="shared" si="0"/>
        <v>2602.5300000000002</v>
      </c>
      <c r="K45" s="34"/>
      <c r="L45" s="60"/>
      <c r="M45" s="34"/>
      <c r="N45" s="34"/>
      <c r="O45" s="61"/>
      <c r="P45" s="61"/>
      <c r="Q45" s="34"/>
      <c r="R45" s="32"/>
      <c r="S45" s="32"/>
      <c r="T45" s="33"/>
      <c r="U45" s="33"/>
      <c r="V45" s="33"/>
      <c r="W45" s="46">
        <f t="shared" si="21"/>
        <v>2602.5300000000002</v>
      </c>
      <c r="X45" s="32">
        <f t="shared" si="14"/>
        <v>260.25300000000004</v>
      </c>
      <c r="Y45" s="46">
        <f t="shared" si="15"/>
        <v>2342.277</v>
      </c>
      <c r="Z45" s="32">
        <f t="shared" si="16"/>
        <v>0</v>
      </c>
      <c r="AA45" s="32">
        <v>10.23</v>
      </c>
      <c r="AB45" s="32">
        <f t="shared" si="17"/>
        <v>0</v>
      </c>
      <c r="AC45" s="46">
        <f t="shared" si="18"/>
        <v>2612.7600000000002</v>
      </c>
      <c r="AD45" s="50"/>
      <c r="AE45" s="50"/>
      <c r="AF45" s="47">
        <f t="shared" ref="AF45" si="28">+AD45+AE45-Y45</f>
        <v>-2342.277</v>
      </c>
      <c r="AG45" s="35">
        <v>56708881551</v>
      </c>
      <c r="AH45" s="35"/>
    </row>
    <row r="46" spans="1:35" s="18" customFormat="1" ht="15.75">
      <c r="A46" s="71" t="s">
        <v>37</v>
      </c>
      <c r="B46" s="33" t="s">
        <v>156</v>
      </c>
      <c r="C46" s="33" t="s">
        <v>29</v>
      </c>
      <c r="D46" s="49">
        <v>43006</v>
      </c>
      <c r="E46" s="34">
        <v>1166.6199999999999</v>
      </c>
      <c r="F46" s="34">
        <v>2547.96</v>
      </c>
      <c r="G46" s="34"/>
      <c r="H46" s="34"/>
      <c r="I46" s="34"/>
      <c r="J46" s="46">
        <f t="shared" si="0"/>
        <v>2547.96</v>
      </c>
      <c r="K46" s="34"/>
      <c r="L46" s="60"/>
      <c r="M46" s="34"/>
      <c r="N46" s="34"/>
      <c r="O46" s="61"/>
      <c r="P46" s="61"/>
      <c r="Q46" s="34"/>
      <c r="R46" s="32"/>
      <c r="S46" s="66"/>
      <c r="T46" s="33"/>
      <c r="U46" s="33"/>
      <c r="V46" s="33"/>
      <c r="W46" s="46">
        <f t="shared" si="21"/>
        <v>2547.96</v>
      </c>
      <c r="X46" s="32"/>
      <c r="Y46" s="46"/>
      <c r="Z46" s="32"/>
      <c r="AA46" s="32"/>
      <c r="AB46" s="32"/>
      <c r="AC46" s="46"/>
      <c r="AD46" s="50"/>
      <c r="AE46" s="51"/>
      <c r="AF46" s="47"/>
      <c r="AG46" s="35">
        <v>60595911850</v>
      </c>
      <c r="AH46" s="33"/>
    </row>
    <row r="47" spans="1:35" s="18" customFormat="1" ht="15.75">
      <c r="A47" s="71" t="s">
        <v>28</v>
      </c>
      <c r="B47" s="33" t="s">
        <v>188</v>
      </c>
      <c r="C47" s="33" t="s">
        <v>30</v>
      </c>
      <c r="D47" s="49">
        <v>43102</v>
      </c>
      <c r="E47" s="34">
        <v>1026.69</v>
      </c>
      <c r="F47" s="34"/>
      <c r="G47" s="34"/>
      <c r="H47" s="34"/>
      <c r="I47" s="34"/>
      <c r="J47" s="46">
        <f t="shared" si="0"/>
        <v>0</v>
      </c>
      <c r="K47" s="34"/>
      <c r="L47" s="60"/>
      <c r="M47" s="34"/>
      <c r="N47" s="34"/>
      <c r="O47" s="61"/>
      <c r="P47" s="61"/>
      <c r="Q47" s="34"/>
      <c r="R47" s="32"/>
      <c r="S47" s="66"/>
      <c r="T47" s="33"/>
      <c r="U47" s="33"/>
      <c r="V47" s="33"/>
      <c r="W47" s="46">
        <f t="shared" si="21"/>
        <v>0</v>
      </c>
      <c r="X47" s="32"/>
      <c r="Y47" s="46"/>
      <c r="Z47" s="32"/>
      <c r="AA47" s="32"/>
      <c r="AB47" s="32"/>
      <c r="AC47" s="46"/>
      <c r="AD47" s="50"/>
      <c r="AE47" s="51"/>
      <c r="AF47" s="47"/>
      <c r="AG47" s="35">
        <v>60598176025</v>
      </c>
      <c r="AH47" s="33"/>
    </row>
    <row r="48" spans="1:35" s="83" customFormat="1" ht="15.75">
      <c r="A48" s="64" t="s">
        <v>28</v>
      </c>
      <c r="B48" s="64" t="s">
        <v>183</v>
      </c>
      <c r="C48" s="64" t="s">
        <v>172</v>
      </c>
      <c r="D48" s="74">
        <v>43074</v>
      </c>
      <c r="E48" s="75">
        <v>1400</v>
      </c>
      <c r="F48" s="75"/>
      <c r="G48" s="75"/>
      <c r="H48" s="75"/>
      <c r="I48" s="75"/>
      <c r="J48" s="53">
        <f t="shared" si="0"/>
        <v>0</v>
      </c>
      <c r="K48" s="75"/>
      <c r="L48" s="76"/>
      <c r="M48" s="75"/>
      <c r="N48" s="75"/>
      <c r="O48" s="77"/>
      <c r="P48" s="77"/>
      <c r="Q48" s="75"/>
      <c r="R48" s="54"/>
      <c r="S48" s="78"/>
      <c r="T48" s="64"/>
      <c r="U48" s="64"/>
      <c r="V48" s="64"/>
      <c r="W48" s="53">
        <f t="shared" si="21"/>
        <v>0</v>
      </c>
      <c r="X48" s="54"/>
      <c r="Y48" s="53"/>
      <c r="Z48" s="54"/>
      <c r="AA48" s="54"/>
      <c r="AB48" s="54"/>
      <c r="AC48" s="53"/>
      <c r="AD48" s="79"/>
      <c r="AE48" s="80"/>
      <c r="AF48" s="81"/>
      <c r="AG48" s="82">
        <v>60568120718</v>
      </c>
      <c r="AH48" s="64" t="s">
        <v>198</v>
      </c>
    </row>
    <row r="49" spans="1:35" s="18" customFormat="1">
      <c r="A49" s="71" t="s">
        <v>37</v>
      </c>
      <c r="B49" s="33" t="s">
        <v>66</v>
      </c>
      <c r="C49" s="33" t="s">
        <v>43</v>
      </c>
      <c r="D49" s="49">
        <v>42321</v>
      </c>
      <c r="E49" s="34">
        <v>1869</v>
      </c>
      <c r="F49" s="63"/>
      <c r="G49" s="63"/>
      <c r="H49" s="34"/>
      <c r="I49" s="34"/>
      <c r="J49" s="46">
        <f t="shared" si="0"/>
        <v>0</v>
      </c>
      <c r="K49" s="34"/>
      <c r="L49" s="60"/>
      <c r="M49" s="34"/>
      <c r="N49" s="34"/>
      <c r="O49" s="61"/>
      <c r="P49" s="61"/>
      <c r="Q49" s="34"/>
      <c r="R49" s="32"/>
      <c r="S49" s="32"/>
      <c r="T49" s="33"/>
      <c r="U49" s="33"/>
      <c r="V49" s="33"/>
      <c r="W49" s="46">
        <f t="shared" si="21"/>
        <v>0</v>
      </c>
      <c r="X49" s="32">
        <f t="shared" ref="X49:X52" si="29">IF(J49&gt;2250,J49*0.1,0)</f>
        <v>0</v>
      </c>
      <c r="Y49" s="46">
        <f t="shared" ref="Y49:Y60" si="30">+W49-X49</f>
        <v>0</v>
      </c>
      <c r="Z49" s="32">
        <f t="shared" ref="Z49:Z60" si="31">IF(J49&lt;2250,J49*0.1,0)</f>
        <v>0</v>
      </c>
      <c r="AA49" s="32">
        <v>10.23</v>
      </c>
      <c r="AB49" s="32">
        <f t="shared" ref="AB49:AB60" si="32">+O49</f>
        <v>0</v>
      </c>
      <c r="AC49" s="46">
        <f t="shared" ref="AC49:AC60" si="33">+J49+Z49+AA49+AB49</f>
        <v>10.23</v>
      </c>
      <c r="AD49" s="50"/>
      <c r="AE49" s="51"/>
      <c r="AF49" s="47">
        <f t="shared" ref="AF49:AF52" si="34">+AD49+AE49-Y49</f>
        <v>0</v>
      </c>
      <c r="AG49" s="35">
        <v>56708845240</v>
      </c>
      <c r="AH49" s="35"/>
    </row>
    <row r="50" spans="1:35" s="18" customFormat="1">
      <c r="A50" s="71" t="s">
        <v>37</v>
      </c>
      <c r="B50" s="33" t="s">
        <v>107</v>
      </c>
      <c r="C50" s="33" t="s">
        <v>91</v>
      </c>
      <c r="D50" s="49">
        <v>42646</v>
      </c>
      <c r="E50" s="34">
        <v>1166.27</v>
      </c>
      <c r="F50" s="34">
        <v>1959.76</v>
      </c>
      <c r="G50" s="34"/>
      <c r="H50" s="34"/>
      <c r="I50" s="34"/>
      <c r="J50" s="46">
        <f t="shared" si="0"/>
        <v>1959.76</v>
      </c>
      <c r="K50" s="34"/>
      <c r="L50" s="60"/>
      <c r="M50" s="34"/>
      <c r="N50" s="34"/>
      <c r="O50" s="61"/>
      <c r="P50" s="61"/>
      <c r="Q50" s="34"/>
      <c r="R50" s="32"/>
      <c r="S50" s="32"/>
      <c r="T50" s="33"/>
      <c r="U50" s="33"/>
      <c r="V50" s="33"/>
      <c r="W50" s="46">
        <f t="shared" si="21"/>
        <v>1959.76</v>
      </c>
      <c r="X50" s="32">
        <f t="shared" ref="X50" si="35">IF(J50&gt;2250,J50*0.1,0)</f>
        <v>0</v>
      </c>
      <c r="Y50" s="46">
        <f t="shared" ref="Y50" si="36">+W50-X50</f>
        <v>1959.76</v>
      </c>
      <c r="Z50" s="32"/>
      <c r="AA50" s="32"/>
      <c r="AB50" s="32"/>
      <c r="AC50" s="46"/>
      <c r="AD50" s="50"/>
      <c r="AE50" s="51"/>
      <c r="AF50" s="47"/>
      <c r="AG50" s="35">
        <v>56708881582</v>
      </c>
      <c r="AH50" s="35"/>
    </row>
    <row r="51" spans="1:35" s="18" customFormat="1">
      <c r="A51" s="71" t="s">
        <v>37</v>
      </c>
      <c r="B51" s="33" t="s">
        <v>145</v>
      </c>
      <c r="C51" s="33" t="s">
        <v>29</v>
      </c>
      <c r="D51" s="49">
        <v>42065</v>
      </c>
      <c r="E51" s="34">
        <v>1166.27</v>
      </c>
      <c r="F51" s="34">
        <v>3109.98</v>
      </c>
      <c r="G51" s="34"/>
      <c r="H51" s="34"/>
      <c r="I51" s="34"/>
      <c r="J51" s="46">
        <f t="shared" si="0"/>
        <v>3109.98</v>
      </c>
      <c r="K51" s="34"/>
      <c r="L51" s="60"/>
      <c r="M51" s="34"/>
      <c r="N51" s="34"/>
      <c r="O51" s="61"/>
      <c r="P51" s="61"/>
      <c r="Q51" s="34"/>
      <c r="R51" s="32"/>
      <c r="S51" s="32"/>
      <c r="T51" s="33"/>
      <c r="U51" s="33"/>
      <c r="V51" s="33"/>
      <c r="W51" s="46">
        <f t="shared" ref="W51:W60" si="37">+J51-SUM(K51:V51)</f>
        <v>3109.98</v>
      </c>
      <c r="X51" s="32">
        <f t="shared" si="29"/>
        <v>310.99800000000005</v>
      </c>
      <c r="Y51" s="46">
        <f t="shared" si="30"/>
        <v>2798.982</v>
      </c>
      <c r="Z51" s="32">
        <f t="shared" si="31"/>
        <v>0</v>
      </c>
      <c r="AA51" s="32">
        <v>10.23</v>
      </c>
      <c r="AB51" s="32">
        <f t="shared" si="32"/>
        <v>0</v>
      </c>
      <c r="AC51" s="46">
        <f t="shared" si="33"/>
        <v>3120.21</v>
      </c>
      <c r="AD51" s="50"/>
      <c r="AE51" s="51"/>
      <c r="AF51" s="47">
        <f t="shared" si="34"/>
        <v>-2798.982</v>
      </c>
      <c r="AG51" s="35">
        <v>56708845254</v>
      </c>
      <c r="AH51" s="35"/>
    </row>
    <row r="52" spans="1:35" s="18" customFormat="1">
      <c r="A52" s="71" t="s">
        <v>28</v>
      </c>
      <c r="B52" s="33" t="s">
        <v>36</v>
      </c>
      <c r="C52" s="33" t="s">
        <v>30</v>
      </c>
      <c r="D52" s="49">
        <v>41218</v>
      </c>
      <c r="E52" s="34">
        <v>1026.69</v>
      </c>
      <c r="F52" s="34">
        <v>1824.62</v>
      </c>
      <c r="G52" s="34"/>
      <c r="H52" s="34"/>
      <c r="I52" s="34"/>
      <c r="J52" s="46">
        <f t="shared" si="0"/>
        <v>1824.62</v>
      </c>
      <c r="K52" s="34"/>
      <c r="L52" s="60"/>
      <c r="M52" s="34"/>
      <c r="N52" s="34"/>
      <c r="O52" s="61"/>
      <c r="P52" s="61"/>
      <c r="Q52" s="34"/>
      <c r="R52" s="32">
        <v>1000</v>
      </c>
      <c r="S52" s="32"/>
      <c r="T52" s="33"/>
      <c r="U52" s="33">
        <v>423.88</v>
      </c>
      <c r="V52" s="72">
        <v>565.88</v>
      </c>
      <c r="W52" s="46">
        <f t="shared" si="37"/>
        <v>-165.14000000000033</v>
      </c>
      <c r="X52" s="32">
        <f t="shared" si="29"/>
        <v>0</v>
      </c>
      <c r="Y52" s="46">
        <f t="shared" si="30"/>
        <v>-165.14000000000033</v>
      </c>
      <c r="Z52" s="32">
        <f t="shared" si="31"/>
        <v>182.46199999999999</v>
      </c>
      <c r="AA52" s="32">
        <v>10.23</v>
      </c>
      <c r="AB52" s="32">
        <f t="shared" si="32"/>
        <v>0</v>
      </c>
      <c r="AC52" s="46">
        <f t="shared" si="33"/>
        <v>2017.3119999999999</v>
      </c>
      <c r="AD52" s="50"/>
      <c r="AE52" s="51"/>
      <c r="AF52" s="47">
        <f t="shared" si="34"/>
        <v>165.14000000000033</v>
      </c>
      <c r="AG52" s="35">
        <v>56708881596</v>
      </c>
      <c r="AH52" s="33"/>
    </row>
    <row r="53" spans="1:35" s="18" customFormat="1">
      <c r="A53" s="71" t="s">
        <v>28</v>
      </c>
      <c r="B53" s="33" t="s">
        <v>171</v>
      </c>
      <c r="C53" s="33" t="s">
        <v>172</v>
      </c>
      <c r="D53" s="49">
        <v>43038</v>
      </c>
      <c r="E53" s="34">
        <v>1400</v>
      </c>
      <c r="F53" s="34"/>
      <c r="G53" s="34"/>
      <c r="H53" s="34"/>
      <c r="I53" s="34"/>
      <c r="J53" s="46">
        <f t="shared" si="0"/>
        <v>0</v>
      </c>
      <c r="K53" s="34"/>
      <c r="L53" s="60"/>
      <c r="M53" s="34"/>
      <c r="N53" s="34"/>
      <c r="O53" s="61"/>
      <c r="P53" s="61"/>
      <c r="Q53" s="34"/>
      <c r="R53" s="32"/>
      <c r="S53" s="32"/>
      <c r="T53" s="33"/>
      <c r="U53" s="33"/>
      <c r="V53" s="72"/>
      <c r="W53" s="46"/>
      <c r="X53" s="32"/>
      <c r="Y53" s="46"/>
      <c r="Z53" s="32"/>
      <c r="AA53" s="32"/>
      <c r="AB53" s="32"/>
      <c r="AC53" s="46"/>
      <c r="AD53" s="50"/>
      <c r="AE53" s="51"/>
      <c r="AF53" s="47"/>
      <c r="AG53" s="35">
        <v>1539992200</v>
      </c>
      <c r="AH53" s="33"/>
      <c r="AI53" s="18" t="s">
        <v>124</v>
      </c>
    </row>
    <row r="54" spans="1:35" s="18" customFormat="1">
      <c r="A54" s="71" t="s">
        <v>26</v>
      </c>
      <c r="B54" s="33" t="s">
        <v>105</v>
      </c>
      <c r="C54" s="33" t="s">
        <v>103</v>
      </c>
      <c r="D54" s="49">
        <v>42241</v>
      </c>
      <c r="E54" s="34">
        <v>1250.02</v>
      </c>
      <c r="F54" s="34"/>
      <c r="G54" s="34"/>
      <c r="H54" s="34"/>
      <c r="I54" s="34"/>
      <c r="J54" s="46">
        <f t="shared" si="0"/>
        <v>0</v>
      </c>
      <c r="K54" s="34"/>
      <c r="L54" s="60"/>
      <c r="M54" s="34"/>
      <c r="N54" s="34"/>
      <c r="O54" s="61"/>
      <c r="P54" s="61"/>
      <c r="Q54" s="34"/>
      <c r="R54" s="32"/>
      <c r="S54" s="32"/>
      <c r="T54" s="33"/>
      <c r="U54" s="33"/>
      <c r="V54" s="33"/>
      <c r="W54" s="46">
        <f t="shared" ref="W54" si="38">+J54-SUM(K54:V54)</f>
        <v>0</v>
      </c>
      <c r="X54" s="32">
        <f t="shared" ref="X54" si="39">IF(J54&gt;2250,J54*0.1,0)</f>
        <v>0</v>
      </c>
      <c r="Y54" s="46">
        <f t="shared" ref="Y54" si="40">+W54-X54</f>
        <v>0</v>
      </c>
      <c r="Z54" s="32">
        <f t="shared" si="31"/>
        <v>0</v>
      </c>
      <c r="AA54" s="32"/>
      <c r="AB54" s="32"/>
      <c r="AC54" s="46"/>
      <c r="AD54" s="50"/>
      <c r="AE54" s="51"/>
      <c r="AF54" s="47"/>
      <c r="AG54" s="35">
        <v>56708845268</v>
      </c>
      <c r="AH54" s="35"/>
    </row>
    <row r="55" spans="1:35" s="18" customFormat="1">
      <c r="A55" s="71" t="s">
        <v>39</v>
      </c>
      <c r="B55" s="33" t="s">
        <v>77</v>
      </c>
      <c r="C55" s="33" t="s">
        <v>43</v>
      </c>
      <c r="D55" s="49">
        <v>42333</v>
      </c>
      <c r="E55" s="34">
        <v>1869</v>
      </c>
      <c r="F55" s="63"/>
      <c r="G55" s="63"/>
      <c r="H55" s="34">
        <v>534</v>
      </c>
      <c r="I55" s="34"/>
      <c r="J55" s="46">
        <f t="shared" si="0"/>
        <v>534</v>
      </c>
      <c r="K55" s="34"/>
      <c r="L55" s="60"/>
      <c r="M55" s="34"/>
      <c r="N55" s="34"/>
      <c r="O55" s="61"/>
      <c r="P55" s="61"/>
      <c r="Q55" s="34"/>
      <c r="R55" s="32"/>
      <c r="S55" s="32"/>
      <c r="T55" s="33"/>
      <c r="U55" s="33"/>
      <c r="V55" s="33">
        <v>368.11</v>
      </c>
      <c r="W55" s="46">
        <f t="shared" si="37"/>
        <v>165.89</v>
      </c>
      <c r="X55" s="32">
        <f t="shared" ref="X55:X60" si="41">IF(J55&gt;2250,J55*0.1,0)</f>
        <v>0</v>
      </c>
      <c r="Y55" s="46">
        <f t="shared" si="30"/>
        <v>165.89</v>
      </c>
      <c r="Z55" s="32">
        <f t="shared" si="31"/>
        <v>53.400000000000006</v>
      </c>
      <c r="AA55" s="32">
        <v>10.23</v>
      </c>
      <c r="AB55" s="32">
        <f t="shared" si="32"/>
        <v>0</v>
      </c>
      <c r="AC55" s="46">
        <f t="shared" si="33"/>
        <v>597.63</v>
      </c>
      <c r="AD55" s="50"/>
      <c r="AE55" s="51"/>
      <c r="AF55" s="47">
        <f>+AD55+AE55-Y55</f>
        <v>-165.89</v>
      </c>
      <c r="AG55" s="35">
        <v>60589939521</v>
      </c>
      <c r="AH55" s="35"/>
    </row>
    <row r="56" spans="1:35" s="18" customFormat="1">
      <c r="A56" s="71" t="s">
        <v>28</v>
      </c>
      <c r="B56" s="33" t="s">
        <v>95</v>
      </c>
      <c r="C56" s="33" t="s">
        <v>30</v>
      </c>
      <c r="D56" s="49">
        <v>42459</v>
      </c>
      <c r="E56" s="34">
        <v>1026.69</v>
      </c>
      <c r="F56" s="34"/>
      <c r="G56" s="34"/>
      <c r="H56" s="34"/>
      <c r="I56" s="34"/>
      <c r="J56" s="46">
        <f t="shared" si="0"/>
        <v>0</v>
      </c>
      <c r="K56" s="34"/>
      <c r="L56" s="60"/>
      <c r="M56" s="34"/>
      <c r="N56" s="34"/>
      <c r="O56" s="61"/>
      <c r="P56" s="61"/>
      <c r="Q56" s="34"/>
      <c r="R56" s="32">
        <v>600</v>
      </c>
      <c r="S56" s="32"/>
      <c r="T56" s="33"/>
      <c r="U56" s="33"/>
      <c r="V56" s="33"/>
      <c r="W56" s="46">
        <f t="shared" si="37"/>
        <v>-600</v>
      </c>
      <c r="X56" s="32">
        <f t="shared" si="41"/>
        <v>0</v>
      </c>
      <c r="Y56" s="46">
        <f t="shared" si="30"/>
        <v>-600</v>
      </c>
      <c r="Z56" s="32">
        <f t="shared" si="31"/>
        <v>0</v>
      </c>
      <c r="AA56" s="32">
        <v>10.23</v>
      </c>
      <c r="AB56" s="32">
        <f t="shared" si="32"/>
        <v>0</v>
      </c>
      <c r="AC56" s="46">
        <f t="shared" si="33"/>
        <v>10.23</v>
      </c>
      <c r="AD56" s="55"/>
      <c r="AE56" s="51"/>
      <c r="AF56" s="47">
        <f>+AD56+AE56-Y56</f>
        <v>600</v>
      </c>
      <c r="AG56" s="35">
        <v>60589627948</v>
      </c>
      <c r="AH56" s="35"/>
    </row>
    <row r="57" spans="1:35" s="18" customFormat="1">
      <c r="A57" s="71" t="s">
        <v>26</v>
      </c>
      <c r="B57" s="33" t="s">
        <v>128</v>
      </c>
      <c r="C57" s="33" t="s">
        <v>29</v>
      </c>
      <c r="D57" s="49">
        <v>42849</v>
      </c>
      <c r="E57" s="34">
        <v>1166.27</v>
      </c>
      <c r="F57" s="34">
        <v>1846.89</v>
      </c>
      <c r="G57" s="34"/>
      <c r="H57" s="34"/>
      <c r="I57" s="34"/>
      <c r="J57" s="46">
        <f t="shared" si="0"/>
        <v>1846.89</v>
      </c>
      <c r="K57" s="34"/>
      <c r="L57" s="60"/>
      <c r="M57" s="34"/>
      <c r="N57" s="34"/>
      <c r="O57" s="61"/>
      <c r="P57" s="61"/>
      <c r="Q57" s="34"/>
      <c r="R57" s="32"/>
      <c r="S57" s="32"/>
      <c r="T57" s="33"/>
      <c r="U57" s="33"/>
      <c r="V57" s="33"/>
      <c r="W57" s="46">
        <f t="shared" si="37"/>
        <v>1846.89</v>
      </c>
      <c r="X57" s="32"/>
      <c r="Y57" s="46"/>
      <c r="Z57" s="32"/>
      <c r="AA57" s="32"/>
      <c r="AB57" s="32"/>
      <c r="AC57" s="46"/>
      <c r="AD57" s="55"/>
      <c r="AE57" s="51"/>
      <c r="AF57" s="47"/>
      <c r="AG57" s="35">
        <v>60590412629</v>
      </c>
      <c r="AH57" s="35"/>
    </row>
    <row r="58" spans="1:35" s="18" customFormat="1">
      <c r="A58" s="71" t="s">
        <v>26</v>
      </c>
      <c r="B58" s="33" t="s">
        <v>93</v>
      </c>
      <c r="C58" s="33" t="s">
        <v>42</v>
      </c>
      <c r="D58" s="49">
        <v>42566</v>
      </c>
      <c r="E58" s="34">
        <v>933.31</v>
      </c>
      <c r="F58" s="34">
        <v>1620</v>
      </c>
      <c r="G58" s="34"/>
      <c r="H58" s="34"/>
      <c r="I58" s="34"/>
      <c r="J58" s="46">
        <f t="shared" si="0"/>
        <v>1620</v>
      </c>
      <c r="K58" s="34"/>
      <c r="L58" s="60"/>
      <c r="M58" s="34"/>
      <c r="N58" s="34"/>
      <c r="O58" s="61"/>
      <c r="P58" s="61"/>
      <c r="Q58" s="34"/>
      <c r="R58" s="32"/>
      <c r="S58" s="32"/>
      <c r="T58" s="33"/>
      <c r="U58" s="33"/>
      <c r="V58" s="33"/>
      <c r="W58" s="46">
        <f t="shared" si="37"/>
        <v>1620</v>
      </c>
      <c r="X58" s="32">
        <f t="shared" si="41"/>
        <v>0</v>
      </c>
      <c r="Y58" s="46">
        <f t="shared" si="30"/>
        <v>1620</v>
      </c>
      <c r="Z58" s="32">
        <f t="shared" si="31"/>
        <v>162</v>
      </c>
      <c r="AA58" s="32">
        <v>21.23</v>
      </c>
      <c r="AB58" s="32">
        <f t="shared" si="32"/>
        <v>0</v>
      </c>
      <c r="AC58" s="46">
        <f t="shared" si="33"/>
        <v>1803.23</v>
      </c>
      <c r="AD58" s="55"/>
      <c r="AE58" s="51"/>
      <c r="AF58" s="47"/>
      <c r="AG58" s="35">
        <v>56708845709</v>
      </c>
      <c r="AH58" s="35"/>
    </row>
    <row r="59" spans="1:35" s="18" customFormat="1">
      <c r="A59" s="71" t="s">
        <v>28</v>
      </c>
      <c r="B59" s="33" t="s">
        <v>146</v>
      </c>
      <c r="C59" s="33" t="s">
        <v>30</v>
      </c>
      <c r="D59" s="49">
        <v>42842</v>
      </c>
      <c r="E59" s="34">
        <v>1026.69</v>
      </c>
      <c r="F59" s="34"/>
      <c r="G59" s="34"/>
      <c r="H59" s="34"/>
      <c r="I59" s="34"/>
      <c r="J59" s="46">
        <f t="shared" si="0"/>
        <v>0</v>
      </c>
      <c r="K59" s="34"/>
      <c r="L59" s="60"/>
      <c r="M59" s="34"/>
      <c r="N59" s="34"/>
      <c r="O59" s="61"/>
      <c r="P59" s="61"/>
      <c r="Q59" s="34"/>
      <c r="R59" s="32"/>
      <c r="S59" s="32"/>
      <c r="T59" s="33"/>
      <c r="U59" s="33"/>
      <c r="V59" s="33"/>
      <c r="W59" s="46">
        <f t="shared" si="37"/>
        <v>0</v>
      </c>
      <c r="X59" s="32"/>
      <c r="Y59" s="46"/>
      <c r="Z59" s="32"/>
      <c r="AA59" s="32"/>
      <c r="AB59" s="32"/>
      <c r="AC59" s="46"/>
      <c r="AD59" s="55"/>
      <c r="AE59" s="56"/>
      <c r="AF59" s="47"/>
      <c r="AG59" s="35">
        <v>60590199370</v>
      </c>
      <c r="AH59" s="35"/>
    </row>
    <row r="60" spans="1:35" s="18" customFormat="1">
      <c r="A60" s="71" t="s">
        <v>27</v>
      </c>
      <c r="B60" s="33" t="s">
        <v>88</v>
      </c>
      <c r="C60" s="33" t="s">
        <v>134</v>
      </c>
      <c r="D60" s="49">
        <v>42506</v>
      </c>
      <c r="E60" s="34">
        <v>1633.38</v>
      </c>
      <c r="F60" s="34">
        <v>3016.9</v>
      </c>
      <c r="G60" s="34"/>
      <c r="H60" s="34"/>
      <c r="I60" s="34"/>
      <c r="J60" s="46">
        <f t="shared" si="0"/>
        <v>3016.9</v>
      </c>
      <c r="K60" s="34"/>
      <c r="L60" s="60"/>
      <c r="M60" s="34"/>
      <c r="N60" s="34"/>
      <c r="O60" s="61"/>
      <c r="P60" s="61"/>
      <c r="Q60" s="34"/>
      <c r="R60" s="32"/>
      <c r="S60" s="32"/>
      <c r="T60" s="33"/>
      <c r="U60" s="33"/>
      <c r="V60" s="58">
        <v>216.39</v>
      </c>
      <c r="W60" s="46">
        <f t="shared" si="37"/>
        <v>2800.51</v>
      </c>
      <c r="X60" s="32">
        <f t="shared" si="41"/>
        <v>301.69</v>
      </c>
      <c r="Y60" s="46">
        <f t="shared" si="30"/>
        <v>2498.8200000000002</v>
      </c>
      <c r="Z60" s="32">
        <f t="shared" si="31"/>
        <v>0</v>
      </c>
      <c r="AA60" s="32">
        <v>10.23</v>
      </c>
      <c r="AB60" s="32">
        <f t="shared" si="32"/>
        <v>0</v>
      </c>
      <c r="AC60" s="46">
        <f t="shared" si="33"/>
        <v>3027.13</v>
      </c>
      <c r="AD60" s="55"/>
      <c r="AE60" s="55"/>
      <c r="AF60" s="47">
        <f t="shared" ref="AF60" si="42">+AD60+AE60-Y60</f>
        <v>-2498.8200000000002</v>
      </c>
      <c r="AG60" s="35">
        <v>1179675078</v>
      </c>
      <c r="AH60" s="35"/>
      <c r="AI60" s="18" t="s">
        <v>124</v>
      </c>
    </row>
    <row r="61" spans="1:35" s="18" customFormat="1">
      <c r="A61" s="71" t="s">
        <v>26</v>
      </c>
      <c r="B61" s="33" t="s">
        <v>201</v>
      </c>
      <c r="C61" s="33" t="s">
        <v>42</v>
      </c>
      <c r="D61" s="49">
        <v>42597</v>
      </c>
      <c r="E61" s="34">
        <v>933.31</v>
      </c>
      <c r="F61" s="34">
        <v>100</v>
      </c>
      <c r="G61" s="34"/>
      <c r="H61" s="34"/>
      <c r="I61" s="34"/>
      <c r="J61" s="46">
        <f t="shared" si="0"/>
        <v>100</v>
      </c>
      <c r="K61" s="34"/>
      <c r="L61" s="60"/>
      <c r="M61" s="34"/>
      <c r="N61" s="34"/>
      <c r="O61" s="61"/>
      <c r="P61" s="61"/>
      <c r="Q61" s="34"/>
      <c r="R61" s="32"/>
      <c r="S61" s="32"/>
      <c r="T61" s="33"/>
      <c r="U61" s="33"/>
      <c r="V61" s="58"/>
      <c r="W61" s="46"/>
      <c r="X61" s="32"/>
      <c r="Y61" s="46"/>
      <c r="Z61" s="32"/>
      <c r="AA61" s="32"/>
      <c r="AB61" s="32"/>
      <c r="AC61" s="46"/>
      <c r="AD61" s="55"/>
      <c r="AE61" s="55"/>
      <c r="AF61" s="47"/>
      <c r="AG61" s="35">
        <v>60594462438</v>
      </c>
      <c r="AH61" s="35" t="s">
        <v>202</v>
      </c>
    </row>
    <row r="62" spans="1:35" s="18" customFormat="1">
      <c r="A62" s="71" t="s">
        <v>37</v>
      </c>
      <c r="B62" s="33" t="s">
        <v>113</v>
      </c>
      <c r="C62" s="33" t="s">
        <v>29</v>
      </c>
      <c r="D62" s="49">
        <v>42696</v>
      </c>
      <c r="E62" s="34">
        <v>1166.27</v>
      </c>
      <c r="F62" s="34">
        <v>4774.08</v>
      </c>
      <c r="G62" s="34"/>
      <c r="H62" s="34"/>
      <c r="I62" s="34"/>
      <c r="J62" s="46">
        <f t="shared" si="0"/>
        <v>4774.08</v>
      </c>
      <c r="K62" s="34">
        <v>88.71</v>
      </c>
      <c r="L62" s="60"/>
      <c r="M62" s="34"/>
      <c r="N62" s="34"/>
      <c r="O62" s="61"/>
      <c r="P62" s="61"/>
      <c r="Q62" s="34"/>
      <c r="R62" s="32"/>
      <c r="S62" s="32"/>
      <c r="T62" s="33"/>
      <c r="U62" s="33"/>
      <c r="V62" s="58"/>
      <c r="W62" s="46">
        <f t="shared" ref="W62" si="43">+J62-SUM(K62:V62)</f>
        <v>4685.37</v>
      </c>
      <c r="X62" s="32">
        <f t="shared" ref="X62" si="44">IF(J62&gt;2250,J62*0.1,0)</f>
        <v>477.40800000000002</v>
      </c>
      <c r="Y62" s="46">
        <f t="shared" ref="Y62" si="45">+W62-X62</f>
        <v>4207.9619999999995</v>
      </c>
      <c r="Z62" s="32"/>
      <c r="AA62" s="32"/>
      <c r="AB62" s="32"/>
      <c r="AC62" s="46"/>
      <c r="AD62" s="55"/>
      <c r="AE62" s="55"/>
      <c r="AF62" s="47"/>
      <c r="AG62" s="35">
        <v>56710784605</v>
      </c>
      <c r="AH62" s="35"/>
    </row>
    <row r="63" spans="1:35" s="18" customFormat="1">
      <c r="A63" s="71" t="s">
        <v>28</v>
      </c>
      <c r="B63" s="33" t="s">
        <v>184</v>
      </c>
      <c r="C63" s="33" t="s">
        <v>30</v>
      </c>
      <c r="D63" s="49">
        <v>43068</v>
      </c>
      <c r="E63" s="34">
        <v>1026.69</v>
      </c>
      <c r="F63" s="34">
        <v>6073.71</v>
      </c>
      <c r="G63" s="34"/>
      <c r="H63" s="34"/>
      <c r="I63" s="34"/>
      <c r="J63" s="46">
        <f t="shared" si="0"/>
        <v>6073.71</v>
      </c>
      <c r="K63" s="34"/>
      <c r="L63" s="60"/>
      <c r="M63" s="34"/>
      <c r="N63" s="34"/>
      <c r="O63" s="61"/>
      <c r="P63" s="61"/>
      <c r="Q63" s="34"/>
      <c r="R63" s="32"/>
      <c r="S63" s="32"/>
      <c r="T63" s="33"/>
      <c r="U63" s="33"/>
      <c r="V63" s="58"/>
      <c r="W63" s="46"/>
      <c r="X63" s="32"/>
      <c r="Y63" s="46"/>
      <c r="Z63" s="32"/>
      <c r="AA63" s="32"/>
      <c r="AB63" s="32"/>
      <c r="AC63" s="46"/>
      <c r="AD63" s="55"/>
      <c r="AE63" s="55"/>
      <c r="AF63" s="47"/>
      <c r="AG63" s="35">
        <v>60597479727</v>
      </c>
      <c r="AH63" s="35"/>
    </row>
    <row r="64" spans="1:35" s="18" customFormat="1">
      <c r="A64" s="24"/>
      <c r="B64" s="25"/>
      <c r="C64" s="25"/>
      <c r="D64" s="25"/>
      <c r="E64" s="25"/>
      <c r="F64" s="26"/>
      <c r="G64" s="26"/>
      <c r="H64" s="26"/>
      <c r="I64" s="26"/>
      <c r="J64" s="27"/>
      <c r="K64" s="26"/>
      <c r="L64" s="26"/>
      <c r="M64" s="26"/>
      <c r="N64" s="26"/>
      <c r="O64" s="26"/>
      <c r="P64" s="26"/>
      <c r="Q64" s="26"/>
      <c r="R64" s="36"/>
      <c r="S64" s="36"/>
      <c r="T64" s="36"/>
      <c r="U64" s="36"/>
      <c r="V64" s="36"/>
      <c r="W64" s="27"/>
      <c r="X64" s="36"/>
      <c r="Y64" s="27"/>
      <c r="Z64" s="36"/>
      <c r="AA64" s="36"/>
      <c r="AB64" s="36"/>
      <c r="AC64" s="27"/>
      <c r="AD64" s="43"/>
      <c r="AE64" s="43"/>
      <c r="AF64" s="22"/>
    </row>
    <row r="65" spans="1:49">
      <c r="B65" s="37" t="s">
        <v>1</v>
      </c>
      <c r="C65" s="37"/>
      <c r="D65" s="37"/>
      <c r="E65" s="38">
        <f t="shared" ref="E65:AF65" si="46">SUM(E7:E64)</f>
        <v>82824.800000000032</v>
      </c>
      <c r="F65" s="38">
        <f t="shared" si="46"/>
        <v>159633.90999999997</v>
      </c>
      <c r="G65" s="38">
        <f t="shared" si="46"/>
        <v>0</v>
      </c>
      <c r="H65" s="38">
        <f t="shared" si="46"/>
        <v>534</v>
      </c>
      <c r="I65" s="38">
        <f t="shared" si="46"/>
        <v>0</v>
      </c>
      <c r="J65" s="38">
        <f t="shared" si="46"/>
        <v>160167.90999999997</v>
      </c>
      <c r="K65" s="38">
        <f t="shared" si="46"/>
        <v>1338.71</v>
      </c>
      <c r="L65" s="38">
        <f t="shared" si="46"/>
        <v>2</v>
      </c>
      <c r="M65" s="38">
        <f t="shared" si="46"/>
        <v>0</v>
      </c>
      <c r="N65" s="38">
        <f t="shared" si="46"/>
        <v>1300</v>
      </c>
      <c r="O65" s="38">
        <f t="shared" si="46"/>
        <v>0</v>
      </c>
      <c r="P65" s="38">
        <f t="shared" si="46"/>
        <v>0</v>
      </c>
      <c r="Q65" s="38">
        <f t="shared" si="46"/>
        <v>0</v>
      </c>
      <c r="R65" s="38">
        <f t="shared" si="46"/>
        <v>13499.07</v>
      </c>
      <c r="S65" s="38">
        <f t="shared" si="46"/>
        <v>0.6</v>
      </c>
      <c r="T65" s="38">
        <f t="shared" si="46"/>
        <v>0</v>
      </c>
      <c r="U65" s="38">
        <f t="shared" si="46"/>
        <v>423.88</v>
      </c>
      <c r="V65" s="38">
        <f t="shared" si="46"/>
        <v>7784.3099999999995</v>
      </c>
      <c r="W65" s="38">
        <f t="shared" si="46"/>
        <v>127415.81</v>
      </c>
      <c r="X65" s="38">
        <f t="shared" si="46"/>
        <v>5931.1640000000007</v>
      </c>
      <c r="Y65" s="38">
        <f t="shared" si="46"/>
        <v>44535.045999999995</v>
      </c>
      <c r="Z65" s="38">
        <f t="shared" si="46"/>
        <v>772.93299999999999</v>
      </c>
      <c r="AA65" s="38">
        <f t="shared" si="46"/>
        <v>246.59999999999991</v>
      </c>
      <c r="AB65" s="38">
        <f t="shared" si="46"/>
        <v>0</v>
      </c>
      <c r="AC65" s="38">
        <f t="shared" si="46"/>
        <v>45866.592999999993</v>
      </c>
      <c r="AD65" s="44">
        <f t="shared" si="46"/>
        <v>0</v>
      </c>
      <c r="AE65" s="44">
        <f t="shared" si="46"/>
        <v>0</v>
      </c>
      <c r="AF65" s="39" t="e">
        <f t="shared" si="46"/>
        <v>#REF!</v>
      </c>
      <c r="AG65" s="28"/>
      <c r="AH65" s="2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</row>
    <row r="66" spans="1:49">
      <c r="AC66" s="14">
        <f>AC65*0.16</f>
        <v>7338.6548799999991</v>
      </c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</row>
    <row r="67" spans="1:49">
      <c r="A67" s="119" t="s">
        <v>75</v>
      </c>
      <c r="B67" s="119"/>
      <c r="C67" s="28"/>
      <c r="D67" s="28"/>
      <c r="E67" s="28"/>
      <c r="F67" s="30"/>
      <c r="G67" s="30"/>
      <c r="H67" s="30"/>
      <c r="I67" s="30"/>
      <c r="J67" s="38"/>
      <c r="K67" s="30"/>
      <c r="L67" s="30"/>
      <c r="M67" s="30"/>
      <c r="N67" s="34"/>
      <c r="O67" s="34"/>
      <c r="P67" s="34"/>
      <c r="Q67" s="34"/>
      <c r="R67" s="30"/>
      <c r="S67" s="30"/>
      <c r="T67" s="30"/>
      <c r="U67" s="30"/>
      <c r="V67" s="30"/>
      <c r="W67" s="38"/>
      <c r="X67" s="30"/>
      <c r="Y67" s="38"/>
      <c r="Z67" s="30"/>
      <c r="AA67" s="30"/>
      <c r="AB67" s="30"/>
      <c r="AC67" s="38">
        <f>+AC65+AC66</f>
        <v>53205.247879999995</v>
      </c>
      <c r="AD67" s="44"/>
      <c r="AE67" s="44"/>
      <c r="AF67" s="39"/>
      <c r="AG67" s="28"/>
      <c r="AH67" s="2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</row>
    <row r="68" spans="1:49">
      <c r="A68" s="33" t="s">
        <v>38</v>
      </c>
      <c r="B68" s="33" t="s">
        <v>168</v>
      </c>
      <c r="C68" s="29" t="s">
        <v>169</v>
      </c>
      <c r="D68" s="49">
        <v>43038</v>
      </c>
      <c r="E68" s="34">
        <v>638.96</v>
      </c>
      <c r="F68" s="34">
        <v>2226.1529999999998</v>
      </c>
      <c r="G68" s="34"/>
      <c r="H68" s="31"/>
      <c r="I68" s="31"/>
      <c r="J68" s="46">
        <f>SUM(F68:I68)</f>
        <v>2226.1529999999998</v>
      </c>
      <c r="K68" s="34">
        <v>140.88999999999999</v>
      </c>
      <c r="L68" s="60"/>
      <c r="M68" s="34"/>
      <c r="N68" s="34"/>
      <c r="O68" s="61"/>
      <c r="P68" s="61"/>
      <c r="Q68" s="34"/>
      <c r="R68" s="32"/>
      <c r="S68" s="32"/>
      <c r="T68" s="33"/>
      <c r="U68" s="33"/>
      <c r="V68" s="33">
        <v>571.99</v>
      </c>
      <c r="W68" s="46">
        <f t="shared" ref="W68:W108" si="47">+J68-SUM(K68:V68)</f>
        <v>1513.2729999999997</v>
      </c>
      <c r="X68" s="32"/>
      <c r="Y68" s="46"/>
      <c r="Z68" s="54"/>
      <c r="AA68" s="54"/>
      <c r="AB68" s="54"/>
      <c r="AC68" s="53"/>
      <c r="AD68" s="45"/>
      <c r="AE68" s="45"/>
      <c r="AF68" s="40"/>
      <c r="AG68" s="35">
        <v>56697905731</v>
      </c>
      <c r="AH68" s="35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</row>
    <row r="69" spans="1:49">
      <c r="A69" s="33" t="s">
        <v>40</v>
      </c>
      <c r="B69" s="33" t="s">
        <v>147</v>
      </c>
      <c r="C69" s="29" t="s">
        <v>101</v>
      </c>
      <c r="D69" s="49">
        <v>41142</v>
      </c>
      <c r="E69" s="34">
        <v>667.87</v>
      </c>
      <c r="F69" s="34">
        <f>1312.07+5.571</f>
        <v>1317.6409999999998</v>
      </c>
      <c r="G69" s="31"/>
      <c r="H69" s="31"/>
      <c r="I69" s="34"/>
      <c r="J69" s="46">
        <f>SUM(F69:I69)</f>
        <v>1317.6409999999998</v>
      </c>
      <c r="K69" s="34">
        <v>165.09</v>
      </c>
      <c r="L69" s="60"/>
      <c r="M69" s="34"/>
      <c r="N69" s="34"/>
      <c r="O69" s="61" t="s">
        <v>130</v>
      </c>
      <c r="P69" s="61" t="s">
        <v>130</v>
      </c>
      <c r="Q69" s="34"/>
      <c r="R69" s="32"/>
      <c r="S69" s="32"/>
      <c r="T69" s="33"/>
      <c r="U69" s="33"/>
      <c r="V69" s="33"/>
      <c r="W69" s="46">
        <f t="shared" si="47"/>
        <v>1152.5509999999999</v>
      </c>
      <c r="X69" s="32">
        <f>+W69*0.05</f>
        <v>57.627549999999999</v>
      </c>
      <c r="Y69" s="46">
        <f>+W69-R69-V69</f>
        <v>1152.5509999999999</v>
      </c>
      <c r="Z69" s="54">
        <f>IF(W69&lt;3000,W69*0.1,0)</f>
        <v>115.2551</v>
      </c>
      <c r="AA69" s="54">
        <v>0</v>
      </c>
      <c r="AB69" s="54"/>
      <c r="AC69" s="53">
        <f>+W69+Z69+AA69</f>
        <v>1267.8061</v>
      </c>
      <c r="AD69" s="45"/>
      <c r="AE69" s="45"/>
      <c r="AF69" s="40"/>
      <c r="AG69" s="35">
        <v>56708845760</v>
      </c>
      <c r="AH69" s="35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</row>
    <row r="70" spans="1:49" s="18" customFormat="1">
      <c r="A70" s="33" t="s">
        <v>40</v>
      </c>
      <c r="B70" s="33" t="s">
        <v>52</v>
      </c>
      <c r="C70" s="33" t="s">
        <v>101</v>
      </c>
      <c r="D70" s="49">
        <v>41381</v>
      </c>
      <c r="E70" s="34">
        <v>627.13</v>
      </c>
      <c r="F70" s="34">
        <f>6832.43+2.599</f>
        <v>6835.0290000000005</v>
      </c>
      <c r="G70" s="31"/>
      <c r="H70" s="31"/>
      <c r="I70" s="34"/>
      <c r="J70" s="46">
        <f t="shared" ref="J70:J116" si="48">SUM(F70:I70)</f>
        <v>6835.0290000000005</v>
      </c>
      <c r="K70" s="34">
        <v>165.09</v>
      </c>
      <c r="L70" s="60"/>
      <c r="M70" s="34"/>
      <c r="N70" s="34"/>
      <c r="O70" s="61" t="s">
        <v>130</v>
      </c>
      <c r="P70" s="61" t="s">
        <v>130</v>
      </c>
      <c r="Q70" s="34"/>
      <c r="R70" s="32"/>
      <c r="S70" s="32"/>
      <c r="T70" s="33"/>
      <c r="U70" s="33"/>
      <c r="V70" s="33"/>
      <c r="W70" s="46">
        <f t="shared" si="47"/>
        <v>6669.9390000000003</v>
      </c>
      <c r="X70" s="32">
        <f t="shared" ref="X70:X78" si="49">IF(J70&gt;2250,J70*0.1,0)</f>
        <v>683.50290000000007</v>
      </c>
      <c r="Y70" s="46">
        <f t="shared" ref="Y70:Y78" si="50">+W70-X70</f>
        <v>5986.4360999999999</v>
      </c>
      <c r="Z70" s="32">
        <f t="shared" ref="Z70:Z78" si="51">IF(J70&lt;2250,J70*0.1,0)</f>
        <v>0</v>
      </c>
      <c r="AA70" s="32">
        <v>10.23</v>
      </c>
      <c r="AB70" s="32" t="str">
        <f t="shared" ref="AB70:AB78" si="52">+O70</f>
        <v>XX</v>
      </c>
      <c r="AC70" s="46" t="e">
        <f t="shared" ref="AC70:AC78" si="53">+J70+Z70+AA70+AB70</f>
        <v>#VALUE!</v>
      </c>
      <c r="AD70" s="50"/>
      <c r="AE70" s="51"/>
      <c r="AF70" s="47">
        <f t="shared" ref="AF70:AF73" si="54">+AD70+AE70-Y70</f>
        <v>-5986.4360999999999</v>
      </c>
      <c r="AG70" s="35">
        <v>56708845774</v>
      </c>
      <c r="AH70" s="35"/>
    </row>
    <row r="71" spans="1:49" s="18" customFormat="1">
      <c r="A71" s="33" t="s">
        <v>40</v>
      </c>
      <c r="B71" s="33" t="s">
        <v>82</v>
      </c>
      <c r="C71" s="33" t="s">
        <v>101</v>
      </c>
      <c r="D71" s="49">
        <v>41740</v>
      </c>
      <c r="E71" s="34">
        <v>627.13</v>
      </c>
      <c r="F71" s="34">
        <f>1792.238+5.571</f>
        <v>1797.809</v>
      </c>
      <c r="G71" s="31"/>
      <c r="H71" s="31"/>
      <c r="I71" s="34"/>
      <c r="J71" s="46">
        <f t="shared" si="48"/>
        <v>1797.809</v>
      </c>
      <c r="K71" s="34">
        <v>165.09</v>
      </c>
      <c r="L71" s="60"/>
      <c r="M71" s="34"/>
      <c r="N71" s="32">
        <v>300</v>
      </c>
      <c r="O71" s="61" t="s">
        <v>130</v>
      </c>
      <c r="P71" s="61" t="s">
        <v>130</v>
      </c>
      <c r="Q71" s="34"/>
      <c r="R71" s="32"/>
      <c r="S71" s="32"/>
      <c r="T71" s="33"/>
      <c r="U71" s="33"/>
      <c r="V71" s="33"/>
      <c r="W71" s="46">
        <f t="shared" si="47"/>
        <v>1332.7190000000001</v>
      </c>
      <c r="X71" s="32">
        <f t="shared" si="49"/>
        <v>0</v>
      </c>
      <c r="Y71" s="46">
        <f t="shared" si="50"/>
        <v>1332.7190000000001</v>
      </c>
      <c r="Z71" s="32">
        <f t="shared" si="51"/>
        <v>179.7809</v>
      </c>
      <c r="AA71" s="32">
        <v>10.23</v>
      </c>
      <c r="AB71" s="32" t="str">
        <f t="shared" si="52"/>
        <v>XX</v>
      </c>
      <c r="AC71" s="46" t="e">
        <f t="shared" si="53"/>
        <v>#VALUE!</v>
      </c>
      <c r="AD71" s="50"/>
      <c r="AE71" s="51"/>
      <c r="AF71" s="47">
        <f t="shared" si="54"/>
        <v>-1332.7190000000001</v>
      </c>
      <c r="AG71" s="35">
        <v>56708845788</v>
      </c>
      <c r="AH71" s="35"/>
    </row>
    <row r="72" spans="1:49" s="18" customFormat="1">
      <c r="A72" s="64" t="s">
        <v>40</v>
      </c>
      <c r="B72" s="64" t="s">
        <v>120</v>
      </c>
      <c r="C72" s="64" t="s">
        <v>97</v>
      </c>
      <c r="D72" s="74">
        <v>42779</v>
      </c>
      <c r="E72" s="75">
        <v>618.52</v>
      </c>
      <c r="F72" s="75">
        <v>373.3</v>
      </c>
      <c r="G72" s="75"/>
      <c r="H72" s="75"/>
      <c r="I72" s="75"/>
      <c r="J72" s="53">
        <f t="shared" si="48"/>
        <v>373.3</v>
      </c>
      <c r="K72" s="75">
        <v>165.09</v>
      </c>
      <c r="L72" s="76" t="s">
        <v>204</v>
      </c>
      <c r="M72" s="75"/>
      <c r="N72" s="75"/>
      <c r="O72" s="77" t="s">
        <v>130</v>
      </c>
      <c r="P72" s="77" t="s">
        <v>130</v>
      </c>
      <c r="Q72" s="75"/>
      <c r="R72" s="54"/>
      <c r="S72" s="54"/>
      <c r="T72" s="64"/>
      <c r="U72" s="64"/>
      <c r="V72" s="64"/>
      <c r="W72" s="53">
        <f t="shared" si="47"/>
        <v>208.21</v>
      </c>
      <c r="X72" s="54"/>
      <c r="Y72" s="53"/>
      <c r="Z72" s="54"/>
      <c r="AA72" s="54"/>
      <c r="AB72" s="54"/>
      <c r="AC72" s="53"/>
      <c r="AD72" s="79"/>
      <c r="AE72" s="80"/>
      <c r="AF72" s="81"/>
      <c r="AG72" s="82">
        <v>60589582591</v>
      </c>
      <c r="AH72" s="82" t="s">
        <v>203</v>
      </c>
    </row>
    <row r="73" spans="1:49" s="18" customFormat="1">
      <c r="A73" s="33" t="s">
        <v>40</v>
      </c>
      <c r="B73" s="33" t="s">
        <v>53</v>
      </c>
      <c r="C73" s="33" t="s">
        <v>45</v>
      </c>
      <c r="D73" s="49">
        <v>41227</v>
      </c>
      <c r="E73" s="34">
        <v>618.52</v>
      </c>
      <c r="F73" s="34">
        <f>3008.806+13.099</f>
        <v>3021.9050000000002</v>
      </c>
      <c r="G73" s="31"/>
      <c r="H73" s="31"/>
      <c r="I73" s="34"/>
      <c r="J73" s="46">
        <f t="shared" si="48"/>
        <v>3021.9050000000002</v>
      </c>
      <c r="K73" s="34">
        <v>165.09</v>
      </c>
      <c r="L73" s="60">
        <v>1</v>
      </c>
      <c r="M73" s="34"/>
      <c r="N73" s="32">
        <v>700</v>
      </c>
      <c r="O73" s="61" t="s">
        <v>130</v>
      </c>
      <c r="P73" s="61" t="s">
        <v>130</v>
      </c>
      <c r="Q73" s="34"/>
      <c r="R73" s="32"/>
      <c r="S73" s="32"/>
      <c r="T73" s="33"/>
      <c r="U73" s="33"/>
      <c r="V73" s="33"/>
      <c r="W73" s="46">
        <f t="shared" si="47"/>
        <v>2155.8150000000001</v>
      </c>
      <c r="X73" s="32">
        <f t="shared" si="49"/>
        <v>302.19050000000004</v>
      </c>
      <c r="Y73" s="46">
        <f t="shared" si="50"/>
        <v>1853.6244999999999</v>
      </c>
      <c r="Z73" s="32">
        <f t="shared" si="51"/>
        <v>0</v>
      </c>
      <c r="AA73" s="32">
        <v>10.23</v>
      </c>
      <c r="AB73" s="32" t="str">
        <f t="shared" si="52"/>
        <v>XX</v>
      </c>
      <c r="AC73" s="46" t="e">
        <f t="shared" si="53"/>
        <v>#VALUE!</v>
      </c>
      <c r="AD73" s="50"/>
      <c r="AE73" s="51"/>
      <c r="AF73" s="47">
        <f t="shared" si="54"/>
        <v>-1853.6244999999999</v>
      </c>
      <c r="AG73" s="35">
        <v>56708845791</v>
      </c>
      <c r="AH73" s="35"/>
    </row>
    <row r="74" spans="1:49" s="18" customFormat="1">
      <c r="A74" s="33" t="s">
        <v>38</v>
      </c>
      <c r="B74" s="33" t="s">
        <v>79</v>
      </c>
      <c r="C74" s="33" t="s">
        <v>158</v>
      </c>
      <c r="D74" s="49">
        <v>42338</v>
      </c>
      <c r="E74" s="34">
        <v>739.2</v>
      </c>
      <c r="F74" s="34">
        <f>1922.4+7.428</f>
        <v>1929.8280000000002</v>
      </c>
      <c r="G74" s="31"/>
      <c r="H74" s="31"/>
      <c r="I74" s="34"/>
      <c r="J74" s="46">
        <f t="shared" si="48"/>
        <v>1929.8280000000002</v>
      </c>
      <c r="K74" s="34">
        <v>140.88999999999999</v>
      </c>
      <c r="L74" s="60"/>
      <c r="M74" s="34"/>
      <c r="N74" s="34"/>
      <c r="O74" s="61"/>
      <c r="P74" s="61"/>
      <c r="Q74" s="34"/>
      <c r="R74" s="32"/>
      <c r="S74" s="32"/>
      <c r="T74" s="33"/>
      <c r="U74" s="33"/>
      <c r="V74" s="33"/>
      <c r="W74" s="46">
        <f t="shared" si="47"/>
        <v>1788.9380000000001</v>
      </c>
      <c r="X74" s="32">
        <f t="shared" si="49"/>
        <v>0</v>
      </c>
      <c r="Y74" s="46">
        <f t="shared" si="50"/>
        <v>1788.9380000000001</v>
      </c>
      <c r="Z74" s="32">
        <f t="shared" si="51"/>
        <v>192.98280000000003</v>
      </c>
      <c r="AA74" s="32">
        <v>10.23</v>
      </c>
      <c r="AB74" s="32">
        <f t="shared" si="52"/>
        <v>0</v>
      </c>
      <c r="AC74" s="46">
        <f t="shared" si="53"/>
        <v>2133.0408000000002</v>
      </c>
      <c r="AD74" s="50"/>
      <c r="AE74" s="51"/>
      <c r="AF74" s="47">
        <f>+AD74+AE74-Y74</f>
        <v>-1788.9380000000001</v>
      </c>
      <c r="AG74" s="35">
        <v>56708881872</v>
      </c>
      <c r="AH74" s="35"/>
    </row>
    <row r="75" spans="1:49" s="18" customFormat="1">
      <c r="A75" s="33" t="s">
        <v>40</v>
      </c>
      <c r="B75" s="33" t="s">
        <v>122</v>
      </c>
      <c r="C75" s="33" t="s">
        <v>97</v>
      </c>
      <c r="D75" s="49">
        <v>42807</v>
      </c>
      <c r="E75" s="34">
        <v>618.52</v>
      </c>
      <c r="F75" s="34">
        <v>575.79999999999995</v>
      </c>
      <c r="G75" s="31"/>
      <c r="H75" s="31"/>
      <c r="I75" s="34"/>
      <c r="J75" s="46">
        <f t="shared" si="48"/>
        <v>575.79999999999995</v>
      </c>
      <c r="K75" s="34">
        <v>165.09</v>
      </c>
      <c r="L75" s="60">
        <v>1</v>
      </c>
      <c r="M75" s="34"/>
      <c r="N75" s="34"/>
      <c r="O75" s="61" t="s">
        <v>130</v>
      </c>
      <c r="P75" s="61" t="s">
        <v>130</v>
      </c>
      <c r="Q75" s="34"/>
      <c r="R75" s="32"/>
      <c r="S75" s="32"/>
      <c r="T75" s="33"/>
      <c r="U75" s="33"/>
      <c r="V75" s="33"/>
      <c r="W75" s="46">
        <f t="shared" si="47"/>
        <v>409.70999999999992</v>
      </c>
      <c r="X75" s="32"/>
      <c r="Y75" s="46"/>
      <c r="Z75" s="32"/>
      <c r="AA75" s="32"/>
      <c r="AB75" s="32"/>
      <c r="AC75" s="46"/>
      <c r="AD75" s="50"/>
      <c r="AE75" s="51"/>
      <c r="AF75" s="47"/>
      <c r="AG75" s="35">
        <v>60589642468</v>
      </c>
      <c r="AH75" s="35"/>
    </row>
    <row r="76" spans="1:49" s="18" customFormat="1">
      <c r="A76" s="33" t="s">
        <v>38</v>
      </c>
      <c r="B76" s="33" t="s">
        <v>111</v>
      </c>
      <c r="C76" s="33" t="s">
        <v>41</v>
      </c>
      <c r="D76" s="49">
        <v>42681</v>
      </c>
      <c r="E76" s="34">
        <v>738.99</v>
      </c>
      <c r="F76" s="34">
        <f>4125.24+13.099</f>
        <v>4138.3389999999999</v>
      </c>
      <c r="G76" s="31"/>
      <c r="H76" s="31"/>
      <c r="I76" s="34"/>
      <c r="J76" s="46">
        <f t="shared" si="48"/>
        <v>4138.3389999999999</v>
      </c>
      <c r="K76" s="34">
        <v>140.88999999999999</v>
      </c>
      <c r="L76" s="60"/>
      <c r="M76" s="34"/>
      <c r="N76" s="34">
        <v>150</v>
      </c>
      <c r="O76" s="61"/>
      <c r="P76" s="61"/>
      <c r="Q76" s="34"/>
      <c r="R76" s="32"/>
      <c r="S76" s="32"/>
      <c r="T76" s="33"/>
      <c r="U76" s="33"/>
      <c r="V76" s="33"/>
      <c r="W76" s="46">
        <f t="shared" si="47"/>
        <v>3847.4490000000001</v>
      </c>
      <c r="X76" s="32">
        <f t="shared" ref="X76" si="55">IF(J76&gt;2250,J76*0.1,0)</f>
        <v>413.83390000000003</v>
      </c>
      <c r="Y76" s="46">
        <f t="shared" ref="Y76" si="56">+W76-X76</f>
        <v>3433.6151</v>
      </c>
      <c r="Z76" s="32"/>
      <c r="AA76" s="32"/>
      <c r="AB76" s="32"/>
      <c r="AC76" s="46"/>
      <c r="AD76" s="50"/>
      <c r="AE76" s="51"/>
      <c r="AF76" s="47"/>
      <c r="AG76" s="35">
        <v>56710773131</v>
      </c>
      <c r="AH76" s="35"/>
    </row>
    <row r="77" spans="1:49" s="18" customFormat="1">
      <c r="A77" s="33" t="s">
        <v>40</v>
      </c>
      <c r="B77" s="33" t="s">
        <v>87</v>
      </c>
      <c r="C77" s="33" t="s">
        <v>101</v>
      </c>
      <c r="D77" s="49">
        <v>41227</v>
      </c>
      <c r="E77" s="34">
        <v>627.13</v>
      </c>
      <c r="F77" s="34">
        <f>2838.493+3.736</f>
        <v>2842.2289999999998</v>
      </c>
      <c r="G77" s="31"/>
      <c r="H77" s="31"/>
      <c r="I77" s="34"/>
      <c r="J77" s="46">
        <f t="shared" si="48"/>
        <v>2842.2289999999998</v>
      </c>
      <c r="K77" s="34">
        <v>165.09</v>
      </c>
      <c r="L77" s="60"/>
      <c r="M77" s="34"/>
      <c r="N77" s="32">
        <v>500</v>
      </c>
      <c r="O77" s="61" t="s">
        <v>130</v>
      </c>
      <c r="P77" s="61" t="s">
        <v>130</v>
      </c>
      <c r="Q77" s="34"/>
      <c r="R77" s="32"/>
      <c r="S77" s="32"/>
      <c r="T77" s="33"/>
      <c r="U77" s="33"/>
      <c r="V77" s="33"/>
      <c r="W77" s="46">
        <f t="shared" si="47"/>
        <v>2177.1389999999997</v>
      </c>
      <c r="X77" s="32">
        <f t="shared" si="49"/>
        <v>284.22289999999998</v>
      </c>
      <c r="Y77" s="46">
        <f t="shared" si="50"/>
        <v>1892.9160999999997</v>
      </c>
      <c r="Z77" s="32">
        <f t="shared" si="51"/>
        <v>0</v>
      </c>
      <c r="AA77" s="32">
        <v>10.23</v>
      </c>
      <c r="AB77" s="32" t="str">
        <f t="shared" si="52"/>
        <v>XX</v>
      </c>
      <c r="AC77" s="46" t="e">
        <f t="shared" si="53"/>
        <v>#VALUE!</v>
      </c>
      <c r="AD77" s="50"/>
      <c r="AE77" s="51"/>
      <c r="AF77" s="47">
        <f>+AD77+AE77-Y77</f>
        <v>-1892.9160999999997</v>
      </c>
      <c r="AG77" s="35">
        <v>56708845820</v>
      </c>
      <c r="AH77" s="35"/>
    </row>
    <row r="78" spans="1:49" s="18" customFormat="1">
      <c r="A78" s="33" t="s">
        <v>40</v>
      </c>
      <c r="B78" s="33" t="s">
        <v>62</v>
      </c>
      <c r="C78" s="33" t="s">
        <v>101</v>
      </c>
      <c r="D78" s="49">
        <v>41227</v>
      </c>
      <c r="E78" s="34">
        <v>627.13</v>
      </c>
      <c r="F78" s="34">
        <f>5126.4+2.972</f>
        <v>5129.3719999999994</v>
      </c>
      <c r="G78" s="31"/>
      <c r="H78" s="31"/>
      <c r="I78" s="34"/>
      <c r="J78" s="46">
        <f t="shared" si="48"/>
        <v>5129.3719999999994</v>
      </c>
      <c r="K78" s="34">
        <v>165.09</v>
      </c>
      <c r="L78" s="60"/>
      <c r="M78" s="34"/>
      <c r="N78" s="34">
        <v>1000</v>
      </c>
      <c r="O78" s="61" t="s">
        <v>130</v>
      </c>
      <c r="P78" s="61" t="s">
        <v>130</v>
      </c>
      <c r="Q78" s="34"/>
      <c r="R78" s="32"/>
      <c r="S78" s="32"/>
      <c r="T78" s="33"/>
      <c r="U78" s="33"/>
      <c r="V78" s="33"/>
      <c r="W78" s="46">
        <f t="shared" si="47"/>
        <v>3964.2819999999992</v>
      </c>
      <c r="X78" s="32">
        <f t="shared" si="49"/>
        <v>512.93719999999996</v>
      </c>
      <c r="Y78" s="46">
        <f t="shared" si="50"/>
        <v>3451.3447999999994</v>
      </c>
      <c r="Z78" s="32">
        <f t="shared" si="51"/>
        <v>0</v>
      </c>
      <c r="AA78" s="32">
        <v>10.23</v>
      </c>
      <c r="AB78" s="32" t="str">
        <f t="shared" si="52"/>
        <v>XX</v>
      </c>
      <c r="AC78" s="46" t="e">
        <f t="shared" si="53"/>
        <v>#VALUE!</v>
      </c>
      <c r="AD78" s="50"/>
      <c r="AE78" s="51"/>
      <c r="AF78" s="47">
        <f>+AD78+AE78-Y78</f>
        <v>-3451.3447999999994</v>
      </c>
      <c r="AG78" s="35">
        <v>56708845834</v>
      </c>
      <c r="AH78" s="35"/>
    </row>
    <row r="79" spans="1:49" s="18" customFormat="1">
      <c r="A79" s="33" t="s">
        <v>40</v>
      </c>
      <c r="B79" s="33" t="s">
        <v>127</v>
      </c>
      <c r="C79" s="33" t="s">
        <v>115</v>
      </c>
      <c r="D79" s="49">
        <v>42842</v>
      </c>
      <c r="E79" s="34">
        <v>618.52</v>
      </c>
      <c r="F79" s="34">
        <f>3446.198+5.571</f>
        <v>3451.7689999999998</v>
      </c>
      <c r="G79" s="31"/>
      <c r="H79" s="31"/>
      <c r="I79" s="34"/>
      <c r="J79" s="46">
        <f t="shared" si="48"/>
        <v>3451.7689999999998</v>
      </c>
      <c r="K79" s="34">
        <v>165.09</v>
      </c>
      <c r="L79" s="60">
        <v>1</v>
      </c>
      <c r="M79" s="34"/>
      <c r="N79" s="34"/>
      <c r="O79" s="61" t="s">
        <v>130</v>
      </c>
      <c r="P79" s="61" t="s">
        <v>130</v>
      </c>
      <c r="Q79" s="34"/>
      <c r="R79" s="32"/>
      <c r="S79" s="32"/>
      <c r="T79" s="33"/>
      <c r="U79" s="33"/>
      <c r="V79" s="33"/>
      <c r="W79" s="46">
        <f t="shared" si="47"/>
        <v>3285.6789999999996</v>
      </c>
      <c r="X79" s="32"/>
      <c r="Y79" s="46"/>
      <c r="Z79" s="32"/>
      <c r="AA79" s="32"/>
      <c r="AB79" s="32"/>
      <c r="AC79" s="46"/>
      <c r="AD79" s="50"/>
      <c r="AE79" s="51"/>
      <c r="AF79" s="47"/>
      <c r="AG79" s="35">
        <v>60590100738</v>
      </c>
      <c r="AH79" s="35"/>
    </row>
    <row r="80" spans="1:49" s="18" customFormat="1">
      <c r="A80" s="33" t="s">
        <v>38</v>
      </c>
      <c r="B80" s="33" t="s">
        <v>63</v>
      </c>
      <c r="C80" s="33" t="s">
        <v>41</v>
      </c>
      <c r="D80" s="49">
        <v>42319</v>
      </c>
      <c r="E80" s="34">
        <v>739.2</v>
      </c>
      <c r="F80" s="34">
        <f>3535.92+13.099</f>
        <v>3549.0190000000002</v>
      </c>
      <c r="G80" s="31"/>
      <c r="H80" s="31"/>
      <c r="I80" s="34"/>
      <c r="J80" s="46">
        <f t="shared" si="48"/>
        <v>3549.0190000000002</v>
      </c>
      <c r="K80" s="34">
        <v>140.88999999999999</v>
      </c>
      <c r="L80" s="60"/>
      <c r="M80" s="34"/>
      <c r="N80" s="34"/>
      <c r="O80" s="61"/>
      <c r="P80" s="61"/>
      <c r="Q80" s="34"/>
      <c r="R80" s="32"/>
      <c r="S80" s="32"/>
      <c r="T80" s="33"/>
      <c r="U80" s="33"/>
      <c r="V80" s="33"/>
      <c r="W80" s="46">
        <f t="shared" si="47"/>
        <v>3408.1290000000004</v>
      </c>
      <c r="X80" s="32">
        <f t="shared" ref="X80:X111" si="57">IF(J80&gt;2250,J80*0.1,0)</f>
        <v>354.90190000000007</v>
      </c>
      <c r="Y80" s="46">
        <f t="shared" ref="Y80:Y111" si="58">+W80-X80</f>
        <v>3053.2271000000001</v>
      </c>
      <c r="Z80" s="32">
        <f t="shared" ref="Z80:Z111" si="59">IF(J80&lt;2250,J80*0.1,0)</f>
        <v>0</v>
      </c>
      <c r="AA80" s="32">
        <v>19.23</v>
      </c>
      <c r="AB80" s="32">
        <f t="shared" ref="AB80:AB111" si="60">+O80</f>
        <v>0</v>
      </c>
      <c r="AC80" s="46">
        <f t="shared" ref="AC80:AC111" si="61">+J80+Z80+AA80+AB80</f>
        <v>3568.2490000000003</v>
      </c>
      <c r="AD80" s="50"/>
      <c r="AE80" s="51"/>
      <c r="AF80" s="47">
        <f>+AD80+AE80-Y80</f>
        <v>-3053.2271000000001</v>
      </c>
      <c r="AG80" s="35">
        <v>56708881901</v>
      </c>
      <c r="AH80" s="35"/>
    </row>
    <row r="81" spans="1:34" s="18" customFormat="1">
      <c r="A81" s="33" t="s">
        <v>40</v>
      </c>
      <c r="B81" s="33" t="s">
        <v>192</v>
      </c>
      <c r="C81" s="33" t="s">
        <v>97</v>
      </c>
      <c r="D81" s="49">
        <v>43115</v>
      </c>
      <c r="E81" s="34">
        <v>618.52</v>
      </c>
      <c r="F81" s="34">
        <v>544.79999999999995</v>
      </c>
      <c r="G81" s="31"/>
      <c r="H81" s="31"/>
      <c r="I81" s="34"/>
      <c r="J81" s="46">
        <f t="shared" si="48"/>
        <v>544.79999999999995</v>
      </c>
      <c r="K81" s="34">
        <v>165.09</v>
      </c>
      <c r="L81" s="60"/>
      <c r="M81" s="34"/>
      <c r="N81" s="34"/>
      <c r="O81" s="61"/>
      <c r="P81" s="61"/>
      <c r="Q81" s="34"/>
      <c r="R81" s="32"/>
      <c r="S81" s="32"/>
      <c r="T81" s="33"/>
      <c r="U81" s="33"/>
      <c r="V81" s="33"/>
      <c r="W81" s="46">
        <f t="shared" si="47"/>
        <v>379.70999999999992</v>
      </c>
      <c r="X81" s="32"/>
      <c r="Y81" s="46"/>
      <c r="Z81" s="32"/>
      <c r="AA81" s="32"/>
      <c r="AB81" s="32"/>
      <c r="AC81" s="46"/>
      <c r="AD81" s="50"/>
      <c r="AE81" s="51"/>
      <c r="AF81" s="47"/>
      <c r="AG81" s="35">
        <v>60598596794</v>
      </c>
      <c r="AH81" s="35"/>
    </row>
    <row r="82" spans="1:34" s="18" customFormat="1">
      <c r="A82" s="33" t="s">
        <v>38</v>
      </c>
      <c r="B82" s="33" t="s">
        <v>131</v>
      </c>
      <c r="C82" s="33" t="s">
        <v>41</v>
      </c>
      <c r="D82" s="49">
        <v>42884</v>
      </c>
      <c r="E82" s="34">
        <v>739.27</v>
      </c>
      <c r="F82" s="34">
        <f>5269.547+7.428</f>
        <v>5276.9749999999995</v>
      </c>
      <c r="G82" s="31"/>
      <c r="H82" s="31"/>
      <c r="I82" s="34"/>
      <c r="J82" s="46">
        <f t="shared" si="48"/>
        <v>5276.9749999999995</v>
      </c>
      <c r="K82" s="34">
        <v>140.88999999999999</v>
      </c>
      <c r="L82" s="60"/>
      <c r="M82" s="34"/>
      <c r="N82" s="34"/>
      <c r="O82" s="61"/>
      <c r="P82" s="61"/>
      <c r="Q82" s="34"/>
      <c r="R82" s="32"/>
      <c r="S82" s="32"/>
      <c r="T82" s="33"/>
      <c r="U82" s="33"/>
      <c r="V82" s="33"/>
      <c r="W82" s="46">
        <f t="shared" si="47"/>
        <v>5136.0849999999991</v>
      </c>
      <c r="X82" s="32"/>
      <c r="Y82" s="46"/>
      <c r="Z82" s="32"/>
      <c r="AA82" s="32"/>
      <c r="AB82" s="32"/>
      <c r="AC82" s="46"/>
      <c r="AD82" s="50"/>
      <c r="AE82" s="51"/>
      <c r="AF82" s="47"/>
      <c r="AG82" s="35">
        <v>60592118015</v>
      </c>
      <c r="AH82" s="35"/>
    </row>
    <row r="83" spans="1:34" s="18" customFormat="1">
      <c r="A83" s="33" t="s">
        <v>40</v>
      </c>
      <c r="B83" s="33" t="s">
        <v>121</v>
      </c>
      <c r="C83" s="33" t="s">
        <v>97</v>
      </c>
      <c r="D83" s="49">
        <v>42807</v>
      </c>
      <c r="E83" s="34">
        <v>618.52</v>
      </c>
      <c r="F83" s="34">
        <v>1425.4169999999999</v>
      </c>
      <c r="G83" s="31"/>
      <c r="H83" s="31"/>
      <c r="I83" s="34"/>
      <c r="J83" s="46">
        <f t="shared" si="48"/>
        <v>1425.4169999999999</v>
      </c>
      <c r="K83" s="34">
        <v>165.09</v>
      </c>
      <c r="L83" s="60">
        <v>1</v>
      </c>
      <c r="M83" s="34"/>
      <c r="N83" s="34"/>
      <c r="O83" s="61" t="s">
        <v>130</v>
      </c>
      <c r="P83" s="61" t="s">
        <v>130</v>
      </c>
      <c r="Q83" s="34"/>
      <c r="R83" s="32"/>
      <c r="S83" s="32"/>
      <c r="T83" s="33"/>
      <c r="U83" s="33"/>
      <c r="V83" s="33"/>
      <c r="W83" s="46">
        <f t="shared" si="47"/>
        <v>1259.327</v>
      </c>
      <c r="X83" s="32"/>
      <c r="Y83" s="46"/>
      <c r="Z83" s="32"/>
      <c r="AA83" s="32"/>
      <c r="AB83" s="32"/>
      <c r="AC83" s="46"/>
      <c r="AD83" s="50"/>
      <c r="AE83" s="51"/>
      <c r="AF83" s="47"/>
      <c r="AG83" s="35" t="s">
        <v>143</v>
      </c>
      <c r="AH83" s="35"/>
    </row>
    <row r="84" spans="1:34" s="18" customFormat="1">
      <c r="A84" s="33" t="s">
        <v>40</v>
      </c>
      <c r="B84" s="33" t="s">
        <v>49</v>
      </c>
      <c r="C84" s="33" t="s">
        <v>115</v>
      </c>
      <c r="D84" s="49">
        <v>41981</v>
      </c>
      <c r="E84" s="34">
        <v>618.52</v>
      </c>
      <c r="F84" s="34">
        <f>711.078+2.599</f>
        <v>713.67700000000002</v>
      </c>
      <c r="G84" s="31"/>
      <c r="H84" s="31"/>
      <c r="I84" s="34"/>
      <c r="J84" s="46">
        <f t="shared" si="48"/>
        <v>713.67700000000002</v>
      </c>
      <c r="K84" s="34">
        <v>165.09</v>
      </c>
      <c r="L84" s="60"/>
      <c r="M84" s="34"/>
      <c r="N84" s="34">
        <v>400</v>
      </c>
      <c r="O84" s="61" t="s">
        <v>130</v>
      </c>
      <c r="P84" s="61" t="s">
        <v>130</v>
      </c>
      <c r="Q84" s="34"/>
      <c r="R84" s="32"/>
      <c r="S84" s="32"/>
      <c r="T84" s="33"/>
      <c r="U84" s="33"/>
      <c r="V84" s="33"/>
      <c r="W84" s="46">
        <f t="shared" si="47"/>
        <v>148.58699999999999</v>
      </c>
      <c r="X84" s="32">
        <f t="shared" si="57"/>
        <v>0</v>
      </c>
      <c r="Y84" s="46">
        <f t="shared" si="58"/>
        <v>148.58699999999999</v>
      </c>
      <c r="Z84" s="32">
        <f t="shared" si="59"/>
        <v>71.367699999999999</v>
      </c>
      <c r="AA84" s="32">
        <v>10.23</v>
      </c>
      <c r="AB84" s="32" t="str">
        <f t="shared" si="60"/>
        <v>XX</v>
      </c>
      <c r="AC84" s="46" t="e">
        <f t="shared" si="61"/>
        <v>#VALUE!</v>
      </c>
      <c r="AD84" s="50"/>
      <c r="AE84" s="51"/>
      <c r="AF84" s="47">
        <f t="shared" ref="AF84:AF111" si="62">+AD84+AE84-Y84</f>
        <v>-148.58699999999999</v>
      </c>
      <c r="AG84" s="35">
        <v>56708845851</v>
      </c>
      <c r="AH84" s="35"/>
    </row>
    <row r="85" spans="1:34" s="18" customFormat="1">
      <c r="A85" s="33" t="s">
        <v>38</v>
      </c>
      <c r="B85" s="33" t="s">
        <v>185</v>
      </c>
      <c r="C85" s="33" t="s">
        <v>174</v>
      </c>
      <c r="D85" s="49">
        <v>43075</v>
      </c>
      <c r="E85" s="34">
        <v>627.05999999999995</v>
      </c>
      <c r="F85" s="34">
        <f>3179.489+7.428</f>
        <v>3186.9169999999999</v>
      </c>
      <c r="G85" s="31"/>
      <c r="H85" s="31"/>
      <c r="I85" s="34"/>
      <c r="J85" s="46">
        <f t="shared" si="48"/>
        <v>3186.9169999999999</v>
      </c>
      <c r="K85" s="34">
        <v>140.88999999999999</v>
      </c>
      <c r="L85" s="60"/>
      <c r="M85" s="34"/>
      <c r="N85" s="34"/>
      <c r="O85" s="61"/>
      <c r="P85" s="61"/>
      <c r="Q85" s="34"/>
      <c r="R85" s="32"/>
      <c r="S85" s="32"/>
      <c r="T85" s="33"/>
      <c r="U85" s="33"/>
      <c r="V85" s="33"/>
      <c r="W85" s="46">
        <f t="shared" si="47"/>
        <v>3046.027</v>
      </c>
      <c r="X85" s="32"/>
      <c r="Y85" s="46"/>
      <c r="Z85" s="32"/>
      <c r="AA85" s="32"/>
      <c r="AB85" s="32"/>
      <c r="AC85" s="46"/>
      <c r="AD85" s="50"/>
      <c r="AE85" s="51"/>
      <c r="AF85" s="47"/>
      <c r="AG85" s="35">
        <v>60597668810</v>
      </c>
      <c r="AH85" s="35"/>
    </row>
    <row r="86" spans="1:34" s="18" customFormat="1">
      <c r="A86" s="33" t="s">
        <v>40</v>
      </c>
      <c r="B86" s="33" t="s">
        <v>71</v>
      </c>
      <c r="C86" s="33" t="s">
        <v>101</v>
      </c>
      <c r="D86" s="49">
        <v>41284</v>
      </c>
      <c r="E86" s="34">
        <v>627.13</v>
      </c>
      <c r="F86" s="34">
        <f>1869.655+2.599</f>
        <v>1872.2539999999999</v>
      </c>
      <c r="G86" s="31"/>
      <c r="H86" s="31"/>
      <c r="I86" s="34"/>
      <c r="J86" s="46">
        <f t="shared" si="48"/>
        <v>1872.2539999999999</v>
      </c>
      <c r="K86" s="34">
        <v>165.09</v>
      </c>
      <c r="L86" s="60"/>
      <c r="M86" s="34"/>
      <c r="N86" s="34"/>
      <c r="O86" s="61" t="s">
        <v>130</v>
      </c>
      <c r="P86" s="61" t="s">
        <v>130</v>
      </c>
      <c r="Q86" s="34"/>
      <c r="R86" s="32"/>
      <c r="S86" s="32"/>
      <c r="T86" s="33"/>
      <c r="U86" s="33"/>
      <c r="V86" s="33"/>
      <c r="W86" s="46">
        <f t="shared" si="47"/>
        <v>1707.164</v>
      </c>
      <c r="X86" s="32">
        <f t="shared" si="57"/>
        <v>0</v>
      </c>
      <c r="Y86" s="46">
        <f t="shared" si="58"/>
        <v>1707.164</v>
      </c>
      <c r="Z86" s="32">
        <f t="shared" si="59"/>
        <v>187.22540000000001</v>
      </c>
      <c r="AA86" s="32">
        <v>10.23</v>
      </c>
      <c r="AB86" s="32" t="str">
        <f t="shared" si="60"/>
        <v>XX</v>
      </c>
      <c r="AC86" s="46" t="e">
        <f t="shared" si="61"/>
        <v>#VALUE!</v>
      </c>
      <c r="AD86" s="50"/>
      <c r="AE86" s="51"/>
      <c r="AF86" s="47">
        <f t="shared" si="62"/>
        <v>-1707.164</v>
      </c>
      <c r="AG86" s="35">
        <v>56708881915</v>
      </c>
      <c r="AH86" s="35"/>
    </row>
    <row r="87" spans="1:34" s="18" customFormat="1">
      <c r="A87" s="33" t="s">
        <v>38</v>
      </c>
      <c r="B87" s="33" t="s">
        <v>148</v>
      </c>
      <c r="C87" s="33" t="s">
        <v>41</v>
      </c>
      <c r="D87" s="49">
        <v>42823</v>
      </c>
      <c r="E87" s="34">
        <v>618.52</v>
      </c>
      <c r="F87" s="34">
        <f>5607.38+13.099</f>
        <v>5620.4790000000003</v>
      </c>
      <c r="G87" s="31"/>
      <c r="H87" s="31"/>
      <c r="I87" s="34"/>
      <c r="J87" s="46">
        <f t="shared" si="48"/>
        <v>5620.4790000000003</v>
      </c>
      <c r="K87" s="34">
        <v>140.88999999999999</v>
      </c>
      <c r="L87" s="60">
        <v>1</v>
      </c>
      <c r="M87" s="34"/>
      <c r="N87" s="34"/>
      <c r="O87" s="61"/>
      <c r="P87" s="61"/>
      <c r="Q87" s="34"/>
      <c r="R87" s="32"/>
      <c r="S87" s="32"/>
      <c r="T87" s="33"/>
      <c r="U87" s="33"/>
      <c r="V87" s="33"/>
      <c r="W87" s="46">
        <f t="shared" si="47"/>
        <v>5478.5889999999999</v>
      </c>
      <c r="X87" s="32"/>
      <c r="Y87" s="46"/>
      <c r="Z87" s="32"/>
      <c r="AA87" s="32"/>
      <c r="AB87" s="32"/>
      <c r="AC87" s="46"/>
      <c r="AD87" s="50"/>
      <c r="AE87" s="51"/>
      <c r="AF87" s="47"/>
      <c r="AG87" s="35">
        <v>60589704184</v>
      </c>
      <c r="AH87" s="35"/>
    </row>
    <row r="88" spans="1:34" s="18" customFormat="1">
      <c r="A88" s="33" t="s">
        <v>40</v>
      </c>
      <c r="B88" s="33" t="s">
        <v>51</v>
      </c>
      <c r="C88" s="33" t="s">
        <v>101</v>
      </c>
      <c r="D88" s="49">
        <v>41227</v>
      </c>
      <c r="E88" s="34">
        <v>627.13</v>
      </c>
      <c r="F88" s="34">
        <f>3846.936+2.972</f>
        <v>3849.9080000000004</v>
      </c>
      <c r="G88" s="31"/>
      <c r="H88" s="31"/>
      <c r="I88" s="34"/>
      <c r="J88" s="46">
        <f t="shared" si="48"/>
        <v>3849.9080000000004</v>
      </c>
      <c r="K88" s="34">
        <v>165.09</v>
      </c>
      <c r="L88" s="60"/>
      <c r="M88" s="34"/>
      <c r="N88" s="34"/>
      <c r="O88" s="61" t="s">
        <v>130</v>
      </c>
      <c r="P88" s="61" t="s">
        <v>130</v>
      </c>
      <c r="Q88" s="34"/>
      <c r="R88" s="32"/>
      <c r="S88" s="32"/>
      <c r="T88" s="33"/>
      <c r="U88" s="33"/>
      <c r="V88" s="33"/>
      <c r="W88" s="46">
        <f t="shared" si="47"/>
        <v>3684.8180000000002</v>
      </c>
      <c r="X88" s="32">
        <f t="shared" si="57"/>
        <v>384.99080000000004</v>
      </c>
      <c r="Y88" s="46">
        <f t="shared" si="58"/>
        <v>3299.8272000000002</v>
      </c>
      <c r="Z88" s="32">
        <f t="shared" si="59"/>
        <v>0</v>
      </c>
      <c r="AA88" s="32">
        <v>10.23</v>
      </c>
      <c r="AB88" s="32" t="str">
        <f t="shared" si="60"/>
        <v>XX</v>
      </c>
      <c r="AC88" s="46" t="e">
        <f t="shared" si="61"/>
        <v>#VALUE!</v>
      </c>
      <c r="AD88" s="50"/>
      <c r="AE88" s="51"/>
      <c r="AF88" s="47">
        <f t="shared" si="62"/>
        <v>-3299.8272000000002</v>
      </c>
      <c r="AG88" s="35">
        <v>56708845865</v>
      </c>
      <c r="AH88" s="35"/>
    </row>
    <row r="89" spans="1:34" s="18" customFormat="1">
      <c r="A89" s="33" t="s">
        <v>38</v>
      </c>
      <c r="B89" s="33" t="s">
        <v>64</v>
      </c>
      <c r="C89" s="33" t="s">
        <v>41</v>
      </c>
      <c r="D89" s="49">
        <v>41493</v>
      </c>
      <c r="E89" s="34">
        <v>739.2</v>
      </c>
      <c r="F89" s="34">
        <f>4387.16+13.099</f>
        <v>4400.259</v>
      </c>
      <c r="G89" s="31"/>
      <c r="H89" s="31"/>
      <c r="I89" s="34"/>
      <c r="J89" s="46">
        <f t="shared" si="48"/>
        <v>4400.259</v>
      </c>
      <c r="K89" s="34">
        <v>140.88999999999999</v>
      </c>
      <c r="L89" s="60">
        <v>1</v>
      </c>
      <c r="M89" s="34"/>
      <c r="N89" s="34"/>
      <c r="O89" s="61"/>
      <c r="P89" s="61"/>
      <c r="Q89" s="34"/>
      <c r="R89" s="32"/>
      <c r="S89" s="32"/>
      <c r="T89" s="33"/>
      <c r="U89" s="33"/>
      <c r="V89" s="33"/>
      <c r="W89" s="46">
        <f t="shared" si="47"/>
        <v>4258.3689999999997</v>
      </c>
      <c r="X89" s="32">
        <f t="shared" si="57"/>
        <v>440.02590000000004</v>
      </c>
      <c r="Y89" s="46">
        <f t="shared" si="58"/>
        <v>3818.3430999999996</v>
      </c>
      <c r="Z89" s="32">
        <f t="shared" si="59"/>
        <v>0</v>
      </c>
      <c r="AA89" s="32">
        <v>10.23</v>
      </c>
      <c r="AB89" s="32">
        <f t="shared" si="60"/>
        <v>0</v>
      </c>
      <c r="AC89" s="46">
        <f t="shared" si="61"/>
        <v>4410.4889999999996</v>
      </c>
      <c r="AD89" s="50"/>
      <c r="AE89" s="51"/>
      <c r="AF89" s="47">
        <f t="shared" si="62"/>
        <v>-3818.3430999999996</v>
      </c>
      <c r="AG89" s="35">
        <v>56708845879</v>
      </c>
      <c r="AH89" s="35"/>
    </row>
    <row r="90" spans="1:34" s="18" customFormat="1">
      <c r="A90" s="33" t="s">
        <v>40</v>
      </c>
      <c r="B90" s="33" t="s">
        <v>94</v>
      </c>
      <c r="C90" s="33" t="s">
        <v>115</v>
      </c>
      <c r="D90" s="49">
        <v>42493</v>
      </c>
      <c r="E90" s="34">
        <v>618.52</v>
      </c>
      <c r="F90" s="34">
        <f>1086.978+3.736</f>
        <v>1090.7140000000002</v>
      </c>
      <c r="G90" s="31"/>
      <c r="H90" s="31"/>
      <c r="I90" s="34"/>
      <c r="J90" s="46">
        <f t="shared" si="48"/>
        <v>1090.7140000000002</v>
      </c>
      <c r="K90" s="34">
        <v>165.09</v>
      </c>
      <c r="L90" s="60"/>
      <c r="M90" s="34"/>
      <c r="N90" s="34"/>
      <c r="O90" s="61" t="s">
        <v>130</v>
      </c>
      <c r="P90" s="61" t="s">
        <v>130</v>
      </c>
      <c r="Q90" s="34"/>
      <c r="R90" s="32"/>
      <c r="S90" s="32"/>
      <c r="T90" s="33"/>
      <c r="U90" s="33"/>
      <c r="V90" s="33"/>
      <c r="W90" s="46">
        <f t="shared" si="47"/>
        <v>925.62400000000014</v>
      </c>
      <c r="X90" s="32">
        <f t="shared" si="57"/>
        <v>0</v>
      </c>
      <c r="Y90" s="46">
        <f t="shared" si="58"/>
        <v>925.62400000000014</v>
      </c>
      <c r="Z90" s="32">
        <f t="shared" si="59"/>
        <v>109.07140000000003</v>
      </c>
      <c r="AA90" s="32">
        <v>10.23</v>
      </c>
      <c r="AB90" s="32" t="str">
        <f t="shared" si="60"/>
        <v>XX</v>
      </c>
      <c r="AC90" s="46" t="e">
        <f t="shared" si="61"/>
        <v>#VALUE!</v>
      </c>
      <c r="AD90" s="50"/>
      <c r="AE90" s="51"/>
      <c r="AF90" s="47">
        <f t="shared" si="62"/>
        <v>-925.62400000000014</v>
      </c>
      <c r="AG90" s="35">
        <v>56708845882</v>
      </c>
      <c r="AH90" s="35"/>
    </row>
    <row r="91" spans="1:34" s="18" customFormat="1">
      <c r="A91" s="33" t="s">
        <v>40</v>
      </c>
      <c r="B91" s="33" t="s">
        <v>193</v>
      </c>
      <c r="C91" s="33" t="s">
        <v>97</v>
      </c>
      <c r="D91" s="49">
        <v>43115</v>
      </c>
      <c r="E91" s="34">
        <v>615.52</v>
      </c>
      <c r="F91" s="34">
        <v>357.5</v>
      </c>
      <c r="G91" s="31"/>
      <c r="H91" s="31"/>
      <c r="I91" s="34"/>
      <c r="J91" s="46">
        <f t="shared" si="48"/>
        <v>357.5</v>
      </c>
      <c r="K91" s="34">
        <v>165.09</v>
      </c>
      <c r="L91" s="60"/>
      <c r="M91" s="34"/>
      <c r="N91" s="34"/>
      <c r="O91" s="61"/>
      <c r="P91" s="61"/>
      <c r="Q91" s="34"/>
      <c r="R91" s="32"/>
      <c r="S91" s="32"/>
      <c r="T91" s="33"/>
      <c r="U91" s="33"/>
      <c r="V91" s="33"/>
      <c r="W91" s="46">
        <f t="shared" si="47"/>
        <v>192.41</v>
      </c>
      <c r="X91" s="32"/>
      <c r="Y91" s="46"/>
      <c r="Z91" s="32"/>
      <c r="AA91" s="32"/>
      <c r="AB91" s="32"/>
      <c r="AC91" s="46"/>
      <c r="AD91" s="50"/>
      <c r="AE91" s="51"/>
      <c r="AF91" s="47"/>
      <c r="AG91" s="35">
        <v>60598509182</v>
      </c>
      <c r="AH91" s="35"/>
    </row>
    <row r="92" spans="1:34" s="18" customFormat="1">
      <c r="A92" s="33" t="s">
        <v>38</v>
      </c>
      <c r="B92" s="33" t="s">
        <v>144</v>
      </c>
      <c r="C92" s="33" t="s">
        <v>41</v>
      </c>
      <c r="D92" s="49">
        <v>42716</v>
      </c>
      <c r="E92" s="34">
        <v>1200.01</v>
      </c>
      <c r="F92" s="34">
        <f>5214.541+5.571-461.01</f>
        <v>4759.1019999999999</v>
      </c>
      <c r="G92" s="31"/>
      <c r="H92" s="31"/>
      <c r="I92" s="34"/>
      <c r="J92" s="46">
        <f t="shared" si="48"/>
        <v>4759.1019999999999</v>
      </c>
      <c r="K92" s="34">
        <v>140.88999999999999</v>
      </c>
      <c r="L92" s="60"/>
      <c r="M92" s="34"/>
      <c r="N92" s="34"/>
      <c r="O92" s="61"/>
      <c r="P92" s="61"/>
      <c r="Q92" s="34"/>
      <c r="R92" s="32"/>
      <c r="S92" s="32"/>
      <c r="T92" s="33"/>
      <c r="U92" s="33"/>
      <c r="V92" s="33">
        <v>311.29000000000002</v>
      </c>
      <c r="W92" s="46">
        <f t="shared" si="47"/>
        <v>4306.9219999999996</v>
      </c>
      <c r="X92" s="32">
        <f t="shared" ref="X92" si="63">IF(J92&gt;2250,J92*0.1,0)</f>
        <v>475.91020000000003</v>
      </c>
      <c r="Y92" s="46">
        <f t="shared" ref="Y92" si="64">+W92-X92</f>
        <v>3831.0117999999993</v>
      </c>
      <c r="Z92" s="32"/>
      <c r="AA92" s="32"/>
      <c r="AB92" s="32">
        <f t="shared" si="60"/>
        <v>0</v>
      </c>
      <c r="AC92" s="46"/>
      <c r="AD92" s="50"/>
      <c r="AE92" s="51"/>
      <c r="AF92" s="47"/>
      <c r="AG92" s="35">
        <v>60589845501</v>
      </c>
      <c r="AH92" s="35"/>
    </row>
    <row r="93" spans="1:34" s="18" customFormat="1">
      <c r="A93" s="33" t="s">
        <v>38</v>
      </c>
      <c r="B93" s="33" t="s">
        <v>149</v>
      </c>
      <c r="C93" s="33" t="s">
        <v>41</v>
      </c>
      <c r="D93" s="49">
        <v>42909</v>
      </c>
      <c r="E93" s="34">
        <v>738.99</v>
      </c>
      <c r="F93" s="34">
        <f>3872.978+5.571</f>
        <v>3878.549</v>
      </c>
      <c r="G93" s="31"/>
      <c r="H93" s="31"/>
      <c r="I93" s="34"/>
      <c r="J93" s="46">
        <f t="shared" si="48"/>
        <v>3878.549</v>
      </c>
      <c r="K93" s="34">
        <v>140.88999999999999</v>
      </c>
      <c r="L93" s="60"/>
      <c r="M93" s="34"/>
      <c r="N93" s="34"/>
      <c r="O93" s="61"/>
      <c r="P93" s="61"/>
      <c r="Q93" s="34"/>
      <c r="R93" s="32"/>
      <c r="S93" s="32"/>
      <c r="T93" s="33"/>
      <c r="U93" s="33"/>
      <c r="V93" s="58"/>
      <c r="W93" s="46">
        <f t="shared" si="47"/>
        <v>3737.6590000000001</v>
      </c>
      <c r="X93" s="32"/>
      <c r="Y93" s="46"/>
      <c r="Z93" s="32"/>
      <c r="AA93" s="32"/>
      <c r="AB93" s="32"/>
      <c r="AC93" s="46"/>
      <c r="AD93" s="50"/>
      <c r="AE93" s="50"/>
      <c r="AF93" s="47"/>
      <c r="AG93" s="35">
        <v>60592420864</v>
      </c>
      <c r="AH93" s="35"/>
    </row>
    <row r="94" spans="1:34" s="18" customFormat="1">
      <c r="A94" s="33" t="s">
        <v>40</v>
      </c>
      <c r="B94" s="33" t="s">
        <v>56</v>
      </c>
      <c r="C94" s="33" t="s">
        <v>100</v>
      </c>
      <c r="D94" s="49">
        <v>36868</v>
      </c>
      <c r="E94" s="34">
        <v>627.13</v>
      </c>
      <c r="F94" s="34">
        <f>1410.898+3.714</f>
        <v>1414.6119999999999</v>
      </c>
      <c r="G94" s="31"/>
      <c r="H94" s="31"/>
      <c r="I94" s="34"/>
      <c r="J94" s="46">
        <f t="shared" si="48"/>
        <v>1414.6119999999999</v>
      </c>
      <c r="K94" s="34">
        <v>165.09</v>
      </c>
      <c r="L94" s="60"/>
      <c r="M94" s="34"/>
      <c r="N94" s="34"/>
      <c r="O94" s="61" t="s">
        <v>130</v>
      </c>
      <c r="P94" s="61" t="s">
        <v>130</v>
      </c>
      <c r="Q94" s="34"/>
      <c r="R94" s="32"/>
      <c r="S94" s="32"/>
      <c r="T94" s="33"/>
      <c r="U94" s="33"/>
      <c r="V94" s="33"/>
      <c r="W94" s="46">
        <f t="shared" si="47"/>
        <v>1249.5219999999999</v>
      </c>
      <c r="X94" s="32">
        <f t="shared" si="57"/>
        <v>0</v>
      </c>
      <c r="Y94" s="46">
        <f t="shared" si="58"/>
        <v>1249.5219999999999</v>
      </c>
      <c r="Z94" s="32">
        <f t="shared" si="59"/>
        <v>141.46119999999999</v>
      </c>
      <c r="AA94" s="32">
        <v>10.23</v>
      </c>
      <c r="AB94" s="32" t="str">
        <f t="shared" si="60"/>
        <v>XX</v>
      </c>
      <c r="AC94" s="46" t="e">
        <f t="shared" si="61"/>
        <v>#VALUE!</v>
      </c>
      <c r="AD94" s="50"/>
      <c r="AE94" s="50"/>
      <c r="AF94" s="47">
        <f t="shared" si="62"/>
        <v>-1249.5219999999999</v>
      </c>
      <c r="AG94" s="35">
        <v>56708845911</v>
      </c>
      <c r="AH94" s="35"/>
    </row>
    <row r="95" spans="1:34" s="18" customFormat="1">
      <c r="A95" s="33" t="s">
        <v>40</v>
      </c>
      <c r="B95" s="33" t="s">
        <v>54</v>
      </c>
      <c r="C95" s="33" t="s">
        <v>98</v>
      </c>
      <c r="D95" s="49">
        <v>41949</v>
      </c>
      <c r="E95" s="34">
        <v>618.52</v>
      </c>
      <c r="F95" s="34">
        <f>3577.8+7.428</f>
        <v>3585.2280000000001</v>
      </c>
      <c r="G95" s="31"/>
      <c r="H95" s="31">
        <v>1328.55</v>
      </c>
      <c r="I95" s="34"/>
      <c r="J95" s="46">
        <f t="shared" si="48"/>
        <v>4913.7780000000002</v>
      </c>
      <c r="K95" s="34">
        <v>165.09</v>
      </c>
      <c r="L95" s="60"/>
      <c r="M95" s="34"/>
      <c r="N95" s="34">
        <v>500</v>
      </c>
      <c r="O95" s="61" t="s">
        <v>130</v>
      </c>
      <c r="P95" s="61" t="s">
        <v>130</v>
      </c>
      <c r="Q95" s="34"/>
      <c r="R95" s="32"/>
      <c r="S95" s="32"/>
      <c r="T95" s="33"/>
      <c r="U95" s="33"/>
      <c r="V95" s="33"/>
      <c r="W95" s="46">
        <f t="shared" si="47"/>
        <v>4248.6880000000001</v>
      </c>
      <c r="X95" s="32">
        <f t="shared" si="57"/>
        <v>491.37780000000004</v>
      </c>
      <c r="Y95" s="46">
        <f t="shared" si="58"/>
        <v>3757.3101999999999</v>
      </c>
      <c r="Z95" s="32">
        <f t="shared" si="59"/>
        <v>0</v>
      </c>
      <c r="AA95" s="32">
        <v>10.23</v>
      </c>
      <c r="AB95" s="32" t="str">
        <f t="shared" si="60"/>
        <v>XX</v>
      </c>
      <c r="AC95" s="46" t="e">
        <f t="shared" si="61"/>
        <v>#VALUE!</v>
      </c>
      <c r="AD95" s="50"/>
      <c r="AE95" s="51"/>
      <c r="AF95" s="47">
        <f t="shared" si="62"/>
        <v>-3757.3101999999999</v>
      </c>
      <c r="AG95" s="35">
        <v>56708845925</v>
      </c>
      <c r="AH95" s="33"/>
    </row>
    <row r="96" spans="1:34" s="18" customFormat="1">
      <c r="A96" s="33" t="s">
        <v>38</v>
      </c>
      <c r="B96" s="33" t="s">
        <v>34</v>
      </c>
      <c r="C96" s="33" t="s">
        <v>41</v>
      </c>
      <c r="D96" s="49">
        <v>42129</v>
      </c>
      <c r="E96" s="34">
        <v>739.2</v>
      </c>
      <c r="F96" s="34">
        <f>4897.965+13.099</f>
        <v>4911.0640000000003</v>
      </c>
      <c r="G96" s="31"/>
      <c r="H96" s="31"/>
      <c r="I96" s="34"/>
      <c r="J96" s="46">
        <f t="shared" si="48"/>
        <v>4911.0640000000003</v>
      </c>
      <c r="K96" s="34">
        <v>140.88999999999999</v>
      </c>
      <c r="L96" s="60"/>
      <c r="M96" s="34"/>
      <c r="N96" s="34"/>
      <c r="O96" s="61"/>
      <c r="P96" s="61"/>
      <c r="Q96" s="34"/>
      <c r="R96" s="32"/>
      <c r="S96" s="32"/>
      <c r="T96" s="33"/>
      <c r="U96" s="33"/>
      <c r="V96" s="33">
        <v>1385.77</v>
      </c>
      <c r="W96" s="46">
        <f t="shared" si="47"/>
        <v>3384.4040000000005</v>
      </c>
      <c r="X96" s="32">
        <f t="shared" ref="X96" si="65">IF(J96&gt;2250,J96*0.1,0)</f>
        <v>491.10640000000006</v>
      </c>
      <c r="Y96" s="46">
        <f t="shared" ref="Y96" si="66">+W96-X96</f>
        <v>2893.2976000000003</v>
      </c>
      <c r="Z96" s="32">
        <f t="shared" si="59"/>
        <v>0</v>
      </c>
      <c r="AA96" s="32">
        <v>10.23</v>
      </c>
      <c r="AB96" s="32">
        <f t="shared" si="60"/>
        <v>0</v>
      </c>
      <c r="AC96" s="46">
        <f t="shared" si="61"/>
        <v>4921.2939999999999</v>
      </c>
      <c r="AD96" s="50"/>
      <c r="AE96" s="51"/>
      <c r="AF96" s="47">
        <f t="shared" si="62"/>
        <v>-2893.2976000000003</v>
      </c>
      <c r="AG96" s="35">
        <v>56708845939</v>
      </c>
      <c r="AH96" s="35"/>
    </row>
    <row r="97" spans="1:34" s="18" customFormat="1">
      <c r="A97" s="33" t="s">
        <v>40</v>
      </c>
      <c r="B97" s="33" t="s">
        <v>136</v>
      </c>
      <c r="C97" s="33" t="s">
        <v>135</v>
      </c>
      <c r="D97" s="49">
        <v>42912</v>
      </c>
      <c r="E97" s="34">
        <v>627.05999999999995</v>
      </c>
      <c r="F97" s="34">
        <f>2398.153+5.571</f>
        <v>2403.7239999999997</v>
      </c>
      <c r="G97" s="31"/>
      <c r="H97" s="31"/>
      <c r="I97" s="34"/>
      <c r="J97" s="46">
        <f t="shared" si="48"/>
        <v>2403.7239999999997</v>
      </c>
      <c r="K97" s="34">
        <v>165.09</v>
      </c>
      <c r="L97" s="60"/>
      <c r="M97" s="34"/>
      <c r="N97" s="34"/>
      <c r="O97" s="61" t="s">
        <v>130</v>
      </c>
      <c r="P97" s="61" t="s">
        <v>130</v>
      </c>
      <c r="Q97" s="34"/>
      <c r="R97" s="32"/>
      <c r="S97" s="32"/>
      <c r="T97" s="33"/>
      <c r="U97" s="33"/>
      <c r="V97" s="33"/>
      <c r="W97" s="46">
        <f t="shared" si="47"/>
        <v>2238.6339999999996</v>
      </c>
      <c r="X97" s="32"/>
      <c r="Y97" s="46"/>
      <c r="Z97" s="32"/>
      <c r="AA97" s="32"/>
      <c r="AB97" s="32"/>
      <c r="AC97" s="46"/>
      <c r="AD97" s="50"/>
      <c r="AE97" s="51"/>
      <c r="AF97" s="47"/>
      <c r="AG97" s="35">
        <v>60592585699</v>
      </c>
      <c r="AH97" s="35"/>
    </row>
    <row r="98" spans="1:34" s="18" customFormat="1">
      <c r="A98" s="33" t="s">
        <v>38</v>
      </c>
      <c r="B98" s="33" t="s">
        <v>73</v>
      </c>
      <c r="C98" s="33" t="s">
        <v>41</v>
      </c>
      <c r="D98" s="49">
        <v>42422</v>
      </c>
      <c r="E98" s="34">
        <v>739.2</v>
      </c>
      <c r="F98" s="34">
        <f>6498.852+13.099</f>
        <v>6511.951</v>
      </c>
      <c r="G98" s="31"/>
      <c r="H98" s="31"/>
      <c r="I98" s="34"/>
      <c r="J98" s="46">
        <f t="shared" si="48"/>
        <v>6511.951</v>
      </c>
      <c r="K98" s="34">
        <v>140.88999999999999</v>
      </c>
      <c r="L98" s="60"/>
      <c r="M98" s="34"/>
      <c r="N98" s="34"/>
      <c r="O98" s="61"/>
      <c r="P98" s="61"/>
      <c r="Q98" s="34"/>
      <c r="R98" s="32"/>
      <c r="S98" s="32"/>
      <c r="T98" s="33"/>
      <c r="U98" s="33"/>
      <c r="V98" s="33"/>
      <c r="W98" s="46">
        <f t="shared" si="47"/>
        <v>6371.0609999999997</v>
      </c>
      <c r="X98" s="32">
        <f t="shared" ref="X98" si="67">IF(J98&gt;2250,J98*0.1,0)</f>
        <v>651.19510000000002</v>
      </c>
      <c r="Y98" s="46">
        <f t="shared" ref="Y98" si="68">+W98-X98</f>
        <v>5719.8658999999998</v>
      </c>
      <c r="Z98" s="32">
        <f t="shared" si="59"/>
        <v>0</v>
      </c>
      <c r="AA98" s="32">
        <v>10.23</v>
      </c>
      <c r="AB98" s="32">
        <f t="shared" si="60"/>
        <v>0</v>
      </c>
      <c r="AC98" s="46">
        <f t="shared" si="61"/>
        <v>6522.1809999999996</v>
      </c>
      <c r="AD98" s="50"/>
      <c r="AE98" s="51"/>
      <c r="AF98" s="47">
        <f t="shared" si="62"/>
        <v>-5719.8658999999998</v>
      </c>
      <c r="AG98" s="35">
        <v>56708845942</v>
      </c>
      <c r="AH98" s="35"/>
    </row>
    <row r="99" spans="1:34" s="18" customFormat="1">
      <c r="A99" s="33" t="s">
        <v>40</v>
      </c>
      <c r="B99" s="33" t="s">
        <v>80</v>
      </c>
      <c r="C99" s="33" t="s">
        <v>101</v>
      </c>
      <c r="D99" s="49">
        <v>41227</v>
      </c>
      <c r="E99" s="34">
        <v>627.13</v>
      </c>
      <c r="F99" s="34">
        <f>2572.678+2.599</f>
        <v>2575.277</v>
      </c>
      <c r="G99" s="31"/>
      <c r="H99" s="31"/>
      <c r="I99" s="34"/>
      <c r="J99" s="46">
        <f t="shared" si="48"/>
        <v>2575.277</v>
      </c>
      <c r="K99" s="34">
        <v>165.09</v>
      </c>
      <c r="L99" s="60"/>
      <c r="M99" s="34"/>
      <c r="N99" s="34">
        <v>200</v>
      </c>
      <c r="O99" s="61" t="s">
        <v>130</v>
      </c>
      <c r="P99" s="61" t="s">
        <v>130</v>
      </c>
      <c r="Q99" s="34"/>
      <c r="R99" s="32"/>
      <c r="S99" s="32"/>
      <c r="T99" s="33"/>
      <c r="U99" s="33"/>
      <c r="V99" s="33">
        <v>1045.0999999999999</v>
      </c>
      <c r="W99" s="46">
        <f t="shared" si="47"/>
        <v>1165.087</v>
      </c>
      <c r="X99" s="32">
        <f t="shared" si="57"/>
        <v>257.52770000000004</v>
      </c>
      <c r="Y99" s="46">
        <f t="shared" si="58"/>
        <v>907.55929999999989</v>
      </c>
      <c r="Z99" s="32">
        <f t="shared" si="59"/>
        <v>0</v>
      </c>
      <c r="AA99" s="32">
        <v>10.23</v>
      </c>
      <c r="AB99" s="32" t="str">
        <f t="shared" si="60"/>
        <v>XX</v>
      </c>
      <c r="AC99" s="46" t="e">
        <f t="shared" si="61"/>
        <v>#VALUE!</v>
      </c>
      <c r="AD99" s="50"/>
      <c r="AE99" s="51"/>
      <c r="AF99" s="47">
        <f t="shared" si="62"/>
        <v>-907.55929999999989</v>
      </c>
      <c r="AG99" s="35">
        <v>56708881946</v>
      </c>
      <c r="AH99" s="35"/>
    </row>
    <row r="100" spans="1:34" s="18" customFormat="1">
      <c r="A100" s="33" t="s">
        <v>38</v>
      </c>
      <c r="B100" s="33" t="s">
        <v>165</v>
      </c>
      <c r="C100" s="33" t="s">
        <v>41</v>
      </c>
      <c r="D100" s="49">
        <v>42907</v>
      </c>
      <c r="E100" s="34">
        <v>738.99</v>
      </c>
      <c r="F100" s="34">
        <f>2327+5.571</f>
        <v>2332.5709999999999</v>
      </c>
      <c r="G100" s="31"/>
      <c r="H100" s="31"/>
      <c r="I100" s="34"/>
      <c r="J100" s="46">
        <f t="shared" si="48"/>
        <v>2332.5709999999999</v>
      </c>
      <c r="K100" s="34">
        <v>140.88999999999999</v>
      </c>
      <c r="L100" s="60"/>
      <c r="M100" s="34"/>
      <c r="N100" s="34"/>
      <c r="O100" s="61"/>
      <c r="P100" s="61"/>
      <c r="Q100" s="34"/>
      <c r="R100" s="32"/>
      <c r="S100" s="32"/>
      <c r="T100" s="33"/>
      <c r="U100" s="33"/>
      <c r="V100" s="33"/>
      <c r="W100" s="46">
        <f t="shared" si="47"/>
        <v>2191.681</v>
      </c>
      <c r="X100" s="32"/>
      <c r="Y100" s="46"/>
      <c r="Z100" s="32"/>
      <c r="AA100" s="32"/>
      <c r="AB100" s="32"/>
      <c r="AC100" s="46"/>
      <c r="AD100" s="50"/>
      <c r="AE100" s="51"/>
      <c r="AF100" s="47"/>
      <c r="AG100" s="35">
        <v>60592492890</v>
      </c>
      <c r="AH100" s="35"/>
    </row>
    <row r="101" spans="1:34" s="18" customFormat="1">
      <c r="A101" s="33" t="s">
        <v>40</v>
      </c>
      <c r="B101" s="33" t="s">
        <v>106</v>
      </c>
      <c r="C101" s="33" t="s">
        <v>159</v>
      </c>
      <c r="D101" s="49">
        <v>42635</v>
      </c>
      <c r="E101" s="34">
        <v>618.52</v>
      </c>
      <c r="F101" s="34">
        <v>2154.5239999999999</v>
      </c>
      <c r="G101" s="31"/>
      <c r="H101" s="31"/>
      <c r="I101" s="34"/>
      <c r="J101" s="46">
        <f t="shared" si="48"/>
        <v>2154.5239999999999</v>
      </c>
      <c r="K101" s="34">
        <v>165.09</v>
      </c>
      <c r="L101" s="60"/>
      <c r="M101" s="34"/>
      <c r="N101" s="34"/>
      <c r="O101" s="61" t="s">
        <v>130</v>
      </c>
      <c r="P101" s="61" t="s">
        <v>130</v>
      </c>
      <c r="Q101" s="34"/>
      <c r="R101" s="32"/>
      <c r="S101" s="32"/>
      <c r="T101" s="33"/>
      <c r="U101" s="33"/>
      <c r="V101" s="33"/>
      <c r="W101" s="46">
        <f t="shared" si="47"/>
        <v>1989.434</v>
      </c>
      <c r="X101" s="32">
        <f t="shared" ref="X101" si="69">IF(J101&gt;2250,J101*0.1,0)</f>
        <v>0</v>
      </c>
      <c r="Y101" s="46">
        <f t="shared" ref="Y101" si="70">+W101-X101</f>
        <v>1989.434</v>
      </c>
      <c r="Z101" s="32"/>
      <c r="AA101" s="32"/>
      <c r="AB101" s="32"/>
      <c r="AC101" s="46"/>
      <c r="AD101" s="50"/>
      <c r="AE101" s="51"/>
      <c r="AF101" s="47"/>
      <c r="AG101" s="35">
        <v>56708881608</v>
      </c>
      <c r="AH101" s="35"/>
    </row>
    <row r="102" spans="1:34" s="18" customFormat="1">
      <c r="A102" s="33" t="s">
        <v>40</v>
      </c>
      <c r="B102" s="33" t="s">
        <v>81</v>
      </c>
      <c r="C102" s="33" t="s">
        <v>101</v>
      </c>
      <c r="D102" s="49">
        <v>41703</v>
      </c>
      <c r="E102" s="34">
        <v>623.35</v>
      </c>
      <c r="F102" s="34">
        <v>1424</v>
      </c>
      <c r="G102" s="31"/>
      <c r="H102" s="31"/>
      <c r="I102" s="34"/>
      <c r="J102" s="46">
        <f t="shared" si="48"/>
        <v>1424</v>
      </c>
      <c r="K102" s="34">
        <v>165.09</v>
      </c>
      <c r="L102" s="60"/>
      <c r="M102" s="34"/>
      <c r="N102" s="34"/>
      <c r="O102" s="61" t="s">
        <v>130</v>
      </c>
      <c r="P102" s="61" t="s">
        <v>130</v>
      </c>
      <c r="Q102" s="34"/>
      <c r="R102" s="32"/>
      <c r="S102" s="32"/>
      <c r="T102" s="33"/>
      <c r="U102" s="33"/>
      <c r="V102" s="33"/>
      <c r="W102" s="46">
        <f t="shared" si="47"/>
        <v>1258.9100000000001</v>
      </c>
      <c r="X102" s="32">
        <f t="shared" si="57"/>
        <v>0</v>
      </c>
      <c r="Y102" s="46">
        <f t="shared" si="58"/>
        <v>1258.9100000000001</v>
      </c>
      <c r="Z102" s="32">
        <f t="shared" si="59"/>
        <v>142.4</v>
      </c>
      <c r="AA102" s="32">
        <v>10.23</v>
      </c>
      <c r="AB102" s="32" t="str">
        <f t="shared" si="60"/>
        <v>XX</v>
      </c>
      <c r="AC102" s="46" t="e">
        <f t="shared" si="61"/>
        <v>#VALUE!</v>
      </c>
      <c r="AD102" s="50"/>
      <c r="AE102" s="51"/>
      <c r="AF102" s="47">
        <f t="shared" si="62"/>
        <v>-1258.9100000000001</v>
      </c>
      <c r="AG102" s="35">
        <v>56708845973</v>
      </c>
      <c r="AH102" s="35"/>
    </row>
    <row r="103" spans="1:34" s="18" customFormat="1">
      <c r="A103" s="33" t="s">
        <v>40</v>
      </c>
      <c r="B103" s="33" t="s">
        <v>50</v>
      </c>
      <c r="C103" s="33" t="s">
        <v>101</v>
      </c>
      <c r="D103" s="49">
        <v>41291</v>
      </c>
      <c r="E103" s="34">
        <v>627.13</v>
      </c>
      <c r="F103" s="34">
        <f>3524.063+2.599</f>
        <v>3526.6620000000003</v>
      </c>
      <c r="G103" s="31"/>
      <c r="H103" s="31"/>
      <c r="I103" s="34"/>
      <c r="J103" s="46">
        <f t="shared" si="48"/>
        <v>3526.6620000000003</v>
      </c>
      <c r="K103" s="34">
        <v>165.09</v>
      </c>
      <c r="L103" s="60"/>
      <c r="M103" s="34"/>
      <c r="N103" s="34">
        <v>200</v>
      </c>
      <c r="O103" s="61" t="s">
        <v>130</v>
      </c>
      <c r="P103" s="61" t="s">
        <v>130</v>
      </c>
      <c r="Q103" s="34"/>
      <c r="R103" s="32"/>
      <c r="S103" s="32"/>
      <c r="T103" s="33"/>
      <c r="U103" s="33"/>
      <c r="V103" s="33"/>
      <c r="W103" s="46">
        <f t="shared" si="47"/>
        <v>3161.5720000000001</v>
      </c>
      <c r="X103" s="32">
        <f t="shared" si="57"/>
        <v>352.66620000000006</v>
      </c>
      <c r="Y103" s="46">
        <f t="shared" si="58"/>
        <v>2808.9058</v>
      </c>
      <c r="Z103" s="32">
        <f t="shared" si="59"/>
        <v>0</v>
      </c>
      <c r="AA103" s="32">
        <v>10.23</v>
      </c>
      <c r="AB103" s="32" t="str">
        <f t="shared" si="60"/>
        <v>XX</v>
      </c>
      <c r="AC103" s="46" t="e">
        <f t="shared" si="61"/>
        <v>#VALUE!</v>
      </c>
      <c r="AD103" s="50"/>
      <c r="AE103" s="51"/>
      <c r="AF103" s="47">
        <f t="shared" si="62"/>
        <v>-2808.9058</v>
      </c>
      <c r="AG103" s="35">
        <v>56708881963</v>
      </c>
      <c r="AH103" s="35"/>
    </row>
    <row r="104" spans="1:34" s="18" customFormat="1">
      <c r="A104" s="33" t="s">
        <v>38</v>
      </c>
      <c r="B104" s="33" t="s">
        <v>58</v>
      </c>
      <c r="C104" s="33" t="s">
        <v>41</v>
      </c>
      <c r="D104" s="49">
        <v>41666</v>
      </c>
      <c r="E104" s="34">
        <v>739.2</v>
      </c>
      <c r="F104" s="34">
        <f>4058.4+7.428</f>
        <v>4065.828</v>
      </c>
      <c r="G104" s="31"/>
      <c r="H104" s="31"/>
      <c r="I104" s="34"/>
      <c r="J104" s="46">
        <f t="shared" si="48"/>
        <v>4065.828</v>
      </c>
      <c r="K104" s="34">
        <v>140.88999999999999</v>
      </c>
      <c r="L104" s="60"/>
      <c r="M104" s="34"/>
      <c r="N104" s="34">
        <v>200</v>
      </c>
      <c r="O104" s="61"/>
      <c r="P104" s="61"/>
      <c r="Q104" s="34"/>
      <c r="R104" s="32"/>
      <c r="S104" s="32"/>
      <c r="T104" s="33"/>
      <c r="U104" s="33"/>
      <c r="V104" s="33">
        <v>419.6</v>
      </c>
      <c r="W104" s="46">
        <f t="shared" si="47"/>
        <v>3305.3379999999997</v>
      </c>
      <c r="X104" s="32">
        <f t="shared" si="57"/>
        <v>406.58280000000002</v>
      </c>
      <c r="Y104" s="46">
        <f t="shared" si="58"/>
        <v>2898.7551999999996</v>
      </c>
      <c r="Z104" s="32">
        <f t="shared" si="59"/>
        <v>0</v>
      </c>
      <c r="AA104" s="32">
        <v>10.23</v>
      </c>
      <c r="AB104" s="32">
        <f t="shared" si="60"/>
        <v>0</v>
      </c>
      <c r="AC104" s="46">
        <f t="shared" si="61"/>
        <v>4076.058</v>
      </c>
      <c r="AD104" s="50"/>
      <c r="AE104" s="51"/>
      <c r="AF104" s="47">
        <f t="shared" si="62"/>
        <v>-2898.7551999999996</v>
      </c>
      <c r="AG104" s="35">
        <v>56708845990</v>
      </c>
      <c r="AH104" s="35"/>
    </row>
    <row r="105" spans="1:34" s="18" customFormat="1">
      <c r="A105" s="33" t="s">
        <v>38</v>
      </c>
      <c r="B105" s="33" t="s">
        <v>123</v>
      </c>
      <c r="C105" s="33" t="s">
        <v>41</v>
      </c>
      <c r="D105" s="49">
        <v>42809</v>
      </c>
      <c r="E105" s="34">
        <v>618.52</v>
      </c>
      <c r="F105" s="34">
        <f>5557.55+13.099</f>
        <v>5570.6490000000003</v>
      </c>
      <c r="G105" s="31"/>
      <c r="H105" s="31"/>
      <c r="I105" s="34"/>
      <c r="J105" s="46">
        <f t="shared" si="48"/>
        <v>5570.6490000000003</v>
      </c>
      <c r="K105" s="34">
        <v>140.88999999999999</v>
      </c>
      <c r="L105" s="60"/>
      <c r="M105" s="34"/>
      <c r="N105" s="34"/>
      <c r="O105" s="61"/>
      <c r="P105" s="61"/>
      <c r="Q105" s="34"/>
      <c r="R105" s="32"/>
      <c r="S105" s="32"/>
      <c r="T105" s="33"/>
      <c r="U105" s="33"/>
      <c r="V105" s="33"/>
      <c r="W105" s="46">
        <f t="shared" si="47"/>
        <v>5429.759</v>
      </c>
      <c r="X105" s="32"/>
      <c r="Y105" s="46"/>
      <c r="Z105" s="32"/>
      <c r="AA105" s="32"/>
      <c r="AB105" s="32"/>
      <c r="AC105" s="46"/>
      <c r="AD105" s="50"/>
      <c r="AE105" s="51"/>
      <c r="AF105" s="47"/>
      <c r="AG105" s="35">
        <v>60589597089</v>
      </c>
      <c r="AH105" s="35"/>
    </row>
    <row r="106" spans="1:34" s="18" customFormat="1">
      <c r="A106" s="33" t="s">
        <v>38</v>
      </c>
      <c r="B106" s="33" t="s">
        <v>170</v>
      </c>
      <c r="C106" s="33" t="s">
        <v>41</v>
      </c>
      <c r="D106" s="49">
        <v>43052</v>
      </c>
      <c r="E106" s="34">
        <v>638.96</v>
      </c>
      <c r="F106" s="34">
        <f>4226.538+13.099</f>
        <v>4239.6369999999997</v>
      </c>
      <c r="G106" s="31"/>
      <c r="H106" s="31"/>
      <c r="I106" s="34"/>
      <c r="J106" s="46">
        <f t="shared" si="48"/>
        <v>4239.6369999999997</v>
      </c>
      <c r="K106" s="34"/>
      <c r="L106" s="60"/>
      <c r="M106" s="34"/>
      <c r="N106" s="34"/>
      <c r="O106" s="61"/>
      <c r="P106" s="61"/>
      <c r="Q106" s="34"/>
      <c r="R106" s="32"/>
      <c r="S106" s="32"/>
      <c r="T106" s="33"/>
      <c r="U106" s="33"/>
      <c r="V106" s="33"/>
      <c r="W106" s="46">
        <f t="shared" si="47"/>
        <v>4239.6369999999997</v>
      </c>
      <c r="X106" s="32"/>
      <c r="Y106" s="46"/>
      <c r="Z106" s="32"/>
      <c r="AA106" s="32"/>
      <c r="AB106" s="32"/>
      <c r="AC106" s="46"/>
      <c r="AD106" s="50"/>
      <c r="AE106" s="51"/>
      <c r="AF106" s="47"/>
      <c r="AG106" s="35">
        <v>56714607256</v>
      </c>
      <c r="AH106" s="35"/>
    </row>
    <row r="107" spans="1:34" s="18" customFormat="1">
      <c r="A107" s="98" t="s">
        <v>40</v>
      </c>
      <c r="B107" s="98" t="s">
        <v>206</v>
      </c>
      <c r="C107" s="98" t="s">
        <v>97</v>
      </c>
      <c r="D107" s="99">
        <v>43117</v>
      </c>
      <c r="E107" s="100">
        <v>618.52</v>
      </c>
      <c r="F107" s="100"/>
      <c r="G107" s="100"/>
      <c r="H107" s="100"/>
      <c r="I107" s="100"/>
      <c r="J107" s="46">
        <f t="shared" si="48"/>
        <v>0</v>
      </c>
      <c r="K107" s="34"/>
      <c r="L107" s="60"/>
      <c r="M107" s="34"/>
      <c r="N107" s="34"/>
      <c r="O107" s="61" t="s">
        <v>130</v>
      </c>
      <c r="P107" s="61" t="s">
        <v>130</v>
      </c>
      <c r="Q107" s="34"/>
      <c r="R107" s="32"/>
      <c r="S107" s="32"/>
      <c r="T107" s="33"/>
      <c r="U107" s="33"/>
      <c r="V107" s="33"/>
      <c r="W107" s="46">
        <f t="shared" si="47"/>
        <v>0</v>
      </c>
      <c r="X107" s="32"/>
      <c r="Y107" s="46"/>
      <c r="Z107" s="32"/>
      <c r="AA107" s="32"/>
      <c r="AB107" s="32"/>
      <c r="AC107" s="46"/>
      <c r="AD107" s="50"/>
      <c r="AE107" s="51"/>
      <c r="AF107" s="47"/>
      <c r="AG107" s="101">
        <v>60598705779</v>
      </c>
      <c r="AH107" s="101"/>
    </row>
    <row r="108" spans="1:34" s="18" customFormat="1">
      <c r="A108" s="98" t="s">
        <v>40</v>
      </c>
      <c r="B108" s="98" t="s">
        <v>207</v>
      </c>
      <c r="C108" s="98" t="s">
        <v>97</v>
      </c>
      <c r="D108" s="99">
        <v>43117</v>
      </c>
      <c r="E108" s="100">
        <v>618.52</v>
      </c>
      <c r="F108" s="100"/>
      <c r="G108" s="100"/>
      <c r="H108" s="100"/>
      <c r="I108" s="100"/>
      <c r="J108" s="46">
        <f t="shared" si="48"/>
        <v>0</v>
      </c>
      <c r="K108" s="34"/>
      <c r="L108" s="60"/>
      <c r="M108" s="34"/>
      <c r="N108" s="34"/>
      <c r="O108" s="61" t="s">
        <v>130</v>
      </c>
      <c r="P108" s="61" t="s">
        <v>130</v>
      </c>
      <c r="Q108" s="34"/>
      <c r="R108" s="32"/>
      <c r="S108" s="32"/>
      <c r="T108" s="33"/>
      <c r="U108" s="33"/>
      <c r="V108" s="33"/>
      <c r="W108" s="46">
        <f t="shared" si="47"/>
        <v>0</v>
      </c>
      <c r="X108" s="32"/>
      <c r="Y108" s="46"/>
      <c r="Z108" s="32"/>
      <c r="AA108" s="32"/>
      <c r="AB108" s="32"/>
      <c r="AC108" s="46"/>
      <c r="AD108" s="50"/>
      <c r="AE108" s="51"/>
      <c r="AF108" s="47"/>
      <c r="AG108" s="101">
        <v>60598704895</v>
      </c>
      <c r="AH108" s="101"/>
    </row>
    <row r="109" spans="1:34" s="18" customFormat="1">
      <c r="A109" s="33" t="s">
        <v>40</v>
      </c>
      <c r="B109" s="33" t="s">
        <v>116</v>
      </c>
      <c r="C109" s="33" t="s">
        <v>97</v>
      </c>
      <c r="D109" s="49">
        <v>42752</v>
      </c>
      <c r="E109" s="34">
        <v>618.52</v>
      </c>
      <c r="F109" s="34">
        <f>2225.569+5.571</f>
        <v>2231.14</v>
      </c>
      <c r="G109" s="31"/>
      <c r="H109" s="31"/>
      <c r="I109" s="34"/>
      <c r="J109" s="46">
        <f t="shared" si="48"/>
        <v>2231.14</v>
      </c>
      <c r="K109" s="34">
        <v>165.09</v>
      </c>
      <c r="L109" s="60"/>
      <c r="M109" s="34"/>
      <c r="N109" s="34"/>
      <c r="O109" s="61" t="s">
        <v>130</v>
      </c>
      <c r="P109" s="61" t="s">
        <v>130</v>
      </c>
      <c r="Q109" s="34"/>
      <c r="R109" s="32"/>
      <c r="S109" s="32"/>
      <c r="T109" s="33"/>
      <c r="U109" s="33"/>
      <c r="V109" s="33"/>
      <c r="W109" s="46">
        <f t="shared" ref="W109:W115" si="71">+J109-SUM(K109:V109)</f>
        <v>2066.0499999999997</v>
      </c>
      <c r="X109" s="32">
        <f t="shared" ref="X109" si="72">IF(J109&gt;2250,J109*0.1,0)</f>
        <v>0</v>
      </c>
      <c r="Y109" s="46">
        <f t="shared" ref="Y109" si="73">+W109-X109</f>
        <v>2066.0499999999997</v>
      </c>
      <c r="Z109" s="32"/>
      <c r="AA109" s="32"/>
      <c r="AB109" s="32"/>
      <c r="AC109" s="46"/>
      <c r="AD109" s="50"/>
      <c r="AE109" s="51"/>
      <c r="AF109" s="47"/>
      <c r="AG109" s="35">
        <v>60589634536</v>
      </c>
      <c r="AH109" s="35"/>
    </row>
    <row r="110" spans="1:34" s="18" customFormat="1">
      <c r="A110" s="33" t="s">
        <v>40</v>
      </c>
      <c r="B110" s="33" t="s">
        <v>175</v>
      </c>
      <c r="C110" s="33" t="s">
        <v>174</v>
      </c>
      <c r="D110" s="49">
        <v>43034</v>
      </c>
      <c r="E110" s="34">
        <v>618.52</v>
      </c>
      <c r="F110" s="34">
        <v>217.6</v>
      </c>
      <c r="G110" s="31"/>
      <c r="H110" s="31"/>
      <c r="I110" s="34"/>
      <c r="J110" s="46">
        <f t="shared" si="48"/>
        <v>217.6</v>
      </c>
      <c r="K110" s="34">
        <v>165.09</v>
      </c>
      <c r="L110" s="60"/>
      <c r="M110" s="34"/>
      <c r="N110" s="34"/>
      <c r="O110" s="61" t="s">
        <v>130</v>
      </c>
      <c r="P110" s="61" t="s">
        <v>130</v>
      </c>
      <c r="Q110" s="34"/>
      <c r="R110" s="32"/>
      <c r="S110" s="32"/>
      <c r="T110" s="33"/>
      <c r="U110" s="33"/>
      <c r="V110" s="33"/>
      <c r="W110" s="46">
        <f t="shared" si="71"/>
        <v>52.509999999999991</v>
      </c>
      <c r="X110" s="32"/>
      <c r="Y110" s="46"/>
      <c r="Z110" s="32"/>
      <c r="AA110" s="32"/>
      <c r="AB110" s="32"/>
      <c r="AC110" s="46"/>
      <c r="AD110" s="50"/>
      <c r="AE110" s="51"/>
      <c r="AF110" s="47"/>
      <c r="AG110" s="35">
        <v>60596596065</v>
      </c>
      <c r="AH110" s="35"/>
    </row>
    <row r="111" spans="1:34" s="18" customFormat="1">
      <c r="A111" s="33" t="s">
        <v>40</v>
      </c>
      <c r="B111" s="33" t="s">
        <v>96</v>
      </c>
      <c r="C111" s="33" t="s">
        <v>100</v>
      </c>
      <c r="D111" s="49">
        <v>29733</v>
      </c>
      <c r="E111" s="34">
        <v>627.13</v>
      </c>
      <c r="F111" s="34">
        <f>2166.078+13.099</f>
        <v>2179.1770000000001</v>
      </c>
      <c r="G111" s="31"/>
      <c r="H111" s="31"/>
      <c r="I111" s="34"/>
      <c r="J111" s="46">
        <f t="shared" si="48"/>
        <v>2179.1770000000001</v>
      </c>
      <c r="K111" s="34">
        <v>165.09</v>
      </c>
      <c r="L111" s="60"/>
      <c r="M111" s="34"/>
      <c r="N111" s="34">
        <v>150</v>
      </c>
      <c r="O111" s="61" t="s">
        <v>130</v>
      </c>
      <c r="P111" s="61" t="s">
        <v>130</v>
      </c>
      <c r="Q111" s="34"/>
      <c r="R111" s="32"/>
      <c r="S111" s="32"/>
      <c r="T111" s="33"/>
      <c r="U111" s="33"/>
      <c r="V111" s="33"/>
      <c r="W111" s="46">
        <f t="shared" si="71"/>
        <v>1864.087</v>
      </c>
      <c r="X111" s="32">
        <f t="shared" si="57"/>
        <v>0</v>
      </c>
      <c r="Y111" s="46">
        <f t="shared" si="58"/>
        <v>1864.087</v>
      </c>
      <c r="Z111" s="32">
        <f t="shared" si="59"/>
        <v>217.91770000000002</v>
      </c>
      <c r="AA111" s="32">
        <v>10.23</v>
      </c>
      <c r="AB111" s="32" t="str">
        <f t="shared" si="60"/>
        <v>XX</v>
      </c>
      <c r="AC111" s="46" t="e">
        <f t="shared" si="61"/>
        <v>#VALUE!</v>
      </c>
      <c r="AD111" s="50"/>
      <c r="AE111" s="51"/>
      <c r="AF111" s="47">
        <f t="shared" si="62"/>
        <v>-1864.087</v>
      </c>
      <c r="AG111" s="35">
        <v>60589747903</v>
      </c>
      <c r="AH111" s="35"/>
    </row>
    <row r="112" spans="1:34" s="18" customFormat="1">
      <c r="A112" s="33" t="s">
        <v>38</v>
      </c>
      <c r="B112" s="33" t="s">
        <v>166</v>
      </c>
      <c r="C112" s="33" t="s">
        <v>167</v>
      </c>
      <c r="D112" s="49">
        <v>43026</v>
      </c>
      <c r="E112" s="34">
        <v>638.96</v>
      </c>
      <c r="F112" s="34">
        <f>5785.965+7.428</f>
        <v>5793.393</v>
      </c>
      <c r="G112" s="34"/>
      <c r="H112" s="31"/>
      <c r="I112" s="34"/>
      <c r="J112" s="46">
        <f t="shared" si="48"/>
        <v>5793.393</v>
      </c>
      <c r="K112" s="34">
        <v>140.88999999999999</v>
      </c>
      <c r="L112" s="60">
        <v>1</v>
      </c>
      <c r="M112" s="34"/>
      <c r="N112" s="34"/>
      <c r="O112" s="61"/>
      <c r="P112" s="61"/>
      <c r="Q112" s="34"/>
      <c r="R112" s="32"/>
      <c r="S112" s="32"/>
      <c r="T112" s="33"/>
      <c r="U112" s="33"/>
      <c r="V112" s="33">
        <v>500</v>
      </c>
      <c r="W112" s="46">
        <f t="shared" si="71"/>
        <v>5151.5029999999997</v>
      </c>
      <c r="X112" s="32"/>
      <c r="Y112" s="46"/>
      <c r="Z112" s="32"/>
      <c r="AA112" s="32"/>
      <c r="AB112" s="32"/>
      <c r="AC112" s="46"/>
      <c r="AD112" s="50"/>
      <c r="AE112" s="51"/>
      <c r="AF112" s="47"/>
      <c r="AG112" s="35">
        <v>60578682154</v>
      </c>
      <c r="AH112" s="35"/>
    </row>
    <row r="113" spans="1:49" s="18" customFormat="1">
      <c r="A113" s="33" t="s">
        <v>38</v>
      </c>
      <c r="B113" s="33" t="s">
        <v>57</v>
      </c>
      <c r="C113" s="33" t="s">
        <v>41</v>
      </c>
      <c r="D113" s="49">
        <v>41549</v>
      </c>
      <c r="E113" s="34">
        <v>739.2</v>
      </c>
      <c r="F113" s="34">
        <f>6358.654+13.099</f>
        <v>6371.7530000000006</v>
      </c>
      <c r="G113" s="34"/>
      <c r="H113" s="34"/>
      <c r="I113" s="34"/>
      <c r="J113" s="46">
        <f t="shared" si="48"/>
        <v>6371.7530000000006</v>
      </c>
      <c r="K113" s="34">
        <v>140.88999999999999</v>
      </c>
      <c r="L113" s="60">
        <v>1</v>
      </c>
      <c r="M113" s="34"/>
      <c r="N113" s="34">
        <v>500</v>
      </c>
      <c r="O113" s="61"/>
      <c r="P113" s="61"/>
      <c r="Q113" s="34"/>
      <c r="R113" s="32"/>
      <c r="S113" s="32"/>
      <c r="T113" s="33"/>
      <c r="U113" s="33"/>
      <c r="V113" s="33"/>
      <c r="W113" s="46">
        <f t="shared" si="71"/>
        <v>5729.8630000000003</v>
      </c>
      <c r="X113" s="32">
        <f>IF(J113&gt;2250,J113*0.1,0)</f>
        <v>637.17530000000011</v>
      </c>
      <c r="Y113" s="46">
        <f>+W113-X113</f>
        <v>5092.6877000000004</v>
      </c>
      <c r="Z113" s="32">
        <f>IF(J113&lt;2250,J113*0.1,0)</f>
        <v>0</v>
      </c>
      <c r="AA113" s="32">
        <v>10.23</v>
      </c>
      <c r="AB113" s="32">
        <f>+O113</f>
        <v>0</v>
      </c>
      <c r="AC113" s="46">
        <f>+J113+Z113+AA113+AB113</f>
        <v>6381.9830000000002</v>
      </c>
      <c r="AD113" s="50"/>
      <c r="AE113" s="51"/>
      <c r="AF113" s="47">
        <f>+AD113+AE113-Y113</f>
        <v>-5092.6877000000004</v>
      </c>
      <c r="AG113" s="35">
        <v>56708846050</v>
      </c>
      <c r="AH113" s="35"/>
    </row>
    <row r="114" spans="1:49" s="18" customFormat="1">
      <c r="A114" s="33" t="s">
        <v>38</v>
      </c>
      <c r="B114" s="33" t="s">
        <v>182</v>
      </c>
      <c r="C114" s="33" t="s">
        <v>181</v>
      </c>
      <c r="D114" s="49">
        <v>43069</v>
      </c>
      <c r="E114" s="34">
        <v>1199.94</v>
      </c>
      <c r="F114" s="34">
        <v>0</v>
      </c>
      <c r="G114" s="34"/>
      <c r="H114" s="34"/>
      <c r="I114" s="34"/>
      <c r="J114" s="46">
        <f t="shared" si="48"/>
        <v>0</v>
      </c>
      <c r="K114" s="34"/>
      <c r="L114" s="60">
        <v>1</v>
      </c>
      <c r="M114" s="34"/>
      <c r="N114" s="34"/>
      <c r="O114" s="61"/>
      <c r="P114" s="61"/>
      <c r="Q114" s="34"/>
      <c r="R114" s="32"/>
      <c r="S114" s="32"/>
      <c r="T114" s="33"/>
      <c r="U114" s="33"/>
      <c r="V114" s="33"/>
      <c r="W114" s="46">
        <f t="shared" si="71"/>
        <v>-1</v>
      </c>
      <c r="X114" s="32"/>
      <c r="Y114" s="46"/>
      <c r="Z114" s="32"/>
      <c r="AA114" s="32"/>
      <c r="AB114" s="32"/>
      <c r="AC114" s="46"/>
      <c r="AD114" s="50"/>
      <c r="AE114" s="51"/>
      <c r="AF114" s="47"/>
      <c r="AG114" s="35">
        <v>60597522863</v>
      </c>
      <c r="AH114" s="35"/>
    </row>
    <row r="115" spans="1:49" s="18" customFormat="1">
      <c r="A115" s="33" t="s">
        <v>38</v>
      </c>
      <c r="B115" s="33" t="s">
        <v>190</v>
      </c>
      <c r="C115" s="33" t="s">
        <v>191</v>
      </c>
      <c r="D115" s="49">
        <v>43115</v>
      </c>
      <c r="E115" s="34">
        <v>729.19</v>
      </c>
      <c r="F115" s="34">
        <v>2741.654</v>
      </c>
      <c r="G115" s="34"/>
      <c r="H115" s="34"/>
      <c r="I115" s="34"/>
      <c r="J115" s="46">
        <f t="shared" si="48"/>
        <v>2741.654</v>
      </c>
      <c r="K115" s="34"/>
      <c r="L115" s="60"/>
      <c r="M115" s="34"/>
      <c r="N115" s="34"/>
      <c r="O115" s="61"/>
      <c r="P115" s="61"/>
      <c r="Q115" s="34"/>
      <c r="R115" s="32"/>
      <c r="S115" s="32"/>
      <c r="T115" s="33"/>
      <c r="U115" s="33"/>
      <c r="V115" s="33">
        <v>733</v>
      </c>
      <c r="W115" s="46">
        <f t="shared" si="71"/>
        <v>2008.654</v>
      </c>
      <c r="X115" s="32"/>
      <c r="Y115" s="46"/>
      <c r="Z115" s="32"/>
      <c r="AA115" s="32"/>
      <c r="AB115" s="32"/>
      <c r="AC115" s="46"/>
      <c r="AD115" s="50"/>
      <c r="AE115" s="51"/>
      <c r="AF115" s="47"/>
      <c r="AG115" s="35">
        <v>56716836770</v>
      </c>
      <c r="AH115" s="35"/>
    </row>
    <row r="116" spans="1:49">
      <c r="A116" s="28"/>
      <c r="B116" s="33"/>
      <c r="C116" s="28"/>
      <c r="D116" s="59"/>
      <c r="E116" s="59"/>
      <c r="F116" s="30"/>
      <c r="G116" s="30"/>
      <c r="H116" s="30"/>
      <c r="I116" s="30"/>
      <c r="J116" s="46">
        <f t="shared" si="48"/>
        <v>0</v>
      </c>
      <c r="K116" s="34"/>
      <c r="L116" s="34"/>
      <c r="M116" s="34"/>
      <c r="N116" s="34"/>
      <c r="O116" s="34"/>
      <c r="P116" s="34"/>
      <c r="Q116" s="34"/>
      <c r="R116" s="32"/>
      <c r="S116" s="32"/>
      <c r="T116" s="32"/>
      <c r="U116" s="32"/>
      <c r="V116" s="32"/>
      <c r="W116" s="46"/>
      <c r="X116" s="32"/>
      <c r="Y116" s="46"/>
      <c r="Z116" s="54"/>
      <c r="AA116" s="54"/>
      <c r="AB116" s="54"/>
      <c r="AC116" s="53"/>
      <c r="AD116" s="44"/>
      <c r="AE116" s="44"/>
      <c r="AF116" s="39"/>
      <c r="AG116" s="28"/>
      <c r="AH116" s="2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  <c r="AU116" s="18"/>
      <c r="AV116" s="18"/>
      <c r="AW116" s="18"/>
    </row>
    <row r="117" spans="1:49">
      <c r="A117" s="28"/>
      <c r="B117" s="35" t="s">
        <v>119</v>
      </c>
      <c r="C117" s="28"/>
      <c r="D117" s="59"/>
      <c r="E117" s="38">
        <f>SUM(E68:E115)</f>
        <v>32505.14000000001</v>
      </c>
      <c r="F117" s="38">
        <f t="shared" ref="F117:W117" si="74">SUM(F68:F115)</f>
        <v>138415.18800000002</v>
      </c>
      <c r="G117" s="38">
        <f t="shared" si="74"/>
        <v>0</v>
      </c>
      <c r="H117" s="38">
        <f t="shared" si="74"/>
        <v>1328.55</v>
      </c>
      <c r="I117" s="38">
        <f t="shared" si="74"/>
        <v>0</v>
      </c>
      <c r="J117" s="38">
        <f t="shared" si="74"/>
        <v>139743.73800000001</v>
      </c>
      <c r="K117" s="38">
        <f t="shared" si="74"/>
        <v>6687.4700000000039</v>
      </c>
      <c r="L117" s="38">
        <f t="shared" si="74"/>
        <v>9</v>
      </c>
      <c r="M117" s="38">
        <f t="shared" si="74"/>
        <v>0</v>
      </c>
      <c r="N117" s="38">
        <f t="shared" si="74"/>
        <v>4800</v>
      </c>
      <c r="O117" s="38">
        <f t="shared" si="74"/>
        <v>0</v>
      </c>
      <c r="P117" s="38">
        <f t="shared" si="74"/>
        <v>0</v>
      </c>
      <c r="Q117" s="38">
        <f t="shared" si="74"/>
        <v>0</v>
      </c>
      <c r="R117" s="38">
        <f t="shared" si="74"/>
        <v>0</v>
      </c>
      <c r="S117" s="38">
        <f t="shared" si="74"/>
        <v>0</v>
      </c>
      <c r="T117" s="38">
        <f t="shared" si="74"/>
        <v>0</v>
      </c>
      <c r="U117" s="38">
        <f t="shared" si="74"/>
        <v>0</v>
      </c>
      <c r="V117" s="38">
        <f t="shared" si="74"/>
        <v>4966.75</v>
      </c>
      <c r="W117" s="38">
        <f t="shared" si="74"/>
        <v>123280.51799999998</v>
      </c>
      <c r="X117" s="38">
        <f>SUM(X69:X113)</f>
        <v>7197.7750500000002</v>
      </c>
      <c r="Y117" s="38">
        <f>SUM(Y69:Y113)</f>
        <v>70182.313500000004</v>
      </c>
      <c r="Z117" s="54"/>
      <c r="AA117" s="54"/>
      <c r="AB117" s="54"/>
      <c r="AC117" s="53"/>
      <c r="AD117" s="44"/>
      <c r="AE117" s="44"/>
      <c r="AF117" s="39"/>
      <c r="AG117" s="28"/>
      <c r="AH117" s="2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  <c r="AU117" s="18"/>
      <c r="AV117" s="18"/>
      <c r="AW117" s="18"/>
    </row>
    <row r="118" spans="1:49">
      <c r="B118" s="20"/>
      <c r="AC118" s="14" t="e">
        <f>+#REF!*0.16</f>
        <v>#REF!</v>
      </c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  <c r="AU118" s="18"/>
      <c r="AV118" s="18"/>
      <c r="AW118" s="18"/>
    </row>
    <row r="119" spans="1:49"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  <c r="AU119" s="18"/>
      <c r="AV119" s="18"/>
      <c r="AW119" s="18"/>
    </row>
    <row r="120" spans="1:49"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  <c r="AU120" s="18"/>
      <c r="AV120" s="18"/>
      <c r="AW120" s="18"/>
    </row>
    <row r="121" spans="1:49"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  <c r="AU121" s="18"/>
      <c r="AV121" s="18"/>
      <c r="AW121" s="18"/>
    </row>
    <row r="122" spans="1:49" ht="23.25">
      <c r="A122" s="113" t="s">
        <v>25</v>
      </c>
      <c r="B122" s="113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  <c r="AU122" s="18"/>
      <c r="AV122" s="18"/>
      <c r="AW122" s="18"/>
    </row>
    <row r="123" spans="1:49" s="18" customFormat="1" ht="15.75">
      <c r="A123" s="64" t="s">
        <v>39</v>
      </c>
      <c r="B123" s="64" t="s">
        <v>110</v>
      </c>
      <c r="C123" s="64" t="s">
        <v>43</v>
      </c>
      <c r="D123" s="49">
        <v>42199</v>
      </c>
      <c r="E123" s="34">
        <v>1633</v>
      </c>
      <c r="F123" s="34">
        <v>1500</v>
      </c>
      <c r="G123" s="34"/>
      <c r="H123" s="34"/>
      <c r="I123" s="34"/>
      <c r="J123" s="46">
        <f t="shared" ref="J123:J127" si="75">SUM(F123:I123)</f>
        <v>1500</v>
      </c>
      <c r="K123" s="34"/>
      <c r="L123" s="60"/>
      <c r="M123" s="34"/>
      <c r="N123" s="34">
        <v>150</v>
      </c>
      <c r="O123" s="61"/>
      <c r="P123" s="61"/>
      <c r="Q123" s="34"/>
      <c r="R123" s="32"/>
      <c r="S123" s="62"/>
      <c r="T123" s="33"/>
      <c r="U123" s="33"/>
      <c r="V123" s="57"/>
      <c r="W123" s="46">
        <f t="shared" ref="W123:W127" si="76">+J123-SUM(K123:V123)</f>
        <v>1350</v>
      </c>
      <c r="X123" s="32">
        <v>0</v>
      </c>
      <c r="Y123" s="46">
        <v>-150</v>
      </c>
      <c r="Z123" s="32"/>
      <c r="AA123" s="32"/>
      <c r="AB123" s="32"/>
      <c r="AC123" s="46"/>
      <c r="AD123" s="52"/>
      <c r="AE123" s="50"/>
      <c r="AF123" s="47"/>
      <c r="AG123" s="33">
        <v>60590405464</v>
      </c>
      <c r="AH123" s="65"/>
    </row>
    <row r="124" spans="1:49">
      <c r="A124" s="64" t="s">
        <v>37</v>
      </c>
      <c r="B124" s="64" t="s">
        <v>102</v>
      </c>
      <c r="C124" s="64" t="s">
        <v>43</v>
      </c>
      <c r="D124" s="49">
        <v>34275</v>
      </c>
      <c r="E124" s="34">
        <v>1633</v>
      </c>
      <c r="F124" s="34"/>
      <c r="G124" s="34"/>
      <c r="H124" s="34"/>
      <c r="I124" s="34"/>
      <c r="J124" s="46">
        <f t="shared" si="75"/>
        <v>0</v>
      </c>
      <c r="K124" s="34"/>
      <c r="L124" s="60"/>
      <c r="M124" s="34"/>
      <c r="N124" s="34"/>
      <c r="O124" s="61"/>
      <c r="P124" s="61"/>
      <c r="Q124" s="34"/>
      <c r="R124" s="32"/>
      <c r="S124" s="32"/>
      <c r="T124" s="33"/>
      <c r="U124" s="33"/>
      <c r="V124" s="33"/>
      <c r="W124" s="46">
        <f t="shared" si="76"/>
        <v>0</v>
      </c>
      <c r="X124" s="32">
        <v>0</v>
      </c>
      <c r="Y124" s="46">
        <v>0</v>
      </c>
      <c r="Z124" s="54"/>
      <c r="AA124" s="54"/>
      <c r="AB124" s="54"/>
      <c r="AC124" s="53"/>
      <c r="AD124" s="44"/>
      <c r="AE124" s="44"/>
      <c r="AF124" s="39"/>
      <c r="AG124" s="28">
        <v>60590317373</v>
      </c>
      <c r="AH124" s="65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  <c r="AU124" s="18"/>
      <c r="AV124" s="18"/>
      <c r="AW124" s="18"/>
    </row>
    <row r="125" spans="1:49">
      <c r="A125" s="64" t="s">
        <v>39</v>
      </c>
      <c r="B125" s="64" t="s">
        <v>117</v>
      </c>
      <c r="C125" s="64" t="s">
        <v>118</v>
      </c>
      <c r="D125" s="49">
        <v>38825</v>
      </c>
      <c r="E125" s="34">
        <v>2100</v>
      </c>
      <c r="F125" s="34"/>
      <c r="G125" s="34"/>
      <c r="H125" s="34"/>
      <c r="I125" s="34"/>
      <c r="J125" s="46">
        <f t="shared" si="75"/>
        <v>0</v>
      </c>
      <c r="K125" s="34"/>
      <c r="L125" s="60"/>
      <c r="M125" s="34"/>
      <c r="N125" s="34"/>
      <c r="O125" s="61"/>
      <c r="P125" s="61"/>
      <c r="Q125" s="34"/>
      <c r="R125" s="32"/>
      <c r="S125" s="32"/>
      <c r="T125" s="33"/>
      <c r="U125" s="33"/>
      <c r="V125" s="33"/>
      <c r="W125" s="46">
        <f t="shared" si="76"/>
        <v>0</v>
      </c>
      <c r="X125" s="32"/>
      <c r="Y125" s="46"/>
      <c r="Z125" s="54"/>
      <c r="AA125" s="54"/>
      <c r="AB125" s="54"/>
      <c r="AC125" s="53"/>
      <c r="AD125" s="44"/>
      <c r="AE125" s="44"/>
      <c r="AF125" s="39"/>
      <c r="AG125" s="28">
        <v>56708845376</v>
      </c>
      <c r="AH125" s="65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  <c r="AU125" s="18"/>
      <c r="AV125" s="18"/>
      <c r="AW125" s="18"/>
    </row>
    <row r="126" spans="1:49">
      <c r="A126" s="64" t="s">
        <v>37</v>
      </c>
      <c r="B126" s="64" t="s">
        <v>104</v>
      </c>
      <c r="C126" s="64" t="s">
        <v>103</v>
      </c>
      <c r="D126" s="49">
        <v>42809</v>
      </c>
      <c r="E126" s="34">
        <v>937.5</v>
      </c>
      <c r="F126" s="34"/>
      <c r="G126" s="34"/>
      <c r="H126" s="34"/>
      <c r="I126" s="34"/>
      <c r="J126" s="46">
        <f t="shared" si="75"/>
        <v>0</v>
      </c>
      <c r="K126" s="34">
        <v>208.34</v>
      </c>
      <c r="L126" s="60"/>
      <c r="M126" s="34"/>
      <c r="N126" s="34"/>
      <c r="O126" s="61"/>
      <c r="P126" s="61"/>
      <c r="Q126" s="34"/>
      <c r="R126" s="32"/>
      <c r="S126" s="32"/>
      <c r="T126" s="33"/>
      <c r="U126" s="33"/>
      <c r="V126" s="33"/>
      <c r="W126" s="46">
        <f t="shared" si="76"/>
        <v>-208.34</v>
      </c>
      <c r="X126" s="32"/>
      <c r="Y126" s="46"/>
      <c r="Z126" s="54"/>
      <c r="AA126" s="54"/>
      <c r="AB126" s="54"/>
      <c r="AC126" s="53"/>
      <c r="AD126" s="44"/>
      <c r="AE126" s="44"/>
      <c r="AF126" s="39"/>
      <c r="AG126" s="28">
        <v>60590314454</v>
      </c>
      <c r="AH126" s="65" t="s">
        <v>200</v>
      </c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  <c r="AU126" s="18"/>
      <c r="AV126" s="18"/>
      <c r="AW126" s="18"/>
    </row>
    <row r="127" spans="1:49">
      <c r="A127" s="64" t="s">
        <v>39</v>
      </c>
      <c r="B127" s="64" t="s">
        <v>153</v>
      </c>
      <c r="C127" s="64" t="s">
        <v>154</v>
      </c>
      <c r="D127" s="49">
        <v>40147</v>
      </c>
      <c r="E127" s="34">
        <v>1900</v>
      </c>
      <c r="F127" s="34"/>
      <c r="G127" s="34"/>
      <c r="H127" s="34"/>
      <c r="I127" s="34"/>
      <c r="J127" s="46">
        <f t="shared" si="75"/>
        <v>0</v>
      </c>
      <c r="K127" s="34"/>
      <c r="L127" s="60"/>
      <c r="M127" s="34"/>
      <c r="N127" s="34"/>
      <c r="O127" s="61"/>
      <c r="P127" s="61"/>
      <c r="Q127" s="34"/>
      <c r="R127" s="32"/>
      <c r="S127" s="32"/>
      <c r="T127" s="33"/>
      <c r="U127" s="33"/>
      <c r="V127" s="33"/>
      <c r="W127" s="46">
        <f t="shared" si="76"/>
        <v>0</v>
      </c>
      <c r="X127" s="32"/>
      <c r="Y127" s="46"/>
      <c r="Z127" s="54"/>
      <c r="AA127" s="54"/>
      <c r="AB127" s="54"/>
      <c r="AC127" s="53"/>
      <c r="AD127" s="44"/>
      <c r="AE127" s="44"/>
      <c r="AF127" s="39"/>
      <c r="AG127" s="28">
        <v>60590324373</v>
      </c>
      <c r="AH127" s="65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  <c r="AU127" s="18"/>
      <c r="AV127" s="18"/>
      <c r="AW127" s="18"/>
    </row>
    <row r="128" spans="1:49"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  <c r="AU128" s="18"/>
      <c r="AV128" s="18"/>
      <c r="AW128" s="18"/>
    </row>
    <row r="129" spans="1:49"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  <c r="AU129" s="18"/>
      <c r="AV129" s="18"/>
      <c r="AW129" s="18"/>
    </row>
    <row r="130" spans="1:49"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  <c r="AU130" s="18"/>
      <c r="AV130" s="18"/>
      <c r="AW130" s="18"/>
    </row>
    <row r="131" spans="1:49">
      <c r="A131" s="19" t="s">
        <v>17</v>
      </c>
      <c r="B131" s="13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  <c r="AU131" s="18"/>
      <c r="AV131" s="18"/>
      <c r="AW131" s="18"/>
    </row>
    <row r="132" spans="1:49">
      <c r="A132" s="19" t="s">
        <v>18</v>
      </c>
      <c r="B132" s="13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  <c r="AU132" s="18"/>
      <c r="AV132" s="18"/>
      <c r="AW132" s="18"/>
    </row>
    <row r="133" spans="1:49">
      <c r="A133" s="19" t="s">
        <v>19</v>
      </c>
      <c r="B133" s="13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  <c r="AU133" s="18"/>
      <c r="AV133" s="18"/>
      <c r="AW133" s="18"/>
    </row>
    <row r="134" spans="1:49">
      <c r="A134" s="19" t="s">
        <v>20</v>
      </c>
      <c r="B134" s="13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  <c r="AU134" s="18"/>
      <c r="AV134" s="18"/>
      <c r="AW134" s="18"/>
    </row>
    <row r="135" spans="1:49">
      <c r="A135" s="19" t="s">
        <v>21</v>
      </c>
      <c r="B135" s="13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  <c r="AU135" s="18"/>
      <c r="AV135" s="18"/>
      <c r="AW135" s="18"/>
    </row>
    <row r="136" spans="1:49">
      <c r="A136" s="19" t="s">
        <v>22</v>
      </c>
      <c r="B136" s="13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  <c r="AU136" s="18"/>
      <c r="AV136" s="18"/>
      <c r="AW136" s="18"/>
    </row>
    <row r="137" spans="1:49"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  <c r="AU137" s="18"/>
      <c r="AV137" s="18"/>
      <c r="AW137" s="18"/>
    </row>
    <row r="138" spans="1:49"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  <c r="AU138" s="18"/>
      <c r="AV138" s="18"/>
      <c r="AW138" s="18"/>
    </row>
    <row r="140" spans="1:49">
      <c r="B140" s="17"/>
    </row>
    <row r="141" spans="1:49">
      <c r="B141" s="17"/>
    </row>
    <row r="142" spans="1:49">
      <c r="B142" s="17"/>
    </row>
  </sheetData>
  <sheetProtection selectLockedCells="1" selectUnlockedCells="1"/>
  <autoFilter ref="A5:AH63">
    <filterColumn colId="29" showButton="0"/>
    <sortState ref="A8:AH99">
      <sortCondition ref="B5:B99"/>
    </sortState>
  </autoFilter>
  <mergeCells count="34">
    <mergeCell ref="A122:B122"/>
    <mergeCell ref="F5:F6"/>
    <mergeCell ref="A5:A6"/>
    <mergeCell ref="B5:B6"/>
    <mergeCell ref="C5:C6"/>
    <mergeCell ref="D5:D6"/>
    <mergeCell ref="E5:E6"/>
    <mergeCell ref="A67:B67"/>
    <mergeCell ref="G5:G6"/>
    <mergeCell ref="S5:S6"/>
    <mergeCell ref="Q5:Q6"/>
    <mergeCell ref="R5:R6"/>
    <mergeCell ref="L5:L6"/>
    <mergeCell ref="M5:M6"/>
    <mergeCell ref="H5:H6"/>
    <mergeCell ref="I5:I6"/>
    <mergeCell ref="J5:J6"/>
    <mergeCell ref="K5:K6"/>
    <mergeCell ref="N5:N6"/>
    <mergeCell ref="AH5:AH6"/>
    <mergeCell ref="T5:T6"/>
    <mergeCell ref="O5:O6"/>
    <mergeCell ref="P5:P6"/>
    <mergeCell ref="U5:U6"/>
    <mergeCell ref="AC5:AC6"/>
    <mergeCell ref="AD5:AE5"/>
    <mergeCell ref="AF5:AF6"/>
    <mergeCell ref="AG5:AG6"/>
    <mergeCell ref="V5:V6"/>
    <mergeCell ref="W5:W6"/>
    <mergeCell ref="X5:X6"/>
    <mergeCell ref="Y5:Y6"/>
    <mergeCell ref="Z5:Z6"/>
    <mergeCell ref="AA5:AA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NOMINA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2016-02-12T20:59:22Z</cp:lastPrinted>
  <dcterms:created xsi:type="dcterms:W3CDTF">2015-07-23T15:19:36Z</dcterms:created>
  <dcterms:modified xsi:type="dcterms:W3CDTF">2018-01-26T17:57:30Z</dcterms:modified>
</cp:coreProperties>
</file>