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NOMINA'!$A$5:$AH$70</definedName>
  </definedNames>
  <calcPr calcId="124519"/>
</workbook>
</file>

<file path=xl/calcChain.xml><?xml version="1.0" encoding="utf-8"?>
<calcChain xmlns="http://schemas.openxmlformats.org/spreadsheetml/2006/main">
  <c r="G106" i="4"/>
  <c r="G77"/>
  <c r="K77" s="1"/>
  <c r="W77" s="1"/>
  <c r="G78" l="1"/>
  <c r="G98"/>
  <c r="G102"/>
  <c r="G107"/>
  <c r="G105"/>
  <c r="G82"/>
  <c r="G93"/>
  <c r="G118"/>
  <c r="G113"/>
  <c r="G84"/>
  <c r="G88"/>
  <c r="G83"/>
  <c r="G85" l="1"/>
  <c r="G86"/>
  <c r="G117"/>
  <c r="G100"/>
  <c r="G80" l="1"/>
  <c r="G115"/>
  <c r="G94"/>
  <c r="G99"/>
  <c r="G97"/>
  <c r="G81"/>
  <c r="G76"/>
  <c r="G92"/>
  <c r="G112"/>
  <c r="G90"/>
  <c r="G91"/>
  <c r="G75"/>
  <c r="K67" l="1"/>
  <c r="W67" s="1"/>
  <c r="K17" l="1"/>
  <c r="W17" s="1"/>
  <c r="K79"/>
  <c r="W79" s="1"/>
  <c r="AB103" l="1"/>
  <c r="K103"/>
  <c r="X103" s="1"/>
  <c r="Z103" l="1"/>
  <c r="AC103" s="1"/>
  <c r="W103"/>
  <c r="Y103" s="1"/>
  <c r="AF103" s="1"/>
  <c r="L120" l="1"/>
  <c r="M120"/>
  <c r="N120"/>
  <c r="O120"/>
  <c r="P120"/>
  <c r="Q120"/>
  <c r="R120"/>
  <c r="S120"/>
  <c r="T120"/>
  <c r="U120"/>
  <c r="V120"/>
  <c r="H120"/>
  <c r="I120"/>
  <c r="J120"/>
  <c r="G120"/>
  <c r="K101" l="1"/>
  <c r="W101" s="1"/>
  <c r="K104"/>
  <c r="W104" s="1"/>
  <c r="K23"/>
  <c r="X23" s="1"/>
  <c r="X101" l="1"/>
  <c r="Y101" s="1"/>
  <c r="X104"/>
  <c r="Y104" s="1"/>
  <c r="W23"/>
  <c r="Y23" s="1"/>
  <c r="K95"/>
  <c r="W95" s="1"/>
  <c r="K102"/>
  <c r="W102" l="1"/>
  <c r="X102"/>
  <c r="Y95"/>
  <c r="Z95"/>
  <c r="AC95" s="1"/>
  <c r="X95"/>
  <c r="Y102" l="1"/>
  <c r="K114"/>
  <c r="X114" s="1"/>
  <c r="K48"/>
  <c r="X48" s="1"/>
  <c r="K22"/>
  <c r="X22" s="1"/>
  <c r="K108"/>
  <c r="W108" s="1"/>
  <c r="X108" l="1"/>
  <c r="Y108" s="1"/>
  <c r="W114"/>
  <c r="Y114" s="1"/>
  <c r="W48"/>
  <c r="Y48" s="1"/>
  <c r="W22"/>
  <c r="Y22" s="1"/>
  <c r="K52" l="1"/>
  <c r="X52" s="1"/>
  <c r="W52" l="1"/>
  <c r="Y52" s="1"/>
  <c r="K24"/>
  <c r="K53" l="1"/>
  <c r="X53" s="1"/>
  <c r="N72"/>
  <c r="W53" l="1"/>
  <c r="Y53" s="1"/>
  <c r="K10"/>
  <c r="X10" s="1"/>
  <c r="W10" l="1"/>
  <c r="Y10" s="1"/>
  <c r="K96" l="1"/>
  <c r="X96" s="1"/>
  <c r="W96" l="1"/>
  <c r="Y96" s="1"/>
  <c r="K11"/>
  <c r="W11" s="1"/>
  <c r="X11" l="1"/>
  <c r="Y11" s="1"/>
  <c r="G72"/>
  <c r="K109" l="1"/>
  <c r="W109" s="1"/>
  <c r="K69"/>
  <c r="X69" s="1"/>
  <c r="V72"/>
  <c r="W69" l="1"/>
  <c r="Y69" s="1"/>
  <c r="X109"/>
  <c r="Y109" s="1"/>
  <c r="K47"/>
  <c r="X47" s="1"/>
  <c r="W47" l="1"/>
  <c r="Y47" s="1"/>
  <c r="K7"/>
  <c r="W7" s="1"/>
  <c r="X7" l="1"/>
  <c r="Y7" s="1"/>
  <c r="K34" l="1"/>
  <c r="X34" s="1"/>
  <c r="W34" l="1"/>
  <c r="Y34" s="1"/>
  <c r="K83"/>
  <c r="W83" s="1"/>
  <c r="X83" l="1"/>
  <c r="Y83" s="1"/>
  <c r="K107" l="1"/>
  <c r="X107" s="1"/>
  <c r="W107" l="1"/>
  <c r="Y107" s="1"/>
  <c r="K86" l="1"/>
  <c r="X86" s="1"/>
  <c r="W86" l="1"/>
  <c r="Y86" s="1"/>
  <c r="K89"/>
  <c r="X89" s="1"/>
  <c r="W89" l="1"/>
  <c r="Y89" s="1"/>
  <c r="K46"/>
  <c r="W46" s="1"/>
  <c r="X46" l="1"/>
  <c r="Y46" s="1"/>
  <c r="K26"/>
  <c r="X26" s="1"/>
  <c r="K45"/>
  <c r="X45" s="1"/>
  <c r="W45" l="1"/>
  <c r="Y45" s="1"/>
  <c r="W26"/>
  <c r="Y26" s="1"/>
  <c r="K57"/>
  <c r="X57" s="1"/>
  <c r="W57" l="1"/>
  <c r="Y57" s="1"/>
  <c r="K110"/>
  <c r="X110" s="1"/>
  <c r="W110" l="1"/>
  <c r="Y110" s="1"/>
  <c r="K70" l="1"/>
  <c r="X70" s="1"/>
  <c r="W70" l="1"/>
  <c r="Y70" s="1"/>
  <c r="K60" l="1"/>
  <c r="W60" s="1"/>
  <c r="X60" l="1"/>
  <c r="Y60" s="1"/>
  <c r="Z60"/>
  <c r="J72" l="1"/>
  <c r="K116" l="1"/>
  <c r="W116" s="1"/>
  <c r="K87"/>
  <c r="W87" s="1"/>
  <c r="K27"/>
  <c r="X27" s="1"/>
  <c r="X87" l="1"/>
  <c r="Y87" s="1"/>
  <c r="X116"/>
  <c r="Y116" s="1"/>
  <c r="W27"/>
  <c r="Y27" s="1"/>
  <c r="K68" l="1"/>
  <c r="X68" s="1"/>
  <c r="W68" l="1"/>
  <c r="Y68" s="1"/>
  <c r="AB49" l="1"/>
  <c r="K49" l="1"/>
  <c r="X49" l="1"/>
  <c r="W49"/>
  <c r="Z49"/>
  <c r="AC49" s="1"/>
  <c r="Y49" l="1"/>
  <c r="K40"/>
  <c r="Z40" s="1"/>
  <c r="AB40"/>
  <c r="K63"/>
  <c r="W63" s="1"/>
  <c r="AB63"/>
  <c r="AC40" l="1"/>
  <c r="W40"/>
  <c r="X40"/>
  <c r="Z63"/>
  <c r="AC63" s="1"/>
  <c r="X63"/>
  <c r="Y63" s="1"/>
  <c r="AB29"/>
  <c r="K29"/>
  <c r="Y40" l="1"/>
  <c r="Z29"/>
  <c r="AC29" s="1"/>
  <c r="W29"/>
  <c r="X29"/>
  <c r="Y29" l="1"/>
  <c r="AF29" s="1"/>
  <c r="AB54" l="1"/>
  <c r="K54"/>
  <c r="W54" s="1"/>
  <c r="Z54" l="1"/>
  <c r="AC54" s="1"/>
  <c r="X54"/>
  <c r="Y54" s="1"/>
  <c r="AB25" l="1"/>
  <c r="AB28"/>
  <c r="AB30"/>
  <c r="AB32"/>
  <c r="AB33"/>
  <c r="AB88"/>
  <c r="AB35"/>
  <c r="AB36"/>
  <c r="K25"/>
  <c r="W25" s="1"/>
  <c r="K30"/>
  <c r="X30" s="1"/>
  <c r="W30" l="1"/>
  <c r="Y30" s="1"/>
  <c r="Z25"/>
  <c r="AC25" s="1"/>
  <c r="Z30"/>
  <c r="AC30" s="1"/>
  <c r="X25"/>
  <c r="Y25" s="1"/>
  <c r="K36" l="1"/>
  <c r="Z36" l="1"/>
  <c r="AC36" s="1"/>
  <c r="W36"/>
  <c r="X36"/>
  <c r="Y36" l="1"/>
  <c r="K88"/>
  <c r="W88" l="1"/>
  <c r="X88"/>
  <c r="Z88"/>
  <c r="AC88" s="1"/>
  <c r="Y88" l="1"/>
  <c r="AB66" l="1"/>
  <c r="K66"/>
  <c r="K32"/>
  <c r="AB51"/>
  <c r="K51"/>
  <c r="Z32" l="1"/>
  <c r="AC32" s="1"/>
  <c r="W32"/>
  <c r="X32"/>
  <c r="W66"/>
  <c r="Z66"/>
  <c r="AC66" s="1"/>
  <c r="X51"/>
  <c r="Z51"/>
  <c r="AC51" s="1"/>
  <c r="X66"/>
  <c r="W51"/>
  <c r="AB56"/>
  <c r="K56"/>
  <c r="Z56" s="1"/>
  <c r="Y32" l="1"/>
  <c r="AF32" s="1"/>
  <c r="Y66"/>
  <c r="Y51"/>
  <c r="AC56"/>
  <c r="W56"/>
  <c r="X56"/>
  <c r="Y56" l="1"/>
  <c r="AF66" l="1"/>
  <c r="AF51" l="1"/>
  <c r="AB61"/>
  <c r="K94" l="1"/>
  <c r="X94" l="1"/>
  <c r="Z94"/>
  <c r="AB94"/>
  <c r="AC94" l="1"/>
  <c r="W94"/>
  <c r="Y94" s="1"/>
  <c r="AF94" s="1"/>
  <c r="AB21" l="1"/>
  <c r="K21"/>
  <c r="X21" l="1"/>
  <c r="W21"/>
  <c r="W24"/>
  <c r="Z21"/>
  <c r="AC21" s="1"/>
  <c r="X24"/>
  <c r="Y21" l="1"/>
  <c r="Y24"/>
  <c r="AF21" l="1"/>
  <c r="AB55" l="1"/>
  <c r="K33" l="1"/>
  <c r="X33" l="1"/>
  <c r="Z33"/>
  <c r="AC33" s="1"/>
  <c r="W33"/>
  <c r="AB62"/>
  <c r="K62" l="1"/>
  <c r="Z62" s="1"/>
  <c r="Y33"/>
  <c r="X62" l="1"/>
  <c r="W62"/>
  <c r="AC62"/>
  <c r="Y62" l="1"/>
  <c r="AF62" s="1"/>
  <c r="AB19" l="1"/>
  <c r="K106" l="1"/>
  <c r="X106" l="1"/>
  <c r="Z106"/>
  <c r="K19"/>
  <c r="AB118"/>
  <c r="AB117"/>
  <c r="AB65"/>
  <c r="AB64"/>
  <c r="AB113"/>
  <c r="AB59"/>
  <c r="AB58"/>
  <c r="AB105"/>
  <c r="AB102"/>
  <c r="AB50"/>
  <c r="AB98"/>
  <c r="AB44"/>
  <c r="AB43"/>
  <c r="AB42"/>
  <c r="AB93"/>
  <c r="AB41"/>
  <c r="AB39"/>
  <c r="AB38"/>
  <c r="AB37"/>
  <c r="AB20"/>
  <c r="AB82"/>
  <c r="AB18"/>
  <c r="AB16"/>
  <c r="AB15"/>
  <c r="AB13"/>
  <c r="AB14"/>
  <c r="AB12"/>
  <c r="AB9"/>
  <c r="AB8"/>
  <c r="X19" l="1"/>
  <c r="Z19"/>
  <c r="AC19" s="1"/>
  <c r="W19"/>
  <c r="AB106"/>
  <c r="Y19" l="1"/>
  <c r="AF19" s="1"/>
  <c r="AC106"/>
  <c r="W106"/>
  <c r="Y106" s="1"/>
  <c r="AF106" s="1"/>
  <c r="K105"/>
  <c r="X105" l="1"/>
  <c r="W105"/>
  <c r="Z105"/>
  <c r="AC105" s="1"/>
  <c r="AA72"/>
  <c r="K75"/>
  <c r="AE72"/>
  <c r="AD72"/>
  <c r="S72"/>
  <c r="R72"/>
  <c r="L72"/>
  <c r="I72"/>
  <c r="H72"/>
  <c r="K55"/>
  <c r="K118"/>
  <c r="K117"/>
  <c r="K115"/>
  <c r="K65"/>
  <c r="K61"/>
  <c r="Z61" s="1"/>
  <c r="K113"/>
  <c r="K112"/>
  <c r="K111"/>
  <c r="K59"/>
  <c r="K58"/>
  <c r="K50"/>
  <c r="K100"/>
  <c r="K99"/>
  <c r="K98"/>
  <c r="K97"/>
  <c r="K44"/>
  <c r="K43"/>
  <c r="K42"/>
  <c r="K93"/>
  <c r="K92"/>
  <c r="K91"/>
  <c r="K90"/>
  <c r="K41"/>
  <c r="K39"/>
  <c r="K38"/>
  <c r="K37"/>
  <c r="K35"/>
  <c r="K85"/>
  <c r="K84"/>
  <c r="K82"/>
  <c r="K18"/>
  <c r="K81"/>
  <c r="K16"/>
  <c r="K80"/>
  <c r="W80" s="1"/>
  <c r="K78"/>
  <c r="K14"/>
  <c r="K12"/>
  <c r="K76"/>
  <c r="K9"/>
  <c r="K120" l="1"/>
  <c r="Y105"/>
  <c r="AF105" s="1"/>
  <c r="AB97"/>
  <c r="K28"/>
  <c r="W35"/>
  <c r="X35"/>
  <c r="Z35"/>
  <c r="AC35" s="1"/>
  <c r="X50"/>
  <c r="Z50"/>
  <c r="AC50" s="1"/>
  <c r="X41"/>
  <c r="Z41"/>
  <c r="AC41" s="1"/>
  <c r="X38"/>
  <c r="Z38"/>
  <c r="AC38" s="1"/>
  <c r="X39"/>
  <c r="Z39"/>
  <c r="X44"/>
  <c r="Z44"/>
  <c r="AC44" s="1"/>
  <c r="X18"/>
  <c r="Z18"/>
  <c r="X37"/>
  <c r="Z37"/>
  <c r="X42"/>
  <c r="Z42"/>
  <c r="AC42" s="1"/>
  <c r="X43"/>
  <c r="Z43"/>
  <c r="X14"/>
  <c r="Z14"/>
  <c r="AC14" s="1"/>
  <c r="X9"/>
  <c r="Z9"/>
  <c r="AC9" s="1"/>
  <c r="X12"/>
  <c r="Z12"/>
  <c r="AC12" s="1"/>
  <c r="X16"/>
  <c r="Z16"/>
  <c r="AC16" s="1"/>
  <c r="X78"/>
  <c r="Z78"/>
  <c r="Z102"/>
  <c r="AC102" s="1"/>
  <c r="X82"/>
  <c r="Z82"/>
  <c r="AC82" s="1"/>
  <c r="X80"/>
  <c r="Z80"/>
  <c r="X99"/>
  <c r="Z99"/>
  <c r="X97"/>
  <c r="Z97"/>
  <c r="X81"/>
  <c r="Z81"/>
  <c r="X76"/>
  <c r="Z76"/>
  <c r="X90"/>
  <c r="Z90"/>
  <c r="X84"/>
  <c r="Z84"/>
  <c r="X98"/>
  <c r="Z98"/>
  <c r="AC98" s="1"/>
  <c r="X93"/>
  <c r="Z93"/>
  <c r="AC93" s="1"/>
  <c r="X59"/>
  <c r="Z59"/>
  <c r="X115"/>
  <c r="Z115"/>
  <c r="X113"/>
  <c r="Z113"/>
  <c r="AC113" s="1"/>
  <c r="X65"/>
  <c r="Z65"/>
  <c r="AC65" s="1"/>
  <c r="X118"/>
  <c r="Z118"/>
  <c r="AC118" s="1"/>
  <c r="X58"/>
  <c r="Z58"/>
  <c r="AC58" s="1"/>
  <c r="X112"/>
  <c r="Z112"/>
  <c r="X111"/>
  <c r="Z111"/>
  <c r="X117"/>
  <c r="Z117"/>
  <c r="AC117" s="1"/>
  <c r="W55"/>
  <c r="Z55"/>
  <c r="AC55" s="1"/>
  <c r="X100"/>
  <c r="Z100"/>
  <c r="X92"/>
  <c r="Z92"/>
  <c r="X91"/>
  <c r="Z91"/>
  <c r="X85"/>
  <c r="Z85"/>
  <c r="X61"/>
  <c r="X55"/>
  <c r="K15"/>
  <c r="Z15" s="1"/>
  <c r="K64"/>
  <c r="K13"/>
  <c r="T72"/>
  <c r="K20"/>
  <c r="AB91"/>
  <c r="AC61"/>
  <c r="AB84"/>
  <c r="U72"/>
  <c r="W41"/>
  <c r="AB80"/>
  <c r="W44"/>
  <c r="W98"/>
  <c r="AF33"/>
  <c r="W12"/>
  <c r="W113"/>
  <c r="W65"/>
  <c r="W16"/>
  <c r="AB92"/>
  <c r="W117"/>
  <c r="AB90"/>
  <c r="W9"/>
  <c r="W93"/>
  <c r="K8"/>
  <c r="AB78"/>
  <c r="AB85"/>
  <c r="AB76"/>
  <c r="W14"/>
  <c r="AB81"/>
  <c r="AF56"/>
  <c r="W82"/>
  <c r="W42"/>
  <c r="AB99"/>
  <c r="AB100"/>
  <c r="AB115"/>
  <c r="W38"/>
  <c r="W58"/>
  <c r="AB111"/>
  <c r="AB112"/>
  <c r="W50"/>
  <c r="W61"/>
  <c r="W118"/>
  <c r="W28" l="1"/>
  <c r="Z28"/>
  <c r="AC28" s="1"/>
  <c r="X28"/>
  <c r="Y35"/>
  <c r="Y14"/>
  <c r="AF14" s="1"/>
  <c r="Y65"/>
  <c r="AF65" s="1"/>
  <c r="Y118"/>
  <c r="AF118" s="1"/>
  <c r="Y50"/>
  <c r="AF50" s="1"/>
  <c r="Y38"/>
  <c r="AF38" s="1"/>
  <c r="Y93"/>
  <c r="AF93" s="1"/>
  <c r="Y41"/>
  <c r="AF41" s="1"/>
  <c r="X20"/>
  <c r="Z20"/>
  <c r="AC20" s="1"/>
  <c r="Z13"/>
  <c r="AC13" s="1"/>
  <c r="X8"/>
  <c r="Z8"/>
  <c r="AC8" s="1"/>
  <c r="Y117"/>
  <c r="AF117" s="1"/>
  <c r="X64"/>
  <c r="Z64"/>
  <c r="AC64" s="1"/>
  <c r="X15"/>
  <c r="W15"/>
  <c r="W75"/>
  <c r="Y55"/>
  <c r="AF55" s="1"/>
  <c r="W13"/>
  <c r="X13"/>
  <c r="W64"/>
  <c r="AC15"/>
  <c r="W20"/>
  <c r="AF88"/>
  <c r="Y98"/>
  <c r="AF98" s="1"/>
  <c r="Y42"/>
  <c r="AF42" s="1"/>
  <c r="Y16"/>
  <c r="AF16" s="1"/>
  <c r="Y9"/>
  <c r="AF9" s="1"/>
  <c r="AF102"/>
  <c r="Y44"/>
  <c r="AF44" s="1"/>
  <c r="Y82"/>
  <c r="AF82" s="1"/>
  <c r="Y113"/>
  <c r="AF113" s="1"/>
  <c r="Y58"/>
  <c r="AF58" s="1"/>
  <c r="Y12"/>
  <c r="AF12" s="1"/>
  <c r="Y61"/>
  <c r="AF61" s="1"/>
  <c r="AC85"/>
  <c r="AC115"/>
  <c r="AC112"/>
  <c r="AC91"/>
  <c r="AC90"/>
  <c r="AC97"/>
  <c r="AC92"/>
  <c r="AC80"/>
  <c r="AC76"/>
  <c r="AC99"/>
  <c r="AC81"/>
  <c r="AC84"/>
  <c r="AC78"/>
  <c r="AC100"/>
  <c r="AC111"/>
  <c r="AB72"/>
  <c r="W91"/>
  <c r="Y91" s="1"/>
  <c r="AF91" s="1"/>
  <c r="W92"/>
  <c r="Y92" s="1"/>
  <c r="AF92" s="1"/>
  <c r="W112"/>
  <c r="Y112" s="1"/>
  <c r="AF112" s="1"/>
  <c r="W84"/>
  <c r="Y84" s="1"/>
  <c r="AF84" s="1"/>
  <c r="W37"/>
  <c r="AC37"/>
  <c r="AC18"/>
  <c r="AC59"/>
  <c r="W39"/>
  <c r="AC39"/>
  <c r="W43"/>
  <c r="AC43"/>
  <c r="Y80"/>
  <c r="AF80" s="1"/>
  <c r="W18"/>
  <c r="W99"/>
  <c r="Y99" s="1"/>
  <c r="AF99" s="1"/>
  <c r="W100"/>
  <c r="Y100" s="1"/>
  <c r="AF100" s="1"/>
  <c r="W90"/>
  <c r="Y90" s="1"/>
  <c r="AF90" s="1"/>
  <c r="W85"/>
  <c r="Y85" s="1"/>
  <c r="AF85" s="1"/>
  <c r="W78"/>
  <c r="Y78" s="1"/>
  <c r="AF78" s="1"/>
  <c r="O72"/>
  <c r="W97"/>
  <c r="Y97" s="1"/>
  <c r="AF97" s="1"/>
  <c r="W115"/>
  <c r="Y115" s="1"/>
  <c r="AF115" s="1"/>
  <c r="P72"/>
  <c r="Q72"/>
  <c r="W8"/>
  <c r="W59"/>
  <c r="W81"/>
  <c r="Y81" s="1"/>
  <c r="AF81" s="1"/>
  <c r="W76"/>
  <c r="Y76" s="1"/>
  <c r="AF76" s="1"/>
  <c r="W111"/>
  <c r="Y111" s="1"/>
  <c r="AF111" s="1"/>
  <c r="X75" l="1"/>
  <c r="X120" s="1"/>
  <c r="W120"/>
  <c r="Y28"/>
  <c r="AF28" s="1"/>
  <c r="Y20"/>
  <c r="AF20" s="1"/>
  <c r="Y15"/>
  <c r="AF15" s="1"/>
  <c r="Y64"/>
  <c r="AF64" s="1"/>
  <c r="Y75"/>
  <c r="Y120" s="1"/>
  <c r="Z75"/>
  <c r="AC75" s="1"/>
  <c r="AC121" s="1"/>
  <c r="Y13"/>
  <c r="AF13" s="1"/>
  <c r="AF35"/>
  <c r="Y18"/>
  <c r="AF18" s="1"/>
  <c r="Y39"/>
  <c r="Y37"/>
  <c r="AF37" s="1"/>
  <c r="Y59"/>
  <c r="AF59" s="1"/>
  <c r="Y43"/>
  <c r="AF43" s="1"/>
  <c r="Y8"/>
  <c r="AF8" s="1"/>
  <c r="K72" l="1"/>
  <c r="Z72"/>
  <c r="X72"/>
  <c r="W72" l="1"/>
  <c r="AC72"/>
  <c r="Y72" l="1"/>
  <c r="AF72"/>
  <c r="AC73"/>
  <c r="AC74" s="1"/>
</calcChain>
</file>

<file path=xl/sharedStrings.xml><?xml version="1.0" encoding="utf-8"?>
<sst xmlns="http://schemas.openxmlformats.org/spreadsheetml/2006/main" count="523" uniqueCount="258">
  <si>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</si>
  <si>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</si>
  <si>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</si>
  <si>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</si>
  <si>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</si>
  <si>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</si>
  <si>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</si>
  <si>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</si>
  <si>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</si>
  <si>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</si>
  <si>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</si>
  <si>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</si>
  <si>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</si>
  <si>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</si>
  <si>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</si>
  <si>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</si>
  <si>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</si>
  <si>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</si>
  <si>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</si>
  <si>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</si>
  <si>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</si>
  <si>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</si>
  <si>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</si>
  <si>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</si>
  <si>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</si>
  <si>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</si>
  <si>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</si>
  <si>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</si>
  <si>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</si>
  <si>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</si>
  <si>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</si>
  <si>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</si>
  <si>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</si>
  <si>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</si>
  <si>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</si>
  <si>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</si>
  <si>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</si>
  <si>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</si>
  <si>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</si>
  <si>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</si>
  <si>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</si>
  <si>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</si>
  <si>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</si>
  <si>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</si>
  <si>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</si>
  <si>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</si>
  <si>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</si>
  <si>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</si>
  <si>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</si>
  <si>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</si>
  <si>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</si>
  <si>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</si>
  <si>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</si>
  <si>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</si>
  <si>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</si>
  <si>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</si>
  <si>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</si>
  <si>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</si>
  <si>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</si>
  <si>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</si>
  <si>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</si>
  <si>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</si>
  <si>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</si>
  <si>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</si>
  <si>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</si>
  <si>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</si>
  <si>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</si>
  <si>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</si>
  <si>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</si>
  <si>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</si>
  <si>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</si>
  <si>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</si>
  <si>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</si>
  <si>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</si>
  <si>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</si>
  <si>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</si>
  <si>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</si>
  <si>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</si>
  <si>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</si>
  <si>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</si>
  <si>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</si>
  <si>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</si>
  <si>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</si>
  <si>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</si>
  <si>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</si>
  <si>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</si>
  <si>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</si>
  <si>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</si>
  <si>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</si>
  <si>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</si>
  <si>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</si>
  <si>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</si>
  <si>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</si>
  <si>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</si>
  <si>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</si>
  <si>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</si>
  <si>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</si>
  <si>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</si>
  <si>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</si>
  <si>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</si>
  <si>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</si>
  <si>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</si>
  <si>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</si>
  <si>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</si>
  <si>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</si>
  <si>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</si>
  <si>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</si>
  <si>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</si>
  <si>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</si>
  <si>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</si>
  <si>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</si>
  <si>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</si>
  <si>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</si>
  <si>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</si>
  <si>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</si>
  <si>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</si>
  <si>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</si>
  <si>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</si>
  <si>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</si>
  <si>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</si>
  <si>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</si>
  <si>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</si>
  <si>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</si>
  <si>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</si>
  <si>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</si>
  <si>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</si>
  <si>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</si>
  <si>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</si>
  <si>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</si>
  <si>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</si>
  <si>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</si>
  <si>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</si>
  <si>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</si>
  <si>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</si>
  <si>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</si>
  <si>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</si>
  <si>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</si>
  <si>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</si>
  <si>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</si>
  <si>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</si>
  <si>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</si>
  <si>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</si>
  <si>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</si>
  <si>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</si>
  <si>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</si>
  <si>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</si>
  <si>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</si>
  <si>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</si>
  <si>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</si>
  <si>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</si>
  <si>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</si>
  <si>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</si>
  <si>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</si>
  <si>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</si>
  <si>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</si>
  <si>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</si>
  <si>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</si>
  <si>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</si>
  <si>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</si>
  <si>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</si>
  <si>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</si>
  <si>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</si>
  <si>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</si>
  <si>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</si>
  <si>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</si>
  <si>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</si>
  <si>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</si>
  <si>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</si>
  <si>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</si>
  <si>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</si>
  <si>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</si>
  <si>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</si>
  <si>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</si>
  <si>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</si>
  <si>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</si>
  <si>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</si>
  <si>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</si>
  <si>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</si>
  <si>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</si>
  <si>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</si>
  <si>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</si>
  <si>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</si>
  <si>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</si>
  <si>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</si>
  <si>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</si>
  <si>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</si>
  <si>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</si>
  <si>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</si>
  <si>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</si>
  <si>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</si>
  <si>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</si>
  <si>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</si>
  <si>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</si>
  <si>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</si>
  <si>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</si>
  <si>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</si>
  <si>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</si>
  <si>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</si>
  <si>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</si>
  <si>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</si>
  <si>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</si>
  <si>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</si>
  <si>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</si>
  <si>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</si>
  <si>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</si>
  <si>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</si>
  <si>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</si>
  <si>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</si>
  <si>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</si>
  <si>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</si>
  <si>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</si>
  <si>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</si>
  <si>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</si>
  <si>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</si>
  <si>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</si>
  <si>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</si>
  <si>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</si>
  <si>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</si>
  <si>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</si>
  <si>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</si>
  <si>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</si>
  <si>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</si>
  <si>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>CTA BANCOMER</t>
  </si>
  <si>
    <t xml:space="preserve">RUIZ MIRANDA GADIEL </t>
  </si>
  <si>
    <t>OLIVAS MANCILLA JESUS DANIEL</t>
  </si>
  <si>
    <t>DURAN GUERRA VICTOR MANUEL</t>
  </si>
  <si>
    <t>VALDEZ BERNAL JUAN PABLO</t>
  </si>
  <si>
    <t>CUENTA BANCOMER</t>
  </si>
  <si>
    <t>BERDEJA LEON GERARDO FRANCISCO</t>
  </si>
  <si>
    <t>SUELDO SEMANAL $1,516 FAVOR DE PASAR SU SUELDO A SINDICATO Y DESCONTARLE EL 10%</t>
  </si>
  <si>
    <t>DESCUENTO CTA 254 POR CONCEPTO DE HERRAMIENTAS</t>
  </si>
  <si>
    <t>ESTRADA UNZUETA ALEJANDRA</t>
  </si>
  <si>
    <t>ORTEGA BUSTAMANTE JESUS GERARDO</t>
  </si>
  <si>
    <t>RESENDIZ CAMACHO DAVID LEVI</t>
  </si>
  <si>
    <t>MANDAR EFECTIVO O CHEQUE YA QUE TUVO PROBLEMA CON CUENTA</t>
  </si>
  <si>
    <t>DESCONTAR 625.65 POR PAGO INDEBIDO (PAGO ERRONEO SEMANA 52)</t>
  </si>
  <si>
    <t>FERRER GONZALEZ MARIA ELENA</t>
  </si>
  <si>
    <t>AUX. ADMON.</t>
  </si>
  <si>
    <t>BANORTE</t>
  </si>
  <si>
    <t>SUELDO SEMANAL DE $2,100, DESCONTARLE EL 10%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</si>
  <si>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</si>
  <si>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</si>
  <si>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</si>
  <si>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</si>
  <si>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</si>
  <si>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</si>
  <si>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FAVOR DE PASAR SU SUELDO $1,516 A SINDICATO Y DESCONTARLE EL 10%
DESCONTAR $550 POR CONCEPTO DE PAGO INDEBIDO (PAGO ERRONEO DE LA SEMANA 52)</t>
  </si>
  <si>
    <t>URBINA SIERRA ANGELICA</t>
  </si>
  <si>
    <t>PEREZ RESENDIZ JUAN MIGUEL</t>
  </si>
  <si>
    <t>Periodo Semana 9</t>
  </si>
  <si>
    <t>22/02/17 AL 28/02/17</t>
  </si>
  <si>
    <t>BAJA</t>
  </si>
  <si>
    <t>INCAPACIDAD POR MATERNIDAD</t>
  </si>
  <si>
    <t>4 DIAS DE INCAPACIDAD</t>
  </si>
  <si>
    <t>ARIAS CORTES ROBERTO CARLOS</t>
  </si>
  <si>
    <t>NUEVO INGRESO 27/02/2017. PAGAR 2 DIAS. SUELDO SEMANAL 739.23</t>
  </si>
  <si>
    <t>SUELDO SEMANAL 1677 FAVOR DE PASAR SUELDO A SINDICATO Y DESCONTAR EL 10%</t>
  </si>
  <si>
    <t>SUELDO SEMANAL $1,026.69 FAVOR DE PASAR SUELDO A SINDICATO Y DESCONTARLE EL 10%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</si>
</sst>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43" fontId="6" fillId="7" borderId="7" xfId="2" applyFont="1" applyFill="1" applyBorder="1"/>
    <xf numFmtId="43" fontId="4" fillId="7" borderId="7" xfId="2" applyFont="1" applyFill="1" applyBorder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8"/>
  <sheetViews>
    <sheetView tabSelected="1" zoomScale="90" zoomScaleNormal="90" workbookViewId="0">
      <pane xSplit="2" ySplit="6" topLeftCell="C85" activePane="bottomRight" state="frozen"/>
      <selection pane="topRight" activeCell="C1" sqref="C1"/>
      <selection pane="bottomLeft" activeCell="A7" sqref="A7"/>
      <selection pane="bottomRight" activeCell="G106" sqref="G106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8.85546875" style="19" customWidth="1"/>
    <col min="5" max="5" width="29" style="19" customWidth="1"/>
    <col min="6" max="6" width="13.28515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7" hidden="1" customWidth="1"/>
    <col min="31" max="31" width="12.7109375" style="4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6"/>
      <c r="AE1" s="46"/>
      <c r="AF1" s="2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6"/>
      <c r="AE2" s="46"/>
      <c r="AF2" s="2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249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6"/>
      <c r="AE3" s="46"/>
      <c r="AF3" s="2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250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7"/>
      <c r="AE4" s="4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3" t="s">
        <v>13</v>
      </c>
      <c r="B5" s="113" t="s">
        <v>14</v>
      </c>
      <c r="C5" s="113" t="s">
        <v>127</v>
      </c>
      <c r="D5" s="113" t="s">
        <v>15</v>
      </c>
      <c r="E5" s="113" t="s">
        <v>0</v>
      </c>
      <c r="F5" s="115" t="s">
        <v>123</v>
      </c>
      <c r="G5" s="111" t="s">
        <v>34</v>
      </c>
      <c r="H5" s="117" t="s">
        <v>9</v>
      </c>
      <c r="I5" s="117" t="s">
        <v>10</v>
      </c>
      <c r="J5" s="117" t="s">
        <v>24</v>
      </c>
      <c r="K5" s="117" t="s">
        <v>11</v>
      </c>
      <c r="L5" s="117" t="s">
        <v>12</v>
      </c>
      <c r="M5" s="111" t="s">
        <v>170</v>
      </c>
      <c r="N5" s="111" t="s">
        <v>139</v>
      </c>
      <c r="O5" s="118" t="s">
        <v>92</v>
      </c>
      <c r="P5" s="118" t="s">
        <v>108</v>
      </c>
      <c r="Q5" s="118" t="s">
        <v>107</v>
      </c>
      <c r="R5" s="118" t="s">
        <v>93</v>
      </c>
      <c r="S5" s="117" t="s">
        <v>6</v>
      </c>
      <c r="T5" s="117" t="s">
        <v>17</v>
      </c>
      <c r="U5" s="117" t="s">
        <v>16</v>
      </c>
      <c r="V5" s="117" t="s">
        <v>8</v>
      </c>
      <c r="W5" s="117" t="s">
        <v>25</v>
      </c>
      <c r="X5" s="123" t="s">
        <v>3</v>
      </c>
      <c r="Y5" s="123" t="s">
        <v>7</v>
      </c>
      <c r="Z5" s="123" t="s">
        <v>2</v>
      </c>
      <c r="AA5" s="123" t="s">
        <v>4</v>
      </c>
      <c r="AB5" s="24"/>
      <c r="AC5" s="123" t="s">
        <v>5</v>
      </c>
      <c r="AD5" s="125" t="s">
        <v>148</v>
      </c>
      <c r="AE5" s="126"/>
      <c r="AF5" s="127" t="s">
        <v>94</v>
      </c>
      <c r="AG5" s="121" t="s">
        <v>131</v>
      </c>
      <c r="AH5" s="121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90" customFormat="1" ht="39" customHeight="1">
      <c r="A6" s="114"/>
      <c r="B6" s="114"/>
      <c r="C6" s="114"/>
      <c r="D6" s="114"/>
      <c r="E6" s="114"/>
      <c r="F6" s="116"/>
      <c r="G6" s="112"/>
      <c r="H6" s="111"/>
      <c r="I6" s="111"/>
      <c r="J6" s="111"/>
      <c r="K6" s="111"/>
      <c r="L6" s="111"/>
      <c r="M6" s="120"/>
      <c r="N6" s="120"/>
      <c r="O6" s="119"/>
      <c r="P6" s="119"/>
      <c r="Q6" s="119"/>
      <c r="R6" s="119"/>
      <c r="S6" s="111"/>
      <c r="T6" s="111"/>
      <c r="U6" s="111"/>
      <c r="V6" s="111"/>
      <c r="W6" s="111"/>
      <c r="X6" s="124"/>
      <c r="Y6" s="124"/>
      <c r="Z6" s="124"/>
      <c r="AA6" s="124"/>
      <c r="AB6" s="87"/>
      <c r="AC6" s="124"/>
      <c r="AD6" s="88" t="s">
        <v>26</v>
      </c>
      <c r="AE6" s="88" t="s">
        <v>27</v>
      </c>
      <c r="AF6" s="127"/>
      <c r="AG6" s="121"/>
      <c r="AH6" s="121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s="18" customFormat="1">
      <c r="A7" s="34" t="s">
        <v>30</v>
      </c>
      <c r="B7" s="34" t="s">
        <v>206</v>
      </c>
      <c r="C7" s="34"/>
      <c r="D7" s="34"/>
      <c r="E7" s="34" t="s">
        <v>32</v>
      </c>
      <c r="F7" s="84">
        <v>42689</v>
      </c>
      <c r="G7" s="35">
        <v>7654.9</v>
      </c>
      <c r="H7" s="35"/>
      <c r="I7" s="35"/>
      <c r="J7" s="51"/>
      <c r="K7" s="52">
        <f t="shared" ref="K7:K30" si="0">SUM(G7:I7)-J7</f>
        <v>7654.9</v>
      </c>
      <c r="L7" s="35"/>
      <c r="M7" s="70"/>
      <c r="N7" s="35"/>
      <c r="O7" s="35"/>
      <c r="P7" s="71"/>
      <c r="Q7" s="71"/>
      <c r="R7" s="35"/>
      <c r="S7" s="33"/>
      <c r="T7" s="33"/>
      <c r="U7" s="34"/>
      <c r="V7" s="34"/>
      <c r="W7" s="52">
        <f t="shared" ref="W7:W30" si="1">+K7-SUM(L7:V7)</f>
        <v>7654.9</v>
      </c>
      <c r="X7" s="33">
        <f t="shared" ref="X7:X30" si="2">IF(K7&gt;2250,K7*0.1,0)</f>
        <v>765.49</v>
      </c>
      <c r="Y7" s="52">
        <f t="shared" ref="Y7:Y30" si="3">+W7-X7</f>
        <v>6889.41</v>
      </c>
      <c r="Z7" s="33"/>
      <c r="AA7" s="33"/>
      <c r="AB7" s="33"/>
      <c r="AC7" s="52"/>
      <c r="AD7" s="59"/>
      <c r="AE7" s="60"/>
      <c r="AF7" s="53"/>
      <c r="AG7" s="34">
        <v>1500716952</v>
      </c>
      <c r="AH7" s="34"/>
    </row>
    <row r="8" spans="1:48" s="18" customFormat="1">
      <c r="A8" s="34" t="s">
        <v>41</v>
      </c>
      <c r="B8" s="34" t="s">
        <v>118</v>
      </c>
      <c r="C8" s="34"/>
      <c r="D8" s="34" t="s">
        <v>45</v>
      </c>
      <c r="E8" s="34" t="s">
        <v>31</v>
      </c>
      <c r="F8" s="57">
        <v>42062</v>
      </c>
      <c r="G8" s="35">
        <v>2009.16</v>
      </c>
      <c r="H8" s="35"/>
      <c r="I8" s="35"/>
      <c r="J8" s="51"/>
      <c r="K8" s="52">
        <f t="shared" si="0"/>
        <v>2009.16</v>
      </c>
      <c r="L8" s="35"/>
      <c r="M8" s="70"/>
      <c r="N8" s="35"/>
      <c r="O8" s="35">
        <v>0</v>
      </c>
      <c r="P8" s="71"/>
      <c r="Q8" s="71"/>
      <c r="R8" s="35"/>
      <c r="S8" s="33"/>
      <c r="T8" s="33"/>
      <c r="U8" s="34"/>
      <c r="V8" s="34">
        <v>0</v>
      </c>
      <c r="W8" s="52">
        <f t="shared" si="1"/>
        <v>2009.16</v>
      </c>
      <c r="X8" s="33">
        <f t="shared" si="2"/>
        <v>0</v>
      </c>
      <c r="Y8" s="52">
        <f t="shared" si="3"/>
        <v>2009.16</v>
      </c>
      <c r="Z8" s="33">
        <f t="shared" ref="Z8:Z30" si="4">IF(K8&lt;2250,K8*0.1,0)</f>
        <v>200.91600000000003</v>
      </c>
      <c r="AA8" s="33">
        <v>10.23</v>
      </c>
      <c r="AB8" s="33">
        <f t="shared" ref="AB8:AB30" si="5">+P8</f>
        <v>0</v>
      </c>
      <c r="AC8" s="52">
        <f t="shared" ref="AC8:AC30" si="6">+K8+Z8+AA8+AB8</f>
        <v>2220.306</v>
      </c>
      <c r="AD8" s="59"/>
      <c r="AE8" s="60"/>
      <c r="AF8" s="53">
        <f t="shared" ref="AF8:AF15" si="7">+AD8+AE8-Y8</f>
        <v>-2009.16</v>
      </c>
      <c r="AG8" s="34"/>
      <c r="AH8" s="34"/>
    </row>
    <row r="9" spans="1:48" s="18" customFormat="1">
      <c r="A9" s="34" t="s">
        <v>30</v>
      </c>
      <c r="B9" s="34" t="s">
        <v>112</v>
      </c>
      <c r="C9" s="34" t="s">
        <v>127</v>
      </c>
      <c r="D9" s="34" t="s">
        <v>76</v>
      </c>
      <c r="E9" s="34" t="s">
        <v>33</v>
      </c>
      <c r="F9" s="57">
        <v>41797</v>
      </c>
      <c r="G9" s="35">
        <v>90492.22</v>
      </c>
      <c r="H9" s="35"/>
      <c r="I9" s="35"/>
      <c r="J9" s="51"/>
      <c r="K9" s="52">
        <f>SUM(G9:I9)-J9</f>
        <v>90492.22</v>
      </c>
      <c r="L9" s="35"/>
      <c r="M9" s="70"/>
      <c r="N9" s="70"/>
      <c r="O9" s="35">
        <v>0</v>
      </c>
      <c r="P9" s="71"/>
      <c r="Q9" s="71"/>
      <c r="R9" s="35"/>
      <c r="S9" s="33"/>
      <c r="T9" s="33"/>
      <c r="U9" s="34"/>
      <c r="V9" s="34">
        <v>0</v>
      </c>
      <c r="W9" s="52">
        <f>+K9-SUM(L9:V9)</f>
        <v>90492.22</v>
      </c>
      <c r="X9" s="33">
        <f>IF(K9&gt;2250,K9*0.1,0)</f>
        <v>9049.2219999999998</v>
      </c>
      <c r="Y9" s="52">
        <f>+W9-X9</f>
        <v>81442.998000000007</v>
      </c>
      <c r="Z9" s="33">
        <f>IF(K9&lt;2250,K9*0.1,0)</f>
        <v>0</v>
      </c>
      <c r="AA9" s="33">
        <v>10.23</v>
      </c>
      <c r="AB9" s="33">
        <f>+P9</f>
        <v>0</v>
      </c>
      <c r="AC9" s="52">
        <f>+K9+Z9+AA9+AB9</f>
        <v>90502.45</v>
      </c>
      <c r="AD9" s="59"/>
      <c r="AE9" s="60"/>
      <c r="AF9" s="53">
        <f>+AD9+AE9-Y9</f>
        <v>-81442.998000000007</v>
      </c>
      <c r="AG9" s="34"/>
      <c r="AH9" s="36"/>
    </row>
    <row r="10" spans="1:48" s="18" customFormat="1">
      <c r="A10" s="34" t="s">
        <v>41</v>
      </c>
      <c r="B10" s="34" t="s">
        <v>218</v>
      </c>
      <c r="C10" s="34"/>
      <c r="D10" s="34"/>
      <c r="E10" s="34" t="s">
        <v>31</v>
      </c>
      <c r="F10" s="57">
        <v>42725</v>
      </c>
      <c r="G10" s="35">
        <v>789.78</v>
      </c>
      <c r="H10" s="35"/>
      <c r="I10" s="35"/>
      <c r="J10" s="51"/>
      <c r="K10" s="52">
        <f t="shared" si="0"/>
        <v>789.78</v>
      </c>
      <c r="L10" s="35"/>
      <c r="M10" s="70">
        <v>1</v>
      </c>
      <c r="N10" s="35"/>
      <c r="O10" s="35"/>
      <c r="P10" s="71"/>
      <c r="Q10" s="71"/>
      <c r="R10" s="35"/>
      <c r="S10" s="33"/>
      <c r="T10" s="33"/>
      <c r="U10" s="34"/>
      <c r="V10" s="34"/>
      <c r="W10" s="52">
        <f t="shared" ref="W10" si="8">+K10-SUM(L10:V10)</f>
        <v>788.78</v>
      </c>
      <c r="X10" s="33">
        <f t="shared" ref="X10" si="9">IF(K10&gt;2250,K10*0.1,0)</f>
        <v>0</v>
      </c>
      <c r="Y10" s="52">
        <f t="shared" ref="Y10" si="10">+W10-X10</f>
        <v>788.78</v>
      </c>
      <c r="Z10" s="33"/>
      <c r="AA10" s="33"/>
      <c r="AB10" s="33"/>
      <c r="AC10" s="52"/>
      <c r="AD10" s="59"/>
      <c r="AE10" s="60"/>
      <c r="AF10" s="53"/>
      <c r="AG10" s="34">
        <v>1133645940</v>
      </c>
      <c r="AH10" s="36"/>
    </row>
    <row r="11" spans="1:48" s="18" customFormat="1">
      <c r="A11" s="34" t="s">
        <v>41</v>
      </c>
      <c r="B11" s="34" t="s">
        <v>216</v>
      </c>
      <c r="C11" s="34"/>
      <c r="D11" s="34"/>
      <c r="E11" s="34" t="s">
        <v>167</v>
      </c>
      <c r="F11" s="57">
        <v>42718</v>
      </c>
      <c r="G11" s="35">
        <v>4086.7</v>
      </c>
      <c r="H11" s="35"/>
      <c r="I11" s="35"/>
      <c r="J11" s="51"/>
      <c r="K11" s="52">
        <f t="shared" si="0"/>
        <v>4086.7</v>
      </c>
      <c r="L11" s="35"/>
      <c r="M11" s="70"/>
      <c r="N11" s="70"/>
      <c r="O11" s="35"/>
      <c r="P11" s="71"/>
      <c r="Q11" s="71"/>
      <c r="R11" s="35"/>
      <c r="S11" s="33"/>
      <c r="T11" s="33"/>
      <c r="U11" s="34"/>
      <c r="V11" s="34">
        <v>2000</v>
      </c>
      <c r="W11" s="52">
        <f t="shared" ref="W11" si="11">+K11-SUM(L11:V11)</f>
        <v>2086.6999999999998</v>
      </c>
      <c r="X11" s="33">
        <f t="shared" ref="X11" si="12">IF(K11&gt;2250,K11*0.1,0)</f>
        <v>408.67</v>
      </c>
      <c r="Y11" s="52">
        <f t="shared" ref="Y11" si="13">+W11-X11</f>
        <v>1678.0299999999997</v>
      </c>
      <c r="Z11" s="33"/>
      <c r="AA11" s="33"/>
      <c r="AB11" s="33"/>
      <c r="AC11" s="52"/>
      <c r="AD11" s="59"/>
      <c r="AE11" s="60"/>
      <c r="AF11" s="53"/>
      <c r="AG11" s="34" t="s">
        <v>217</v>
      </c>
      <c r="AH11" s="34"/>
    </row>
    <row r="12" spans="1:48" s="18" customFormat="1">
      <c r="A12" s="34" t="s">
        <v>30</v>
      </c>
      <c r="B12" s="34" t="s">
        <v>39</v>
      </c>
      <c r="C12" s="34" t="s">
        <v>127</v>
      </c>
      <c r="D12" s="34">
        <v>16</v>
      </c>
      <c r="E12" s="34" t="s">
        <v>33</v>
      </c>
      <c r="F12" s="57">
        <v>39508</v>
      </c>
      <c r="G12" s="35">
        <v>13610</v>
      </c>
      <c r="H12" s="35"/>
      <c r="I12" s="35"/>
      <c r="J12" s="51"/>
      <c r="K12" s="52">
        <f t="shared" si="0"/>
        <v>13610</v>
      </c>
      <c r="L12" s="35"/>
      <c r="M12" s="70"/>
      <c r="N12" s="35"/>
      <c r="O12" s="35">
        <v>0</v>
      </c>
      <c r="P12" s="71"/>
      <c r="Q12" s="71"/>
      <c r="R12" s="35"/>
      <c r="S12" s="33"/>
      <c r="T12" s="33"/>
      <c r="U12" s="34"/>
      <c r="V12" s="34">
        <v>0</v>
      </c>
      <c r="W12" s="52">
        <f t="shared" si="1"/>
        <v>13610</v>
      </c>
      <c r="X12" s="33">
        <f t="shared" si="2"/>
        <v>1361</v>
      </c>
      <c r="Y12" s="52">
        <f t="shared" si="3"/>
        <v>12249</v>
      </c>
      <c r="Z12" s="33">
        <f t="shared" si="4"/>
        <v>0</v>
      </c>
      <c r="AA12" s="33">
        <v>10.23</v>
      </c>
      <c r="AB12" s="33">
        <f t="shared" si="5"/>
        <v>0</v>
      </c>
      <c r="AC12" s="52">
        <f t="shared" si="6"/>
        <v>13620.23</v>
      </c>
      <c r="AD12" s="59"/>
      <c r="AE12" s="60"/>
      <c r="AF12" s="53">
        <f t="shared" si="7"/>
        <v>-12249</v>
      </c>
      <c r="AG12" s="34"/>
      <c r="AH12" s="36"/>
    </row>
    <row r="13" spans="1:48" s="18" customFormat="1">
      <c r="A13" s="34" t="s">
        <v>30</v>
      </c>
      <c r="B13" s="34" t="s">
        <v>113</v>
      </c>
      <c r="C13" s="34" t="s">
        <v>124</v>
      </c>
      <c r="D13" s="34" t="s">
        <v>77</v>
      </c>
      <c r="E13" s="34" t="s">
        <v>32</v>
      </c>
      <c r="F13" s="57">
        <v>42383</v>
      </c>
      <c r="G13" s="35">
        <v>750.87</v>
      </c>
      <c r="H13" s="35"/>
      <c r="I13" s="35"/>
      <c r="J13" s="51"/>
      <c r="K13" s="52">
        <f t="shared" si="0"/>
        <v>750.87</v>
      </c>
      <c r="L13" s="35"/>
      <c r="M13" s="70"/>
      <c r="N13" s="35">
        <v>54.05</v>
      </c>
      <c r="O13" s="35">
        <v>0</v>
      </c>
      <c r="P13" s="71"/>
      <c r="Q13" s="71"/>
      <c r="R13" s="35"/>
      <c r="S13" s="33"/>
      <c r="T13" s="33"/>
      <c r="U13" s="34"/>
      <c r="V13" s="34">
        <v>389</v>
      </c>
      <c r="W13" s="52">
        <f t="shared" si="1"/>
        <v>307.82</v>
      </c>
      <c r="X13" s="33">
        <f t="shared" si="2"/>
        <v>0</v>
      </c>
      <c r="Y13" s="52">
        <f t="shared" si="3"/>
        <v>307.82</v>
      </c>
      <c r="Z13" s="33">
        <f t="shared" si="4"/>
        <v>75.087000000000003</v>
      </c>
      <c r="AA13" s="33">
        <v>10.23</v>
      </c>
      <c r="AB13" s="33">
        <f t="shared" si="5"/>
        <v>0</v>
      </c>
      <c r="AC13" s="52">
        <f t="shared" si="6"/>
        <v>836.18700000000001</v>
      </c>
      <c r="AD13" s="59"/>
      <c r="AE13" s="60"/>
      <c r="AF13" s="53">
        <f t="shared" si="7"/>
        <v>-307.82</v>
      </c>
      <c r="AG13" s="34"/>
      <c r="AH13" s="34"/>
    </row>
    <row r="14" spans="1:48" s="18" customFormat="1">
      <c r="A14" s="34" t="s">
        <v>29</v>
      </c>
      <c r="B14" s="34" t="s">
        <v>102</v>
      </c>
      <c r="C14" s="34" t="s">
        <v>145</v>
      </c>
      <c r="D14" s="34"/>
      <c r="E14" s="34" t="s">
        <v>90</v>
      </c>
      <c r="F14" s="57">
        <v>42416</v>
      </c>
      <c r="G14" s="35">
        <v>18881.2</v>
      </c>
      <c r="H14" s="35"/>
      <c r="I14" s="35"/>
      <c r="J14" s="51"/>
      <c r="K14" s="52">
        <f t="shared" si="0"/>
        <v>18881.2</v>
      </c>
      <c r="L14" s="35"/>
      <c r="M14" s="70"/>
      <c r="N14" s="35">
        <v>66.88</v>
      </c>
      <c r="O14" s="35">
        <v>0</v>
      </c>
      <c r="P14" s="71"/>
      <c r="Q14" s="71"/>
      <c r="R14" s="35"/>
      <c r="S14" s="33"/>
      <c r="T14" s="33"/>
      <c r="U14" s="34"/>
      <c r="V14" s="34">
        <v>512</v>
      </c>
      <c r="W14" s="52">
        <f t="shared" si="1"/>
        <v>18302.32</v>
      </c>
      <c r="X14" s="33">
        <f t="shared" si="2"/>
        <v>1888.1200000000001</v>
      </c>
      <c r="Y14" s="52">
        <f t="shared" si="3"/>
        <v>16414.2</v>
      </c>
      <c r="Z14" s="33">
        <f t="shared" si="4"/>
        <v>0</v>
      </c>
      <c r="AA14" s="33">
        <v>10.23</v>
      </c>
      <c r="AB14" s="33">
        <f t="shared" si="5"/>
        <v>0</v>
      </c>
      <c r="AC14" s="52">
        <f t="shared" si="6"/>
        <v>18891.43</v>
      </c>
      <c r="AD14" s="59"/>
      <c r="AE14" s="60"/>
      <c r="AF14" s="53">
        <f t="shared" si="7"/>
        <v>-16414.2</v>
      </c>
      <c r="AG14" s="34"/>
      <c r="AH14" s="34"/>
    </row>
    <row r="15" spans="1:48" s="18" customFormat="1" ht="15" customHeight="1">
      <c r="A15" s="34" t="s">
        <v>30</v>
      </c>
      <c r="B15" s="34" t="s">
        <v>228</v>
      </c>
      <c r="C15" s="34" t="s">
        <v>126</v>
      </c>
      <c r="D15" s="34" t="s">
        <v>78</v>
      </c>
      <c r="E15" s="34" t="s">
        <v>32</v>
      </c>
      <c r="F15" s="57">
        <v>41831</v>
      </c>
      <c r="G15" s="35"/>
      <c r="H15" s="35"/>
      <c r="I15" s="35"/>
      <c r="J15" s="51"/>
      <c r="K15" s="52">
        <f t="shared" si="0"/>
        <v>0</v>
      </c>
      <c r="L15" s="35"/>
      <c r="M15" s="70"/>
      <c r="N15" s="35">
        <v>54.05</v>
      </c>
      <c r="O15" s="35"/>
      <c r="P15" s="71"/>
      <c r="Q15" s="71"/>
      <c r="R15" s="35"/>
      <c r="S15" s="33"/>
      <c r="T15" s="86">
        <v>0.3</v>
      </c>
      <c r="U15" s="34"/>
      <c r="V15" s="34">
        <v>600</v>
      </c>
      <c r="W15" s="52">
        <f t="shared" si="1"/>
        <v>-654.35</v>
      </c>
      <c r="X15" s="33">
        <f t="shared" si="2"/>
        <v>0</v>
      </c>
      <c r="Y15" s="52">
        <f t="shared" si="3"/>
        <v>-654.35</v>
      </c>
      <c r="Z15" s="33">
        <f t="shared" si="4"/>
        <v>0</v>
      </c>
      <c r="AA15" s="33">
        <v>10.23</v>
      </c>
      <c r="AB15" s="33">
        <f t="shared" si="5"/>
        <v>0</v>
      </c>
      <c r="AC15" s="52">
        <f t="shared" si="6"/>
        <v>10.23</v>
      </c>
      <c r="AD15" s="61"/>
      <c r="AE15" s="59"/>
      <c r="AF15" s="53">
        <f t="shared" si="7"/>
        <v>654.35</v>
      </c>
      <c r="AG15" s="34"/>
      <c r="AH15" s="36"/>
    </row>
    <row r="16" spans="1:48" s="18" customFormat="1">
      <c r="A16" s="34" t="s">
        <v>30</v>
      </c>
      <c r="B16" s="34" t="s">
        <v>135</v>
      </c>
      <c r="C16" s="34" t="s">
        <v>127</v>
      </c>
      <c r="D16" s="34">
        <v>18</v>
      </c>
      <c r="E16" s="34" t="s">
        <v>33</v>
      </c>
      <c r="F16" s="57">
        <v>39699</v>
      </c>
      <c r="G16" s="35">
        <v>109601.97</v>
      </c>
      <c r="H16" s="35"/>
      <c r="I16" s="35"/>
      <c r="J16" s="51"/>
      <c r="K16" s="52">
        <f t="shared" si="0"/>
        <v>109601.97</v>
      </c>
      <c r="L16" s="35"/>
      <c r="M16" s="70"/>
      <c r="N16" s="35"/>
      <c r="O16" s="35">
        <v>1000</v>
      </c>
      <c r="P16" s="71"/>
      <c r="Q16" s="71"/>
      <c r="R16" s="35"/>
      <c r="S16" s="33"/>
      <c r="T16" s="33"/>
      <c r="U16" s="34"/>
      <c r="V16" s="34">
        <v>0</v>
      </c>
      <c r="W16" s="52">
        <f t="shared" si="1"/>
        <v>108601.97</v>
      </c>
      <c r="X16" s="33">
        <f t="shared" si="2"/>
        <v>10960.197</v>
      </c>
      <c r="Y16" s="52">
        <f t="shared" si="3"/>
        <v>97641.773000000001</v>
      </c>
      <c r="Z16" s="33">
        <f t="shared" si="4"/>
        <v>0</v>
      </c>
      <c r="AA16" s="33">
        <v>10.23</v>
      </c>
      <c r="AB16" s="33">
        <f t="shared" si="5"/>
        <v>0</v>
      </c>
      <c r="AC16" s="52">
        <f t="shared" si="6"/>
        <v>109612.2</v>
      </c>
      <c r="AD16" s="59"/>
      <c r="AE16" s="60"/>
      <c r="AF16" s="53">
        <f t="shared" ref="AF16:AF19" si="14">+AD16+AE16-Y16</f>
        <v>-97641.773000000001</v>
      </c>
      <c r="AG16" s="34"/>
      <c r="AH16" s="34"/>
    </row>
    <row r="17" spans="1:34" s="18" customFormat="1">
      <c r="A17" s="34" t="s">
        <v>30</v>
      </c>
      <c r="B17" s="34" t="s">
        <v>244</v>
      </c>
      <c r="C17" s="34"/>
      <c r="D17" s="34"/>
      <c r="E17" s="34" t="s">
        <v>32</v>
      </c>
      <c r="F17" s="57">
        <v>42776</v>
      </c>
      <c r="G17" s="35"/>
      <c r="H17" s="35"/>
      <c r="I17" s="35"/>
      <c r="J17" s="51"/>
      <c r="K17" s="52">
        <f t="shared" si="0"/>
        <v>0</v>
      </c>
      <c r="L17" s="35"/>
      <c r="M17" s="70"/>
      <c r="N17" s="35"/>
      <c r="O17" s="35"/>
      <c r="P17" s="71"/>
      <c r="Q17" s="71"/>
      <c r="R17" s="35"/>
      <c r="S17" s="33"/>
      <c r="T17" s="33"/>
      <c r="U17" s="34"/>
      <c r="V17" s="34">
        <v>50</v>
      </c>
      <c r="W17" s="52">
        <f t="shared" si="1"/>
        <v>-50</v>
      </c>
      <c r="X17" s="33"/>
      <c r="Y17" s="52"/>
      <c r="Z17" s="33"/>
      <c r="AA17" s="33"/>
      <c r="AB17" s="33"/>
      <c r="AC17" s="52"/>
      <c r="AD17" s="59"/>
      <c r="AE17" s="60"/>
      <c r="AF17" s="53"/>
      <c r="AG17" s="34" t="s">
        <v>245</v>
      </c>
      <c r="AH17" s="34"/>
    </row>
    <row r="18" spans="1:34" s="18" customFormat="1">
      <c r="A18" s="34" t="s">
        <v>29</v>
      </c>
      <c r="B18" s="34" t="s">
        <v>122</v>
      </c>
      <c r="C18" s="34" t="s">
        <v>145</v>
      </c>
      <c r="D18" s="34" t="s">
        <v>58</v>
      </c>
      <c r="E18" s="34" t="s">
        <v>90</v>
      </c>
      <c r="F18" s="57">
        <v>42332</v>
      </c>
      <c r="G18" s="35">
        <v>1643.5</v>
      </c>
      <c r="H18" s="35"/>
      <c r="I18" s="35"/>
      <c r="J18" s="51"/>
      <c r="K18" s="52">
        <f t="shared" si="0"/>
        <v>1643.5</v>
      </c>
      <c r="L18" s="35"/>
      <c r="M18" s="70"/>
      <c r="N18" s="35">
        <v>54.05</v>
      </c>
      <c r="O18" s="35">
        <v>0</v>
      </c>
      <c r="P18" s="71"/>
      <c r="Q18" s="71"/>
      <c r="R18" s="35"/>
      <c r="S18" s="33"/>
      <c r="T18" s="33"/>
      <c r="U18" s="34"/>
      <c r="V18" s="34">
        <v>395</v>
      </c>
      <c r="W18" s="52">
        <f t="shared" si="1"/>
        <v>1194.45</v>
      </c>
      <c r="X18" s="33">
        <f t="shared" si="2"/>
        <v>0</v>
      </c>
      <c r="Y18" s="52">
        <f t="shared" si="3"/>
        <v>1194.45</v>
      </c>
      <c r="Z18" s="33">
        <f t="shared" si="4"/>
        <v>164.35000000000002</v>
      </c>
      <c r="AA18" s="33">
        <v>10.23</v>
      </c>
      <c r="AB18" s="33">
        <f t="shared" si="5"/>
        <v>0</v>
      </c>
      <c r="AC18" s="52">
        <f t="shared" si="6"/>
        <v>1818.08</v>
      </c>
      <c r="AD18" s="59"/>
      <c r="AE18" s="60"/>
      <c r="AF18" s="53">
        <f t="shared" si="14"/>
        <v>-1194.45</v>
      </c>
      <c r="AG18" s="34"/>
      <c r="AH18" s="36"/>
    </row>
    <row r="19" spans="1:34" s="18" customFormat="1">
      <c r="A19" s="34" t="s">
        <v>30</v>
      </c>
      <c r="B19" s="34" t="s">
        <v>143</v>
      </c>
      <c r="C19" s="34" t="s">
        <v>129</v>
      </c>
      <c r="D19" s="34"/>
      <c r="E19" s="34" t="s">
        <v>32</v>
      </c>
      <c r="F19" s="57">
        <v>42437</v>
      </c>
      <c r="G19" s="35">
        <v>1507.32</v>
      </c>
      <c r="H19" s="35"/>
      <c r="I19" s="35"/>
      <c r="J19" s="51"/>
      <c r="K19" s="52">
        <f t="shared" si="0"/>
        <v>1507.32</v>
      </c>
      <c r="L19" s="35"/>
      <c r="M19" s="70"/>
      <c r="N19" s="35">
        <v>47.05</v>
      </c>
      <c r="O19" s="35">
        <v>0</v>
      </c>
      <c r="P19" s="71"/>
      <c r="Q19" s="71"/>
      <c r="R19" s="35"/>
      <c r="S19" s="33"/>
      <c r="T19" s="33"/>
      <c r="U19" s="34"/>
      <c r="V19" s="34">
        <v>0</v>
      </c>
      <c r="W19" s="52">
        <f t="shared" si="1"/>
        <v>1460.27</v>
      </c>
      <c r="X19" s="33">
        <f t="shared" si="2"/>
        <v>0</v>
      </c>
      <c r="Y19" s="52">
        <f t="shared" si="3"/>
        <v>1460.27</v>
      </c>
      <c r="Z19" s="33">
        <f t="shared" si="4"/>
        <v>150.732</v>
      </c>
      <c r="AA19" s="33">
        <v>10.23</v>
      </c>
      <c r="AB19" s="33">
        <f t="shared" si="5"/>
        <v>0</v>
      </c>
      <c r="AC19" s="52">
        <f t="shared" si="6"/>
        <v>1668.2819999999999</v>
      </c>
      <c r="AD19" s="59"/>
      <c r="AE19" s="60"/>
      <c r="AF19" s="53">
        <f t="shared" si="14"/>
        <v>-1460.27</v>
      </c>
      <c r="AG19" s="34"/>
      <c r="AH19" s="36"/>
    </row>
    <row r="20" spans="1:34" s="18" customFormat="1" ht="15.75">
      <c r="A20" s="34" t="s">
        <v>128</v>
      </c>
      <c r="B20" s="34" t="s">
        <v>103</v>
      </c>
      <c r="C20" s="34"/>
      <c r="D20" s="34" t="s">
        <v>55</v>
      </c>
      <c r="E20" s="34" t="s">
        <v>89</v>
      </c>
      <c r="F20" s="57">
        <v>42205</v>
      </c>
      <c r="G20" s="78">
        <v>700</v>
      </c>
      <c r="H20" s="35"/>
      <c r="I20" s="35"/>
      <c r="J20" s="51"/>
      <c r="K20" s="52">
        <f t="shared" si="0"/>
        <v>700</v>
      </c>
      <c r="L20" s="35"/>
      <c r="M20" s="70"/>
      <c r="N20" s="35"/>
      <c r="O20" s="35">
        <v>300</v>
      </c>
      <c r="P20" s="71"/>
      <c r="Q20" s="71"/>
      <c r="R20" s="35"/>
      <c r="S20" s="33"/>
      <c r="T20" s="86">
        <v>0.3</v>
      </c>
      <c r="U20" s="34"/>
      <c r="V20" s="34">
        <v>0</v>
      </c>
      <c r="W20" s="52">
        <f t="shared" si="1"/>
        <v>399.7</v>
      </c>
      <c r="X20" s="33">
        <f t="shared" si="2"/>
        <v>0</v>
      </c>
      <c r="Y20" s="52">
        <f t="shared" si="3"/>
        <v>399.7</v>
      </c>
      <c r="Z20" s="33">
        <f t="shared" si="4"/>
        <v>70</v>
      </c>
      <c r="AA20" s="33">
        <v>10.23</v>
      </c>
      <c r="AB20" s="33">
        <f t="shared" si="5"/>
        <v>0</v>
      </c>
      <c r="AC20" s="52">
        <f t="shared" si="6"/>
        <v>780.23</v>
      </c>
      <c r="AD20" s="59"/>
      <c r="AE20" s="59"/>
      <c r="AF20" s="53">
        <f t="shared" ref="AF20" si="15">+AD20+AE20-Y20</f>
        <v>-399.7</v>
      </c>
      <c r="AG20" s="34"/>
      <c r="AH20" s="34"/>
    </row>
    <row r="21" spans="1:34" s="18" customFormat="1">
      <c r="A21" s="34" t="s">
        <v>128</v>
      </c>
      <c r="B21" s="34" t="s">
        <v>158</v>
      </c>
      <c r="C21" s="34"/>
      <c r="D21" s="34"/>
      <c r="E21" s="34" t="s">
        <v>89</v>
      </c>
      <c r="F21" s="57">
        <v>42476</v>
      </c>
      <c r="G21" s="78"/>
      <c r="H21" s="35"/>
      <c r="I21" s="35"/>
      <c r="J21" s="51"/>
      <c r="K21" s="52">
        <f t="shared" si="0"/>
        <v>0</v>
      </c>
      <c r="L21" s="35"/>
      <c r="M21" s="70"/>
      <c r="N21" s="35"/>
      <c r="O21" s="35">
        <v>0</v>
      </c>
      <c r="P21" s="71"/>
      <c r="Q21" s="71"/>
      <c r="R21" s="35"/>
      <c r="S21" s="33"/>
      <c r="T21" s="33"/>
      <c r="U21" s="34"/>
      <c r="V21" s="34">
        <v>0</v>
      </c>
      <c r="W21" s="52">
        <f t="shared" ref="W21:W22" si="16">+K21-SUM(L21:V21)</f>
        <v>0</v>
      </c>
      <c r="X21" s="33">
        <f t="shared" ref="X21:X22" si="17">IF(K21&gt;2250,K21*0.1,0)</f>
        <v>0</v>
      </c>
      <c r="Y21" s="52">
        <f t="shared" ref="Y21:Y22" si="18">+W21-X21</f>
        <v>0</v>
      </c>
      <c r="Z21" s="33">
        <f t="shared" si="4"/>
        <v>0</v>
      </c>
      <c r="AA21" s="33">
        <v>10.23</v>
      </c>
      <c r="AB21" s="33">
        <f t="shared" si="5"/>
        <v>0</v>
      </c>
      <c r="AC21" s="52">
        <f t="shared" si="6"/>
        <v>10.23</v>
      </c>
      <c r="AD21" s="59"/>
      <c r="AE21" s="59"/>
      <c r="AF21" s="53">
        <f>+AD21+AE21-Y24</f>
        <v>0</v>
      </c>
      <c r="AG21" s="34">
        <v>2919685839</v>
      </c>
      <c r="AH21" s="36"/>
    </row>
    <row r="22" spans="1:34" s="102" customFormat="1">
      <c r="A22" s="91" t="s">
        <v>30</v>
      </c>
      <c r="B22" s="91" t="s">
        <v>225</v>
      </c>
      <c r="C22" s="91"/>
      <c r="D22" s="91"/>
      <c r="E22" s="91" t="s">
        <v>32</v>
      </c>
      <c r="F22" s="92">
        <v>42752</v>
      </c>
      <c r="G22" s="93">
        <v>30.4</v>
      </c>
      <c r="H22" s="93"/>
      <c r="I22" s="93"/>
      <c r="J22" s="94"/>
      <c r="K22" s="41">
        <f t="shared" si="0"/>
        <v>30.4</v>
      </c>
      <c r="L22" s="93"/>
      <c r="M22" s="95"/>
      <c r="N22" s="93"/>
      <c r="O22" s="93"/>
      <c r="P22" s="96"/>
      <c r="Q22" s="96"/>
      <c r="R22" s="93"/>
      <c r="S22" s="97"/>
      <c r="T22" s="97"/>
      <c r="U22" s="91"/>
      <c r="V22" s="91">
        <v>582</v>
      </c>
      <c r="W22" s="41">
        <f t="shared" si="16"/>
        <v>-551.6</v>
      </c>
      <c r="X22" s="97">
        <f t="shared" si="17"/>
        <v>0</v>
      </c>
      <c r="Y22" s="41">
        <f t="shared" si="18"/>
        <v>-551.6</v>
      </c>
      <c r="Z22" s="97"/>
      <c r="AA22" s="97"/>
      <c r="AB22" s="97"/>
      <c r="AC22" s="41"/>
      <c r="AD22" s="98"/>
      <c r="AE22" s="98"/>
      <c r="AF22" s="100"/>
      <c r="AG22" s="91">
        <v>1506660967</v>
      </c>
      <c r="AH22" s="101" t="s">
        <v>251</v>
      </c>
    </row>
    <row r="23" spans="1:34" s="18" customFormat="1">
      <c r="A23" s="34" t="s">
        <v>28</v>
      </c>
      <c r="B23" s="34" t="s">
        <v>231</v>
      </c>
      <c r="C23" s="34"/>
      <c r="D23" s="34"/>
      <c r="E23" s="34" t="s">
        <v>88</v>
      </c>
      <c r="F23" s="57">
        <v>42756</v>
      </c>
      <c r="G23" s="35">
        <v>1740</v>
      </c>
      <c r="H23" s="35"/>
      <c r="I23" s="35"/>
      <c r="J23" s="51"/>
      <c r="K23" s="52">
        <f t="shared" si="0"/>
        <v>1740</v>
      </c>
      <c r="L23" s="35"/>
      <c r="M23" s="70"/>
      <c r="N23" s="35"/>
      <c r="O23" s="35"/>
      <c r="P23" s="71"/>
      <c r="Q23" s="71"/>
      <c r="R23" s="35"/>
      <c r="S23" s="33"/>
      <c r="T23" s="33"/>
      <c r="U23" s="34"/>
      <c r="V23" s="34"/>
      <c r="W23" s="52">
        <f t="shared" ref="W23" si="19">+K23-SUM(L23:V23)</f>
        <v>1740</v>
      </c>
      <c r="X23" s="33">
        <f t="shared" ref="X23" si="20">IF(K23&gt;2250,K23*0.1,0)</f>
        <v>0</v>
      </c>
      <c r="Y23" s="52">
        <f t="shared" ref="Y23" si="21">+W23-X23</f>
        <v>1740</v>
      </c>
      <c r="Z23" s="33"/>
      <c r="AA23" s="33"/>
      <c r="AB23" s="33"/>
      <c r="AC23" s="52"/>
      <c r="AD23" s="59"/>
      <c r="AE23" s="59"/>
      <c r="AF23" s="53"/>
      <c r="AG23" s="34">
        <v>1507536410</v>
      </c>
      <c r="AH23" s="36"/>
    </row>
    <row r="24" spans="1:34" s="18" customFormat="1">
      <c r="A24" s="34" t="s">
        <v>41</v>
      </c>
      <c r="B24" s="34" t="s">
        <v>220</v>
      </c>
      <c r="C24" s="34"/>
      <c r="D24" s="34"/>
      <c r="E24" s="34" t="s">
        <v>31</v>
      </c>
      <c r="F24" s="57">
        <v>42740</v>
      </c>
      <c r="G24" s="35">
        <v>1363.73</v>
      </c>
      <c r="H24" s="35"/>
      <c r="I24" s="35"/>
      <c r="J24" s="51"/>
      <c r="K24" s="52">
        <f t="shared" si="0"/>
        <v>1363.73</v>
      </c>
      <c r="L24" s="35"/>
      <c r="M24" s="70"/>
      <c r="N24" s="35"/>
      <c r="O24" s="35"/>
      <c r="P24" s="71"/>
      <c r="Q24" s="71"/>
      <c r="R24" s="35"/>
      <c r="S24" s="33"/>
      <c r="T24" s="33"/>
      <c r="U24" s="34"/>
      <c r="V24" s="34">
        <v>800</v>
      </c>
      <c r="W24" s="34">
        <f>+K21-SUM(L21:V21)</f>
        <v>0</v>
      </c>
      <c r="X24" s="34">
        <f>IF(K21&gt;2250,K21*0.1,0)</f>
        <v>0</v>
      </c>
      <c r="Y24" s="34">
        <f>+W24-X24</f>
        <v>0</v>
      </c>
      <c r="Z24" s="33"/>
      <c r="AA24" s="33"/>
      <c r="AB24" s="33"/>
      <c r="AC24" s="52"/>
      <c r="AD24" s="59"/>
      <c r="AE24" s="59"/>
      <c r="AF24" s="53"/>
      <c r="AG24" s="34"/>
      <c r="AH24" s="36"/>
    </row>
    <row r="25" spans="1:34" s="18" customFormat="1">
      <c r="A25" s="34" t="s">
        <v>41</v>
      </c>
      <c r="B25" s="34" t="s">
        <v>168</v>
      </c>
      <c r="C25" s="34"/>
      <c r="D25" s="34"/>
      <c r="E25" s="34" t="s">
        <v>31</v>
      </c>
      <c r="F25" s="57">
        <v>42514</v>
      </c>
      <c r="G25" s="35">
        <v>942.14</v>
      </c>
      <c r="H25" s="35"/>
      <c r="I25" s="35"/>
      <c r="J25" s="51"/>
      <c r="K25" s="52">
        <f t="shared" si="0"/>
        <v>942.14</v>
      </c>
      <c r="L25" s="35"/>
      <c r="M25" s="70"/>
      <c r="N25" s="35"/>
      <c r="O25" s="35">
        <v>0</v>
      </c>
      <c r="P25" s="71"/>
      <c r="Q25" s="71"/>
      <c r="R25" s="35"/>
      <c r="S25" s="33"/>
      <c r="T25" s="33"/>
      <c r="U25" s="34"/>
      <c r="V25" s="34">
        <v>0</v>
      </c>
      <c r="W25" s="52">
        <f t="shared" si="1"/>
        <v>942.14</v>
      </c>
      <c r="X25" s="33">
        <f t="shared" si="2"/>
        <v>0</v>
      </c>
      <c r="Y25" s="52">
        <f t="shared" si="3"/>
        <v>942.14</v>
      </c>
      <c r="Z25" s="33">
        <f t="shared" si="4"/>
        <v>94.213999999999999</v>
      </c>
      <c r="AA25" s="33">
        <v>11.23</v>
      </c>
      <c r="AB25" s="33">
        <f t="shared" si="5"/>
        <v>0</v>
      </c>
      <c r="AC25" s="52">
        <f t="shared" si="6"/>
        <v>1047.5840000000001</v>
      </c>
      <c r="AD25" s="59"/>
      <c r="AE25" s="60"/>
      <c r="AF25" s="53"/>
      <c r="AG25" s="34">
        <v>2747910657</v>
      </c>
      <c r="AH25" s="36"/>
    </row>
    <row r="26" spans="1:34" s="18" customFormat="1">
      <c r="A26" s="34" t="s">
        <v>30</v>
      </c>
      <c r="B26" s="34" t="s">
        <v>196</v>
      </c>
      <c r="C26" s="34"/>
      <c r="D26" s="34"/>
      <c r="E26" s="34" t="s">
        <v>197</v>
      </c>
      <c r="F26" s="57">
        <v>41359</v>
      </c>
      <c r="G26" s="35">
        <v>53801.58</v>
      </c>
      <c r="H26" s="35"/>
      <c r="I26" s="35"/>
      <c r="J26" s="51"/>
      <c r="K26" s="52">
        <f t="shared" si="0"/>
        <v>53801.58</v>
      </c>
      <c r="L26" s="35"/>
      <c r="M26" s="70"/>
      <c r="N26" s="35"/>
      <c r="O26" s="35"/>
      <c r="P26" s="71"/>
      <c r="Q26" s="71"/>
      <c r="R26" s="35"/>
      <c r="S26" s="33"/>
      <c r="T26" s="33"/>
      <c r="U26" s="34"/>
      <c r="V26" s="34"/>
      <c r="W26" s="52">
        <f t="shared" ref="W26" si="22">+K26-SUM(L26:V26)</f>
        <v>53801.58</v>
      </c>
      <c r="X26" s="33">
        <f t="shared" ref="X26" si="23">IF(K26&gt;2250,K26*0.1,0)</f>
        <v>5380.1580000000004</v>
      </c>
      <c r="Y26" s="52">
        <f t="shared" ref="Y26" si="24">+W26-X26</f>
        <v>48421.421999999999</v>
      </c>
      <c r="Z26" s="33"/>
      <c r="AA26" s="33"/>
      <c r="AB26" s="33"/>
      <c r="AC26" s="52"/>
      <c r="AD26" s="59"/>
      <c r="AE26" s="60"/>
      <c r="AF26" s="53"/>
      <c r="AG26" s="34"/>
      <c r="AH26" s="36"/>
    </row>
    <row r="27" spans="1:34" s="18" customFormat="1">
      <c r="A27" s="34" t="s">
        <v>41</v>
      </c>
      <c r="B27" s="34" t="s">
        <v>192</v>
      </c>
      <c r="C27" s="34"/>
      <c r="D27" s="34"/>
      <c r="E27" s="34" t="s">
        <v>31</v>
      </c>
      <c r="F27" s="57">
        <v>42604</v>
      </c>
      <c r="G27" s="35">
        <v>2088.48</v>
      </c>
      <c r="H27" s="35"/>
      <c r="I27" s="35"/>
      <c r="J27" s="51"/>
      <c r="K27" s="52">
        <f t="shared" si="0"/>
        <v>2088.48</v>
      </c>
      <c r="L27" s="35"/>
      <c r="M27" s="70"/>
      <c r="N27" s="35"/>
      <c r="O27" s="35"/>
      <c r="P27" s="71"/>
      <c r="Q27" s="71"/>
      <c r="R27" s="35"/>
      <c r="S27" s="33"/>
      <c r="T27" s="33"/>
      <c r="U27" s="34"/>
      <c r="V27" s="34"/>
      <c r="W27" s="52">
        <f t="shared" ref="W27" si="25">+K27-SUM(L27:V27)</f>
        <v>2088.48</v>
      </c>
      <c r="X27" s="33">
        <f t="shared" ref="X27" si="26">IF(K27&gt;2250,K27*0.1,0)</f>
        <v>0</v>
      </c>
      <c r="Y27" s="52">
        <f t="shared" ref="Y27" si="27">+W27-X27</f>
        <v>2088.48</v>
      </c>
      <c r="Z27" s="33"/>
      <c r="AA27" s="33"/>
      <c r="AB27" s="33"/>
      <c r="AC27" s="52"/>
      <c r="AD27" s="59"/>
      <c r="AE27" s="60"/>
      <c r="AF27" s="53"/>
      <c r="AG27" s="34">
        <v>1143946878</v>
      </c>
      <c r="AH27" s="36"/>
    </row>
    <row r="28" spans="1:34" s="18" customFormat="1">
      <c r="A28" s="34" t="s">
        <v>30</v>
      </c>
      <c r="B28" s="34" t="s">
        <v>157</v>
      </c>
      <c r="C28" s="34" t="s">
        <v>124</v>
      </c>
      <c r="D28" s="34"/>
      <c r="E28" s="34" t="s">
        <v>32</v>
      </c>
      <c r="F28" s="57">
        <v>42413</v>
      </c>
      <c r="G28" s="35">
        <v>7245.72</v>
      </c>
      <c r="H28" s="35"/>
      <c r="I28" s="35"/>
      <c r="J28" s="51"/>
      <c r="K28" s="52">
        <f t="shared" si="0"/>
        <v>7245.72</v>
      </c>
      <c r="L28" s="35"/>
      <c r="M28" s="70"/>
      <c r="N28" s="35">
        <v>33.049999999999997</v>
      </c>
      <c r="O28" s="35">
        <v>0</v>
      </c>
      <c r="P28" s="71"/>
      <c r="Q28" s="71"/>
      <c r="R28" s="35"/>
      <c r="S28" s="33"/>
      <c r="T28" s="33"/>
      <c r="U28" s="34"/>
      <c r="V28" s="34">
        <v>0</v>
      </c>
      <c r="W28" s="52">
        <f t="shared" si="1"/>
        <v>7212.67</v>
      </c>
      <c r="X28" s="33">
        <f t="shared" si="2"/>
        <v>724.57200000000012</v>
      </c>
      <c r="Y28" s="52">
        <f t="shared" si="3"/>
        <v>6488.098</v>
      </c>
      <c r="Z28" s="33">
        <f t="shared" si="4"/>
        <v>0</v>
      </c>
      <c r="AA28" s="33">
        <v>13.23</v>
      </c>
      <c r="AB28" s="33">
        <f t="shared" si="5"/>
        <v>0</v>
      </c>
      <c r="AC28" s="52">
        <f t="shared" si="6"/>
        <v>7258.95</v>
      </c>
      <c r="AD28" s="59"/>
      <c r="AE28" s="60"/>
      <c r="AF28" s="53">
        <f>+AD28+AE28-Y28</f>
        <v>-6488.098</v>
      </c>
      <c r="AG28" s="34"/>
      <c r="AH28" s="36"/>
    </row>
    <row r="29" spans="1:34" s="18" customFormat="1">
      <c r="A29" s="34" t="s">
        <v>30</v>
      </c>
      <c r="B29" s="34" t="s">
        <v>171</v>
      </c>
      <c r="C29" s="34"/>
      <c r="D29" s="34"/>
      <c r="E29" s="34" t="s">
        <v>32</v>
      </c>
      <c r="F29" s="57">
        <v>42532</v>
      </c>
      <c r="G29" s="35">
        <v>5483.03</v>
      </c>
      <c r="H29" s="35"/>
      <c r="I29" s="35"/>
      <c r="J29" s="51"/>
      <c r="K29" s="52">
        <f t="shared" si="0"/>
        <v>5483.03</v>
      </c>
      <c r="L29" s="35"/>
      <c r="M29" s="70"/>
      <c r="N29" s="35">
        <v>33.049999999999997</v>
      </c>
      <c r="O29" s="35">
        <v>0</v>
      </c>
      <c r="P29" s="71"/>
      <c r="Q29" s="71"/>
      <c r="R29" s="35"/>
      <c r="S29" s="33"/>
      <c r="T29" s="33"/>
      <c r="U29" s="34"/>
      <c r="V29" s="34">
        <v>0</v>
      </c>
      <c r="W29" s="52">
        <f t="shared" si="1"/>
        <v>5449.98</v>
      </c>
      <c r="X29" s="33">
        <f t="shared" si="2"/>
        <v>548.303</v>
      </c>
      <c r="Y29" s="52">
        <f t="shared" si="3"/>
        <v>4901.6769999999997</v>
      </c>
      <c r="Z29" s="33">
        <f t="shared" si="4"/>
        <v>0</v>
      </c>
      <c r="AA29" s="33">
        <v>13.23</v>
      </c>
      <c r="AB29" s="33">
        <f t="shared" si="5"/>
        <v>0</v>
      </c>
      <c r="AC29" s="52">
        <f t="shared" si="6"/>
        <v>5496.2599999999993</v>
      </c>
      <c r="AD29" s="59"/>
      <c r="AE29" s="60"/>
      <c r="AF29" s="53">
        <f>+AD29+AE29-Y29</f>
        <v>-4901.6769999999997</v>
      </c>
      <c r="AG29" s="34"/>
      <c r="AH29" s="36"/>
    </row>
    <row r="30" spans="1:34" s="18" customFormat="1">
      <c r="A30" s="34" t="s">
        <v>30</v>
      </c>
      <c r="B30" s="34" t="s">
        <v>164</v>
      </c>
      <c r="C30" s="34"/>
      <c r="D30" s="34"/>
      <c r="E30" s="34" t="s">
        <v>32</v>
      </c>
      <c r="F30" s="57">
        <v>42520</v>
      </c>
      <c r="G30" s="35">
        <v>6554.51</v>
      </c>
      <c r="H30" s="35"/>
      <c r="I30" s="35"/>
      <c r="J30" s="51"/>
      <c r="K30" s="52">
        <f t="shared" si="0"/>
        <v>6554.51</v>
      </c>
      <c r="L30" s="35"/>
      <c r="M30" s="70"/>
      <c r="N30" s="35">
        <v>33.049999999999997</v>
      </c>
      <c r="O30" s="35">
        <v>0</v>
      </c>
      <c r="P30" s="71"/>
      <c r="Q30" s="71"/>
      <c r="R30" s="35"/>
      <c r="S30" s="33"/>
      <c r="T30" s="33"/>
      <c r="U30" s="34"/>
      <c r="V30" s="34">
        <v>0</v>
      </c>
      <c r="W30" s="52">
        <f t="shared" si="1"/>
        <v>6521.46</v>
      </c>
      <c r="X30" s="33">
        <f t="shared" si="2"/>
        <v>655.45100000000002</v>
      </c>
      <c r="Y30" s="52">
        <f t="shared" si="3"/>
        <v>5866.009</v>
      </c>
      <c r="Z30" s="33">
        <f t="shared" si="4"/>
        <v>0</v>
      </c>
      <c r="AA30" s="33">
        <v>14.23</v>
      </c>
      <c r="AB30" s="33">
        <f t="shared" si="5"/>
        <v>0</v>
      </c>
      <c r="AC30" s="52">
        <f t="shared" si="6"/>
        <v>6568.74</v>
      </c>
      <c r="AD30" s="59"/>
      <c r="AE30" s="60"/>
      <c r="AF30" s="53"/>
      <c r="AG30" s="34">
        <v>1175437504</v>
      </c>
      <c r="AH30" s="36"/>
    </row>
    <row r="31" spans="1:34" s="18" customFormat="1">
      <c r="A31" s="72" t="s">
        <v>28</v>
      </c>
      <c r="B31" s="72" t="s">
        <v>189</v>
      </c>
      <c r="C31" s="72"/>
      <c r="D31" s="72"/>
      <c r="E31" s="72" t="s">
        <v>188</v>
      </c>
      <c r="F31" s="73">
        <v>42010</v>
      </c>
      <c r="G31" s="74"/>
      <c r="H31" s="74"/>
      <c r="I31" s="74"/>
      <c r="J31" s="75"/>
      <c r="K31" s="52"/>
      <c r="L31" s="35"/>
      <c r="M31" s="70"/>
      <c r="N31" s="35"/>
      <c r="O31" s="35"/>
      <c r="P31" s="71"/>
      <c r="Q31" s="71"/>
      <c r="R31" s="35"/>
      <c r="S31" s="33"/>
      <c r="T31" s="33"/>
      <c r="U31" s="34"/>
      <c r="V31" s="34"/>
      <c r="W31" s="52"/>
      <c r="X31" s="33"/>
      <c r="Y31" s="52"/>
      <c r="Z31" s="33"/>
      <c r="AA31" s="33"/>
      <c r="AB31" s="33"/>
      <c r="AC31" s="52"/>
      <c r="AD31" s="59"/>
      <c r="AE31" s="60"/>
      <c r="AF31" s="53"/>
      <c r="AG31" s="34">
        <v>2871132644</v>
      </c>
      <c r="AH31" s="76" t="s">
        <v>190</v>
      </c>
    </row>
    <row r="32" spans="1:34" s="18" customFormat="1">
      <c r="A32" s="34" t="s">
        <v>30</v>
      </c>
      <c r="B32" s="34" t="s">
        <v>163</v>
      </c>
      <c r="C32" s="34"/>
      <c r="D32" s="34"/>
      <c r="E32" s="34" t="s">
        <v>179</v>
      </c>
      <c r="F32" s="57">
        <v>42480</v>
      </c>
      <c r="G32" s="35"/>
      <c r="H32" s="35"/>
      <c r="I32" s="35"/>
      <c r="J32" s="51"/>
      <c r="K32" s="52">
        <f t="shared" ref="K32:K53" si="28">SUM(G32:I32)-J32</f>
        <v>0</v>
      </c>
      <c r="L32" s="35"/>
      <c r="M32" s="70"/>
      <c r="N32" s="35"/>
      <c r="O32" s="35">
        <v>0</v>
      </c>
      <c r="P32" s="71"/>
      <c r="Q32" s="71"/>
      <c r="R32" s="35"/>
      <c r="S32" s="33"/>
      <c r="T32" s="33"/>
      <c r="U32" s="34"/>
      <c r="V32" s="34">
        <v>0</v>
      </c>
      <c r="W32" s="52">
        <f t="shared" ref="W32:W51" si="29">+K32-SUM(L32:V32)</f>
        <v>0</v>
      </c>
      <c r="X32" s="33">
        <f t="shared" ref="X32:X51" si="30">IF(K32&gt;2250,K32*0.1,0)</f>
        <v>0</v>
      </c>
      <c r="Y32" s="52">
        <f t="shared" ref="Y32:Y51" si="31">+W32-X32</f>
        <v>0</v>
      </c>
      <c r="Z32" s="33">
        <f t="shared" ref="Z32:Z51" si="32">IF(K32&lt;2250,K32*0.1,0)</f>
        <v>0</v>
      </c>
      <c r="AA32" s="33">
        <v>17.23</v>
      </c>
      <c r="AB32" s="33">
        <f t="shared" ref="AB32:AB51" si="33">+P32</f>
        <v>0</v>
      </c>
      <c r="AC32" s="52">
        <f t="shared" ref="AC32:AC51" si="34">+K32+Z32+AA32+AB32</f>
        <v>17.23</v>
      </c>
      <c r="AD32" s="59"/>
      <c r="AE32" s="60"/>
      <c r="AF32" s="53">
        <f>+AD32+AE32-Y32</f>
        <v>0</v>
      </c>
      <c r="AG32" s="34">
        <v>1116618499</v>
      </c>
      <c r="AH32" s="36"/>
    </row>
    <row r="33" spans="1:34" s="18" customFormat="1">
      <c r="A33" s="34" t="s">
        <v>30</v>
      </c>
      <c r="B33" s="34" t="s">
        <v>125</v>
      </c>
      <c r="C33" s="34" t="s">
        <v>124</v>
      </c>
      <c r="D33" s="37"/>
      <c r="E33" s="34" t="s">
        <v>32</v>
      </c>
      <c r="F33" s="57">
        <v>42240</v>
      </c>
      <c r="G33" s="35">
        <v>7292.69</v>
      </c>
      <c r="H33" s="35"/>
      <c r="I33" s="35"/>
      <c r="J33" s="51"/>
      <c r="K33" s="52">
        <f t="shared" si="28"/>
        <v>7292.69</v>
      </c>
      <c r="L33" s="35"/>
      <c r="M33" s="70"/>
      <c r="N33" s="35">
        <v>33.049999999999997</v>
      </c>
      <c r="O33" s="35">
        <v>0</v>
      </c>
      <c r="P33" s="71"/>
      <c r="Q33" s="71"/>
      <c r="R33" s="35"/>
      <c r="S33" s="33"/>
      <c r="T33" s="33"/>
      <c r="U33" s="34"/>
      <c r="V33" s="34">
        <v>0</v>
      </c>
      <c r="W33" s="52">
        <f t="shared" si="29"/>
        <v>7259.6399999999994</v>
      </c>
      <c r="X33" s="33">
        <f t="shared" si="30"/>
        <v>729.26900000000001</v>
      </c>
      <c r="Y33" s="52">
        <f t="shared" si="31"/>
        <v>6530.3709999999992</v>
      </c>
      <c r="Z33" s="33">
        <f t="shared" si="32"/>
        <v>0</v>
      </c>
      <c r="AA33" s="33">
        <v>18.23</v>
      </c>
      <c r="AB33" s="33">
        <f t="shared" si="33"/>
        <v>0</v>
      </c>
      <c r="AC33" s="52">
        <f t="shared" si="34"/>
        <v>7310.9199999999992</v>
      </c>
      <c r="AD33" s="61"/>
      <c r="AE33" s="61"/>
      <c r="AF33" s="53">
        <f>+AD33+AE33-Y33</f>
        <v>-6530.3709999999992</v>
      </c>
      <c r="AG33" s="34"/>
      <c r="AH33" s="36"/>
    </row>
    <row r="34" spans="1:34" s="18" customFormat="1">
      <c r="A34" s="34" t="s">
        <v>30</v>
      </c>
      <c r="B34" s="34" t="s">
        <v>205</v>
      </c>
      <c r="C34" s="34"/>
      <c r="D34" s="37"/>
      <c r="E34" s="34" t="s">
        <v>32</v>
      </c>
      <c r="F34" s="57">
        <v>42415</v>
      </c>
      <c r="G34" s="35">
        <v>10866.85</v>
      </c>
      <c r="H34" s="35"/>
      <c r="I34" s="35"/>
      <c r="J34" s="51"/>
      <c r="K34" s="52">
        <f t="shared" si="28"/>
        <v>10866.85</v>
      </c>
      <c r="L34" s="35"/>
      <c r="M34" s="70"/>
      <c r="N34" s="35">
        <v>33.049999999999997</v>
      </c>
      <c r="O34" s="35"/>
      <c r="P34" s="71"/>
      <c r="Q34" s="71"/>
      <c r="R34" s="35"/>
      <c r="S34" s="33"/>
      <c r="T34" s="33"/>
      <c r="U34" s="34"/>
      <c r="V34" s="34"/>
      <c r="W34" s="52">
        <f t="shared" ref="W34" si="35">+K34-SUM(L34:V34)</f>
        <v>10833.800000000001</v>
      </c>
      <c r="X34" s="33">
        <f t="shared" ref="X34" si="36">IF(K34&gt;2250,K34*0.1,0)</f>
        <v>1086.6850000000002</v>
      </c>
      <c r="Y34" s="52">
        <f t="shared" ref="Y34" si="37">+W34-X34</f>
        <v>9747.1150000000016</v>
      </c>
      <c r="Z34" s="33"/>
      <c r="AA34" s="33"/>
      <c r="AB34" s="33"/>
      <c r="AC34" s="52"/>
      <c r="AD34" s="61"/>
      <c r="AE34" s="61"/>
      <c r="AF34" s="53"/>
      <c r="AG34" s="34"/>
      <c r="AH34" s="36"/>
    </row>
    <row r="35" spans="1:34" s="18" customFormat="1">
      <c r="A35" s="34" t="s">
        <v>30</v>
      </c>
      <c r="B35" s="34" t="s">
        <v>114</v>
      </c>
      <c r="C35" s="34" t="s">
        <v>126</v>
      </c>
      <c r="D35" s="34" t="s">
        <v>79</v>
      </c>
      <c r="E35" s="34" t="s">
        <v>32</v>
      </c>
      <c r="F35" s="57">
        <v>41463</v>
      </c>
      <c r="G35" s="35">
        <v>4675.71</v>
      </c>
      <c r="H35" s="35"/>
      <c r="I35" s="35"/>
      <c r="J35" s="51"/>
      <c r="K35" s="52">
        <f t="shared" si="28"/>
        <v>4675.71</v>
      </c>
      <c r="L35" s="35"/>
      <c r="M35" s="70"/>
      <c r="N35" s="35">
        <v>33.049999999999997</v>
      </c>
      <c r="O35" s="35">
        <v>0</v>
      </c>
      <c r="P35" s="71"/>
      <c r="Q35" s="71"/>
      <c r="R35" s="35"/>
      <c r="S35" s="33"/>
      <c r="T35" s="33"/>
      <c r="U35" s="34"/>
      <c r="V35" s="34">
        <v>0</v>
      </c>
      <c r="W35" s="52">
        <f t="shared" si="29"/>
        <v>4642.66</v>
      </c>
      <c r="X35" s="33">
        <f t="shared" si="30"/>
        <v>467.57100000000003</v>
      </c>
      <c r="Y35" s="52">
        <f t="shared" si="31"/>
        <v>4175.0889999999999</v>
      </c>
      <c r="Z35" s="33">
        <f t="shared" si="32"/>
        <v>0</v>
      </c>
      <c r="AA35" s="33">
        <v>20.23</v>
      </c>
      <c r="AB35" s="33">
        <f t="shared" si="33"/>
        <v>0</v>
      </c>
      <c r="AC35" s="52">
        <f t="shared" si="34"/>
        <v>4695.9399999999996</v>
      </c>
      <c r="AD35" s="59"/>
      <c r="AE35" s="60"/>
      <c r="AF35" s="53">
        <f>+AD35+AE35-Y35</f>
        <v>-4175.0889999999999</v>
      </c>
      <c r="AG35" s="34"/>
      <c r="AH35" s="34"/>
    </row>
    <row r="36" spans="1:34" s="18" customFormat="1">
      <c r="A36" s="34" t="s">
        <v>28</v>
      </c>
      <c r="B36" s="34" t="s">
        <v>165</v>
      </c>
      <c r="C36" s="34"/>
      <c r="D36" s="34" t="s">
        <v>166</v>
      </c>
      <c r="E36" s="34" t="s">
        <v>167</v>
      </c>
      <c r="F36" s="62">
        <v>40618</v>
      </c>
      <c r="G36" s="35">
        <v>5451.7</v>
      </c>
      <c r="H36" s="35"/>
      <c r="I36" s="35"/>
      <c r="J36" s="51"/>
      <c r="K36" s="52">
        <f t="shared" si="28"/>
        <v>5451.7</v>
      </c>
      <c r="L36" s="35"/>
      <c r="M36" s="70"/>
      <c r="N36" s="35"/>
      <c r="O36" s="35">
        <v>0</v>
      </c>
      <c r="P36" s="71"/>
      <c r="Q36" s="71"/>
      <c r="R36" s="35"/>
      <c r="S36" s="33"/>
      <c r="T36" s="33"/>
      <c r="U36" s="34"/>
      <c r="V36" s="34">
        <v>0</v>
      </c>
      <c r="W36" s="52">
        <f t="shared" si="29"/>
        <v>5451.7</v>
      </c>
      <c r="X36" s="33">
        <f t="shared" si="30"/>
        <v>545.16999999999996</v>
      </c>
      <c r="Y36" s="52">
        <f t="shared" si="31"/>
        <v>4906.53</v>
      </c>
      <c r="Z36" s="33">
        <f t="shared" si="32"/>
        <v>0</v>
      </c>
      <c r="AA36" s="33">
        <v>21.23</v>
      </c>
      <c r="AB36" s="33">
        <f t="shared" si="33"/>
        <v>0</v>
      </c>
      <c r="AC36" s="52">
        <f t="shared" si="34"/>
        <v>5472.9299999999994</v>
      </c>
      <c r="AD36" s="59"/>
      <c r="AE36" s="60"/>
      <c r="AF36" s="53"/>
      <c r="AG36" s="34">
        <v>2659973974</v>
      </c>
      <c r="AH36" s="36"/>
    </row>
    <row r="37" spans="1:34" s="18" customFormat="1">
      <c r="A37" s="34" t="s">
        <v>30</v>
      </c>
      <c r="B37" s="34" t="s">
        <v>156</v>
      </c>
      <c r="C37" s="34" t="s">
        <v>129</v>
      </c>
      <c r="D37" s="34" t="s">
        <v>80</v>
      </c>
      <c r="E37" s="34" t="s">
        <v>32</v>
      </c>
      <c r="F37" s="57">
        <v>42296</v>
      </c>
      <c r="G37" s="35">
        <v>3691.84</v>
      </c>
      <c r="H37" s="35"/>
      <c r="I37" s="35"/>
      <c r="J37" s="51"/>
      <c r="K37" s="52">
        <f t="shared" si="28"/>
        <v>3691.84</v>
      </c>
      <c r="L37" s="35"/>
      <c r="M37" s="70"/>
      <c r="N37" s="35">
        <v>33.049999999999997</v>
      </c>
      <c r="O37" s="35">
        <v>0</v>
      </c>
      <c r="P37" s="71"/>
      <c r="Q37" s="71"/>
      <c r="R37" s="35"/>
      <c r="S37" s="33"/>
      <c r="T37" s="33"/>
      <c r="U37" s="34"/>
      <c r="V37" s="34">
        <v>930</v>
      </c>
      <c r="W37" s="52">
        <f t="shared" si="29"/>
        <v>2728.79</v>
      </c>
      <c r="X37" s="33">
        <f t="shared" si="30"/>
        <v>369.18400000000003</v>
      </c>
      <c r="Y37" s="52">
        <f t="shared" si="31"/>
        <v>2359.6059999999998</v>
      </c>
      <c r="Z37" s="33">
        <f t="shared" si="32"/>
        <v>0</v>
      </c>
      <c r="AA37" s="33">
        <v>10.23</v>
      </c>
      <c r="AB37" s="33">
        <f t="shared" si="33"/>
        <v>0</v>
      </c>
      <c r="AC37" s="52">
        <f t="shared" si="34"/>
        <v>3702.07</v>
      </c>
      <c r="AD37" s="59"/>
      <c r="AE37" s="60"/>
      <c r="AF37" s="53">
        <f>+AD37+AE37-Y37</f>
        <v>-2359.6059999999998</v>
      </c>
      <c r="AG37" s="34"/>
      <c r="AH37" s="36" t="s">
        <v>235</v>
      </c>
    </row>
    <row r="38" spans="1:34" s="18" customFormat="1">
      <c r="A38" s="34" t="s">
        <v>29</v>
      </c>
      <c r="B38" s="34" t="s">
        <v>38</v>
      </c>
      <c r="C38" s="34" t="s">
        <v>145</v>
      </c>
      <c r="D38" s="34" t="s">
        <v>59</v>
      </c>
      <c r="E38" s="34" t="s">
        <v>90</v>
      </c>
      <c r="F38" s="57">
        <v>42199</v>
      </c>
      <c r="G38" s="35">
        <v>5313.6</v>
      </c>
      <c r="H38" s="35"/>
      <c r="I38" s="35"/>
      <c r="J38" s="51"/>
      <c r="K38" s="52">
        <f t="shared" si="28"/>
        <v>5313.6</v>
      </c>
      <c r="L38" s="35"/>
      <c r="M38" s="70"/>
      <c r="N38" s="35">
        <v>54.05</v>
      </c>
      <c r="O38" s="35">
        <v>0</v>
      </c>
      <c r="P38" s="71"/>
      <c r="Q38" s="71"/>
      <c r="R38" s="35"/>
      <c r="S38" s="33"/>
      <c r="T38" s="33"/>
      <c r="U38" s="34"/>
      <c r="V38" s="34">
        <v>0</v>
      </c>
      <c r="W38" s="52">
        <f t="shared" si="29"/>
        <v>5259.55</v>
      </c>
      <c r="X38" s="33">
        <f t="shared" si="30"/>
        <v>531.36</v>
      </c>
      <c r="Y38" s="52">
        <f t="shared" si="31"/>
        <v>4728.1900000000005</v>
      </c>
      <c r="Z38" s="33">
        <f t="shared" si="32"/>
        <v>0</v>
      </c>
      <c r="AA38" s="33">
        <v>10.23</v>
      </c>
      <c r="AB38" s="33">
        <f t="shared" si="33"/>
        <v>0</v>
      </c>
      <c r="AC38" s="52">
        <f t="shared" si="34"/>
        <v>5323.83</v>
      </c>
      <c r="AD38" s="59"/>
      <c r="AE38" s="60"/>
      <c r="AF38" s="53">
        <f>+AD38+AE38-Y38</f>
        <v>-4728.1900000000005</v>
      </c>
      <c r="AG38" s="34"/>
      <c r="AH38" s="34"/>
    </row>
    <row r="39" spans="1:34" s="18" customFormat="1">
      <c r="A39" s="34" t="s">
        <v>30</v>
      </c>
      <c r="B39" s="34" t="s">
        <v>130</v>
      </c>
      <c r="C39" s="34" t="s">
        <v>129</v>
      </c>
      <c r="D39" s="34" t="s">
        <v>81</v>
      </c>
      <c r="E39" s="34" t="s">
        <v>32</v>
      </c>
      <c r="F39" s="57">
        <v>42304</v>
      </c>
      <c r="G39" s="35">
        <v>6433.19</v>
      </c>
      <c r="H39" s="35"/>
      <c r="I39" s="35"/>
      <c r="J39" s="51"/>
      <c r="K39" s="52">
        <f t="shared" si="28"/>
        <v>6433.19</v>
      </c>
      <c r="L39" s="35"/>
      <c r="M39" s="70"/>
      <c r="N39" s="35">
        <v>33.049999999999997</v>
      </c>
      <c r="O39" s="35">
        <v>0</v>
      </c>
      <c r="P39" s="71"/>
      <c r="Q39" s="71"/>
      <c r="R39" s="35"/>
      <c r="S39" s="33"/>
      <c r="T39" s="33"/>
      <c r="U39" s="34"/>
      <c r="V39" s="34">
        <v>0</v>
      </c>
      <c r="W39" s="52">
        <f t="shared" si="29"/>
        <v>6400.1399999999994</v>
      </c>
      <c r="X39" s="33">
        <f t="shared" si="30"/>
        <v>643.31899999999996</v>
      </c>
      <c r="Y39" s="52">
        <f t="shared" si="31"/>
        <v>5756.8209999999999</v>
      </c>
      <c r="Z39" s="33">
        <f t="shared" si="32"/>
        <v>0</v>
      </c>
      <c r="AA39" s="33">
        <v>10.23</v>
      </c>
      <c r="AB39" s="33">
        <f t="shared" si="33"/>
        <v>0</v>
      </c>
      <c r="AC39" s="52">
        <f t="shared" si="34"/>
        <v>6443.4199999999992</v>
      </c>
      <c r="AD39" s="53"/>
      <c r="AE39" s="53"/>
      <c r="AF39" s="53"/>
      <c r="AG39" s="34"/>
      <c r="AH39" s="36"/>
    </row>
    <row r="40" spans="1:34" s="18" customFormat="1">
      <c r="A40" s="34" t="s">
        <v>29</v>
      </c>
      <c r="B40" s="34" t="s">
        <v>174</v>
      </c>
      <c r="C40" s="34"/>
      <c r="D40" s="34"/>
      <c r="E40" s="34" t="s">
        <v>90</v>
      </c>
      <c r="F40" s="57">
        <v>42576</v>
      </c>
      <c r="G40" s="35">
        <v>1000</v>
      </c>
      <c r="H40" s="35"/>
      <c r="I40" s="35"/>
      <c r="J40" s="51"/>
      <c r="K40" s="52">
        <f t="shared" si="28"/>
        <v>1000</v>
      </c>
      <c r="L40" s="35"/>
      <c r="M40" s="70"/>
      <c r="N40" s="35"/>
      <c r="O40" s="35">
        <v>0</v>
      </c>
      <c r="P40" s="71"/>
      <c r="Q40" s="71"/>
      <c r="R40" s="35"/>
      <c r="S40" s="33"/>
      <c r="T40" s="33"/>
      <c r="U40" s="34"/>
      <c r="V40" s="34">
        <v>0</v>
      </c>
      <c r="W40" s="52">
        <f t="shared" si="29"/>
        <v>1000</v>
      </c>
      <c r="X40" s="33">
        <f t="shared" si="30"/>
        <v>0</v>
      </c>
      <c r="Y40" s="52">
        <f t="shared" si="31"/>
        <v>1000</v>
      </c>
      <c r="Z40" s="33">
        <f t="shared" si="32"/>
        <v>100</v>
      </c>
      <c r="AA40" s="33">
        <v>11.23</v>
      </c>
      <c r="AB40" s="33">
        <f t="shared" si="33"/>
        <v>0</v>
      </c>
      <c r="AC40" s="52">
        <f t="shared" si="34"/>
        <v>1111.23</v>
      </c>
      <c r="AD40" s="55"/>
      <c r="AE40" s="55"/>
      <c r="AF40" s="55"/>
      <c r="AG40" s="34">
        <v>2960710474</v>
      </c>
      <c r="AH40" s="36"/>
    </row>
    <row r="41" spans="1:34" s="18" customFormat="1">
      <c r="A41" s="34" t="s">
        <v>43</v>
      </c>
      <c r="B41" s="34" t="s">
        <v>101</v>
      </c>
      <c r="C41" s="34"/>
      <c r="D41" s="34"/>
      <c r="E41" s="34" t="s">
        <v>89</v>
      </c>
      <c r="F41" s="57">
        <v>42413</v>
      </c>
      <c r="G41" s="78">
        <v>100</v>
      </c>
      <c r="H41" s="35">
        <v>348.62</v>
      </c>
      <c r="I41" s="35"/>
      <c r="J41" s="51"/>
      <c r="K41" s="52">
        <f t="shared" si="28"/>
        <v>448.62</v>
      </c>
      <c r="L41" s="35"/>
      <c r="M41" s="70"/>
      <c r="N41" s="35"/>
      <c r="O41" s="35">
        <v>0</v>
      </c>
      <c r="P41" s="71"/>
      <c r="Q41" s="71"/>
      <c r="R41" s="35"/>
      <c r="S41" s="33"/>
      <c r="T41" s="33"/>
      <c r="U41" s="34"/>
      <c r="V41" s="34">
        <v>0</v>
      </c>
      <c r="W41" s="52">
        <f t="shared" si="29"/>
        <v>448.62</v>
      </c>
      <c r="X41" s="33">
        <f t="shared" si="30"/>
        <v>0</v>
      </c>
      <c r="Y41" s="52">
        <f t="shared" si="31"/>
        <v>448.62</v>
      </c>
      <c r="Z41" s="33">
        <f t="shared" si="32"/>
        <v>44.862000000000002</v>
      </c>
      <c r="AA41" s="33">
        <v>10.23</v>
      </c>
      <c r="AB41" s="33">
        <f t="shared" si="33"/>
        <v>0</v>
      </c>
      <c r="AC41" s="52">
        <f t="shared" si="34"/>
        <v>503.71200000000005</v>
      </c>
      <c r="AD41" s="59"/>
      <c r="AE41" s="60"/>
      <c r="AF41" s="53">
        <f t="shared" ref="AF41:AF44" si="38">+AD41+AE41-Y41</f>
        <v>-448.62</v>
      </c>
      <c r="AG41" s="34"/>
      <c r="AH41" s="34"/>
    </row>
    <row r="42" spans="1:34" s="18" customFormat="1">
      <c r="A42" s="34" t="s">
        <v>30</v>
      </c>
      <c r="B42" s="34" t="s">
        <v>153</v>
      </c>
      <c r="C42" s="34" t="s">
        <v>129</v>
      </c>
      <c r="D42" s="34" t="s">
        <v>82</v>
      </c>
      <c r="E42" s="34" t="s">
        <v>32</v>
      </c>
      <c r="F42" s="57">
        <v>41622</v>
      </c>
      <c r="G42" s="35"/>
      <c r="H42" s="35"/>
      <c r="I42" s="35"/>
      <c r="J42" s="51"/>
      <c r="K42" s="52">
        <f t="shared" si="28"/>
        <v>0</v>
      </c>
      <c r="L42" s="35"/>
      <c r="M42" s="70"/>
      <c r="N42" s="35">
        <v>33.049999999999997</v>
      </c>
      <c r="O42" s="35">
        <v>0</v>
      </c>
      <c r="P42" s="71"/>
      <c r="Q42" s="71"/>
      <c r="R42" s="35"/>
      <c r="S42" s="33"/>
      <c r="T42" s="33"/>
      <c r="U42" s="34"/>
      <c r="V42" s="34">
        <v>0</v>
      </c>
      <c r="W42" s="52">
        <f t="shared" si="29"/>
        <v>-33.049999999999997</v>
      </c>
      <c r="X42" s="33">
        <f t="shared" si="30"/>
        <v>0</v>
      </c>
      <c r="Y42" s="52">
        <f t="shared" si="31"/>
        <v>-33.049999999999997</v>
      </c>
      <c r="Z42" s="33">
        <f t="shared" si="32"/>
        <v>0</v>
      </c>
      <c r="AA42" s="33">
        <v>10.23</v>
      </c>
      <c r="AB42" s="33">
        <f t="shared" si="33"/>
        <v>0</v>
      </c>
      <c r="AC42" s="52">
        <f t="shared" si="34"/>
        <v>10.23</v>
      </c>
      <c r="AD42" s="59"/>
      <c r="AE42" s="59"/>
      <c r="AF42" s="53">
        <f t="shared" si="38"/>
        <v>33.049999999999997</v>
      </c>
      <c r="AG42" s="34"/>
      <c r="AH42" s="34"/>
    </row>
    <row r="43" spans="1:34" s="18" customFormat="1">
      <c r="A43" s="34" t="s">
        <v>30</v>
      </c>
      <c r="B43" s="34" t="s">
        <v>159</v>
      </c>
      <c r="C43" s="34" t="s">
        <v>126</v>
      </c>
      <c r="D43" s="34">
        <v>30</v>
      </c>
      <c r="E43" s="34" t="s">
        <v>32</v>
      </c>
      <c r="F43" s="57">
        <v>37834</v>
      </c>
      <c r="G43" s="35">
        <v>16841.990000000002</v>
      </c>
      <c r="H43" s="35"/>
      <c r="I43" s="35"/>
      <c r="J43" s="51"/>
      <c r="K43" s="52">
        <f t="shared" si="28"/>
        <v>16841.990000000002</v>
      </c>
      <c r="L43" s="35"/>
      <c r="M43" s="70"/>
      <c r="N43" s="35">
        <v>33.049999999999997</v>
      </c>
      <c r="O43" s="35">
        <v>0</v>
      </c>
      <c r="P43" s="71"/>
      <c r="Q43" s="71"/>
      <c r="R43" s="35"/>
      <c r="S43" s="33"/>
      <c r="T43" s="33"/>
      <c r="U43" s="34"/>
      <c r="V43" s="34">
        <v>0</v>
      </c>
      <c r="W43" s="52">
        <f t="shared" si="29"/>
        <v>16808.940000000002</v>
      </c>
      <c r="X43" s="33">
        <f t="shared" si="30"/>
        <v>1684.1990000000003</v>
      </c>
      <c r="Y43" s="52">
        <f t="shared" si="31"/>
        <v>15124.741000000002</v>
      </c>
      <c r="Z43" s="33">
        <f t="shared" si="32"/>
        <v>0</v>
      </c>
      <c r="AA43" s="33">
        <v>10.23</v>
      </c>
      <c r="AB43" s="33">
        <f t="shared" si="33"/>
        <v>0</v>
      </c>
      <c r="AC43" s="52">
        <f t="shared" si="34"/>
        <v>16852.22</v>
      </c>
      <c r="AD43" s="59"/>
      <c r="AE43" s="60"/>
      <c r="AF43" s="53">
        <f t="shared" si="38"/>
        <v>-15124.741000000002</v>
      </c>
      <c r="AG43" s="34"/>
      <c r="AH43" s="36"/>
    </row>
    <row r="44" spans="1:34" s="18" customFormat="1">
      <c r="A44" s="34" t="s">
        <v>30</v>
      </c>
      <c r="B44" s="34" t="s">
        <v>109</v>
      </c>
      <c r="C44" s="34" t="s">
        <v>124</v>
      </c>
      <c r="D44" s="34" t="s">
        <v>83</v>
      </c>
      <c r="E44" s="34" t="s">
        <v>32</v>
      </c>
      <c r="F44" s="57">
        <v>42394</v>
      </c>
      <c r="G44" s="35">
        <v>3326.03</v>
      </c>
      <c r="H44" s="35"/>
      <c r="I44" s="35"/>
      <c r="J44" s="51"/>
      <c r="K44" s="52">
        <f t="shared" si="28"/>
        <v>3326.03</v>
      </c>
      <c r="L44" s="35"/>
      <c r="M44" s="70"/>
      <c r="N44" s="35">
        <v>33.049999999999997</v>
      </c>
      <c r="O44" s="35">
        <v>0</v>
      </c>
      <c r="P44" s="71"/>
      <c r="Q44" s="71"/>
      <c r="R44" s="35"/>
      <c r="S44" s="33"/>
      <c r="T44" s="33"/>
      <c r="U44" s="54"/>
      <c r="V44" s="54">
        <v>938.5</v>
      </c>
      <c r="W44" s="52">
        <f t="shared" si="29"/>
        <v>2354.4800000000005</v>
      </c>
      <c r="X44" s="33">
        <f t="shared" si="30"/>
        <v>332.60300000000007</v>
      </c>
      <c r="Y44" s="52">
        <f t="shared" si="31"/>
        <v>2021.8770000000004</v>
      </c>
      <c r="Z44" s="33">
        <f t="shared" si="32"/>
        <v>0</v>
      </c>
      <c r="AA44" s="33">
        <v>10.23</v>
      </c>
      <c r="AB44" s="33">
        <f t="shared" si="33"/>
        <v>0</v>
      </c>
      <c r="AC44" s="52">
        <f t="shared" si="34"/>
        <v>3336.26</v>
      </c>
      <c r="AD44" s="59"/>
      <c r="AE44" s="60"/>
      <c r="AF44" s="53">
        <f t="shared" si="38"/>
        <v>-2021.8770000000004</v>
      </c>
      <c r="AG44" s="34"/>
      <c r="AH44" s="36"/>
    </row>
    <row r="45" spans="1:34" s="18" customFormat="1">
      <c r="A45" s="34" t="s">
        <v>30</v>
      </c>
      <c r="B45" s="34" t="s">
        <v>195</v>
      </c>
      <c r="C45" s="34"/>
      <c r="D45" s="34"/>
      <c r="E45" s="34" t="s">
        <v>32</v>
      </c>
      <c r="F45" s="57">
        <v>42342</v>
      </c>
      <c r="G45" s="35">
        <v>16648.650000000001</v>
      </c>
      <c r="H45" s="35"/>
      <c r="I45" s="35"/>
      <c r="J45" s="51"/>
      <c r="K45" s="52">
        <f t="shared" si="28"/>
        <v>16648.650000000001</v>
      </c>
      <c r="L45" s="35"/>
      <c r="M45" s="70"/>
      <c r="N45" s="35">
        <v>26.44</v>
      </c>
      <c r="O45" s="35">
        <v>0</v>
      </c>
      <c r="P45" s="71"/>
      <c r="Q45" s="71"/>
      <c r="R45" s="35"/>
      <c r="S45" s="33">
        <v>257.3</v>
      </c>
      <c r="T45" s="33"/>
      <c r="U45" s="54"/>
      <c r="V45" s="54"/>
      <c r="W45" s="52">
        <f t="shared" ref="W45" si="39">+K45-SUM(L45:V45)</f>
        <v>16364.910000000002</v>
      </c>
      <c r="X45" s="33">
        <f t="shared" ref="X45" si="40">IF(K45&gt;2250,K45*0.1,0)</f>
        <v>1664.8650000000002</v>
      </c>
      <c r="Y45" s="52">
        <f t="shared" ref="Y45" si="41">+W45-X45</f>
        <v>14700.045000000002</v>
      </c>
      <c r="Z45" s="33"/>
      <c r="AA45" s="33"/>
      <c r="AB45" s="33"/>
      <c r="AC45" s="52"/>
      <c r="AD45" s="59"/>
      <c r="AE45" s="60"/>
      <c r="AF45" s="53"/>
      <c r="AG45" s="34"/>
      <c r="AH45" s="36"/>
    </row>
    <row r="46" spans="1:34" s="18" customFormat="1">
      <c r="A46" s="34" t="s">
        <v>30</v>
      </c>
      <c r="B46" s="34" t="s">
        <v>198</v>
      </c>
      <c r="C46" s="34"/>
      <c r="D46" s="34"/>
      <c r="E46" s="34" t="s">
        <v>32</v>
      </c>
      <c r="F46" s="57">
        <v>42648</v>
      </c>
      <c r="G46" s="35">
        <v>27148.02</v>
      </c>
      <c r="H46" s="35"/>
      <c r="I46" s="35"/>
      <c r="J46" s="51"/>
      <c r="K46" s="52">
        <f t="shared" si="28"/>
        <v>27148.02</v>
      </c>
      <c r="L46" s="35"/>
      <c r="M46" s="70"/>
      <c r="N46" s="35">
        <v>33.049999999999997</v>
      </c>
      <c r="O46" s="35"/>
      <c r="P46" s="71"/>
      <c r="Q46" s="71"/>
      <c r="R46" s="35"/>
      <c r="S46" s="33"/>
      <c r="T46" s="33"/>
      <c r="U46" s="54"/>
      <c r="V46" s="54"/>
      <c r="W46" s="52">
        <f t="shared" ref="W46" si="42">+K46-SUM(L46:V46)</f>
        <v>27114.97</v>
      </c>
      <c r="X46" s="33">
        <f t="shared" ref="X46" si="43">IF(K46&gt;2250,K46*0.1,0)</f>
        <v>2714.8020000000001</v>
      </c>
      <c r="Y46" s="52">
        <f t="shared" ref="Y46" si="44">+W46-X46</f>
        <v>24400.168000000001</v>
      </c>
      <c r="Z46" s="33"/>
      <c r="AA46" s="33"/>
      <c r="AB46" s="33"/>
      <c r="AC46" s="52"/>
      <c r="AD46" s="59"/>
      <c r="AE46" s="60"/>
      <c r="AF46" s="53"/>
      <c r="AG46" s="34">
        <v>1128031436</v>
      </c>
      <c r="AH46" s="36"/>
    </row>
    <row r="47" spans="1:34" s="18" customFormat="1">
      <c r="A47" s="34" t="s">
        <v>29</v>
      </c>
      <c r="B47" s="34" t="s">
        <v>207</v>
      </c>
      <c r="C47" s="34"/>
      <c r="D47" s="34"/>
      <c r="E47" s="34" t="s">
        <v>90</v>
      </c>
      <c r="F47" s="57">
        <v>42644</v>
      </c>
      <c r="G47" s="35">
        <v>2822.4</v>
      </c>
      <c r="H47" s="35"/>
      <c r="I47" s="35"/>
      <c r="J47" s="51"/>
      <c r="K47" s="52">
        <f t="shared" si="28"/>
        <v>2822.4</v>
      </c>
      <c r="L47" s="35"/>
      <c r="M47" s="70"/>
      <c r="N47" s="35"/>
      <c r="O47" s="35"/>
      <c r="P47" s="71"/>
      <c r="Q47" s="71"/>
      <c r="R47" s="35"/>
      <c r="S47" s="33"/>
      <c r="T47" s="33"/>
      <c r="U47" s="54"/>
      <c r="V47" s="54"/>
      <c r="W47" s="52">
        <f t="shared" ref="W47" si="45">+K47-SUM(L47:V47)</f>
        <v>2822.4</v>
      </c>
      <c r="X47" s="33">
        <f t="shared" ref="X47" si="46">IF(K47&gt;2250,K47*0.1,0)</f>
        <v>282.24</v>
      </c>
      <c r="Y47" s="52">
        <f t="shared" ref="Y47" si="47">+W47-X47</f>
        <v>2540.16</v>
      </c>
      <c r="Z47" s="33"/>
      <c r="AA47" s="33"/>
      <c r="AB47" s="33"/>
      <c r="AC47" s="52"/>
      <c r="AD47" s="59"/>
      <c r="AE47" s="60"/>
      <c r="AF47" s="53"/>
      <c r="AG47" s="34">
        <v>2778034427</v>
      </c>
      <c r="AH47" s="36"/>
    </row>
    <row r="48" spans="1:34" s="18" customFormat="1">
      <c r="A48" s="34" t="s">
        <v>30</v>
      </c>
      <c r="B48" s="34" t="s">
        <v>224</v>
      </c>
      <c r="C48" s="34"/>
      <c r="D48" s="34"/>
      <c r="E48" s="34" t="s">
        <v>32</v>
      </c>
      <c r="F48" s="57">
        <v>42751</v>
      </c>
      <c r="G48" s="35">
        <v>945.4</v>
      </c>
      <c r="H48" s="35"/>
      <c r="I48" s="35"/>
      <c r="J48" s="51"/>
      <c r="K48" s="52">
        <f t="shared" si="28"/>
        <v>945.4</v>
      </c>
      <c r="L48" s="35"/>
      <c r="M48" s="70"/>
      <c r="N48" s="35"/>
      <c r="O48" s="35"/>
      <c r="P48" s="71"/>
      <c r="Q48" s="71"/>
      <c r="R48" s="35"/>
      <c r="S48" s="33"/>
      <c r="T48" s="33"/>
      <c r="U48" s="34"/>
      <c r="V48" s="34"/>
      <c r="W48" s="52">
        <f t="shared" ref="W48" si="48">+K48-SUM(L48:V48)</f>
        <v>945.4</v>
      </c>
      <c r="X48" s="33">
        <f t="shared" ref="X48" si="49">IF(K48&gt;2250,K48*0.1,0)</f>
        <v>0</v>
      </c>
      <c r="Y48" s="52">
        <f t="shared" ref="Y48" si="50">+W48-X48</f>
        <v>945.4</v>
      </c>
      <c r="Z48" s="33"/>
      <c r="AA48" s="33"/>
      <c r="AB48" s="33"/>
      <c r="AC48" s="52"/>
      <c r="AD48" s="59"/>
      <c r="AE48" s="60"/>
      <c r="AF48" s="53"/>
      <c r="AG48" s="34">
        <v>2866865712</v>
      </c>
      <c r="AH48" s="34"/>
    </row>
    <row r="49" spans="1:34" s="18" customFormat="1">
      <c r="A49" s="34" t="s">
        <v>43</v>
      </c>
      <c r="B49" s="34" t="s">
        <v>183</v>
      </c>
      <c r="C49" s="34"/>
      <c r="D49" s="34"/>
      <c r="E49" s="34" t="s">
        <v>89</v>
      </c>
      <c r="F49" s="57">
        <v>41709</v>
      </c>
      <c r="G49" s="78"/>
      <c r="H49" s="35"/>
      <c r="I49" s="35"/>
      <c r="J49" s="51"/>
      <c r="K49" s="52">
        <f t="shared" si="28"/>
        <v>0</v>
      </c>
      <c r="L49" s="35"/>
      <c r="M49" s="70"/>
      <c r="N49" s="35"/>
      <c r="O49" s="35"/>
      <c r="P49" s="71"/>
      <c r="Q49" s="71"/>
      <c r="R49" s="35"/>
      <c r="S49" s="33"/>
      <c r="T49" s="33"/>
      <c r="U49" s="34"/>
      <c r="V49" s="34">
        <v>0</v>
      </c>
      <c r="W49" s="52">
        <f t="shared" si="29"/>
        <v>0</v>
      </c>
      <c r="X49" s="33">
        <f t="shared" si="30"/>
        <v>0</v>
      </c>
      <c r="Y49" s="52">
        <f t="shared" si="31"/>
        <v>0</v>
      </c>
      <c r="Z49" s="33">
        <f t="shared" si="32"/>
        <v>0</v>
      </c>
      <c r="AA49" s="33">
        <v>11.23</v>
      </c>
      <c r="AB49" s="33">
        <f t="shared" si="33"/>
        <v>0</v>
      </c>
      <c r="AC49" s="52">
        <f t="shared" si="34"/>
        <v>11.23</v>
      </c>
      <c r="AD49" s="59"/>
      <c r="AE49" s="60"/>
      <c r="AF49" s="53"/>
      <c r="AG49" s="34">
        <v>2836126510</v>
      </c>
      <c r="AH49" s="34"/>
    </row>
    <row r="50" spans="1:34" s="18" customFormat="1">
      <c r="A50" s="34" t="s">
        <v>30</v>
      </c>
      <c r="B50" s="34" t="s">
        <v>140</v>
      </c>
      <c r="C50" s="34" t="s">
        <v>129</v>
      </c>
      <c r="D50" s="34" t="s">
        <v>84</v>
      </c>
      <c r="E50" s="34" t="s">
        <v>32</v>
      </c>
      <c r="F50" s="57">
        <v>42251</v>
      </c>
      <c r="G50" s="35"/>
      <c r="H50" s="35"/>
      <c r="I50" s="35"/>
      <c r="J50" s="51"/>
      <c r="K50" s="52">
        <f t="shared" si="28"/>
        <v>0</v>
      </c>
      <c r="L50" s="35"/>
      <c r="M50" s="70"/>
      <c r="N50" s="35">
        <v>33.049999999999997</v>
      </c>
      <c r="O50" s="35">
        <v>0</v>
      </c>
      <c r="P50" s="71"/>
      <c r="Q50" s="71"/>
      <c r="R50" s="35"/>
      <c r="S50" s="33"/>
      <c r="T50" s="33"/>
      <c r="U50" s="34"/>
      <c r="V50" s="34">
        <v>0</v>
      </c>
      <c r="W50" s="52">
        <f t="shared" si="29"/>
        <v>-33.049999999999997</v>
      </c>
      <c r="X50" s="33">
        <f t="shared" si="30"/>
        <v>0</v>
      </c>
      <c r="Y50" s="52">
        <f t="shared" si="31"/>
        <v>-33.049999999999997</v>
      </c>
      <c r="Z50" s="33">
        <f t="shared" si="32"/>
        <v>0</v>
      </c>
      <c r="AA50" s="33">
        <v>10.23</v>
      </c>
      <c r="AB50" s="33">
        <f t="shared" si="33"/>
        <v>0</v>
      </c>
      <c r="AC50" s="52">
        <f t="shared" si="34"/>
        <v>10.23</v>
      </c>
      <c r="AD50" s="59"/>
      <c r="AE50" s="60"/>
      <c r="AF50" s="53">
        <f t="shared" ref="AF50:AF51" si="51">+AD50+AE50-Y50</f>
        <v>33.049999999999997</v>
      </c>
      <c r="AH50" s="34"/>
    </row>
    <row r="51" spans="1:34" s="18" customFormat="1">
      <c r="A51" s="34" t="s">
        <v>41</v>
      </c>
      <c r="B51" s="34" t="s">
        <v>162</v>
      </c>
      <c r="C51" s="34"/>
      <c r="D51" s="34"/>
      <c r="E51" s="34" t="s">
        <v>31</v>
      </c>
      <c r="F51" s="57">
        <v>42506</v>
      </c>
      <c r="G51" s="35">
        <v>2075.44</v>
      </c>
      <c r="H51" s="35"/>
      <c r="I51" s="35"/>
      <c r="J51" s="51"/>
      <c r="K51" s="52">
        <f t="shared" si="28"/>
        <v>2075.44</v>
      </c>
      <c r="L51" s="35"/>
      <c r="M51" s="70"/>
      <c r="N51" s="35"/>
      <c r="O51" s="35">
        <v>0</v>
      </c>
      <c r="P51" s="71"/>
      <c r="Q51" s="71"/>
      <c r="R51" s="35"/>
      <c r="S51" s="33"/>
      <c r="T51" s="33"/>
      <c r="U51" s="34"/>
      <c r="V51" s="34">
        <v>0</v>
      </c>
      <c r="W51" s="52">
        <f t="shared" si="29"/>
        <v>2075.44</v>
      </c>
      <c r="X51" s="33">
        <f t="shared" si="30"/>
        <v>0</v>
      </c>
      <c r="Y51" s="52">
        <f t="shared" si="31"/>
        <v>2075.44</v>
      </c>
      <c r="Z51" s="33">
        <f t="shared" si="32"/>
        <v>207.54400000000001</v>
      </c>
      <c r="AA51" s="33">
        <v>10.23</v>
      </c>
      <c r="AB51" s="33">
        <f t="shared" si="33"/>
        <v>0</v>
      </c>
      <c r="AC51" s="52">
        <f t="shared" si="34"/>
        <v>2293.2139999999999</v>
      </c>
      <c r="AD51" s="59"/>
      <c r="AE51" s="59"/>
      <c r="AF51" s="53">
        <f t="shared" si="51"/>
        <v>-2075.44</v>
      </c>
      <c r="AG51" s="45">
        <v>2928860106</v>
      </c>
      <c r="AH51" s="36"/>
    </row>
    <row r="52" spans="1:34" s="18" customFormat="1">
      <c r="A52" s="34" t="s">
        <v>29</v>
      </c>
      <c r="B52" s="34" t="s">
        <v>221</v>
      </c>
      <c r="C52" s="34"/>
      <c r="D52" s="34"/>
      <c r="E52" s="34" t="s">
        <v>90</v>
      </c>
      <c r="F52" s="57">
        <v>42739</v>
      </c>
      <c r="G52" s="35">
        <v>18508.009999999998</v>
      </c>
      <c r="H52" s="35"/>
      <c r="I52" s="35"/>
      <c r="J52" s="51"/>
      <c r="K52" s="52">
        <f t="shared" si="28"/>
        <v>18508.009999999998</v>
      </c>
      <c r="L52" s="35"/>
      <c r="M52" s="70"/>
      <c r="N52" s="35"/>
      <c r="O52" s="35"/>
      <c r="P52" s="71"/>
      <c r="Q52" s="71"/>
      <c r="R52" s="35"/>
      <c r="S52" s="33"/>
      <c r="T52" s="33"/>
      <c r="U52" s="34"/>
      <c r="V52" s="34"/>
      <c r="W52" s="52">
        <f t="shared" ref="W52" si="52">+K52-SUM(L52:V52)</f>
        <v>18508.009999999998</v>
      </c>
      <c r="X52" s="33">
        <f t="shared" ref="X52" si="53">IF(K52&gt;2250,K52*0.1,0)</f>
        <v>1850.8009999999999</v>
      </c>
      <c r="Y52" s="52">
        <f t="shared" ref="Y52" si="54">+W52-X52</f>
        <v>16657.208999999999</v>
      </c>
      <c r="Z52" s="33"/>
      <c r="AA52" s="33"/>
      <c r="AB52" s="33"/>
      <c r="AC52" s="52"/>
      <c r="AD52" s="59"/>
      <c r="AE52" s="59"/>
      <c r="AF52" s="53"/>
      <c r="AG52" s="45"/>
      <c r="AH52" s="36"/>
    </row>
    <row r="53" spans="1:34" s="18" customFormat="1">
      <c r="A53" s="34" t="s">
        <v>30</v>
      </c>
      <c r="B53" s="34" t="s">
        <v>219</v>
      </c>
      <c r="C53" s="34"/>
      <c r="D53" s="34"/>
      <c r="E53" s="34" t="s">
        <v>32</v>
      </c>
      <c r="F53" s="57">
        <v>42730</v>
      </c>
      <c r="G53" s="35">
        <v>1019.28</v>
      </c>
      <c r="H53" s="35"/>
      <c r="I53" s="35"/>
      <c r="J53" s="51"/>
      <c r="K53" s="52">
        <f t="shared" si="28"/>
        <v>1019.28</v>
      </c>
      <c r="L53" s="35"/>
      <c r="M53" s="70"/>
      <c r="N53" s="35"/>
      <c r="O53" s="35"/>
      <c r="P53" s="71"/>
      <c r="Q53" s="71"/>
      <c r="R53" s="35"/>
      <c r="S53" s="33"/>
      <c r="T53" s="33"/>
      <c r="U53" s="34"/>
      <c r="V53" s="34"/>
      <c r="W53" s="52">
        <f t="shared" ref="W53" si="55">+K53-SUM(L53:V53)</f>
        <v>1019.28</v>
      </c>
      <c r="X53" s="33">
        <f t="shared" ref="X53" si="56">IF(K53&gt;2250,K53*0.1,0)</f>
        <v>0</v>
      </c>
      <c r="Y53" s="52">
        <f t="shared" ref="Y53" si="57">+W53-X53</f>
        <v>1019.28</v>
      </c>
      <c r="Z53" s="33"/>
      <c r="AA53" s="33"/>
      <c r="AB53" s="33"/>
      <c r="AC53" s="52"/>
      <c r="AD53" s="59"/>
      <c r="AE53" s="59"/>
      <c r="AF53" s="53"/>
      <c r="AG53" s="45"/>
      <c r="AH53" s="36" t="s">
        <v>234</v>
      </c>
    </row>
    <row r="54" spans="1:34" s="18" customFormat="1">
      <c r="A54" s="34" t="s">
        <v>30</v>
      </c>
      <c r="B54" s="34" t="s">
        <v>169</v>
      </c>
      <c r="C54" s="34"/>
      <c r="D54" s="34"/>
      <c r="E54" s="34" t="s">
        <v>32</v>
      </c>
      <c r="F54" s="57">
        <v>42522</v>
      </c>
      <c r="G54" s="35">
        <v>8525.2999999999993</v>
      </c>
      <c r="H54" s="35"/>
      <c r="I54" s="35"/>
      <c r="J54" s="51"/>
      <c r="K54" s="52">
        <f t="shared" ref="K54:K70" si="58">SUM(G54:I54)-J54</f>
        <v>8525.2999999999993</v>
      </c>
      <c r="L54" s="35"/>
      <c r="M54" s="70"/>
      <c r="N54" s="35">
        <v>33.049999999999997</v>
      </c>
      <c r="O54" s="35">
        <v>0</v>
      </c>
      <c r="P54" s="71"/>
      <c r="Q54" s="71"/>
      <c r="R54" s="35"/>
      <c r="S54" s="33"/>
      <c r="T54" s="33"/>
      <c r="U54" s="34"/>
      <c r="V54" s="34">
        <v>0</v>
      </c>
      <c r="W54" s="52">
        <f t="shared" ref="W54:W68" si="59">+K54-SUM(L54:V54)</f>
        <v>8492.25</v>
      </c>
      <c r="X54" s="33">
        <f t="shared" ref="X54:X59" si="60">IF(K54&gt;2250,K54*0.1,0)</f>
        <v>852.53</v>
      </c>
      <c r="Y54" s="52">
        <f t="shared" ref="Y54:Y68" si="61">+W54-X54</f>
        <v>7639.72</v>
      </c>
      <c r="Z54" s="33">
        <f t="shared" ref="Z54:Z66" si="62">IF(K54&lt;2250,K54*0.1,0)</f>
        <v>0</v>
      </c>
      <c r="AA54" s="33">
        <v>10.23</v>
      </c>
      <c r="AB54" s="33">
        <f t="shared" ref="AB54:AB66" si="63">+P54</f>
        <v>0</v>
      </c>
      <c r="AC54" s="52">
        <f t="shared" ref="AC54:AC66" si="64">+K54+Z54+AA54+AB54</f>
        <v>8535.5299999999988</v>
      </c>
      <c r="AD54" s="59"/>
      <c r="AE54" s="59"/>
      <c r="AF54" s="53"/>
      <c r="AG54" s="34">
        <v>2952708604</v>
      </c>
      <c r="AH54" s="36"/>
    </row>
    <row r="55" spans="1:34" s="18" customFormat="1">
      <c r="A55" s="34" t="s">
        <v>30</v>
      </c>
      <c r="B55" s="34" t="s">
        <v>110</v>
      </c>
      <c r="C55" s="34" t="s">
        <v>126</v>
      </c>
      <c r="D55" s="37" t="s">
        <v>111</v>
      </c>
      <c r="E55" s="34" t="s">
        <v>32</v>
      </c>
      <c r="F55" s="57">
        <v>42396</v>
      </c>
      <c r="G55" s="35">
        <v>1731.13</v>
      </c>
      <c r="H55" s="35"/>
      <c r="I55" s="35"/>
      <c r="J55" s="51"/>
      <c r="K55" s="52">
        <f t="shared" si="58"/>
        <v>1731.13</v>
      </c>
      <c r="L55" s="35"/>
      <c r="M55" s="70">
        <v>1</v>
      </c>
      <c r="N55" s="35">
        <v>54.05</v>
      </c>
      <c r="O55" s="35">
        <v>0</v>
      </c>
      <c r="P55" s="71"/>
      <c r="Q55" s="71"/>
      <c r="R55" s="35"/>
      <c r="S55" s="33"/>
      <c r="T55" s="33"/>
      <c r="U55" s="34"/>
      <c r="V55" s="34">
        <v>529</v>
      </c>
      <c r="W55" s="52">
        <f t="shared" si="59"/>
        <v>1147.0800000000002</v>
      </c>
      <c r="X55" s="33">
        <f t="shared" si="60"/>
        <v>0</v>
      </c>
      <c r="Y55" s="52">
        <f t="shared" si="61"/>
        <v>1147.0800000000002</v>
      </c>
      <c r="Z55" s="33">
        <f t="shared" si="62"/>
        <v>173.11300000000003</v>
      </c>
      <c r="AA55" s="33">
        <v>10.23</v>
      </c>
      <c r="AB55" s="33">
        <f t="shared" si="63"/>
        <v>0</v>
      </c>
      <c r="AC55" s="52">
        <f t="shared" si="64"/>
        <v>1914.4730000000002</v>
      </c>
      <c r="AD55" s="59"/>
      <c r="AE55" s="59"/>
      <c r="AF55" s="53">
        <f t="shared" ref="AF55:AF59" si="65">+AD55+AE55-Y55</f>
        <v>-1147.0800000000002</v>
      </c>
      <c r="AG55" s="34"/>
      <c r="AH55" s="36" t="s">
        <v>253</v>
      </c>
    </row>
    <row r="56" spans="1:34" s="18" customFormat="1">
      <c r="A56" s="34" t="s">
        <v>41</v>
      </c>
      <c r="B56" s="34" t="s">
        <v>121</v>
      </c>
      <c r="C56" s="34"/>
      <c r="D56" s="34" t="s">
        <v>56</v>
      </c>
      <c r="E56" s="34" t="s">
        <v>89</v>
      </c>
      <c r="F56" s="57">
        <v>42321</v>
      </c>
      <c r="G56" s="78">
        <v>181</v>
      </c>
      <c r="H56" s="35">
        <v>340.16</v>
      </c>
      <c r="I56" s="35">
        <v>1360.62</v>
      </c>
      <c r="J56" s="51"/>
      <c r="K56" s="52">
        <f t="shared" si="58"/>
        <v>1881.78</v>
      </c>
      <c r="L56" s="35"/>
      <c r="M56" s="70"/>
      <c r="N56" s="35"/>
      <c r="O56" s="35">
        <v>0</v>
      </c>
      <c r="P56" s="71"/>
      <c r="Q56" s="71"/>
      <c r="R56" s="35"/>
      <c r="S56" s="33"/>
      <c r="T56" s="33"/>
      <c r="U56" s="34"/>
      <c r="V56" s="34">
        <v>0</v>
      </c>
      <c r="W56" s="52">
        <f t="shared" si="59"/>
        <v>1881.78</v>
      </c>
      <c r="X56" s="33">
        <f t="shared" si="60"/>
        <v>0</v>
      </c>
      <c r="Y56" s="52">
        <f t="shared" si="61"/>
        <v>1881.78</v>
      </c>
      <c r="Z56" s="33">
        <f t="shared" si="62"/>
        <v>188.178</v>
      </c>
      <c r="AA56" s="33">
        <v>10.23</v>
      </c>
      <c r="AB56" s="33">
        <f t="shared" si="63"/>
        <v>0</v>
      </c>
      <c r="AC56" s="52">
        <f t="shared" si="64"/>
        <v>2080.1880000000001</v>
      </c>
      <c r="AD56" s="59"/>
      <c r="AE56" s="60"/>
      <c r="AF56" s="53">
        <f t="shared" si="65"/>
        <v>-1881.78</v>
      </c>
      <c r="AG56" s="34"/>
      <c r="AH56" s="34"/>
    </row>
    <row r="57" spans="1:34" s="18" customFormat="1">
      <c r="A57" s="34" t="s">
        <v>41</v>
      </c>
      <c r="B57" s="34" t="s">
        <v>194</v>
      </c>
      <c r="C57" s="34"/>
      <c r="D57" s="34"/>
      <c r="E57" s="34" t="s">
        <v>31</v>
      </c>
      <c r="F57" s="57">
        <v>42646</v>
      </c>
      <c r="G57" s="35">
        <v>1824.44</v>
      </c>
      <c r="H57" s="35"/>
      <c r="I57" s="35"/>
      <c r="J57" s="51"/>
      <c r="K57" s="52">
        <f t="shared" si="58"/>
        <v>1824.44</v>
      </c>
      <c r="L57" s="35"/>
      <c r="M57" s="70"/>
      <c r="N57" s="35"/>
      <c r="O57" s="35">
        <v>0</v>
      </c>
      <c r="P57" s="71"/>
      <c r="Q57" s="71"/>
      <c r="R57" s="35"/>
      <c r="S57" s="33"/>
      <c r="T57" s="33"/>
      <c r="U57" s="34"/>
      <c r="V57" s="34"/>
      <c r="W57" s="52">
        <f t="shared" ref="W57" si="66">+K57-SUM(L57:V57)</f>
        <v>1824.44</v>
      </c>
      <c r="X57" s="33">
        <f t="shared" ref="X57" si="67">IF(K57&gt;2250,K57*0.1,0)</f>
        <v>0</v>
      </c>
      <c r="Y57" s="52">
        <f t="shared" ref="Y57" si="68">+W57-X57</f>
        <v>1824.44</v>
      </c>
      <c r="Z57" s="33"/>
      <c r="AA57" s="33"/>
      <c r="AB57" s="33"/>
      <c r="AC57" s="52"/>
      <c r="AD57" s="59"/>
      <c r="AE57" s="60"/>
      <c r="AF57" s="53"/>
      <c r="AG57" s="34">
        <v>1128532117</v>
      </c>
      <c r="AH57" s="36"/>
    </row>
    <row r="58" spans="1:34" s="18" customFormat="1">
      <c r="A58" s="34" t="s">
        <v>41</v>
      </c>
      <c r="B58" s="34" t="s">
        <v>119</v>
      </c>
      <c r="C58" s="34"/>
      <c r="D58" s="34" t="s">
        <v>46</v>
      </c>
      <c r="E58" s="34" t="s">
        <v>31</v>
      </c>
      <c r="F58" s="57">
        <v>42065</v>
      </c>
      <c r="G58" s="35">
        <v>4924.2</v>
      </c>
      <c r="H58" s="35"/>
      <c r="I58" s="35"/>
      <c r="J58" s="51"/>
      <c r="K58" s="52">
        <f t="shared" si="58"/>
        <v>4924.2</v>
      </c>
      <c r="L58" s="35"/>
      <c r="M58" s="70"/>
      <c r="N58" s="35"/>
      <c r="O58" s="35">
        <v>0</v>
      </c>
      <c r="P58" s="71"/>
      <c r="Q58" s="71"/>
      <c r="R58" s="35"/>
      <c r="S58" s="33"/>
      <c r="T58" s="33"/>
      <c r="U58" s="34"/>
      <c r="V58" s="34">
        <v>0</v>
      </c>
      <c r="W58" s="52">
        <f t="shared" si="59"/>
        <v>4924.2</v>
      </c>
      <c r="X58" s="33">
        <f t="shared" si="60"/>
        <v>492.42</v>
      </c>
      <c r="Y58" s="52">
        <f t="shared" si="61"/>
        <v>4431.78</v>
      </c>
      <c r="Z58" s="33">
        <f t="shared" si="62"/>
        <v>0</v>
      </c>
      <c r="AA58" s="33">
        <v>10.23</v>
      </c>
      <c r="AB58" s="33">
        <f t="shared" si="63"/>
        <v>0</v>
      </c>
      <c r="AC58" s="52">
        <f t="shared" si="64"/>
        <v>4934.4299999999994</v>
      </c>
      <c r="AD58" s="59"/>
      <c r="AE58" s="60"/>
      <c r="AF58" s="53">
        <f t="shared" si="65"/>
        <v>-4431.78</v>
      </c>
      <c r="AG58" s="34"/>
      <c r="AH58" s="36"/>
    </row>
    <row r="59" spans="1:34" s="18" customFormat="1">
      <c r="A59" s="34" t="s">
        <v>30</v>
      </c>
      <c r="B59" s="34" t="s">
        <v>40</v>
      </c>
      <c r="C59" s="34" t="s">
        <v>124</v>
      </c>
      <c r="D59" s="34" t="s">
        <v>85</v>
      </c>
      <c r="E59" s="34" t="s">
        <v>32</v>
      </c>
      <c r="F59" s="57">
        <v>41218</v>
      </c>
      <c r="G59" s="35">
        <v>6392.34</v>
      </c>
      <c r="H59" s="35"/>
      <c r="I59" s="35"/>
      <c r="J59" s="51"/>
      <c r="K59" s="52">
        <f t="shared" si="58"/>
        <v>6392.34</v>
      </c>
      <c r="L59" s="35"/>
      <c r="M59" s="70"/>
      <c r="N59" s="35">
        <v>40.049999999999997</v>
      </c>
      <c r="O59" s="35">
        <v>0</v>
      </c>
      <c r="P59" s="71"/>
      <c r="Q59" s="71"/>
      <c r="R59" s="35"/>
      <c r="S59" s="33"/>
      <c r="T59" s="33"/>
      <c r="U59" s="34"/>
      <c r="V59" s="34">
        <v>0</v>
      </c>
      <c r="W59" s="52">
        <f t="shared" si="59"/>
        <v>6352.29</v>
      </c>
      <c r="X59" s="33">
        <f t="shared" si="60"/>
        <v>639.23400000000004</v>
      </c>
      <c r="Y59" s="52">
        <f t="shared" si="61"/>
        <v>5713.0559999999996</v>
      </c>
      <c r="Z59" s="33">
        <f t="shared" si="62"/>
        <v>0</v>
      </c>
      <c r="AA59" s="33">
        <v>10.23</v>
      </c>
      <c r="AB59" s="33">
        <f t="shared" si="63"/>
        <v>0</v>
      </c>
      <c r="AC59" s="52">
        <f t="shared" si="64"/>
        <v>6402.57</v>
      </c>
      <c r="AD59" s="59"/>
      <c r="AE59" s="60"/>
      <c r="AF59" s="53">
        <f t="shared" si="65"/>
        <v>-5713.0559999999996</v>
      </c>
      <c r="AG59" s="34"/>
      <c r="AH59" s="34"/>
    </row>
    <row r="60" spans="1:34" s="18" customFormat="1">
      <c r="A60" s="34" t="s">
        <v>28</v>
      </c>
      <c r="B60" s="34" t="s">
        <v>191</v>
      </c>
      <c r="C60" s="34"/>
      <c r="D60" s="34"/>
      <c r="E60" s="34" t="s">
        <v>188</v>
      </c>
      <c r="F60" s="57">
        <v>42241</v>
      </c>
      <c r="G60" s="35"/>
      <c r="H60" s="35"/>
      <c r="I60" s="35"/>
      <c r="J60" s="51"/>
      <c r="K60" s="52">
        <f t="shared" si="58"/>
        <v>0</v>
      </c>
      <c r="L60" s="35"/>
      <c r="M60" s="70"/>
      <c r="N60" s="35">
        <v>54.05</v>
      </c>
      <c r="O60" s="35"/>
      <c r="P60" s="71"/>
      <c r="Q60" s="71"/>
      <c r="R60" s="35"/>
      <c r="S60" s="33"/>
      <c r="T60" s="33"/>
      <c r="U60" s="34"/>
      <c r="V60" s="34"/>
      <c r="W60" s="52">
        <f t="shared" ref="W60" si="69">+K60-SUM(L60:V60)</f>
        <v>-54.05</v>
      </c>
      <c r="X60" s="33">
        <f t="shared" ref="X60" si="70">IF(K60&gt;2250,K60*0.1,0)</f>
        <v>0</v>
      </c>
      <c r="Y60" s="52">
        <f t="shared" ref="Y60" si="71">+W60-X60</f>
        <v>-54.05</v>
      </c>
      <c r="Z60" s="33">
        <f t="shared" si="62"/>
        <v>0</v>
      </c>
      <c r="AA60" s="33"/>
      <c r="AB60" s="33"/>
      <c r="AC60" s="52"/>
      <c r="AD60" s="59"/>
      <c r="AE60" s="60"/>
      <c r="AF60" s="53"/>
      <c r="AG60" s="34">
        <v>2965106850</v>
      </c>
      <c r="AH60" s="36"/>
    </row>
    <row r="61" spans="1:34" s="18" customFormat="1">
      <c r="A61" s="34" t="s">
        <v>43</v>
      </c>
      <c r="B61" s="34" t="s">
        <v>147</v>
      </c>
      <c r="C61" s="34"/>
      <c r="D61" s="34" t="s">
        <v>57</v>
      </c>
      <c r="E61" s="34" t="s">
        <v>89</v>
      </c>
      <c r="F61" s="57">
        <v>42333</v>
      </c>
      <c r="G61" s="78"/>
      <c r="H61" s="35"/>
      <c r="I61" s="35"/>
      <c r="J61" s="51"/>
      <c r="K61" s="52">
        <f t="shared" si="58"/>
        <v>0</v>
      </c>
      <c r="L61" s="35"/>
      <c r="M61" s="70"/>
      <c r="N61" s="35"/>
      <c r="O61" s="35">
        <v>0</v>
      </c>
      <c r="P61" s="71"/>
      <c r="Q61" s="71"/>
      <c r="R61" s="35"/>
      <c r="S61" s="33"/>
      <c r="T61" s="33"/>
      <c r="U61" s="34"/>
      <c r="V61" s="34">
        <v>412.6</v>
      </c>
      <c r="W61" s="52">
        <f t="shared" si="59"/>
        <v>-412.6</v>
      </c>
      <c r="X61" s="33">
        <f t="shared" ref="X61:X68" si="72">IF(K61&gt;2250,K61*0.1,0)</f>
        <v>0</v>
      </c>
      <c r="Y61" s="52">
        <f t="shared" si="61"/>
        <v>-412.6</v>
      </c>
      <c r="Z61" s="33">
        <f t="shared" si="62"/>
        <v>0</v>
      </c>
      <c r="AA61" s="33">
        <v>10.23</v>
      </c>
      <c r="AB61" s="33">
        <f t="shared" si="63"/>
        <v>0</v>
      </c>
      <c r="AC61" s="52">
        <f t="shared" si="64"/>
        <v>10.23</v>
      </c>
      <c r="AD61" s="59"/>
      <c r="AE61" s="60"/>
      <c r="AF61" s="53">
        <f>+AD61+AE61-Y61</f>
        <v>412.6</v>
      </c>
      <c r="AG61" s="34"/>
      <c r="AH61" s="34"/>
    </row>
    <row r="62" spans="1:34" s="18" customFormat="1">
      <c r="A62" s="34" t="s">
        <v>30</v>
      </c>
      <c r="B62" s="34" t="s">
        <v>175</v>
      </c>
      <c r="C62" s="34"/>
      <c r="D62" s="34"/>
      <c r="E62" s="34" t="s">
        <v>32</v>
      </c>
      <c r="F62" s="57">
        <v>42459</v>
      </c>
      <c r="G62" s="35">
        <v>5333.76</v>
      </c>
      <c r="H62" s="35"/>
      <c r="I62" s="35"/>
      <c r="J62" s="51"/>
      <c r="K62" s="52">
        <f t="shared" si="58"/>
        <v>5333.76</v>
      </c>
      <c r="L62" s="35"/>
      <c r="M62" s="70"/>
      <c r="N62" s="35">
        <v>33.049999999999997</v>
      </c>
      <c r="O62" s="35">
        <v>0</v>
      </c>
      <c r="P62" s="71"/>
      <c r="Q62" s="71"/>
      <c r="R62" s="35"/>
      <c r="S62" s="33"/>
      <c r="T62" s="33"/>
      <c r="U62" s="34"/>
      <c r="V62" s="34"/>
      <c r="W62" s="52">
        <f t="shared" si="59"/>
        <v>5300.71</v>
      </c>
      <c r="X62" s="33">
        <f t="shared" si="72"/>
        <v>533.37600000000009</v>
      </c>
      <c r="Y62" s="52">
        <f t="shared" si="61"/>
        <v>4767.3339999999998</v>
      </c>
      <c r="Z62" s="33">
        <f t="shared" si="62"/>
        <v>0</v>
      </c>
      <c r="AA62" s="33">
        <v>10.23</v>
      </c>
      <c r="AB62" s="33">
        <f t="shared" si="63"/>
        <v>0</v>
      </c>
      <c r="AC62" s="52">
        <f t="shared" si="64"/>
        <v>5343.99</v>
      </c>
      <c r="AD62" s="65"/>
      <c r="AE62" s="60"/>
      <c r="AF62" s="53">
        <f>+AD62+AE62-Y62</f>
        <v>-4767.3339999999998</v>
      </c>
      <c r="AG62" s="34"/>
      <c r="AH62" s="36"/>
    </row>
    <row r="63" spans="1:34" s="18" customFormat="1">
      <c r="A63" s="80" t="s">
        <v>28</v>
      </c>
      <c r="B63" s="80" t="s">
        <v>172</v>
      </c>
      <c r="C63" s="80"/>
      <c r="D63" s="80"/>
      <c r="E63" s="80" t="s">
        <v>88</v>
      </c>
      <c r="F63" s="83">
        <v>42566</v>
      </c>
      <c r="G63" s="103">
        <v>260</v>
      </c>
      <c r="H63" s="103"/>
      <c r="I63" s="103"/>
      <c r="J63" s="104"/>
      <c r="K63" s="52">
        <f t="shared" si="58"/>
        <v>260</v>
      </c>
      <c r="L63" s="35"/>
      <c r="M63" s="70"/>
      <c r="N63" s="35"/>
      <c r="O63" s="35"/>
      <c r="P63" s="71"/>
      <c r="Q63" s="71"/>
      <c r="R63" s="35"/>
      <c r="S63" s="33"/>
      <c r="T63" s="33"/>
      <c r="U63" s="34"/>
      <c r="V63" s="34"/>
      <c r="W63" s="52">
        <f t="shared" si="59"/>
        <v>260</v>
      </c>
      <c r="X63" s="33">
        <f t="shared" si="72"/>
        <v>0</v>
      </c>
      <c r="Y63" s="52">
        <f t="shared" si="61"/>
        <v>260</v>
      </c>
      <c r="Z63" s="33">
        <f t="shared" si="62"/>
        <v>26</v>
      </c>
      <c r="AA63" s="33">
        <v>21.23</v>
      </c>
      <c r="AB63" s="33">
        <f t="shared" si="63"/>
        <v>0</v>
      </c>
      <c r="AC63" s="52">
        <f t="shared" si="64"/>
        <v>307.23</v>
      </c>
      <c r="AD63" s="65"/>
      <c r="AE63" s="60"/>
      <c r="AF63" s="53"/>
      <c r="AG63" s="82">
        <v>2671903578</v>
      </c>
      <c r="AH63" s="82" t="s">
        <v>252</v>
      </c>
    </row>
    <row r="64" spans="1:34" s="18" customFormat="1">
      <c r="A64" s="34" t="s">
        <v>30</v>
      </c>
      <c r="B64" s="34" t="s">
        <v>149</v>
      </c>
      <c r="C64" s="34" t="s">
        <v>126</v>
      </c>
      <c r="D64" s="34" t="s">
        <v>86</v>
      </c>
      <c r="E64" s="34" t="s">
        <v>32</v>
      </c>
      <c r="F64" s="57">
        <v>42327</v>
      </c>
      <c r="G64" s="35">
        <v>6483.35</v>
      </c>
      <c r="H64" s="35"/>
      <c r="I64" s="35"/>
      <c r="J64" s="51"/>
      <c r="K64" s="52">
        <f t="shared" si="58"/>
        <v>6483.35</v>
      </c>
      <c r="L64" s="35"/>
      <c r="M64" s="70"/>
      <c r="N64" s="35">
        <v>33.049999999999997</v>
      </c>
      <c r="O64" s="35">
        <v>0</v>
      </c>
      <c r="P64" s="71"/>
      <c r="Q64" s="71"/>
      <c r="R64" s="35"/>
      <c r="S64" s="33"/>
      <c r="T64" s="33"/>
      <c r="U64" s="34"/>
      <c r="V64" s="68">
        <v>586</v>
      </c>
      <c r="W64" s="52">
        <f t="shared" si="59"/>
        <v>5864.3</v>
      </c>
      <c r="X64" s="33">
        <f t="shared" si="72"/>
        <v>648.33500000000004</v>
      </c>
      <c r="Y64" s="52">
        <f t="shared" si="61"/>
        <v>5215.9650000000001</v>
      </c>
      <c r="Z64" s="33">
        <f t="shared" si="62"/>
        <v>0</v>
      </c>
      <c r="AA64" s="33">
        <v>10.23</v>
      </c>
      <c r="AB64" s="33">
        <f t="shared" si="63"/>
        <v>0</v>
      </c>
      <c r="AC64" s="52">
        <f t="shared" si="64"/>
        <v>6493.58</v>
      </c>
      <c r="AD64" s="59"/>
      <c r="AE64" s="60"/>
      <c r="AF64" s="53">
        <f t="shared" ref="AF64:AF66" si="73">+AD64+AE64-Y64</f>
        <v>-5215.9650000000001</v>
      </c>
      <c r="AG64" s="34"/>
      <c r="AH64" s="36"/>
    </row>
    <row r="65" spans="1:188" s="18" customFormat="1">
      <c r="A65" s="34" t="s">
        <v>29</v>
      </c>
      <c r="B65" s="34" t="s">
        <v>138</v>
      </c>
      <c r="C65" s="34" t="s">
        <v>127</v>
      </c>
      <c r="D65" s="34" t="s">
        <v>60</v>
      </c>
      <c r="E65" s="34" t="s">
        <v>146</v>
      </c>
      <c r="F65" s="57">
        <v>42173</v>
      </c>
      <c r="G65" s="35">
        <v>8616.75</v>
      </c>
      <c r="H65" s="35"/>
      <c r="I65" s="35"/>
      <c r="J65" s="51"/>
      <c r="K65" s="52">
        <f t="shared" si="58"/>
        <v>8616.75</v>
      </c>
      <c r="L65" s="35"/>
      <c r="M65" s="70"/>
      <c r="N65" s="35"/>
      <c r="O65" s="35">
        <v>0</v>
      </c>
      <c r="P65" s="71"/>
      <c r="Q65" s="71"/>
      <c r="R65" s="35"/>
      <c r="S65" s="33"/>
      <c r="T65" s="33"/>
      <c r="U65" s="34"/>
      <c r="V65" s="34">
        <v>0</v>
      </c>
      <c r="W65" s="52">
        <f t="shared" si="59"/>
        <v>8616.75</v>
      </c>
      <c r="X65" s="33">
        <f t="shared" si="72"/>
        <v>861.67500000000007</v>
      </c>
      <c r="Y65" s="52">
        <f t="shared" si="61"/>
        <v>7755.0749999999998</v>
      </c>
      <c r="Z65" s="33">
        <f t="shared" si="62"/>
        <v>0</v>
      </c>
      <c r="AA65" s="33">
        <v>10.23</v>
      </c>
      <c r="AB65" s="33">
        <f t="shared" si="63"/>
        <v>0</v>
      </c>
      <c r="AC65" s="52">
        <f t="shared" si="64"/>
        <v>8626.98</v>
      </c>
      <c r="AD65" s="65"/>
      <c r="AE65" s="66"/>
      <c r="AF65" s="53">
        <f t="shared" si="73"/>
        <v>-7755.0749999999998</v>
      </c>
      <c r="AH65" s="34"/>
    </row>
    <row r="66" spans="1:188" s="18" customFormat="1">
      <c r="A66" s="34" t="s">
        <v>30</v>
      </c>
      <c r="B66" s="34" t="s">
        <v>161</v>
      </c>
      <c r="C66" s="34" t="s">
        <v>124</v>
      </c>
      <c r="D66" s="34"/>
      <c r="E66" s="34" t="s">
        <v>32</v>
      </c>
      <c r="F66" s="57">
        <v>42506</v>
      </c>
      <c r="G66" s="35">
        <v>9873.61</v>
      </c>
      <c r="H66" s="35"/>
      <c r="I66" s="35"/>
      <c r="J66" s="51"/>
      <c r="K66" s="52">
        <f t="shared" si="58"/>
        <v>9873.61</v>
      </c>
      <c r="L66" s="35"/>
      <c r="M66" s="70"/>
      <c r="N66" s="35">
        <v>33.049999999999997</v>
      </c>
      <c r="O66" s="35">
        <v>0</v>
      </c>
      <c r="P66" s="71"/>
      <c r="Q66" s="71"/>
      <c r="R66" s="35"/>
      <c r="S66" s="33"/>
      <c r="T66" s="33"/>
      <c r="U66" s="34"/>
      <c r="V66" s="68">
        <v>229.15</v>
      </c>
      <c r="W66" s="52">
        <f t="shared" si="59"/>
        <v>9611.41</v>
      </c>
      <c r="X66" s="33">
        <f t="shared" si="72"/>
        <v>987.3610000000001</v>
      </c>
      <c r="Y66" s="52">
        <f t="shared" si="61"/>
        <v>8624.0489999999991</v>
      </c>
      <c r="Z66" s="33">
        <f t="shared" si="62"/>
        <v>0</v>
      </c>
      <c r="AA66" s="33">
        <v>10.23</v>
      </c>
      <c r="AB66" s="33">
        <f t="shared" si="63"/>
        <v>0</v>
      </c>
      <c r="AC66" s="52">
        <f t="shared" si="64"/>
        <v>9883.84</v>
      </c>
      <c r="AD66" s="65"/>
      <c r="AE66" s="65"/>
      <c r="AF66" s="53">
        <f t="shared" si="73"/>
        <v>-8624.0489999999991</v>
      </c>
      <c r="AG66" s="45">
        <v>1179675078</v>
      </c>
      <c r="AH66" s="36"/>
    </row>
    <row r="67" spans="1:188" s="18" customFormat="1">
      <c r="A67" s="34" t="s">
        <v>30</v>
      </c>
      <c r="B67" s="34" t="s">
        <v>247</v>
      </c>
      <c r="C67" s="34"/>
      <c r="D67" s="34"/>
      <c r="E67" s="34" t="s">
        <v>188</v>
      </c>
      <c r="F67" s="57">
        <v>42762</v>
      </c>
      <c r="G67" s="35"/>
      <c r="H67" s="35"/>
      <c r="I67" s="35"/>
      <c r="J67" s="51"/>
      <c r="K67" s="52">
        <f t="shared" si="58"/>
        <v>0</v>
      </c>
      <c r="L67" s="35"/>
      <c r="M67" s="70"/>
      <c r="N67" s="35"/>
      <c r="O67" s="35"/>
      <c r="P67" s="71"/>
      <c r="Q67" s="71"/>
      <c r="R67" s="35"/>
      <c r="S67" s="33"/>
      <c r="T67" s="33"/>
      <c r="U67" s="34"/>
      <c r="V67" s="68"/>
      <c r="W67" s="52">
        <f t="shared" si="59"/>
        <v>0</v>
      </c>
      <c r="X67" s="33"/>
      <c r="Y67" s="52"/>
      <c r="Z67" s="33"/>
      <c r="AA67" s="33"/>
      <c r="AB67" s="33"/>
      <c r="AC67" s="52"/>
      <c r="AD67" s="65"/>
      <c r="AE67" s="65"/>
      <c r="AF67" s="53"/>
      <c r="AG67" s="45">
        <v>1172678020</v>
      </c>
      <c r="AH67" s="36"/>
    </row>
    <row r="68" spans="1:188" s="18" customFormat="1">
      <c r="A68" s="34" t="s">
        <v>28</v>
      </c>
      <c r="B68" s="34" t="s">
        <v>241</v>
      </c>
      <c r="C68" s="34"/>
      <c r="D68" s="34"/>
      <c r="E68" s="34" t="s">
        <v>88</v>
      </c>
      <c r="F68" s="57">
        <v>42597</v>
      </c>
      <c r="G68" s="35">
        <v>1680</v>
      </c>
      <c r="H68" s="35"/>
      <c r="I68" s="35"/>
      <c r="J68" s="51"/>
      <c r="K68" s="52">
        <f t="shared" si="58"/>
        <v>1680</v>
      </c>
      <c r="L68" s="35"/>
      <c r="M68" s="70"/>
      <c r="N68" s="35"/>
      <c r="O68" s="35"/>
      <c r="P68" s="71"/>
      <c r="Q68" s="71"/>
      <c r="R68" s="35"/>
      <c r="S68" s="33"/>
      <c r="T68" s="33"/>
      <c r="U68" s="34"/>
      <c r="V68" s="68">
        <v>0</v>
      </c>
      <c r="W68" s="52">
        <f t="shared" si="59"/>
        <v>1680</v>
      </c>
      <c r="X68" s="33">
        <f t="shared" si="72"/>
        <v>0</v>
      </c>
      <c r="Y68" s="52">
        <f t="shared" si="61"/>
        <v>1680</v>
      </c>
      <c r="Z68" s="33"/>
      <c r="AA68" s="33"/>
      <c r="AB68" s="33"/>
      <c r="AC68" s="52"/>
      <c r="AD68" s="65"/>
      <c r="AE68" s="65"/>
      <c r="AF68" s="53"/>
      <c r="AG68" s="45">
        <v>2983558908</v>
      </c>
      <c r="AH68" s="36"/>
    </row>
    <row r="69" spans="1:188" s="18" customFormat="1">
      <c r="A69" s="34" t="s">
        <v>41</v>
      </c>
      <c r="B69" s="34" t="s">
        <v>210</v>
      </c>
      <c r="C69" s="34"/>
      <c r="D69" s="34"/>
      <c r="E69" s="34" t="s">
        <v>31</v>
      </c>
      <c r="F69" s="57">
        <v>42696</v>
      </c>
      <c r="G69" s="35">
        <v>1747.36</v>
      </c>
      <c r="H69" s="35"/>
      <c r="I69" s="35"/>
      <c r="J69" s="51"/>
      <c r="K69" s="52">
        <f t="shared" si="58"/>
        <v>1747.36</v>
      </c>
      <c r="L69" s="35"/>
      <c r="M69" s="70"/>
      <c r="N69" s="35"/>
      <c r="O69" s="35"/>
      <c r="P69" s="71"/>
      <c r="Q69" s="71"/>
      <c r="R69" s="35"/>
      <c r="S69" s="33"/>
      <c r="T69" s="33"/>
      <c r="U69" s="34"/>
      <c r="V69" s="68"/>
      <c r="W69" s="52">
        <f t="shared" ref="W69" si="74">+K69-SUM(L69:V69)</f>
        <v>1747.36</v>
      </c>
      <c r="X69" s="33">
        <f t="shared" ref="X69" si="75">IF(K69&gt;2250,K69*0.1,0)</f>
        <v>0</v>
      </c>
      <c r="Y69" s="52">
        <f t="shared" ref="Y69" si="76">+W69-X69</f>
        <v>1747.36</v>
      </c>
      <c r="Z69" s="33"/>
      <c r="AA69" s="33"/>
      <c r="AB69" s="33"/>
      <c r="AC69" s="52"/>
      <c r="AD69" s="65"/>
      <c r="AE69" s="65"/>
      <c r="AF69" s="53"/>
      <c r="AG69" s="45">
        <v>1501548794</v>
      </c>
      <c r="AH69" s="36"/>
    </row>
    <row r="70" spans="1:188" s="18" customFormat="1">
      <c r="A70" s="34" t="s">
        <v>30</v>
      </c>
      <c r="B70" s="34" t="s">
        <v>213</v>
      </c>
      <c r="C70" s="34"/>
      <c r="D70" s="34"/>
      <c r="E70" s="34" t="s">
        <v>32</v>
      </c>
      <c r="F70" s="57">
        <v>42632</v>
      </c>
      <c r="G70" s="35">
        <v>4812.7</v>
      </c>
      <c r="H70" s="35"/>
      <c r="I70" s="35"/>
      <c r="J70" s="51"/>
      <c r="K70" s="52">
        <f t="shared" si="58"/>
        <v>4812.7</v>
      </c>
      <c r="L70" s="35"/>
      <c r="M70" s="70"/>
      <c r="N70" s="35"/>
      <c r="O70" s="35"/>
      <c r="P70" s="71"/>
      <c r="Q70" s="71"/>
      <c r="R70" s="35"/>
      <c r="S70" s="33"/>
      <c r="T70" s="33"/>
      <c r="U70" s="34"/>
      <c r="V70" s="68"/>
      <c r="W70" s="52">
        <f t="shared" ref="W70" si="77">+K70-SUM(L70:V70)</f>
        <v>4812.7</v>
      </c>
      <c r="X70" s="33">
        <f t="shared" ref="X70" si="78">IF(K70&gt;2250,K70*0.1,0)</f>
        <v>481.27</v>
      </c>
      <c r="Y70" s="52">
        <f t="shared" ref="Y70" si="79">+W70-X70</f>
        <v>4331.43</v>
      </c>
      <c r="Z70" s="33"/>
      <c r="AA70" s="33"/>
      <c r="AB70" s="33"/>
      <c r="AC70" s="52"/>
      <c r="AD70" s="65"/>
      <c r="AE70" s="65"/>
      <c r="AF70" s="53"/>
      <c r="AG70" s="45">
        <v>2856562434</v>
      </c>
      <c r="AH70" s="36"/>
    </row>
    <row r="71" spans="1:188" s="18" customFormat="1">
      <c r="A71" s="25"/>
      <c r="B71" s="26"/>
      <c r="C71" s="26"/>
      <c r="D71" s="26"/>
      <c r="E71" s="26"/>
      <c r="F71" s="26"/>
      <c r="G71" s="27"/>
      <c r="H71" s="27"/>
      <c r="I71" s="27"/>
      <c r="J71" s="27"/>
      <c r="K71" s="28"/>
      <c r="L71" s="27"/>
      <c r="M71" s="27"/>
      <c r="N71" s="27"/>
      <c r="O71" s="27"/>
      <c r="P71" s="27"/>
      <c r="Q71" s="27"/>
      <c r="R71" s="27"/>
      <c r="S71" s="38"/>
      <c r="T71" s="38"/>
      <c r="U71" s="38"/>
      <c r="V71" s="38"/>
      <c r="W71" s="28"/>
      <c r="X71" s="38"/>
      <c r="Y71" s="28"/>
      <c r="Z71" s="38"/>
      <c r="AA71" s="38"/>
      <c r="AB71" s="38"/>
      <c r="AC71" s="28"/>
      <c r="AD71" s="48"/>
      <c r="AE71" s="48"/>
      <c r="AF71" s="23"/>
    </row>
    <row r="72" spans="1:188">
      <c r="B72" s="39" t="s">
        <v>1</v>
      </c>
      <c r="C72" s="39"/>
      <c r="D72" s="39"/>
      <c r="E72" s="39"/>
      <c r="F72" s="39"/>
      <c r="G72" s="40">
        <f>SUM(G7:G71)</f>
        <v>527523.95000000019</v>
      </c>
      <c r="H72" s="40">
        <f t="shared" ref="H72:L72" si="80">SUM(H8:H71)</f>
        <v>688.78</v>
      </c>
      <c r="I72" s="40">
        <f t="shared" si="80"/>
        <v>1360.62</v>
      </c>
      <c r="J72" s="40">
        <f t="shared" si="80"/>
        <v>0</v>
      </c>
      <c r="K72" s="40">
        <f t="shared" si="80"/>
        <v>521918.45000000019</v>
      </c>
      <c r="L72" s="40">
        <f t="shared" si="80"/>
        <v>0</v>
      </c>
      <c r="M72" s="40"/>
      <c r="N72" s="40">
        <f>SUM(N8:N71)</f>
        <v>1066.5699999999995</v>
      </c>
      <c r="O72" s="41">
        <f t="shared" ref="O72:AF72" si="81">SUM(O8:O71)</f>
        <v>1300</v>
      </c>
      <c r="P72" s="41">
        <f t="shared" si="81"/>
        <v>0</v>
      </c>
      <c r="Q72" s="41">
        <f t="shared" si="81"/>
        <v>0</v>
      </c>
      <c r="R72" s="41">
        <f t="shared" si="81"/>
        <v>0</v>
      </c>
      <c r="S72" s="40">
        <f t="shared" si="81"/>
        <v>257.3</v>
      </c>
      <c r="T72" s="40">
        <f t="shared" si="81"/>
        <v>0.6</v>
      </c>
      <c r="U72" s="40">
        <f t="shared" si="81"/>
        <v>0</v>
      </c>
      <c r="V72" s="40">
        <f t="shared" si="81"/>
        <v>8953.25</v>
      </c>
      <c r="W72" s="40">
        <f t="shared" si="81"/>
        <v>509775.00000000006</v>
      </c>
      <c r="X72" s="40">
        <f t="shared" si="81"/>
        <v>49373.962</v>
      </c>
      <c r="Y72" s="40">
        <f t="shared" si="81"/>
        <v>460451.03800000006</v>
      </c>
      <c r="Z72" s="40">
        <f t="shared" si="81"/>
        <v>1494.9960000000001</v>
      </c>
      <c r="AA72" s="40">
        <f t="shared" si="81"/>
        <v>479.43000000000035</v>
      </c>
      <c r="AB72" s="40">
        <f t="shared" si="81"/>
        <v>0</v>
      </c>
      <c r="AC72" s="40">
        <f t="shared" si="81"/>
        <v>371969.09599999996</v>
      </c>
      <c r="AD72" s="49">
        <f t="shared" si="81"/>
        <v>0</v>
      </c>
      <c r="AE72" s="49">
        <f t="shared" si="81"/>
        <v>0</v>
      </c>
      <c r="AF72" s="42">
        <f t="shared" si="81"/>
        <v>-300376.14900000015</v>
      </c>
      <c r="AG72" s="29"/>
      <c r="AH72" s="29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C73" s="14">
        <f>AC72*0.16</f>
        <v>59515.055359999998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122" t="s">
        <v>141</v>
      </c>
      <c r="B74" s="122"/>
      <c r="C74" s="43"/>
      <c r="D74" s="29"/>
      <c r="E74" s="29"/>
      <c r="F74" s="29"/>
      <c r="G74" s="31"/>
      <c r="H74" s="31"/>
      <c r="I74" s="31"/>
      <c r="J74" s="31"/>
      <c r="K74" s="40"/>
      <c r="L74" s="31"/>
      <c r="M74" s="31"/>
      <c r="N74" s="31"/>
      <c r="O74" s="35"/>
      <c r="P74" s="35"/>
      <c r="Q74" s="35"/>
      <c r="R74" s="35"/>
      <c r="S74" s="31"/>
      <c r="T74" s="31"/>
      <c r="U74" s="31"/>
      <c r="V74" s="31"/>
      <c r="W74" s="40"/>
      <c r="X74" s="31"/>
      <c r="Y74" s="40"/>
      <c r="Z74" s="31"/>
      <c r="AA74" s="31"/>
      <c r="AB74" s="31"/>
      <c r="AC74" s="40">
        <f>+AC72+AC73</f>
        <v>431484.15135999996</v>
      </c>
      <c r="AD74" s="49"/>
      <c r="AE74" s="49"/>
      <c r="AF74" s="42"/>
      <c r="AG74" s="29"/>
      <c r="AH74" s="29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4" t="s">
        <v>44</v>
      </c>
      <c r="B75" s="34" t="s">
        <v>142</v>
      </c>
      <c r="C75" s="30"/>
      <c r="D75" s="30"/>
      <c r="E75" s="30" t="s">
        <v>181</v>
      </c>
      <c r="F75" s="58">
        <v>41142</v>
      </c>
      <c r="G75" s="35">
        <f>2062.7+5.571</f>
        <v>2068.2709999999997</v>
      </c>
      <c r="H75" s="32"/>
      <c r="I75" s="32"/>
      <c r="J75" s="32"/>
      <c r="K75" s="52">
        <f>SUM(G75:J75)</f>
        <v>2068.2709999999997</v>
      </c>
      <c r="L75" s="35">
        <v>134.66999999999999</v>
      </c>
      <c r="M75" s="70"/>
      <c r="N75" s="35"/>
      <c r="O75" s="35"/>
      <c r="P75" s="71" t="s">
        <v>187</v>
      </c>
      <c r="Q75" s="71" t="s">
        <v>187</v>
      </c>
      <c r="R75" s="35"/>
      <c r="S75" s="33"/>
      <c r="T75" s="33"/>
      <c r="U75" s="34"/>
      <c r="V75" s="34"/>
      <c r="W75" s="52">
        <f>+K75-SUM(L75:V75)</f>
        <v>1933.6009999999997</v>
      </c>
      <c r="X75" s="33">
        <f>+W75*0.05</f>
        <v>96.680049999999994</v>
      </c>
      <c r="Y75" s="52">
        <f>+W75-S75-V75</f>
        <v>1933.6009999999997</v>
      </c>
      <c r="Z75" s="64">
        <f>IF(W75&lt;3000,W75*0.1,0)</f>
        <v>193.36009999999999</v>
      </c>
      <c r="AA75" s="64">
        <v>0</v>
      </c>
      <c r="AB75" s="64"/>
      <c r="AC75" s="63">
        <f>+W75+Z75+AA75</f>
        <v>2126.9610999999995</v>
      </c>
      <c r="AD75" s="50"/>
      <c r="AE75" s="50"/>
      <c r="AF75" s="44"/>
      <c r="AG75" s="29"/>
      <c r="AH75" s="36" t="s">
        <v>230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34" t="s">
        <v>44</v>
      </c>
      <c r="B76" s="34" t="s">
        <v>98</v>
      </c>
      <c r="C76" s="34"/>
      <c r="D76" s="34" t="s">
        <v>61</v>
      </c>
      <c r="E76" s="34" t="s">
        <v>181</v>
      </c>
      <c r="F76" s="57">
        <v>41381</v>
      </c>
      <c r="G76" s="35">
        <f>5132.102+2.599+26.1</f>
        <v>5160.8010000000004</v>
      </c>
      <c r="H76" s="35"/>
      <c r="I76" s="35"/>
      <c r="J76" s="51"/>
      <c r="K76" s="52">
        <f t="shared" ref="K76:K118" si="82">SUM(G76:I76)-J76</f>
        <v>5160.8010000000004</v>
      </c>
      <c r="L76" s="35">
        <v>372.75</v>
      </c>
      <c r="M76" s="70"/>
      <c r="N76" s="35"/>
      <c r="O76" s="35">
        <v>0</v>
      </c>
      <c r="P76" s="71" t="s">
        <v>187</v>
      </c>
      <c r="Q76" s="71" t="s">
        <v>187</v>
      </c>
      <c r="R76" s="35"/>
      <c r="S76" s="33"/>
      <c r="T76" s="33"/>
      <c r="U76" s="34"/>
      <c r="V76" s="34">
        <v>0</v>
      </c>
      <c r="W76" s="52">
        <f t="shared" ref="W76:W85" si="83">+K76-SUM(L76:V76)</f>
        <v>4788.0510000000004</v>
      </c>
      <c r="X76" s="33">
        <f t="shared" ref="X76:X85" si="84">IF(K76&gt;2250,K76*0.1,0)</f>
        <v>516.08010000000002</v>
      </c>
      <c r="Y76" s="52">
        <f t="shared" ref="Y76:Y85" si="85">+W76-X76</f>
        <v>4271.9709000000003</v>
      </c>
      <c r="Z76" s="33">
        <f t="shared" ref="Z76:Z85" si="86">IF(K76&lt;2250,K76*0.1,0)</f>
        <v>0</v>
      </c>
      <c r="AA76" s="33">
        <v>10.23</v>
      </c>
      <c r="AB76" s="33" t="str">
        <f t="shared" ref="AB76:AB85" si="87">+P76</f>
        <v>X</v>
      </c>
      <c r="AC76" s="52" t="e">
        <f t="shared" ref="AC76:AC85" si="88">+K76+Z76+AA76+AB76</f>
        <v>#VALUE!</v>
      </c>
      <c r="AD76" s="59"/>
      <c r="AE76" s="60"/>
      <c r="AF76" s="53">
        <f t="shared" ref="AF76:AF81" si="89">+AD76+AE76-Y76</f>
        <v>-4271.9709000000003</v>
      </c>
      <c r="AG76" s="34"/>
      <c r="AH76" s="36" t="s">
        <v>230</v>
      </c>
    </row>
    <row r="77" spans="1:188" s="18" customFormat="1">
      <c r="A77" s="105" t="s">
        <v>42</v>
      </c>
      <c r="B77" s="105" t="s">
        <v>254</v>
      </c>
      <c r="C77" s="105"/>
      <c r="D77" s="105"/>
      <c r="E77" s="105" t="s">
        <v>87</v>
      </c>
      <c r="F77" s="106">
        <v>42793</v>
      </c>
      <c r="G77" s="107">
        <f>633.324+2.972</f>
        <v>636.29599999999994</v>
      </c>
      <c r="H77" s="107"/>
      <c r="I77" s="107"/>
      <c r="J77" s="108"/>
      <c r="K77" s="52">
        <f t="shared" si="82"/>
        <v>636.29599999999994</v>
      </c>
      <c r="L77" s="35"/>
      <c r="M77" s="70"/>
      <c r="N77" s="35"/>
      <c r="O77" s="35"/>
      <c r="P77" s="71"/>
      <c r="Q77" s="71"/>
      <c r="R77" s="35"/>
      <c r="S77" s="33"/>
      <c r="T77" s="33"/>
      <c r="U77" s="34"/>
      <c r="V77" s="34"/>
      <c r="W77" s="52">
        <f t="shared" si="83"/>
        <v>636.29599999999994</v>
      </c>
      <c r="X77" s="33"/>
      <c r="Y77" s="52"/>
      <c r="Z77" s="33"/>
      <c r="AA77" s="33"/>
      <c r="AB77" s="33"/>
      <c r="AC77" s="52"/>
      <c r="AD77" s="59"/>
      <c r="AE77" s="60"/>
      <c r="AF77" s="53"/>
      <c r="AG77" s="109">
        <v>1507783140</v>
      </c>
      <c r="AH77" s="109" t="s">
        <v>255</v>
      </c>
    </row>
    <row r="78" spans="1:188" s="18" customFormat="1">
      <c r="A78" s="34" t="s">
        <v>44</v>
      </c>
      <c r="B78" s="34" t="s">
        <v>155</v>
      </c>
      <c r="C78" s="34"/>
      <c r="D78" s="34" t="s">
        <v>62</v>
      </c>
      <c r="E78" s="34" t="s">
        <v>181</v>
      </c>
      <c r="F78" s="57">
        <v>41740</v>
      </c>
      <c r="G78" s="35">
        <f>1859.982+5.571+231.55</f>
        <v>2097.1030000000001</v>
      </c>
      <c r="H78" s="35"/>
      <c r="I78" s="35"/>
      <c r="J78" s="51"/>
      <c r="K78" s="52">
        <f t="shared" si="82"/>
        <v>2097.1030000000001</v>
      </c>
      <c r="L78" s="35">
        <v>275.38</v>
      </c>
      <c r="M78" s="70"/>
      <c r="N78" s="35"/>
      <c r="O78" s="35">
        <v>300</v>
      </c>
      <c r="P78" s="71" t="s">
        <v>187</v>
      </c>
      <c r="Q78" s="71" t="s">
        <v>187</v>
      </c>
      <c r="R78" s="35"/>
      <c r="S78" s="33"/>
      <c r="T78" s="33"/>
      <c r="U78" s="34"/>
      <c r="V78" s="34">
        <v>0</v>
      </c>
      <c r="W78" s="52">
        <f t="shared" si="83"/>
        <v>1521.723</v>
      </c>
      <c r="X78" s="33">
        <f t="shared" si="84"/>
        <v>0</v>
      </c>
      <c r="Y78" s="52">
        <f t="shared" si="85"/>
        <v>1521.723</v>
      </c>
      <c r="Z78" s="33">
        <f t="shared" si="86"/>
        <v>209.71030000000002</v>
      </c>
      <c r="AA78" s="33">
        <v>10.23</v>
      </c>
      <c r="AB78" s="33" t="str">
        <f t="shared" si="87"/>
        <v>X</v>
      </c>
      <c r="AC78" s="52" t="e">
        <f t="shared" si="88"/>
        <v>#VALUE!</v>
      </c>
      <c r="AD78" s="59"/>
      <c r="AE78" s="60"/>
      <c r="AF78" s="53">
        <f t="shared" si="89"/>
        <v>-1521.723</v>
      </c>
      <c r="AG78" s="34"/>
      <c r="AH78" s="36" t="s">
        <v>230</v>
      </c>
    </row>
    <row r="79" spans="1:188" s="18" customFormat="1">
      <c r="A79" s="34" t="s">
        <v>44</v>
      </c>
      <c r="B79" s="34" t="s">
        <v>242</v>
      </c>
      <c r="C79" s="34"/>
      <c r="D79" s="34"/>
      <c r="E79" s="34" t="s">
        <v>177</v>
      </c>
      <c r="F79" s="57">
        <v>42779</v>
      </c>
      <c r="G79" s="35">
        <v>1112.2539999999999</v>
      </c>
      <c r="H79" s="35"/>
      <c r="I79" s="35"/>
      <c r="J79" s="51"/>
      <c r="K79" s="52">
        <f t="shared" si="82"/>
        <v>1112.2539999999999</v>
      </c>
      <c r="L79" s="35"/>
      <c r="M79" s="70"/>
      <c r="N79" s="35"/>
      <c r="O79" s="35"/>
      <c r="P79" s="71"/>
      <c r="Q79" s="71"/>
      <c r="R79" s="35"/>
      <c r="S79" s="33"/>
      <c r="T79" s="33"/>
      <c r="U79" s="34"/>
      <c r="V79" s="34"/>
      <c r="W79" s="52">
        <f t="shared" si="83"/>
        <v>1112.2539999999999</v>
      </c>
      <c r="X79" s="33"/>
      <c r="Y79" s="52"/>
      <c r="Z79" s="33"/>
      <c r="AA79" s="33"/>
      <c r="AB79" s="33"/>
      <c r="AC79" s="52"/>
      <c r="AD79" s="59"/>
      <c r="AE79" s="60"/>
      <c r="AF79" s="53"/>
      <c r="AG79" s="34" t="s">
        <v>243</v>
      </c>
      <c r="AH79" s="36"/>
    </row>
    <row r="80" spans="1:188" s="18" customFormat="1">
      <c r="A80" s="34" t="s">
        <v>44</v>
      </c>
      <c r="B80" s="34" t="s">
        <v>99</v>
      </c>
      <c r="C80" s="34"/>
      <c r="D80" s="34" t="s">
        <v>63</v>
      </c>
      <c r="E80" s="34" t="s">
        <v>91</v>
      </c>
      <c r="F80" s="57">
        <v>41227</v>
      </c>
      <c r="G80" s="35">
        <f>1041.3+2.972</f>
        <v>1044.2719999999999</v>
      </c>
      <c r="H80" s="35"/>
      <c r="I80" s="35"/>
      <c r="J80" s="51"/>
      <c r="K80" s="52">
        <f t="shared" si="82"/>
        <v>1044.2719999999999</v>
      </c>
      <c r="L80" s="35"/>
      <c r="M80" s="70"/>
      <c r="N80" s="35"/>
      <c r="O80" s="35">
        <v>700</v>
      </c>
      <c r="P80" s="71" t="s">
        <v>187</v>
      </c>
      <c r="Q80" s="71" t="s">
        <v>187</v>
      </c>
      <c r="R80" s="35"/>
      <c r="S80" s="33"/>
      <c r="T80" s="33"/>
      <c r="U80" s="34"/>
      <c r="V80" s="34">
        <v>0</v>
      </c>
      <c r="W80" s="52">
        <f t="shared" si="83"/>
        <v>344.27199999999993</v>
      </c>
      <c r="X80" s="33">
        <f t="shared" si="84"/>
        <v>0</v>
      </c>
      <c r="Y80" s="52">
        <f t="shared" si="85"/>
        <v>344.27199999999993</v>
      </c>
      <c r="Z80" s="33">
        <f t="shared" si="86"/>
        <v>104.4272</v>
      </c>
      <c r="AA80" s="33">
        <v>10.23</v>
      </c>
      <c r="AB80" s="33" t="str">
        <f t="shared" si="87"/>
        <v>X</v>
      </c>
      <c r="AC80" s="52" t="e">
        <f t="shared" si="88"/>
        <v>#VALUE!</v>
      </c>
      <c r="AD80" s="59"/>
      <c r="AE80" s="59"/>
      <c r="AF80" s="53">
        <f t="shared" si="89"/>
        <v>-344.27199999999993</v>
      </c>
      <c r="AG80" s="34"/>
      <c r="AH80" s="36"/>
    </row>
    <row r="81" spans="1:188" s="18" customFormat="1">
      <c r="A81" s="34" t="s">
        <v>44</v>
      </c>
      <c r="B81" s="34" t="s">
        <v>136</v>
      </c>
      <c r="C81" s="34"/>
      <c r="D81" s="34" t="s">
        <v>64</v>
      </c>
      <c r="E81" s="34" t="s">
        <v>215</v>
      </c>
      <c r="F81" s="57">
        <v>42242</v>
      </c>
      <c r="G81" s="35">
        <f>485.193+2.599</f>
        <v>487.79199999999997</v>
      </c>
      <c r="H81" s="35"/>
      <c r="I81" s="35"/>
      <c r="J81" s="51"/>
      <c r="K81" s="52">
        <f t="shared" si="82"/>
        <v>487.79199999999997</v>
      </c>
      <c r="L81" s="35"/>
      <c r="M81" s="70">
        <v>1</v>
      </c>
      <c r="N81" s="35"/>
      <c r="O81" s="35">
        <v>0</v>
      </c>
      <c r="P81" s="71" t="s">
        <v>187</v>
      </c>
      <c r="Q81" s="71" t="s">
        <v>187</v>
      </c>
      <c r="R81" s="35"/>
      <c r="S81" s="33"/>
      <c r="T81" s="33"/>
      <c r="U81" s="34"/>
      <c r="V81" s="34">
        <v>0</v>
      </c>
      <c r="W81" s="52">
        <f t="shared" si="83"/>
        <v>486.79199999999997</v>
      </c>
      <c r="X81" s="33">
        <f t="shared" si="84"/>
        <v>0</v>
      </c>
      <c r="Y81" s="52">
        <f t="shared" si="85"/>
        <v>486.79199999999997</v>
      </c>
      <c r="Z81" s="33">
        <f t="shared" si="86"/>
        <v>48.779200000000003</v>
      </c>
      <c r="AA81" s="33">
        <v>10.23</v>
      </c>
      <c r="AB81" s="33" t="str">
        <f t="shared" si="87"/>
        <v>X</v>
      </c>
      <c r="AC81" s="52" t="e">
        <f t="shared" si="88"/>
        <v>#VALUE!</v>
      </c>
      <c r="AD81" s="59"/>
      <c r="AE81" s="60"/>
      <c r="AF81" s="53">
        <f t="shared" si="89"/>
        <v>-486.79199999999997</v>
      </c>
      <c r="AG81" s="34"/>
      <c r="AH81" s="34"/>
    </row>
    <row r="82" spans="1:188" s="18" customFormat="1" ht="15.75">
      <c r="A82" s="34" t="s">
        <v>42</v>
      </c>
      <c r="B82" s="34" t="s">
        <v>150</v>
      </c>
      <c r="C82" s="34"/>
      <c r="D82" s="34" t="s">
        <v>54</v>
      </c>
      <c r="E82" s="34" t="s">
        <v>177</v>
      </c>
      <c r="F82" s="57">
        <v>42338</v>
      </c>
      <c r="G82" s="35">
        <f>1537.92+7.428</f>
        <v>1545.3480000000002</v>
      </c>
      <c r="H82" s="35"/>
      <c r="I82" s="35"/>
      <c r="J82" s="51"/>
      <c r="K82" s="52">
        <f t="shared" si="82"/>
        <v>1545.3480000000002</v>
      </c>
      <c r="L82" s="35"/>
      <c r="M82" s="70"/>
      <c r="N82" s="35"/>
      <c r="O82" s="35">
        <v>0</v>
      </c>
      <c r="P82" s="71"/>
      <c r="Q82" s="71"/>
      <c r="R82" s="35"/>
      <c r="S82" s="33"/>
      <c r="T82" s="86"/>
      <c r="U82" s="34"/>
      <c r="V82" s="34">
        <v>0</v>
      </c>
      <c r="W82" s="52">
        <f t="shared" si="83"/>
        <v>1545.3480000000002</v>
      </c>
      <c r="X82" s="33">
        <f t="shared" si="84"/>
        <v>0</v>
      </c>
      <c r="Y82" s="52">
        <f t="shared" si="85"/>
        <v>1545.3480000000002</v>
      </c>
      <c r="Z82" s="33">
        <f t="shared" si="86"/>
        <v>154.53480000000002</v>
      </c>
      <c r="AA82" s="33">
        <v>10.23</v>
      </c>
      <c r="AB82" s="33">
        <f t="shared" si="87"/>
        <v>0</v>
      </c>
      <c r="AC82" s="52">
        <f t="shared" si="88"/>
        <v>1710.1128000000003</v>
      </c>
      <c r="AD82" s="59"/>
      <c r="AE82" s="60"/>
      <c r="AF82" s="53">
        <f>+AD82+AE82-Y82</f>
        <v>-1545.3480000000002</v>
      </c>
      <c r="AG82" s="34"/>
      <c r="AH82" s="36"/>
    </row>
    <row r="83" spans="1:188" s="18" customFormat="1">
      <c r="A83" s="34" t="s">
        <v>42</v>
      </c>
      <c r="B83" s="34" t="s">
        <v>204</v>
      </c>
      <c r="C83" s="34"/>
      <c r="D83" s="34"/>
      <c r="E83" s="34" t="s">
        <v>87</v>
      </c>
      <c r="F83" s="57">
        <v>42681</v>
      </c>
      <c r="G83" s="35">
        <f>3045.475+13.099</f>
        <v>3058.5740000000001</v>
      </c>
      <c r="H83" s="35"/>
      <c r="I83" s="35"/>
      <c r="J83" s="51"/>
      <c r="K83" s="52">
        <f t="shared" si="82"/>
        <v>3058.5740000000001</v>
      </c>
      <c r="L83" s="35"/>
      <c r="M83" s="70"/>
      <c r="N83" s="35"/>
      <c r="O83" s="35"/>
      <c r="P83" s="71"/>
      <c r="Q83" s="71"/>
      <c r="R83" s="35"/>
      <c r="S83" s="33"/>
      <c r="T83" s="33"/>
      <c r="U83" s="34"/>
      <c r="V83" s="34"/>
      <c r="W83" s="52">
        <f t="shared" ref="W83" si="90">+K83-SUM(L83:V83)</f>
        <v>3058.5740000000001</v>
      </c>
      <c r="X83" s="33">
        <f t="shared" ref="X83" si="91">IF(K83&gt;2250,K83*0.1,0)</f>
        <v>305.85740000000004</v>
      </c>
      <c r="Y83" s="52">
        <f t="shared" ref="Y83" si="92">+W83-X83</f>
        <v>2752.7166000000002</v>
      </c>
      <c r="Z83" s="33"/>
      <c r="AA83" s="33"/>
      <c r="AB83" s="33"/>
      <c r="AC83" s="52"/>
      <c r="AD83" s="59"/>
      <c r="AE83" s="60"/>
      <c r="AF83" s="53"/>
      <c r="AG83" s="34">
        <v>1500026042</v>
      </c>
      <c r="AH83" s="36"/>
    </row>
    <row r="84" spans="1:188" s="18" customFormat="1">
      <c r="A84" s="34" t="s">
        <v>44</v>
      </c>
      <c r="B84" s="34" t="s">
        <v>160</v>
      </c>
      <c r="C84" s="34"/>
      <c r="D84" s="34" t="s">
        <v>65</v>
      </c>
      <c r="E84" s="34" t="s">
        <v>181</v>
      </c>
      <c r="F84" s="57">
        <v>41227</v>
      </c>
      <c r="G84" s="35">
        <f>791.318+2.599+45.95</f>
        <v>839.86700000000008</v>
      </c>
      <c r="H84" s="35"/>
      <c r="I84" s="35"/>
      <c r="J84" s="51"/>
      <c r="K84" s="52">
        <f t="shared" si="82"/>
        <v>839.86700000000008</v>
      </c>
      <c r="L84" s="35">
        <v>199.21</v>
      </c>
      <c r="M84" s="70"/>
      <c r="N84" s="35"/>
      <c r="O84" s="35">
        <v>500</v>
      </c>
      <c r="P84" s="71" t="s">
        <v>187</v>
      </c>
      <c r="Q84" s="71" t="s">
        <v>187</v>
      </c>
      <c r="R84" s="35"/>
      <c r="S84" s="33"/>
      <c r="T84" s="33"/>
      <c r="U84" s="34"/>
      <c r="V84" s="34">
        <v>0</v>
      </c>
      <c r="W84" s="52">
        <f t="shared" si="83"/>
        <v>140.65700000000004</v>
      </c>
      <c r="X84" s="33">
        <f t="shared" si="84"/>
        <v>0</v>
      </c>
      <c r="Y84" s="52">
        <f t="shared" si="85"/>
        <v>140.65700000000004</v>
      </c>
      <c r="Z84" s="33">
        <f t="shared" si="86"/>
        <v>83.986700000000013</v>
      </c>
      <c r="AA84" s="33">
        <v>10.23</v>
      </c>
      <c r="AB84" s="33" t="str">
        <f t="shared" si="87"/>
        <v>X</v>
      </c>
      <c r="AC84" s="52" t="e">
        <f t="shared" si="88"/>
        <v>#VALUE!</v>
      </c>
      <c r="AD84" s="59"/>
      <c r="AE84" s="59"/>
      <c r="AF84" s="53">
        <f>+AD84+AE84-Y84</f>
        <v>-140.65700000000004</v>
      </c>
      <c r="AG84" s="34"/>
      <c r="AH84" s="36" t="s">
        <v>230</v>
      </c>
    </row>
    <row r="85" spans="1:188" s="18" customFormat="1">
      <c r="A85" s="34" t="s">
        <v>44</v>
      </c>
      <c r="B85" s="34" t="s">
        <v>115</v>
      </c>
      <c r="C85" s="34"/>
      <c r="D85" s="34" t="s">
        <v>66</v>
      </c>
      <c r="E85" s="34" t="s">
        <v>181</v>
      </c>
      <c r="F85" s="57">
        <v>41227</v>
      </c>
      <c r="G85" s="35">
        <f>5175.528+2.972</f>
        <v>5178.5</v>
      </c>
      <c r="H85" s="35"/>
      <c r="I85" s="35"/>
      <c r="J85" s="51"/>
      <c r="K85" s="52">
        <f t="shared" si="82"/>
        <v>5178.5</v>
      </c>
      <c r="L85" s="35"/>
      <c r="M85" s="70"/>
      <c r="N85" s="35"/>
      <c r="O85" s="35">
        <v>700</v>
      </c>
      <c r="P85" s="71" t="s">
        <v>187</v>
      </c>
      <c r="Q85" s="71" t="s">
        <v>187</v>
      </c>
      <c r="R85" s="35"/>
      <c r="S85" s="33"/>
      <c r="T85" s="33"/>
      <c r="U85" s="54"/>
      <c r="V85" s="34">
        <v>0</v>
      </c>
      <c r="W85" s="52">
        <f t="shared" si="83"/>
        <v>4478.5</v>
      </c>
      <c r="X85" s="33">
        <f t="shared" si="84"/>
        <v>517.85</v>
      </c>
      <c r="Y85" s="52">
        <f t="shared" si="85"/>
        <v>3960.65</v>
      </c>
      <c r="Z85" s="33">
        <f t="shared" si="86"/>
        <v>0</v>
      </c>
      <c r="AA85" s="33">
        <v>10.23</v>
      </c>
      <c r="AB85" s="33" t="str">
        <f t="shared" si="87"/>
        <v>X</v>
      </c>
      <c r="AC85" s="52" t="e">
        <f t="shared" si="88"/>
        <v>#VALUE!</v>
      </c>
      <c r="AD85" s="59"/>
      <c r="AE85" s="60"/>
      <c r="AF85" s="53">
        <f>+AD85+AE85-Y85</f>
        <v>-3960.65</v>
      </c>
      <c r="AG85" s="34"/>
      <c r="AH85" s="36"/>
    </row>
    <row r="86" spans="1:188" s="18" customFormat="1">
      <c r="A86" s="34" t="s">
        <v>44</v>
      </c>
      <c r="B86" s="34" t="s">
        <v>200</v>
      </c>
      <c r="C86" s="34"/>
      <c r="D86" s="34"/>
      <c r="E86" s="34" t="s">
        <v>177</v>
      </c>
      <c r="F86" s="57">
        <v>42660</v>
      </c>
      <c r="G86" s="35">
        <f>961.2+2.972</f>
        <v>964.17200000000003</v>
      </c>
      <c r="H86" s="35"/>
      <c r="I86" s="35"/>
      <c r="J86" s="51"/>
      <c r="K86" s="52">
        <f t="shared" si="82"/>
        <v>964.17200000000003</v>
      </c>
      <c r="L86" s="35"/>
      <c r="M86" s="70"/>
      <c r="N86" s="35"/>
      <c r="O86" s="35"/>
      <c r="P86" s="71"/>
      <c r="Q86" s="71"/>
      <c r="R86" s="35"/>
      <c r="S86" s="33"/>
      <c r="T86" s="33"/>
      <c r="U86" s="54"/>
      <c r="V86" s="34"/>
      <c r="W86" s="52">
        <f t="shared" ref="W86" si="93">+K86-SUM(L86:V86)</f>
        <v>964.17200000000003</v>
      </c>
      <c r="X86" s="33">
        <f t="shared" ref="X86" si="94">IF(K86&gt;2250,K86*0.1,0)</f>
        <v>0</v>
      </c>
      <c r="Y86" s="52">
        <f t="shared" ref="Y86" si="95">+W86-X86</f>
        <v>964.17200000000003</v>
      </c>
      <c r="Z86" s="33"/>
      <c r="AA86" s="33"/>
      <c r="AB86" s="33"/>
      <c r="AC86" s="52"/>
      <c r="AD86" s="59"/>
      <c r="AE86" s="60"/>
      <c r="AF86" s="53"/>
      <c r="AG86" s="34">
        <v>2954141431</v>
      </c>
      <c r="AH86" s="36"/>
    </row>
    <row r="87" spans="1:188" s="18" customFormat="1">
      <c r="A87" s="34" t="s">
        <v>42</v>
      </c>
      <c r="B87" s="34" t="s">
        <v>185</v>
      </c>
      <c r="C87" s="34"/>
      <c r="D87" s="34"/>
      <c r="E87" s="34" t="s">
        <v>215</v>
      </c>
      <c r="F87" s="57">
        <v>42604</v>
      </c>
      <c r="G87" s="35">
        <v>403.04599999999999</v>
      </c>
      <c r="H87" s="35"/>
      <c r="I87" s="35"/>
      <c r="J87" s="51"/>
      <c r="K87" s="52">
        <f t="shared" si="82"/>
        <v>403.04599999999999</v>
      </c>
      <c r="L87" s="35"/>
      <c r="M87" s="70"/>
      <c r="N87" s="35"/>
      <c r="O87" s="35"/>
      <c r="P87" s="71"/>
      <c r="Q87" s="71"/>
      <c r="R87" s="35"/>
      <c r="S87" s="33"/>
      <c r="T87" s="33"/>
      <c r="U87" s="34"/>
      <c r="V87" s="34"/>
      <c r="W87" s="52">
        <f t="shared" ref="W87" si="96">+K87-SUM(L87:V87)</f>
        <v>403.04599999999999</v>
      </c>
      <c r="X87" s="33">
        <f t="shared" ref="X87" si="97">IF(K87&gt;2250,K87*0.1,0)</f>
        <v>0</v>
      </c>
      <c r="Y87" s="52">
        <f t="shared" ref="Y87" si="98">+W87-X87</f>
        <v>403.04599999999999</v>
      </c>
      <c r="Z87" s="33"/>
      <c r="AA87" s="33"/>
      <c r="AB87" s="33"/>
      <c r="AC87" s="52"/>
      <c r="AD87" s="59"/>
      <c r="AE87" s="60"/>
      <c r="AF87" s="53"/>
      <c r="AG87" s="34">
        <v>1258728658</v>
      </c>
      <c r="AH87" s="36"/>
    </row>
    <row r="88" spans="1:188" s="18" customFormat="1">
      <c r="A88" s="34" t="s">
        <v>42</v>
      </c>
      <c r="B88" s="34" t="s">
        <v>116</v>
      </c>
      <c r="C88" s="34"/>
      <c r="D88" s="34" t="s">
        <v>47</v>
      </c>
      <c r="E88" s="34" t="s">
        <v>87</v>
      </c>
      <c r="F88" s="57">
        <v>42319</v>
      </c>
      <c r="G88" s="35">
        <f>2193.58+13.099</f>
        <v>2206.6790000000001</v>
      </c>
      <c r="H88" s="35"/>
      <c r="I88" s="35"/>
      <c r="J88" s="51"/>
      <c r="K88" s="52">
        <f t="shared" si="82"/>
        <v>2206.6790000000001</v>
      </c>
      <c r="L88" s="35"/>
      <c r="M88" s="70">
        <v>1</v>
      </c>
      <c r="N88" s="35"/>
      <c r="O88" s="35">
        <v>0</v>
      </c>
      <c r="P88" s="71"/>
      <c r="Q88" s="71"/>
      <c r="R88" s="35"/>
      <c r="S88" s="33"/>
      <c r="T88" s="33"/>
      <c r="U88" s="34"/>
      <c r="V88" s="34">
        <v>0</v>
      </c>
      <c r="W88" s="52">
        <f t="shared" ref="W88:W115" si="99">+K88-SUM(L88:V88)</f>
        <v>2205.6790000000001</v>
      </c>
      <c r="X88" s="33">
        <f t="shared" ref="X88:X115" si="100">IF(K88&gt;2250,K88*0.1,0)</f>
        <v>0</v>
      </c>
      <c r="Y88" s="52">
        <f t="shared" ref="Y88:Y115" si="101">+W88-X88</f>
        <v>2205.6790000000001</v>
      </c>
      <c r="Z88" s="33">
        <f t="shared" ref="Z88:Z115" si="102">IF(K88&lt;2250,K88*0.1,0)</f>
        <v>220.66790000000003</v>
      </c>
      <c r="AA88" s="33">
        <v>19.23</v>
      </c>
      <c r="AB88" s="33">
        <f t="shared" ref="AB88:AB115" si="103">+P88</f>
        <v>0</v>
      </c>
      <c r="AC88" s="52">
        <f t="shared" ref="AC88:AC115" si="104">+K88+Z88+AA88+AB88</f>
        <v>2446.5769</v>
      </c>
      <c r="AD88" s="59"/>
      <c r="AE88" s="60"/>
      <c r="AF88" s="53">
        <f>+AD88+AE88-Y88</f>
        <v>-2205.6790000000001</v>
      </c>
      <c r="AG88" s="34"/>
      <c r="AH88" s="36"/>
    </row>
    <row r="89" spans="1:188" s="102" customFormat="1">
      <c r="A89" s="91" t="s">
        <v>44</v>
      </c>
      <c r="B89" s="91" t="s">
        <v>199</v>
      </c>
      <c r="C89" s="91"/>
      <c r="D89" s="91"/>
      <c r="E89" s="91" t="s">
        <v>177</v>
      </c>
      <c r="F89" s="92">
        <v>42654</v>
      </c>
      <c r="G89" s="93"/>
      <c r="H89" s="93"/>
      <c r="I89" s="93"/>
      <c r="J89" s="94"/>
      <c r="K89" s="41">
        <f t="shared" si="82"/>
        <v>0</v>
      </c>
      <c r="L89" s="93"/>
      <c r="M89" s="95"/>
      <c r="N89" s="93"/>
      <c r="O89" s="93"/>
      <c r="P89" s="96"/>
      <c r="Q89" s="96"/>
      <c r="R89" s="93"/>
      <c r="S89" s="97"/>
      <c r="T89" s="97"/>
      <c r="U89" s="91"/>
      <c r="V89" s="91"/>
      <c r="W89" s="41">
        <f t="shared" ref="W89" si="105">+K89-SUM(L89:V89)</f>
        <v>0</v>
      </c>
      <c r="X89" s="97">
        <f t="shared" ref="X89" si="106">IF(K89&gt;2250,K89*0.1,0)</f>
        <v>0</v>
      </c>
      <c r="Y89" s="41">
        <f t="shared" ref="Y89" si="107">+W89-X89</f>
        <v>0</v>
      </c>
      <c r="Z89" s="97"/>
      <c r="AA89" s="97"/>
      <c r="AB89" s="97"/>
      <c r="AC89" s="41"/>
      <c r="AD89" s="98"/>
      <c r="AE89" s="99"/>
      <c r="AF89" s="100"/>
      <c r="AG89" s="91">
        <v>1126929044</v>
      </c>
      <c r="AH89" s="101" t="s">
        <v>251</v>
      </c>
    </row>
    <row r="90" spans="1:188" s="18" customFormat="1">
      <c r="A90" s="34" t="s">
        <v>44</v>
      </c>
      <c r="B90" s="34" t="s">
        <v>95</v>
      </c>
      <c r="C90" s="34"/>
      <c r="D90" s="34" t="s">
        <v>67</v>
      </c>
      <c r="E90" s="34" t="s">
        <v>215</v>
      </c>
      <c r="F90" s="57">
        <v>41981</v>
      </c>
      <c r="G90" s="35">
        <f>1317.681+5.571</f>
        <v>1323.252</v>
      </c>
      <c r="H90" s="35"/>
      <c r="I90" s="35"/>
      <c r="J90" s="51"/>
      <c r="K90" s="52">
        <f t="shared" si="82"/>
        <v>1323.252</v>
      </c>
      <c r="L90" s="35"/>
      <c r="M90" s="70"/>
      <c r="N90" s="35"/>
      <c r="O90" s="35">
        <v>300</v>
      </c>
      <c r="P90" s="71" t="s">
        <v>187</v>
      </c>
      <c r="Q90" s="71" t="s">
        <v>187</v>
      </c>
      <c r="R90" s="35"/>
      <c r="S90" s="33"/>
      <c r="T90" s="33"/>
      <c r="U90" s="34"/>
      <c r="V90" s="34">
        <v>0</v>
      </c>
      <c r="W90" s="52">
        <f t="shared" si="99"/>
        <v>1023.252</v>
      </c>
      <c r="X90" s="33">
        <f t="shared" si="100"/>
        <v>0</v>
      </c>
      <c r="Y90" s="52">
        <f t="shared" si="101"/>
        <v>1023.252</v>
      </c>
      <c r="Z90" s="33">
        <f t="shared" si="102"/>
        <v>132.3252</v>
      </c>
      <c r="AA90" s="33">
        <v>10.23</v>
      </c>
      <c r="AB90" s="33" t="str">
        <f t="shared" si="103"/>
        <v>X</v>
      </c>
      <c r="AC90" s="52" t="e">
        <f t="shared" si="104"/>
        <v>#VALUE!</v>
      </c>
      <c r="AD90" s="59"/>
      <c r="AE90" s="59"/>
      <c r="AF90" s="53">
        <f t="shared" ref="AF90:AF115" si="108">+AD90+AE90-Y90</f>
        <v>-1023.252</v>
      </c>
      <c r="AG90" s="34"/>
      <c r="AH90" s="34"/>
    </row>
    <row r="91" spans="1:188" s="18" customFormat="1">
      <c r="A91" s="34" t="s">
        <v>44</v>
      </c>
      <c r="B91" s="34" t="s">
        <v>133</v>
      </c>
      <c r="C91" s="34"/>
      <c r="D91" s="34" t="s">
        <v>134</v>
      </c>
      <c r="E91" s="34" t="s">
        <v>181</v>
      </c>
      <c r="F91" s="56">
        <v>41284</v>
      </c>
      <c r="G91" s="35">
        <f>4100.029+2.599</f>
        <v>4102.6280000000006</v>
      </c>
      <c r="H91" s="35"/>
      <c r="I91" s="35"/>
      <c r="J91" s="51"/>
      <c r="K91" s="52">
        <f t="shared" si="82"/>
        <v>4102.6280000000006</v>
      </c>
      <c r="L91" s="35">
        <v>246.63</v>
      </c>
      <c r="M91" s="70"/>
      <c r="N91" s="35"/>
      <c r="O91" s="35">
        <v>0</v>
      </c>
      <c r="P91" s="71" t="s">
        <v>187</v>
      </c>
      <c r="Q91" s="71" t="s">
        <v>187</v>
      </c>
      <c r="R91" s="35"/>
      <c r="S91" s="33"/>
      <c r="T91" s="33"/>
      <c r="U91" s="34"/>
      <c r="V91" s="34">
        <v>0</v>
      </c>
      <c r="W91" s="52">
        <f t="shared" si="99"/>
        <v>3855.9980000000005</v>
      </c>
      <c r="X91" s="33">
        <f t="shared" si="100"/>
        <v>410.26280000000008</v>
      </c>
      <c r="Y91" s="52">
        <f t="shared" si="101"/>
        <v>3445.7352000000005</v>
      </c>
      <c r="Z91" s="33">
        <f t="shared" si="102"/>
        <v>0</v>
      </c>
      <c r="AA91" s="33">
        <v>10.23</v>
      </c>
      <c r="AB91" s="33" t="str">
        <f t="shared" si="103"/>
        <v>X</v>
      </c>
      <c r="AC91" s="52" t="e">
        <f t="shared" si="104"/>
        <v>#VALUE!</v>
      </c>
      <c r="AD91" s="59"/>
      <c r="AE91" s="60"/>
      <c r="AF91" s="53">
        <f t="shared" si="108"/>
        <v>-3445.7352000000005</v>
      </c>
      <c r="AG91" s="34">
        <v>2948910731</v>
      </c>
      <c r="AH91" s="36" t="s">
        <v>230</v>
      </c>
    </row>
    <row r="92" spans="1:188" s="18" customFormat="1">
      <c r="A92" s="34" t="s">
        <v>44</v>
      </c>
      <c r="B92" s="34" t="s">
        <v>97</v>
      </c>
      <c r="C92" s="34"/>
      <c r="D92" s="34" t="s">
        <v>68</v>
      </c>
      <c r="E92" s="34" t="s">
        <v>181</v>
      </c>
      <c r="F92" s="56">
        <v>41227</v>
      </c>
      <c r="G92" s="35">
        <f>2837.922+2.972</f>
        <v>2840.8940000000002</v>
      </c>
      <c r="H92" s="35"/>
      <c r="I92" s="35"/>
      <c r="J92" s="51"/>
      <c r="K92" s="52">
        <f t="shared" si="82"/>
        <v>2840.8940000000002</v>
      </c>
      <c r="L92" s="35">
        <v>307.93</v>
      </c>
      <c r="M92" s="70"/>
      <c r="N92" s="35"/>
      <c r="O92" s="35">
        <v>0</v>
      </c>
      <c r="P92" s="71" t="s">
        <v>187</v>
      </c>
      <c r="Q92" s="71" t="s">
        <v>187</v>
      </c>
      <c r="R92" s="35"/>
      <c r="S92" s="33"/>
      <c r="T92" s="33"/>
      <c r="U92" s="34"/>
      <c r="V92" s="34">
        <v>0</v>
      </c>
      <c r="W92" s="52">
        <f t="shared" si="99"/>
        <v>2532.9640000000004</v>
      </c>
      <c r="X92" s="33">
        <f t="shared" si="100"/>
        <v>284.08940000000001</v>
      </c>
      <c r="Y92" s="52">
        <f t="shared" si="101"/>
        <v>2248.8746000000006</v>
      </c>
      <c r="Z92" s="33">
        <f t="shared" si="102"/>
        <v>0</v>
      </c>
      <c r="AA92" s="33">
        <v>10.23</v>
      </c>
      <c r="AB92" s="33" t="str">
        <f t="shared" si="103"/>
        <v>X</v>
      </c>
      <c r="AC92" s="52" t="e">
        <f t="shared" si="104"/>
        <v>#VALUE!</v>
      </c>
      <c r="AD92" s="59"/>
      <c r="AE92" s="59"/>
      <c r="AF92" s="53">
        <f t="shared" si="108"/>
        <v>-2248.8746000000006</v>
      </c>
      <c r="AG92" s="34"/>
      <c r="AH92" s="36" t="s">
        <v>230</v>
      </c>
    </row>
    <row r="93" spans="1:188" s="18" customFormat="1">
      <c r="A93" s="34" t="s">
        <v>42</v>
      </c>
      <c r="B93" s="34" t="s">
        <v>117</v>
      </c>
      <c r="C93" s="34"/>
      <c r="D93" s="34" t="s">
        <v>48</v>
      </c>
      <c r="E93" s="34" t="s">
        <v>87</v>
      </c>
      <c r="F93" s="56">
        <v>41493</v>
      </c>
      <c r="G93" s="35">
        <f>4013.924+13.099</f>
        <v>4027.0230000000001</v>
      </c>
      <c r="H93" s="35"/>
      <c r="I93" s="35"/>
      <c r="J93" s="51"/>
      <c r="K93" s="52">
        <f t="shared" si="82"/>
        <v>4027.0230000000001</v>
      </c>
      <c r="L93" s="35"/>
      <c r="M93" s="70">
        <v>2</v>
      </c>
      <c r="N93" s="35"/>
      <c r="O93" s="35">
        <v>0</v>
      </c>
      <c r="P93" s="71"/>
      <c r="Q93" s="71"/>
      <c r="R93" s="35"/>
      <c r="S93" s="33"/>
      <c r="T93" s="33"/>
      <c r="U93" s="34"/>
      <c r="V93" s="34">
        <v>0</v>
      </c>
      <c r="W93" s="52">
        <f t="shared" si="99"/>
        <v>4025.0230000000001</v>
      </c>
      <c r="X93" s="33">
        <f t="shared" si="100"/>
        <v>402.70230000000004</v>
      </c>
      <c r="Y93" s="52">
        <f t="shared" si="101"/>
        <v>3622.3207000000002</v>
      </c>
      <c r="Z93" s="33">
        <f t="shared" si="102"/>
        <v>0</v>
      </c>
      <c r="AA93" s="33">
        <v>10.23</v>
      </c>
      <c r="AB93" s="33">
        <f t="shared" si="103"/>
        <v>0</v>
      </c>
      <c r="AC93" s="52">
        <f t="shared" si="104"/>
        <v>4037.2530000000002</v>
      </c>
      <c r="AD93" s="59"/>
      <c r="AE93" s="60"/>
      <c r="AF93" s="53">
        <f t="shared" si="108"/>
        <v>-3622.3207000000002</v>
      </c>
      <c r="AG93" s="34"/>
      <c r="AH93" s="36"/>
    </row>
    <row r="94" spans="1:188" s="18" customFormat="1">
      <c r="A94" s="34" t="s">
        <v>44</v>
      </c>
      <c r="B94" s="34" t="s">
        <v>173</v>
      </c>
      <c r="C94" s="34"/>
      <c r="D94" s="34"/>
      <c r="E94" s="34" t="s">
        <v>215</v>
      </c>
      <c r="F94" s="57">
        <v>42493</v>
      </c>
      <c r="G94" s="35">
        <f>1262.948+5.571</f>
        <v>1268.519</v>
      </c>
      <c r="H94" s="35"/>
      <c r="I94" s="35"/>
      <c r="J94" s="51"/>
      <c r="K94" s="52">
        <f t="shared" si="82"/>
        <v>1268.519</v>
      </c>
      <c r="L94" s="35"/>
      <c r="M94" s="70"/>
      <c r="N94" s="35"/>
      <c r="O94" s="35">
        <v>0</v>
      </c>
      <c r="P94" s="71" t="s">
        <v>187</v>
      </c>
      <c r="Q94" s="71" t="s">
        <v>187</v>
      </c>
      <c r="R94" s="35"/>
      <c r="S94" s="33"/>
      <c r="T94" s="33"/>
      <c r="U94" s="34"/>
      <c r="V94" s="34">
        <v>0</v>
      </c>
      <c r="W94" s="52">
        <f t="shared" si="99"/>
        <v>1268.519</v>
      </c>
      <c r="X94" s="33">
        <f t="shared" si="100"/>
        <v>0</v>
      </c>
      <c r="Y94" s="52">
        <f t="shared" si="101"/>
        <v>1268.519</v>
      </c>
      <c r="Z94" s="33">
        <f t="shared" si="102"/>
        <v>126.8519</v>
      </c>
      <c r="AA94" s="33">
        <v>10.23</v>
      </c>
      <c r="AB94" s="33" t="str">
        <f t="shared" si="103"/>
        <v>X</v>
      </c>
      <c r="AC94" s="52" t="e">
        <f t="shared" si="104"/>
        <v>#VALUE!</v>
      </c>
      <c r="AD94" s="59"/>
      <c r="AE94" s="59"/>
      <c r="AF94" s="53">
        <f t="shared" si="108"/>
        <v>-1268.519</v>
      </c>
      <c r="AG94" s="34"/>
      <c r="AH94" s="36"/>
    </row>
    <row r="95" spans="1:188">
      <c r="A95" s="29" t="s">
        <v>30</v>
      </c>
      <c r="B95" s="34" t="s">
        <v>144</v>
      </c>
      <c r="C95" s="29"/>
      <c r="D95" s="29"/>
      <c r="E95" s="29" t="s">
        <v>89</v>
      </c>
      <c r="F95" s="69">
        <v>40813</v>
      </c>
      <c r="G95" s="79"/>
      <c r="H95" s="31"/>
      <c r="I95" s="31"/>
      <c r="J95" s="31"/>
      <c r="K95" s="52">
        <f>SUM(G95:J95)</f>
        <v>0</v>
      </c>
      <c r="L95" s="35"/>
      <c r="M95" s="70"/>
      <c r="N95" s="35"/>
      <c r="O95" s="35"/>
      <c r="P95" s="71"/>
      <c r="Q95" s="71"/>
      <c r="R95" s="35"/>
      <c r="S95" s="33"/>
      <c r="T95" s="33"/>
      <c r="U95" s="34"/>
      <c r="V95" s="34"/>
      <c r="W95" s="52">
        <f t="shared" si="99"/>
        <v>0</v>
      </c>
      <c r="X95" s="33">
        <f t="shared" ref="X95" si="109">+W95*0.05</f>
        <v>0</v>
      </c>
      <c r="Y95" s="52">
        <f t="shared" ref="Y95" si="110">+W95-S95-V95</f>
        <v>0</v>
      </c>
      <c r="Z95" s="64">
        <f t="shared" ref="Z95" si="111">IF(W95&lt;3000,W95*0.1,0)</f>
        <v>0</v>
      </c>
      <c r="AA95" s="64"/>
      <c r="AB95" s="64"/>
      <c r="AC95" s="63">
        <f t="shared" ref="AC95" si="112">+W95+Z95+AA95</f>
        <v>0</v>
      </c>
      <c r="AD95" s="49"/>
      <c r="AE95" s="49"/>
      <c r="AF95" s="42"/>
      <c r="AG95" s="29"/>
      <c r="AH95" s="36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</row>
    <row r="96" spans="1:188" s="18" customFormat="1">
      <c r="A96" s="34" t="s">
        <v>42</v>
      </c>
      <c r="B96" s="34" t="s">
        <v>214</v>
      </c>
      <c r="C96" s="34"/>
      <c r="D96" s="34"/>
      <c r="E96" s="34" t="s">
        <v>177</v>
      </c>
      <c r="F96" s="57">
        <v>42716</v>
      </c>
      <c r="G96" s="35"/>
      <c r="H96" s="35"/>
      <c r="I96" s="35"/>
      <c r="J96" s="51"/>
      <c r="K96" s="52">
        <f t="shared" si="82"/>
        <v>0</v>
      </c>
      <c r="L96" s="35"/>
      <c r="M96" s="70"/>
      <c r="N96" s="35"/>
      <c r="O96" s="35"/>
      <c r="P96" s="71"/>
      <c r="Q96" s="71"/>
      <c r="R96" s="35"/>
      <c r="S96" s="33"/>
      <c r="T96" s="33"/>
      <c r="U96" s="34"/>
      <c r="V96" s="68">
        <v>327</v>
      </c>
      <c r="W96" s="52">
        <f t="shared" ref="W96" si="113">+K96-SUM(L96:V96)</f>
        <v>-327</v>
      </c>
      <c r="X96" s="33">
        <f t="shared" ref="X96" si="114">IF(K96&gt;2250,K96*0.1,0)</f>
        <v>0</v>
      </c>
      <c r="Y96" s="52">
        <f t="shared" ref="Y96" si="115">+W96-X96</f>
        <v>-327</v>
      </c>
      <c r="Z96" s="33"/>
      <c r="AA96" s="33"/>
      <c r="AB96" s="33"/>
      <c r="AC96" s="52"/>
      <c r="AD96" s="59"/>
      <c r="AE96" s="59"/>
      <c r="AF96" s="53"/>
      <c r="AG96" s="36">
        <v>1275625157</v>
      </c>
      <c r="AH96" s="36" t="s">
        <v>227</v>
      </c>
    </row>
    <row r="97" spans="1:34" s="18" customFormat="1">
      <c r="A97" s="34" t="s">
        <v>44</v>
      </c>
      <c r="B97" s="34" t="s">
        <v>120</v>
      </c>
      <c r="C97" s="34"/>
      <c r="D97" s="34" t="s">
        <v>69</v>
      </c>
      <c r="E97" s="34" t="s">
        <v>215</v>
      </c>
      <c r="F97" s="57">
        <v>42242</v>
      </c>
      <c r="G97" s="35">
        <f>250.703+2.599</f>
        <v>253.30199999999999</v>
      </c>
      <c r="H97" s="35"/>
      <c r="I97" s="35"/>
      <c r="J97" s="51"/>
      <c r="K97" s="52">
        <f t="shared" si="82"/>
        <v>253.30199999999999</v>
      </c>
      <c r="L97" s="35"/>
      <c r="M97" s="70">
        <v>1</v>
      </c>
      <c r="N97" s="35"/>
      <c r="O97" s="35">
        <v>0</v>
      </c>
      <c r="P97" s="71" t="s">
        <v>187</v>
      </c>
      <c r="Q97" s="71" t="s">
        <v>187</v>
      </c>
      <c r="R97" s="35"/>
      <c r="S97" s="33"/>
      <c r="T97" s="33"/>
      <c r="U97" s="34"/>
      <c r="V97" s="34">
        <v>0</v>
      </c>
      <c r="W97" s="52">
        <f t="shared" si="99"/>
        <v>252.30199999999999</v>
      </c>
      <c r="X97" s="33">
        <f t="shared" si="100"/>
        <v>0</v>
      </c>
      <c r="Y97" s="52">
        <f t="shared" si="101"/>
        <v>252.30199999999999</v>
      </c>
      <c r="Z97" s="33">
        <f t="shared" si="102"/>
        <v>25.330200000000001</v>
      </c>
      <c r="AA97" s="33">
        <v>10.23</v>
      </c>
      <c r="AB97" s="33" t="str">
        <f t="shared" si="103"/>
        <v>X</v>
      </c>
      <c r="AC97" s="52" t="e">
        <f t="shared" si="104"/>
        <v>#VALUE!</v>
      </c>
      <c r="AD97" s="59"/>
      <c r="AE97" s="59"/>
      <c r="AF97" s="53">
        <f t="shared" si="108"/>
        <v>-252.30199999999999</v>
      </c>
      <c r="AG97" s="34"/>
      <c r="AH97" s="36"/>
    </row>
    <row r="98" spans="1:34" s="18" customFormat="1">
      <c r="A98" s="34" t="s">
        <v>42</v>
      </c>
      <c r="B98" s="34" t="s">
        <v>151</v>
      </c>
      <c r="C98" s="34"/>
      <c r="D98" s="34" t="s">
        <v>49</v>
      </c>
      <c r="E98" s="34" t="s">
        <v>87</v>
      </c>
      <c r="F98" s="57">
        <v>42170</v>
      </c>
      <c r="G98" s="35">
        <f>327.4+3.714</f>
        <v>331.11399999999998</v>
      </c>
      <c r="H98" s="35"/>
      <c r="I98" s="35"/>
      <c r="J98" s="51"/>
      <c r="K98" s="52">
        <f t="shared" si="82"/>
        <v>331.11399999999998</v>
      </c>
      <c r="L98" s="70"/>
      <c r="M98" s="70">
        <v>1</v>
      </c>
      <c r="N98" s="35"/>
      <c r="O98" s="35">
        <v>0</v>
      </c>
      <c r="P98" s="71"/>
      <c r="Q98" s="71"/>
      <c r="R98" s="35"/>
      <c r="S98" s="33"/>
      <c r="T98" s="33"/>
      <c r="U98" s="34"/>
      <c r="V98" s="34">
        <v>0</v>
      </c>
      <c r="W98" s="52">
        <f t="shared" si="99"/>
        <v>330.11399999999998</v>
      </c>
      <c r="X98" s="33">
        <f t="shared" si="100"/>
        <v>0</v>
      </c>
      <c r="Y98" s="52">
        <f t="shared" si="101"/>
        <v>330.11399999999998</v>
      </c>
      <c r="Z98" s="33">
        <f t="shared" si="102"/>
        <v>33.111399999999996</v>
      </c>
      <c r="AA98" s="33">
        <v>10.23</v>
      </c>
      <c r="AB98" s="33">
        <f t="shared" si="103"/>
        <v>0</v>
      </c>
      <c r="AC98" s="52">
        <f t="shared" si="104"/>
        <v>374.4554</v>
      </c>
      <c r="AD98" s="59"/>
      <c r="AE98" s="60"/>
      <c r="AF98" s="53">
        <f t="shared" si="108"/>
        <v>-330.11399999999998</v>
      </c>
      <c r="AG98" s="34"/>
      <c r="AH98" s="36"/>
    </row>
    <row r="99" spans="1:34" s="18" customFormat="1">
      <c r="A99" s="34" t="s">
        <v>44</v>
      </c>
      <c r="B99" s="34" t="s">
        <v>104</v>
      </c>
      <c r="C99" s="34"/>
      <c r="D99" s="34" t="s">
        <v>70</v>
      </c>
      <c r="E99" s="34" t="s">
        <v>180</v>
      </c>
      <c r="F99" s="57">
        <v>36868</v>
      </c>
      <c r="G99" s="35">
        <f>2225.313+3.714</f>
        <v>2229.027</v>
      </c>
      <c r="H99" s="35"/>
      <c r="I99" s="35"/>
      <c r="J99" s="51"/>
      <c r="K99" s="52">
        <f t="shared" si="82"/>
        <v>2229.027</v>
      </c>
      <c r="L99" s="35">
        <v>236.31</v>
      </c>
      <c r="M99" s="70"/>
      <c r="N99" s="35"/>
      <c r="O99" s="35">
        <v>0</v>
      </c>
      <c r="P99" s="71" t="s">
        <v>187</v>
      </c>
      <c r="Q99" s="71" t="s">
        <v>187</v>
      </c>
      <c r="R99" s="35"/>
      <c r="S99" s="33"/>
      <c r="T99" s="33"/>
      <c r="U99" s="34"/>
      <c r="V99" s="34">
        <v>0</v>
      </c>
      <c r="W99" s="52">
        <f t="shared" si="99"/>
        <v>1992.7170000000001</v>
      </c>
      <c r="X99" s="33">
        <f t="shared" si="100"/>
        <v>0</v>
      </c>
      <c r="Y99" s="52">
        <f t="shared" si="101"/>
        <v>1992.7170000000001</v>
      </c>
      <c r="Z99" s="33">
        <f t="shared" si="102"/>
        <v>222.90270000000001</v>
      </c>
      <c r="AA99" s="33">
        <v>10.23</v>
      </c>
      <c r="AB99" s="33" t="str">
        <f t="shared" si="103"/>
        <v>X</v>
      </c>
      <c r="AC99" s="52" t="e">
        <f t="shared" si="104"/>
        <v>#VALUE!</v>
      </c>
      <c r="AD99" s="59"/>
      <c r="AE99" s="59"/>
      <c r="AF99" s="53">
        <f t="shared" si="108"/>
        <v>-1992.7170000000001</v>
      </c>
      <c r="AG99" s="34"/>
      <c r="AH99" s="36" t="s">
        <v>230</v>
      </c>
    </row>
    <row r="100" spans="1:34" s="18" customFormat="1">
      <c r="A100" s="34" t="s">
        <v>44</v>
      </c>
      <c r="B100" s="34" t="s">
        <v>100</v>
      </c>
      <c r="C100" s="34"/>
      <c r="D100" s="34" t="s">
        <v>71</v>
      </c>
      <c r="E100" s="34" t="s">
        <v>178</v>
      </c>
      <c r="F100" s="57">
        <v>41949</v>
      </c>
      <c r="G100" s="35">
        <f>2296.2+7.428</f>
        <v>2303.6279999999997</v>
      </c>
      <c r="H100" s="35"/>
      <c r="I100" s="35"/>
      <c r="J100" s="51"/>
      <c r="K100" s="52">
        <f t="shared" si="82"/>
        <v>2303.6279999999997</v>
      </c>
      <c r="L100" s="35"/>
      <c r="M100" s="70"/>
      <c r="N100" s="35"/>
      <c r="O100" s="35">
        <v>250</v>
      </c>
      <c r="P100" s="71" t="s">
        <v>187</v>
      </c>
      <c r="Q100" s="71" t="s">
        <v>187</v>
      </c>
      <c r="R100" s="35"/>
      <c r="S100" s="33"/>
      <c r="T100" s="33"/>
      <c r="U100" s="34"/>
      <c r="V100" s="34">
        <v>0</v>
      </c>
      <c r="W100" s="52">
        <f t="shared" si="99"/>
        <v>2053.6279999999997</v>
      </c>
      <c r="X100" s="33">
        <f t="shared" si="100"/>
        <v>230.36279999999999</v>
      </c>
      <c r="Y100" s="52">
        <f t="shared" si="101"/>
        <v>1823.2651999999998</v>
      </c>
      <c r="Z100" s="33">
        <f t="shared" si="102"/>
        <v>0</v>
      </c>
      <c r="AA100" s="33">
        <v>10.23</v>
      </c>
      <c r="AB100" s="33" t="str">
        <f t="shared" si="103"/>
        <v>X</v>
      </c>
      <c r="AC100" s="52" t="e">
        <f t="shared" si="104"/>
        <v>#VALUE!</v>
      </c>
      <c r="AD100" s="59"/>
      <c r="AE100" s="60"/>
      <c r="AF100" s="53">
        <f t="shared" si="108"/>
        <v>-1823.2651999999998</v>
      </c>
      <c r="AG100" s="34"/>
      <c r="AH100" s="34"/>
    </row>
    <row r="101" spans="1:34" s="18" customFormat="1">
      <c r="A101" s="34" t="s">
        <v>42</v>
      </c>
      <c r="B101" s="34" t="s">
        <v>232</v>
      </c>
      <c r="C101" s="34"/>
      <c r="D101" s="34"/>
      <c r="E101" s="34" t="s">
        <v>177</v>
      </c>
      <c r="F101" s="57">
        <v>42756</v>
      </c>
      <c r="G101" s="35"/>
      <c r="H101" s="35"/>
      <c r="I101" s="35"/>
      <c r="J101" s="51"/>
      <c r="K101" s="52">
        <f t="shared" si="82"/>
        <v>0</v>
      </c>
      <c r="L101" s="35"/>
      <c r="M101" s="70"/>
      <c r="N101" s="35"/>
      <c r="O101" s="35"/>
      <c r="P101" s="71"/>
      <c r="Q101" s="71"/>
      <c r="R101" s="35"/>
      <c r="S101" s="33"/>
      <c r="T101" s="33"/>
      <c r="U101" s="34"/>
      <c r="V101" s="34"/>
      <c r="W101" s="52">
        <f t="shared" ref="W101:W104" si="116">+K101-SUM(L101:V101)</f>
        <v>0</v>
      </c>
      <c r="X101" s="33">
        <f t="shared" ref="X101:X104" si="117">IF(K101&gt;2250,K101*0.1,0)</f>
        <v>0</v>
      </c>
      <c r="Y101" s="52">
        <f t="shared" ref="Y101:Y104" si="118">+W101-X101</f>
        <v>0</v>
      </c>
      <c r="Z101" s="33"/>
      <c r="AA101" s="33"/>
      <c r="AB101" s="33"/>
      <c r="AC101" s="52"/>
      <c r="AD101" s="59"/>
      <c r="AE101" s="60"/>
      <c r="AF101" s="53"/>
      <c r="AG101" s="34">
        <v>2694658981</v>
      </c>
      <c r="AH101" s="34"/>
    </row>
    <row r="102" spans="1:34" s="18" customFormat="1">
      <c r="A102" s="34" t="s">
        <v>42</v>
      </c>
      <c r="B102" s="34" t="s">
        <v>36</v>
      </c>
      <c r="C102" s="34"/>
      <c r="D102" s="34" t="s">
        <v>50</v>
      </c>
      <c r="E102" s="34" t="s">
        <v>87</v>
      </c>
      <c r="F102" s="57">
        <v>42129</v>
      </c>
      <c r="G102" s="35">
        <f>5613.6+13.099</f>
        <v>5626.6990000000005</v>
      </c>
      <c r="H102" s="35"/>
      <c r="I102" s="35"/>
      <c r="J102" s="51"/>
      <c r="K102" s="52">
        <f t="shared" si="82"/>
        <v>5626.6990000000005</v>
      </c>
      <c r="L102" s="35"/>
      <c r="M102" s="70"/>
      <c r="N102" s="35"/>
      <c r="O102" s="35">
        <v>0</v>
      </c>
      <c r="P102" s="71"/>
      <c r="Q102" s="71"/>
      <c r="R102" s="35"/>
      <c r="S102" s="33"/>
      <c r="T102" s="33"/>
      <c r="U102" s="34"/>
      <c r="V102" s="34">
        <v>0</v>
      </c>
      <c r="W102" s="52">
        <f t="shared" si="116"/>
        <v>5626.6990000000005</v>
      </c>
      <c r="X102" s="33">
        <f t="shared" si="117"/>
        <v>562.6699000000001</v>
      </c>
      <c r="Y102" s="52">
        <f t="shared" si="118"/>
        <v>5064.0291000000007</v>
      </c>
      <c r="Z102" s="33">
        <f t="shared" si="102"/>
        <v>0</v>
      </c>
      <c r="AA102" s="33">
        <v>10.23</v>
      </c>
      <c r="AB102" s="33">
        <f t="shared" si="103"/>
        <v>0</v>
      </c>
      <c r="AC102" s="52">
        <f t="shared" si="104"/>
        <v>5636.9290000000001</v>
      </c>
      <c r="AD102" s="59"/>
      <c r="AE102" s="60"/>
      <c r="AF102" s="53">
        <f t="shared" si="108"/>
        <v>-5064.0291000000007</v>
      </c>
      <c r="AG102" s="34"/>
      <c r="AH102" s="36"/>
    </row>
    <row r="103" spans="1:34" s="18" customFormat="1">
      <c r="A103" s="34" t="s">
        <v>42</v>
      </c>
      <c r="B103" s="34" t="s">
        <v>248</v>
      </c>
      <c r="C103" s="34"/>
      <c r="D103" s="34"/>
      <c r="E103" s="34" t="s">
        <v>177</v>
      </c>
      <c r="F103" s="57">
        <v>42761</v>
      </c>
      <c r="G103" s="35"/>
      <c r="H103" s="35"/>
      <c r="I103" s="35"/>
      <c r="J103" s="51"/>
      <c r="K103" s="52">
        <f t="shared" si="82"/>
        <v>0</v>
      </c>
      <c r="L103" s="35"/>
      <c r="M103" s="70"/>
      <c r="N103" s="35"/>
      <c r="O103" s="35"/>
      <c r="P103" s="71"/>
      <c r="Q103" s="71"/>
      <c r="R103" s="35"/>
      <c r="S103" s="33"/>
      <c r="T103" s="33"/>
      <c r="U103" s="34"/>
      <c r="V103" s="34"/>
      <c r="W103" s="52">
        <f t="shared" ref="W103" si="119">+K103-SUM(L103:V103)</f>
        <v>0</v>
      </c>
      <c r="X103" s="33">
        <f t="shared" ref="X103" si="120">IF(K103&gt;2250,K103*0.1,0)</f>
        <v>0</v>
      </c>
      <c r="Y103" s="52">
        <f t="shared" ref="Y103" si="121">+W103-X103</f>
        <v>0</v>
      </c>
      <c r="Z103" s="33">
        <f t="shared" ref="Z103" si="122">IF(K103&lt;2250,K103*0.1,0)</f>
        <v>0</v>
      </c>
      <c r="AA103" s="33">
        <v>10.23</v>
      </c>
      <c r="AB103" s="33">
        <f t="shared" ref="AB103" si="123">+P103</f>
        <v>0</v>
      </c>
      <c r="AC103" s="52">
        <f t="shared" ref="AC103" si="124">+K103+Z103+AA103+AB103</f>
        <v>10.23</v>
      </c>
      <c r="AD103" s="59"/>
      <c r="AE103" s="60"/>
      <c r="AF103" s="53">
        <f t="shared" ref="AF103" si="125">+AD103+AE103-Y103</f>
        <v>0</v>
      </c>
      <c r="AG103" s="36">
        <v>1508479828</v>
      </c>
      <c r="AH103" s="36"/>
    </row>
    <row r="104" spans="1:34" s="102" customFormat="1">
      <c r="A104" s="91" t="s">
        <v>42</v>
      </c>
      <c r="B104" s="91" t="s">
        <v>233</v>
      </c>
      <c r="C104" s="91"/>
      <c r="D104" s="91"/>
      <c r="E104" s="91" t="s">
        <v>177</v>
      </c>
      <c r="F104" s="92">
        <v>42754</v>
      </c>
      <c r="G104" s="93"/>
      <c r="H104" s="93"/>
      <c r="I104" s="93"/>
      <c r="J104" s="94"/>
      <c r="K104" s="41">
        <f t="shared" si="82"/>
        <v>0</v>
      </c>
      <c r="L104" s="93"/>
      <c r="M104" s="95"/>
      <c r="N104" s="93"/>
      <c r="O104" s="93"/>
      <c r="P104" s="96"/>
      <c r="Q104" s="96"/>
      <c r="R104" s="93"/>
      <c r="S104" s="97"/>
      <c r="T104" s="97"/>
      <c r="U104" s="91"/>
      <c r="V104" s="91"/>
      <c r="W104" s="41">
        <f t="shared" si="116"/>
        <v>0</v>
      </c>
      <c r="X104" s="97">
        <f t="shared" si="117"/>
        <v>0</v>
      </c>
      <c r="Y104" s="41">
        <f t="shared" si="118"/>
        <v>0</v>
      </c>
      <c r="Z104" s="97"/>
      <c r="AA104" s="97"/>
      <c r="AB104" s="97"/>
      <c r="AC104" s="41"/>
      <c r="AD104" s="98"/>
      <c r="AE104" s="99"/>
      <c r="AF104" s="100"/>
      <c r="AG104" s="91">
        <v>1507097980</v>
      </c>
      <c r="AH104" s="101" t="s">
        <v>251</v>
      </c>
    </row>
    <row r="105" spans="1:34" s="18" customFormat="1">
      <c r="A105" s="34" t="s">
        <v>42</v>
      </c>
      <c r="B105" s="34" t="s">
        <v>137</v>
      </c>
      <c r="C105" s="34"/>
      <c r="D105" s="34"/>
      <c r="E105" s="34" t="s">
        <v>177</v>
      </c>
      <c r="F105" s="57">
        <v>42422</v>
      </c>
      <c r="G105" s="35">
        <f>4125.24+13.099</f>
        <v>4138.3389999999999</v>
      </c>
      <c r="H105" s="35"/>
      <c r="I105" s="35"/>
      <c r="J105" s="51"/>
      <c r="K105" s="52">
        <f t="shared" si="82"/>
        <v>4138.3389999999999</v>
      </c>
      <c r="L105" s="35"/>
      <c r="M105" s="70"/>
      <c r="N105" s="35"/>
      <c r="O105" s="35">
        <v>0</v>
      </c>
      <c r="P105" s="71"/>
      <c r="Q105" s="71"/>
      <c r="R105" s="35"/>
      <c r="S105" s="33"/>
      <c r="T105" s="33"/>
      <c r="U105" s="34"/>
      <c r="V105" s="34">
        <v>0</v>
      </c>
      <c r="W105" s="52">
        <f t="shared" ref="W105" si="126">+K105-SUM(L105:V105)</f>
        <v>4138.3389999999999</v>
      </c>
      <c r="X105" s="33">
        <f t="shared" ref="X105" si="127">IF(K105&gt;2250,K105*0.1,0)</f>
        <v>413.83390000000003</v>
      </c>
      <c r="Y105" s="52">
        <f t="shared" ref="Y105" si="128">+W105-X105</f>
        <v>3724.5050999999999</v>
      </c>
      <c r="Z105" s="33">
        <f t="shared" si="102"/>
        <v>0</v>
      </c>
      <c r="AA105" s="33">
        <v>10.23</v>
      </c>
      <c r="AB105" s="33">
        <f t="shared" si="103"/>
        <v>0</v>
      </c>
      <c r="AC105" s="52">
        <f t="shared" si="104"/>
        <v>4148.5689999999995</v>
      </c>
      <c r="AD105" s="59"/>
      <c r="AE105" s="60"/>
      <c r="AF105" s="53">
        <f t="shared" si="108"/>
        <v>-3724.5050999999999</v>
      </c>
      <c r="AG105" s="34"/>
      <c r="AH105" s="36"/>
    </row>
    <row r="106" spans="1:34" s="18" customFormat="1">
      <c r="A106" s="34" t="s">
        <v>44</v>
      </c>
      <c r="B106" s="34" t="s">
        <v>152</v>
      </c>
      <c r="C106" s="34"/>
      <c r="D106" s="34" t="s">
        <v>72</v>
      </c>
      <c r="E106" s="34" t="s">
        <v>181</v>
      </c>
      <c r="F106" s="57">
        <v>41227</v>
      </c>
      <c r="G106" s="35">
        <f>4529.836+3.736+3185.85</f>
        <v>7719.4220000000005</v>
      </c>
      <c r="H106" s="35"/>
      <c r="I106" s="35"/>
      <c r="J106" s="51"/>
      <c r="K106" s="52">
        <f t="shared" si="82"/>
        <v>7719.4220000000005</v>
      </c>
      <c r="L106" s="35">
        <v>209.76</v>
      </c>
      <c r="M106" s="70"/>
      <c r="N106" s="35"/>
      <c r="O106" s="35">
        <v>400</v>
      </c>
      <c r="P106" s="71" t="s">
        <v>187</v>
      </c>
      <c r="Q106" s="71" t="s">
        <v>187</v>
      </c>
      <c r="R106" s="35">
        <v>343.11</v>
      </c>
      <c r="S106" s="33"/>
      <c r="T106" s="33"/>
      <c r="U106" s="34"/>
      <c r="V106" s="34">
        <v>0</v>
      </c>
      <c r="W106" s="52">
        <f t="shared" si="99"/>
        <v>6766.5520000000006</v>
      </c>
      <c r="X106" s="33">
        <f t="shared" si="100"/>
        <v>771.94220000000007</v>
      </c>
      <c r="Y106" s="52">
        <f t="shared" si="101"/>
        <v>5994.6098000000002</v>
      </c>
      <c r="Z106" s="33">
        <f t="shared" si="102"/>
        <v>0</v>
      </c>
      <c r="AA106" s="33">
        <v>10.23</v>
      </c>
      <c r="AB106" s="33" t="str">
        <f t="shared" si="103"/>
        <v>X</v>
      </c>
      <c r="AC106" s="52" t="e">
        <f t="shared" si="104"/>
        <v>#VALUE!</v>
      </c>
      <c r="AD106" s="59"/>
      <c r="AE106" s="59"/>
      <c r="AF106" s="53">
        <f t="shared" si="108"/>
        <v>-5994.6098000000002</v>
      </c>
      <c r="AG106" s="34"/>
      <c r="AH106" s="36" t="s">
        <v>230</v>
      </c>
    </row>
    <row r="107" spans="1:34" s="18" customFormat="1">
      <c r="A107" s="34" t="s">
        <v>42</v>
      </c>
      <c r="B107" s="34" t="s">
        <v>202</v>
      </c>
      <c r="C107" s="34"/>
      <c r="D107" s="34"/>
      <c r="E107" s="34" t="s">
        <v>87</v>
      </c>
      <c r="F107" s="57">
        <v>42671</v>
      </c>
      <c r="G107" s="35">
        <f>1281.066+5.571</f>
        <v>1286.6369999999999</v>
      </c>
      <c r="H107" s="35"/>
      <c r="I107" s="35"/>
      <c r="J107" s="51"/>
      <c r="K107" s="52">
        <f t="shared" si="82"/>
        <v>1286.6369999999999</v>
      </c>
      <c r="L107" s="35"/>
      <c r="M107" s="70"/>
      <c r="N107" s="35"/>
      <c r="O107" s="35"/>
      <c r="P107" s="71"/>
      <c r="Q107" s="71"/>
      <c r="R107" s="35"/>
      <c r="S107" s="33"/>
      <c r="T107" s="33"/>
      <c r="U107" s="34"/>
      <c r="V107" s="34"/>
      <c r="W107" s="52">
        <f t="shared" ref="W107" si="129">+K107-SUM(L107:V107)</f>
        <v>1286.6369999999999</v>
      </c>
      <c r="X107" s="33">
        <f t="shared" ref="X107" si="130">IF(K107&gt;2250,K107*0.1,0)</f>
        <v>0</v>
      </c>
      <c r="Y107" s="52">
        <f t="shared" si="101"/>
        <v>1286.6369999999999</v>
      </c>
      <c r="Z107" s="33"/>
      <c r="AA107" s="33"/>
      <c r="AB107" s="33"/>
      <c r="AC107" s="52"/>
      <c r="AD107" s="59"/>
      <c r="AE107" s="59"/>
      <c r="AF107" s="53"/>
      <c r="AG107" s="36" t="s">
        <v>208</v>
      </c>
      <c r="AH107" s="36" t="s">
        <v>209</v>
      </c>
    </row>
    <row r="108" spans="1:34" s="18" customFormat="1">
      <c r="A108" s="34" t="s">
        <v>44</v>
      </c>
      <c r="B108" s="34" t="s">
        <v>223</v>
      </c>
      <c r="C108" s="34"/>
      <c r="D108" s="34"/>
      <c r="E108" s="34" t="s">
        <v>177</v>
      </c>
      <c r="F108" s="57">
        <v>42746</v>
      </c>
      <c r="G108" s="35">
        <v>732.20799999999997</v>
      </c>
      <c r="H108" s="35"/>
      <c r="I108" s="35"/>
      <c r="J108" s="51"/>
      <c r="K108" s="52">
        <f t="shared" si="82"/>
        <v>732.20799999999997</v>
      </c>
      <c r="L108" s="35"/>
      <c r="M108" s="70">
        <v>1</v>
      </c>
      <c r="N108" s="35"/>
      <c r="O108" s="35"/>
      <c r="P108" s="71"/>
      <c r="Q108" s="71"/>
      <c r="R108" s="35"/>
      <c r="S108" s="33"/>
      <c r="T108" s="33"/>
      <c r="U108" s="34"/>
      <c r="V108" s="34"/>
      <c r="W108" s="52">
        <f t="shared" ref="W108" si="131">+K108-SUM(L108:V108)</f>
        <v>731.20799999999997</v>
      </c>
      <c r="X108" s="33">
        <f t="shared" ref="X108" si="132">IF(K108&gt;2250,K108*0.1,0)</f>
        <v>0</v>
      </c>
      <c r="Y108" s="52">
        <f t="shared" ref="Y108" si="133">+W108-X108</f>
        <v>731.20799999999997</v>
      </c>
      <c r="Z108" s="33"/>
      <c r="AA108" s="33"/>
      <c r="AB108" s="33"/>
      <c r="AC108" s="52"/>
      <c r="AD108" s="59"/>
      <c r="AE108" s="60"/>
      <c r="AF108" s="53"/>
      <c r="AG108" s="36">
        <v>1505830788</v>
      </c>
      <c r="AH108" s="34"/>
    </row>
    <row r="109" spans="1:34" s="18" customFormat="1">
      <c r="A109" s="34" t="s">
        <v>44</v>
      </c>
      <c r="B109" s="34" t="s">
        <v>211</v>
      </c>
      <c r="C109" s="34"/>
      <c r="D109" s="34"/>
      <c r="E109" s="34" t="s">
        <v>177</v>
      </c>
      <c r="F109" s="57">
        <v>42699</v>
      </c>
      <c r="G109" s="35">
        <v>322.25400000000002</v>
      </c>
      <c r="H109" s="35"/>
      <c r="I109" s="35"/>
      <c r="J109" s="51"/>
      <c r="K109" s="52">
        <f t="shared" si="82"/>
        <v>322.25400000000002</v>
      </c>
      <c r="L109" s="35"/>
      <c r="M109" s="70"/>
      <c r="N109" s="35"/>
      <c r="O109" s="35"/>
      <c r="P109" s="71"/>
      <c r="Q109" s="71"/>
      <c r="R109" s="35"/>
      <c r="S109" s="33"/>
      <c r="T109" s="33"/>
      <c r="U109" s="34"/>
      <c r="V109" s="34"/>
      <c r="W109" s="52">
        <f t="shared" ref="W109" si="134">+K109-SUM(L109:V109)</f>
        <v>322.25400000000002</v>
      </c>
      <c r="X109" s="33">
        <f t="shared" ref="X109" si="135">IF(K109&gt;2250,K109*0.1,0)</f>
        <v>0</v>
      </c>
      <c r="Y109" s="52">
        <f t="shared" ref="Y109" si="136">+W109-X109</f>
        <v>322.25400000000002</v>
      </c>
      <c r="Z109" s="33"/>
      <c r="AA109" s="33"/>
      <c r="AB109" s="33"/>
      <c r="AC109" s="52"/>
      <c r="AD109" s="59"/>
      <c r="AE109" s="60"/>
      <c r="AF109" s="53"/>
      <c r="AG109" s="36">
        <v>1504068599</v>
      </c>
      <c r="AH109" s="34" t="s">
        <v>222</v>
      </c>
    </row>
    <row r="110" spans="1:34" s="18" customFormat="1">
      <c r="A110" s="34" t="s">
        <v>44</v>
      </c>
      <c r="B110" s="34" t="s">
        <v>193</v>
      </c>
      <c r="C110" s="34"/>
      <c r="D110" s="34"/>
      <c r="E110" s="34" t="s">
        <v>177</v>
      </c>
      <c r="F110" s="57">
        <v>42635</v>
      </c>
      <c r="G110" s="35">
        <v>820</v>
      </c>
      <c r="H110" s="35"/>
      <c r="I110" s="35"/>
      <c r="J110" s="51"/>
      <c r="K110" s="52">
        <f t="shared" si="82"/>
        <v>820</v>
      </c>
      <c r="L110" s="35"/>
      <c r="M110" s="70"/>
      <c r="N110" s="35"/>
      <c r="O110" s="35"/>
      <c r="P110" s="71"/>
      <c r="Q110" s="71"/>
      <c r="R110" s="35"/>
      <c r="S110" s="33"/>
      <c r="T110" s="33"/>
      <c r="U110" s="34"/>
      <c r="V110" s="34"/>
      <c r="W110" s="52">
        <f t="shared" ref="W110" si="137">+K110-SUM(L110:V110)</f>
        <v>820</v>
      </c>
      <c r="X110" s="33">
        <f t="shared" ref="X110" si="138">IF(K110&gt;2250,K110*0.1,0)</f>
        <v>0</v>
      </c>
      <c r="Y110" s="52">
        <f t="shared" ref="Y110" si="139">+W110-X110</f>
        <v>820</v>
      </c>
      <c r="Z110" s="33"/>
      <c r="AA110" s="33"/>
      <c r="AB110" s="33"/>
      <c r="AC110" s="52"/>
      <c r="AD110" s="59"/>
      <c r="AE110" s="59"/>
      <c r="AF110" s="53"/>
      <c r="AG110" s="34">
        <v>1133340031</v>
      </c>
      <c r="AH110" s="34"/>
    </row>
    <row r="111" spans="1:34" s="18" customFormat="1">
      <c r="A111" s="34" t="s">
        <v>44</v>
      </c>
      <c r="B111" s="34" t="s">
        <v>154</v>
      </c>
      <c r="C111" s="34"/>
      <c r="D111" s="34" t="s">
        <v>73</v>
      </c>
      <c r="E111" s="34" t="s">
        <v>181</v>
      </c>
      <c r="F111" s="57">
        <v>41703</v>
      </c>
      <c r="G111" s="35">
        <v>1046.4079999999999</v>
      </c>
      <c r="H111" s="35"/>
      <c r="I111" s="35"/>
      <c r="J111" s="51"/>
      <c r="K111" s="52">
        <f t="shared" si="82"/>
        <v>1046.4079999999999</v>
      </c>
      <c r="L111" s="35"/>
      <c r="M111" s="70"/>
      <c r="N111" s="35"/>
      <c r="O111" s="35">
        <v>0</v>
      </c>
      <c r="P111" s="71" t="s">
        <v>187</v>
      </c>
      <c r="Q111" s="71" t="s">
        <v>187</v>
      </c>
      <c r="R111" s="35"/>
      <c r="S111" s="33"/>
      <c r="T111" s="33"/>
      <c r="U111" s="34"/>
      <c r="V111" s="34">
        <v>0</v>
      </c>
      <c r="W111" s="52">
        <f t="shared" si="99"/>
        <v>1046.4079999999999</v>
      </c>
      <c r="X111" s="33">
        <f t="shared" si="100"/>
        <v>0</v>
      </c>
      <c r="Y111" s="52">
        <f t="shared" si="101"/>
        <v>1046.4079999999999</v>
      </c>
      <c r="Z111" s="33">
        <f t="shared" si="102"/>
        <v>104.6408</v>
      </c>
      <c r="AA111" s="33">
        <v>10.23</v>
      </c>
      <c r="AB111" s="33" t="str">
        <f t="shared" si="103"/>
        <v>X</v>
      </c>
      <c r="AC111" s="52" t="e">
        <f t="shared" si="104"/>
        <v>#VALUE!</v>
      </c>
      <c r="AD111" s="59"/>
      <c r="AE111" s="59"/>
      <c r="AF111" s="53">
        <f t="shared" si="108"/>
        <v>-1046.4079999999999</v>
      </c>
      <c r="AG111" s="34"/>
      <c r="AH111" s="34"/>
    </row>
    <row r="112" spans="1:34" s="18" customFormat="1">
      <c r="A112" s="34" t="s">
        <v>44</v>
      </c>
      <c r="B112" s="34" t="s">
        <v>96</v>
      </c>
      <c r="C112" s="34"/>
      <c r="D112" s="34" t="s">
        <v>74</v>
      </c>
      <c r="E112" s="34" t="s">
        <v>181</v>
      </c>
      <c r="F112" s="57">
        <v>41291</v>
      </c>
      <c r="G112" s="35">
        <f>2599.803+2.599+46.24</f>
        <v>2648.6419999999998</v>
      </c>
      <c r="H112" s="35"/>
      <c r="I112" s="35"/>
      <c r="J112" s="51"/>
      <c r="K112" s="52">
        <f t="shared" si="82"/>
        <v>2648.6419999999998</v>
      </c>
      <c r="L112" s="35">
        <v>216.71</v>
      </c>
      <c r="M112" s="70"/>
      <c r="N112" s="35"/>
      <c r="O112" s="35">
        <v>200</v>
      </c>
      <c r="P112" s="71" t="s">
        <v>187</v>
      </c>
      <c r="Q112" s="71" t="s">
        <v>187</v>
      </c>
      <c r="R112" s="35">
        <v>343.11</v>
      </c>
      <c r="S112" s="33"/>
      <c r="T112" s="33"/>
      <c r="U112" s="34"/>
      <c r="V112" s="34">
        <v>0</v>
      </c>
      <c r="W112" s="52">
        <f t="shared" si="99"/>
        <v>1888.8219999999997</v>
      </c>
      <c r="X112" s="33">
        <f t="shared" si="100"/>
        <v>264.86419999999998</v>
      </c>
      <c r="Y112" s="52">
        <f t="shared" si="101"/>
        <v>1623.9577999999997</v>
      </c>
      <c r="Z112" s="33">
        <f t="shared" si="102"/>
        <v>0</v>
      </c>
      <c r="AA112" s="33">
        <v>10.23</v>
      </c>
      <c r="AB112" s="33" t="str">
        <f t="shared" si="103"/>
        <v>X</v>
      </c>
      <c r="AC112" s="52" t="e">
        <f t="shared" si="104"/>
        <v>#VALUE!</v>
      </c>
      <c r="AD112" s="59"/>
      <c r="AE112" s="59"/>
      <c r="AF112" s="53">
        <f t="shared" si="108"/>
        <v>-1623.9577999999997</v>
      </c>
      <c r="AG112" s="34"/>
      <c r="AH112" s="36" t="s">
        <v>230</v>
      </c>
    </row>
    <row r="113" spans="1:188" s="18" customFormat="1">
      <c r="A113" s="34" t="s">
        <v>42</v>
      </c>
      <c r="B113" s="34" t="s">
        <v>106</v>
      </c>
      <c r="C113" s="34"/>
      <c r="D113" s="34" t="s">
        <v>51</v>
      </c>
      <c r="E113" s="34" t="s">
        <v>87</v>
      </c>
      <c r="F113" s="57">
        <v>41666</v>
      </c>
      <c r="G113" s="35">
        <f>3407.988+7.428</f>
        <v>3415.4159999999997</v>
      </c>
      <c r="H113" s="35"/>
      <c r="I113" s="35"/>
      <c r="J113" s="51"/>
      <c r="K113" s="52">
        <f t="shared" si="82"/>
        <v>3415.4159999999997</v>
      </c>
      <c r="L113" s="35"/>
      <c r="M113" s="70"/>
      <c r="N113" s="35"/>
      <c r="O113" s="35">
        <v>200</v>
      </c>
      <c r="P113" s="71"/>
      <c r="Q113" s="71"/>
      <c r="R113" s="35"/>
      <c r="S113" s="33"/>
      <c r="T113" s="33"/>
      <c r="U113" s="34"/>
      <c r="V113" s="34">
        <v>0</v>
      </c>
      <c r="W113" s="52">
        <f t="shared" si="99"/>
        <v>3215.4159999999997</v>
      </c>
      <c r="X113" s="33">
        <f t="shared" si="100"/>
        <v>341.54160000000002</v>
      </c>
      <c r="Y113" s="52">
        <f t="shared" si="101"/>
        <v>2873.8743999999997</v>
      </c>
      <c r="Z113" s="33">
        <f t="shared" si="102"/>
        <v>0</v>
      </c>
      <c r="AA113" s="33">
        <v>10.23</v>
      </c>
      <c r="AB113" s="33">
        <f t="shared" si="103"/>
        <v>0</v>
      </c>
      <c r="AC113" s="52">
        <f t="shared" si="104"/>
        <v>3425.6459999999997</v>
      </c>
      <c r="AD113" s="59"/>
      <c r="AE113" s="60"/>
      <c r="AF113" s="53">
        <f t="shared" si="108"/>
        <v>-2873.8743999999997</v>
      </c>
      <c r="AG113" s="34"/>
      <c r="AH113" s="34"/>
    </row>
    <row r="114" spans="1:188" s="18" customFormat="1">
      <c r="A114" s="34" t="s">
        <v>44</v>
      </c>
      <c r="B114" s="34" t="s">
        <v>226</v>
      </c>
      <c r="C114" s="34"/>
      <c r="D114" s="34"/>
      <c r="E114" s="34" t="s">
        <v>177</v>
      </c>
      <c r="F114" s="57">
        <v>42752</v>
      </c>
      <c r="G114" s="35">
        <v>470.85399999999998</v>
      </c>
      <c r="H114" s="35"/>
      <c r="I114" s="35"/>
      <c r="J114" s="51"/>
      <c r="K114" s="52">
        <f t="shared" si="82"/>
        <v>470.85399999999998</v>
      </c>
      <c r="L114" s="35"/>
      <c r="M114" s="70"/>
      <c r="N114" s="35"/>
      <c r="O114" s="35"/>
      <c r="P114" s="71"/>
      <c r="Q114" s="71"/>
      <c r="R114" s="35"/>
      <c r="S114" s="33"/>
      <c r="T114" s="33"/>
      <c r="U114" s="34"/>
      <c r="V114" s="34"/>
      <c r="W114" s="52">
        <f t="shared" ref="W114" si="140">+K114-SUM(L114:V114)</f>
        <v>470.85399999999998</v>
      </c>
      <c r="X114" s="33">
        <f t="shared" ref="X114" si="141">IF(K114&gt;2250,K114*0.1,0)</f>
        <v>0</v>
      </c>
      <c r="Y114" s="52">
        <f t="shared" ref="Y114" si="142">+W114-X114</f>
        <v>470.85399999999998</v>
      </c>
      <c r="Z114" s="33"/>
      <c r="AA114" s="33"/>
      <c r="AB114" s="33"/>
      <c r="AC114" s="52"/>
      <c r="AD114" s="59"/>
      <c r="AE114" s="60"/>
      <c r="AF114" s="53"/>
      <c r="AG114" s="36">
        <v>1506665861</v>
      </c>
      <c r="AH114" s="36"/>
    </row>
    <row r="115" spans="1:188" s="18" customFormat="1">
      <c r="A115" s="34" t="s">
        <v>44</v>
      </c>
      <c r="B115" s="34" t="s">
        <v>176</v>
      </c>
      <c r="C115" s="34"/>
      <c r="D115" s="34" t="s">
        <v>75</v>
      </c>
      <c r="E115" s="34" t="s">
        <v>180</v>
      </c>
      <c r="F115" s="57">
        <v>29733</v>
      </c>
      <c r="G115" s="35">
        <f>3356.807+3.714</f>
        <v>3360.5209999999997</v>
      </c>
      <c r="H115" s="35"/>
      <c r="I115" s="35"/>
      <c r="J115" s="51"/>
      <c r="K115" s="52">
        <f t="shared" si="82"/>
        <v>3360.5209999999997</v>
      </c>
      <c r="L115" s="35">
        <v>470.2</v>
      </c>
      <c r="M115" s="70"/>
      <c r="N115" s="35"/>
      <c r="O115" s="35">
        <v>50</v>
      </c>
      <c r="P115" s="71" t="s">
        <v>187</v>
      </c>
      <c r="Q115" s="71" t="s">
        <v>187</v>
      </c>
      <c r="R115" s="35"/>
      <c r="S115" s="33"/>
      <c r="T115" s="33"/>
      <c r="U115" s="34"/>
      <c r="V115" s="34">
        <v>0</v>
      </c>
      <c r="W115" s="52">
        <f t="shared" si="99"/>
        <v>2840.3209999999999</v>
      </c>
      <c r="X115" s="33">
        <f t="shared" si="100"/>
        <v>336.0521</v>
      </c>
      <c r="Y115" s="52">
        <f t="shared" si="101"/>
        <v>2504.2689</v>
      </c>
      <c r="Z115" s="33">
        <f t="shared" si="102"/>
        <v>0</v>
      </c>
      <c r="AA115" s="33">
        <v>10.23</v>
      </c>
      <c r="AB115" s="33" t="str">
        <f t="shared" si="103"/>
        <v>X</v>
      </c>
      <c r="AC115" s="52" t="e">
        <f t="shared" si="104"/>
        <v>#VALUE!</v>
      </c>
      <c r="AD115" s="59"/>
      <c r="AE115" s="60"/>
      <c r="AF115" s="53">
        <f t="shared" si="108"/>
        <v>-2504.2689</v>
      </c>
      <c r="AG115" s="34"/>
      <c r="AH115" s="36" t="s">
        <v>230</v>
      </c>
    </row>
    <row r="116" spans="1:188" s="18" customFormat="1">
      <c r="A116" s="34" t="s">
        <v>42</v>
      </c>
      <c r="B116" s="34" t="s">
        <v>186</v>
      </c>
      <c r="C116" s="34"/>
      <c r="D116" s="34"/>
      <c r="E116" s="34" t="s">
        <v>215</v>
      </c>
      <c r="F116" s="57">
        <v>42604</v>
      </c>
      <c r="G116" s="35">
        <v>241.33799999999999</v>
      </c>
      <c r="H116" s="35"/>
      <c r="I116" s="35"/>
      <c r="J116" s="51"/>
      <c r="K116" s="52">
        <f t="shared" si="82"/>
        <v>241.33799999999999</v>
      </c>
      <c r="L116" s="35"/>
      <c r="M116" s="70"/>
      <c r="N116" s="35"/>
      <c r="O116" s="35"/>
      <c r="P116" s="71"/>
      <c r="Q116" s="71"/>
      <c r="R116" s="35"/>
      <c r="S116" s="33"/>
      <c r="T116" s="33"/>
      <c r="U116" s="34"/>
      <c r="V116" s="34"/>
      <c r="W116" s="52">
        <f t="shared" ref="W116" si="143">+K116-SUM(L116:V116)</f>
        <v>241.33799999999999</v>
      </c>
      <c r="X116" s="33">
        <f t="shared" ref="X116" si="144">IF(K116&gt;2250,K116*0.1,0)</f>
        <v>0</v>
      </c>
      <c r="Y116" s="52">
        <f t="shared" ref="Y116" si="145">+W116-X116</f>
        <v>241.33799999999999</v>
      </c>
      <c r="Z116" s="33"/>
      <c r="AA116" s="33"/>
      <c r="AB116" s="33"/>
      <c r="AC116" s="52"/>
      <c r="AD116" s="59"/>
      <c r="AE116" s="66"/>
      <c r="AF116" s="53"/>
      <c r="AG116" s="34">
        <v>1258728771</v>
      </c>
      <c r="AH116" s="34"/>
    </row>
    <row r="117" spans="1:188" s="18" customFormat="1">
      <c r="A117" s="34" t="s">
        <v>42</v>
      </c>
      <c r="B117" s="34" t="s">
        <v>37</v>
      </c>
      <c r="C117" s="34"/>
      <c r="D117" s="34" t="s">
        <v>53</v>
      </c>
      <c r="E117" s="34" t="s">
        <v>87</v>
      </c>
      <c r="F117" s="57">
        <v>42361</v>
      </c>
      <c r="G117" s="35">
        <f>2246.538+7.428</f>
        <v>2253.9659999999999</v>
      </c>
      <c r="H117" s="35"/>
      <c r="I117" s="35"/>
      <c r="J117" s="51"/>
      <c r="K117" s="52">
        <f t="shared" si="82"/>
        <v>2253.9659999999999</v>
      </c>
      <c r="L117" s="35"/>
      <c r="M117" s="70"/>
      <c r="N117" s="35"/>
      <c r="O117" s="35">
        <v>0</v>
      </c>
      <c r="P117" s="71"/>
      <c r="Q117" s="71"/>
      <c r="R117" s="35"/>
      <c r="S117" s="33"/>
      <c r="T117" s="33"/>
      <c r="U117" s="34"/>
      <c r="V117" s="34">
        <v>0</v>
      </c>
      <c r="W117" s="52">
        <f>+K117-SUM(L117:V117)</f>
        <v>2253.9659999999999</v>
      </c>
      <c r="X117" s="33">
        <f>IF(K117&gt;2250,K117*0.1,0)</f>
        <v>225.39660000000001</v>
      </c>
      <c r="Y117" s="52">
        <f>+W117-X117</f>
        <v>2028.5693999999999</v>
      </c>
      <c r="Z117" s="33">
        <f>IF(K117&lt;2250,K117*0.1,0)</f>
        <v>0</v>
      </c>
      <c r="AA117" s="33">
        <v>10.23</v>
      </c>
      <c r="AB117" s="33">
        <f>+P117</f>
        <v>0</v>
      </c>
      <c r="AC117" s="52">
        <f>+K117+Z117+AA117+AB117</f>
        <v>2264.1959999999999</v>
      </c>
      <c r="AD117" s="59"/>
      <c r="AE117" s="65"/>
      <c r="AF117" s="53">
        <f>+AD117+AE117-Y117</f>
        <v>-2028.5693999999999</v>
      </c>
      <c r="AG117" s="34"/>
      <c r="AH117" s="36"/>
    </row>
    <row r="118" spans="1:188" s="18" customFormat="1">
      <c r="A118" s="34" t="s">
        <v>42</v>
      </c>
      <c r="B118" s="34" t="s">
        <v>105</v>
      </c>
      <c r="C118" s="34"/>
      <c r="D118" s="34" t="s">
        <v>52</v>
      </c>
      <c r="E118" s="34" t="s">
        <v>87</v>
      </c>
      <c r="F118" s="57">
        <v>41549</v>
      </c>
      <c r="G118" s="35">
        <f>5574.967+13.099</f>
        <v>5588.0659999999998</v>
      </c>
      <c r="H118" s="35"/>
      <c r="I118" s="35"/>
      <c r="J118" s="51"/>
      <c r="K118" s="52">
        <f t="shared" si="82"/>
        <v>5588.0659999999998</v>
      </c>
      <c r="L118" s="35"/>
      <c r="M118" s="70"/>
      <c r="N118" s="35"/>
      <c r="O118" s="35">
        <v>500</v>
      </c>
      <c r="P118" s="71"/>
      <c r="Q118" s="71"/>
      <c r="R118" s="35"/>
      <c r="S118" s="33"/>
      <c r="T118" s="33"/>
      <c r="U118" s="34"/>
      <c r="V118" s="34">
        <v>0</v>
      </c>
      <c r="W118" s="52">
        <f>+K118-SUM(L118:V118)</f>
        <v>5088.0659999999998</v>
      </c>
      <c r="X118" s="33">
        <f>IF(K118&gt;2250,K118*0.1,0)</f>
        <v>558.8066</v>
      </c>
      <c r="Y118" s="52">
        <f>+W118-X118</f>
        <v>4529.2593999999999</v>
      </c>
      <c r="Z118" s="33">
        <f>IF(K118&lt;2250,K118*0.1,0)</f>
        <v>0</v>
      </c>
      <c r="AA118" s="33">
        <v>10.23</v>
      </c>
      <c r="AB118" s="33">
        <f>+P118</f>
        <v>0</v>
      </c>
      <c r="AC118" s="52">
        <f>+K118+Z118+AA118+AB118</f>
        <v>5598.2959999999994</v>
      </c>
      <c r="AD118" s="59"/>
      <c r="AE118" s="60"/>
      <c r="AF118" s="53">
        <f>+AD118+AE118-Y118</f>
        <v>-4529.2593999999999</v>
      </c>
      <c r="AG118" s="34"/>
      <c r="AH118" s="36"/>
    </row>
    <row r="119" spans="1:188">
      <c r="A119" s="29"/>
      <c r="B119" s="34"/>
      <c r="C119" s="29"/>
      <c r="D119" s="29"/>
      <c r="E119" s="29"/>
      <c r="F119" s="69"/>
      <c r="G119" s="31"/>
      <c r="H119" s="31"/>
      <c r="I119" s="31"/>
      <c r="J119" s="31"/>
      <c r="K119" s="52"/>
      <c r="L119" s="35"/>
      <c r="M119" s="35"/>
      <c r="N119" s="35"/>
      <c r="O119" s="35"/>
      <c r="P119" s="35"/>
      <c r="Q119" s="35"/>
      <c r="R119" s="35"/>
      <c r="S119" s="33"/>
      <c r="T119" s="33"/>
      <c r="U119" s="33"/>
      <c r="V119" s="33"/>
      <c r="W119" s="52"/>
      <c r="X119" s="33"/>
      <c r="Y119" s="52"/>
      <c r="Z119" s="64"/>
      <c r="AA119" s="64"/>
      <c r="AB119" s="64"/>
      <c r="AC119" s="63"/>
      <c r="AD119" s="49"/>
      <c r="AE119" s="49"/>
      <c r="AF119" s="42"/>
      <c r="AG119" s="29"/>
      <c r="AH119" s="29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29"/>
      <c r="B120" s="36" t="s">
        <v>240</v>
      </c>
      <c r="C120" s="29"/>
      <c r="D120" s="29"/>
      <c r="E120" s="29"/>
      <c r="F120" s="69"/>
      <c r="G120" s="40">
        <f>SUM(G75:G118)</f>
        <v>85153.131999999998</v>
      </c>
      <c r="H120" s="40">
        <f t="shared" ref="H120:Y120" si="146">SUM(H75:H118)</f>
        <v>0</v>
      </c>
      <c r="I120" s="40">
        <f t="shared" si="146"/>
        <v>0</v>
      </c>
      <c r="J120" s="40">
        <f t="shared" si="146"/>
        <v>0</v>
      </c>
      <c r="K120" s="40">
        <f t="shared" si="146"/>
        <v>85153.131999999998</v>
      </c>
      <c r="L120" s="40">
        <f t="shared" si="146"/>
        <v>2669.5499999999997</v>
      </c>
      <c r="M120" s="40">
        <f t="shared" si="146"/>
        <v>7</v>
      </c>
      <c r="N120" s="40">
        <f t="shared" si="146"/>
        <v>0</v>
      </c>
      <c r="O120" s="40">
        <f t="shared" si="146"/>
        <v>4100</v>
      </c>
      <c r="P120" s="40">
        <f t="shared" si="146"/>
        <v>0</v>
      </c>
      <c r="Q120" s="40">
        <f t="shared" si="146"/>
        <v>0</v>
      </c>
      <c r="R120" s="40">
        <f t="shared" si="146"/>
        <v>686.22</v>
      </c>
      <c r="S120" s="40">
        <f t="shared" si="146"/>
        <v>0</v>
      </c>
      <c r="T120" s="40">
        <f t="shared" si="146"/>
        <v>0</v>
      </c>
      <c r="U120" s="40">
        <f t="shared" si="146"/>
        <v>0</v>
      </c>
      <c r="V120" s="40">
        <f t="shared" si="146"/>
        <v>327</v>
      </c>
      <c r="W120" s="40">
        <f t="shared" si="146"/>
        <v>77363.362000000023</v>
      </c>
      <c r="X120" s="40">
        <f t="shared" si="146"/>
        <v>6238.9919500000005</v>
      </c>
      <c r="Y120" s="40">
        <f t="shared" si="146"/>
        <v>69472.500100000005</v>
      </c>
      <c r="Z120" s="64"/>
      <c r="AA120" s="64"/>
      <c r="AB120" s="64"/>
      <c r="AC120" s="63"/>
      <c r="AD120" s="49"/>
      <c r="AE120" s="49"/>
      <c r="AF120" s="42"/>
      <c r="AG120" s="29"/>
      <c r="AH120" s="29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 t="e">
        <f>+#REF!*0.16</f>
        <v>#REF!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 ht="23.25">
      <c r="A125" s="110" t="s">
        <v>27</v>
      </c>
      <c r="B125" s="110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 s="18" customFormat="1" ht="15" customHeight="1">
      <c r="A126" s="80" t="s">
        <v>30</v>
      </c>
      <c r="B126" s="80" t="s">
        <v>201</v>
      </c>
      <c r="C126" s="80"/>
      <c r="D126" s="80"/>
      <c r="E126" s="80" t="s">
        <v>32</v>
      </c>
      <c r="F126" s="83">
        <v>42668</v>
      </c>
      <c r="G126" s="35"/>
      <c r="H126" s="35"/>
      <c r="I126" s="35"/>
      <c r="J126" s="51"/>
      <c r="K126" s="52">
        <v>0</v>
      </c>
      <c r="L126" s="35"/>
      <c r="M126" s="70"/>
      <c r="N126" s="35"/>
      <c r="O126" s="35"/>
      <c r="P126" s="71"/>
      <c r="Q126" s="71"/>
      <c r="R126" s="35"/>
      <c r="S126" s="33"/>
      <c r="T126" s="77"/>
      <c r="U126" s="34"/>
      <c r="V126" s="67"/>
      <c r="W126" s="52">
        <v>2737.24</v>
      </c>
      <c r="X126" s="33">
        <v>273.72399999999999</v>
      </c>
      <c r="Y126" s="52">
        <v>2463.5159999999996</v>
      </c>
      <c r="Z126" s="33"/>
      <c r="AA126" s="33"/>
      <c r="AB126" s="33"/>
      <c r="AC126" s="52"/>
      <c r="AD126" s="61"/>
      <c r="AE126" s="59"/>
      <c r="AF126" s="53"/>
      <c r="AG126" s="34">
        <v>1196048064</v>
      </c>
      <c r="AH126" s="82" t="s">
        <v>257</v>
      </c>
    </row>
    <row r="127" spans="1:188" s="18" customFormat="1" ht="15" customHeight="1">
      <c r="A127" s="80" t="s">
        <v>43</v>
      </c>
      <c r="B127" s="80" t="s">
        <v>182</v>
      </c>
      <c r="C127" s="80"/>
      <c r="D127" s="80"/>
      <c r="E127" s="80" t="s">
        <v>89</v>
      </c>
      <c r="F127" s="83">
        <v>32540</v>
      </c>
      <c r="G127" s="35"/>
      <c r="H127" s="35"/>
      <c r="I127" s="35"/>
      <c r="J127" s="51"/>
      <c r="K127" s="52">
        <v>0</v>
      </c>
      <c r="L127" s="35"/>
      <c r="M127" s="70"/>
      <c r="N127" s="35"/>
      <c r="O127" s="35"/>
      <c r="P127" s="71"/>
      <c r="Q127" s="71"/>
      <c r="R127" s="35"/>
      <c r="S127" s="33"/>
      <c r="T127" s="77"/>
      <c r="U127" s="34"/>
      <c r="V127" s="67"/>
      <c r="W127" s="52">
        <v>0</v>
      </c>
      <c r="X127" s="33">
        <v>0</v>
      </c>
      <c r="Y127" s="52">
        <v>0</v>
      </c>
      <c r="Z127" s="33">
        <v>0</v>
      </c>
      <c r="AA127" s="33">
        <v>11.23</v>
      </c>
      <c r="AB127" s="33">
        <v>0</v>
      </c>
      <c r="AC127" s="52">
        <v>11.23</v>
      </c>
      <c r="AD127" s="61"/>
      <c r="AE127" s="59"/>
      <c r="AF127" s="53"/>
      <c r="AG127" s="34">
        <v>1461266403</v>
      </c>
      <c r="AH127" s="82" t="s">
        <v>256</v>
      </c>
    </row>
    <row r="128" spans="1:188" s="18" customFormat="1" ht="31.5" customHeight="1">
      <c r="A128" s="80" t="s">
        <v>43</v>
      </c>
      <c r="B128" s="80" t="s">
        <v>203</v>
      </c>
      <c r="C128" s="80"/>
      <c r="D128" s="80"/>
      <c r="E128" s="80" t="s">
        <v>89</v>
      </c>
      <c r="F128" s="83"/>
      <c r="G128" s="35"/>
      <c r="H128" s="35"/>
      <c r="I128" s="35"/>
      <c r="J128" s="51"/>
      <c r="K128" s="52">
        <v>0</v>
      </c>
      <c r="L128" s="35"/>
      <c r="M128" s="70"/>
      <c r="N128" s="35"/>
      <c r="O128" s="35">
        <v>150</v>
      </c>
      <c r="P128" s="71"/>
      <c r="Q128" s="71"/>
      <c r="R128" s="35"/>
      <c r="S128" s="33"/>
      <c r="T128" s="77"/>
      <c r="U128" s="34"/>
      <c r="V128" s="67"/>
      <c r="W128" s="52">
        <v>-150</v>
      </c>
      <c r="X128" s="33">
        <v>0</v>
      </c>
      <c r="Y128" s="52">
        <v>-150</v>
      </c>
      <c r="Z128" s="33"/>
      <c r="AA128" s="33"/>
      <c r="AB128" s="33"/>
      <c r="AC128" s="52"/>
      <c r="AD128" s="61"/>
      <c r="AE128" s="59"/>
      <c r="AF128" s="53"/>
      <c r="AG128" s="34"/>
      <c r="AH128" s="85" t="s">
        <v>246</v>
      </c>
    </row>
    <row r="129" spans="1:188">
      <c r="A129" s="80" t="s">
        <v>41</v>
      </c>
      <c r="B129" s="80" t="s">
        <v>184</v>
      </c>
      <c r="C129" s="80"/>
      <c r="D129" s="80"/>
      <c r="E129" s="80" t="s">
        <v>89</v>
      </c>
      <c r="F129" s="81">
        <v>34275</v>
      </c>
      <c r="G129" s="35"/>
      <c r="H129" s="35"/>
      <c r="I129" s="35"/>
      <c r="J129" s="31"/>
      <c r="K129" s="52">
        <v>0</v>
      </c>
      <c r="L129" s="35"/>
      <c r="M129" s="70"/>
      <c r="N129" s="35"/>
      <c r="O129" s="35"/>
      <c r="P129" s="71"/>
      <c r="Q129" s="71"/>
      <c r="R129" s="35"/>
      <c r="S129" s="33"/>
      <c r="T129" s="33"/>
      <c r="U129" s="34"/>
      <c r="V129" s="34"/>
      <c r="W129" s="52">
        <v>0</v>
      </c>
      <c r="X129" s="33">
        <v>0</v>
      </c>
      <c r="Y129" s="52">
        <v>0</v>
      </c>
      <c r="Z129" s="64"/>
      <c r="AA129" s="64"/>
      <c r="AB129" s="64"/>
      <c r="AC129" s="63"/>
      <c r="AD129" s="49"/>
      <c r="AE129" s="49"/>
      <c r="AF129" s="42"/>
      <c r="AG129" s="29"/>
      <c r="AH129" s="85" t="s">
        <v>229</v>
      </c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80" t="s">
        <v>43</v>
      </c>
      <c r="B130" s="80" t="s">
        <v>236</v>
      </c>
      <c r="C130" s="80"/>
      <c r="D130" s="80"/>
      <c r="E130" s="80" t="s">
        <v>237</v>
      </c>
      <c r="F130" s="81">
        <v>38825</v>
      </c>
      <c r="G130" s="35"/>
      <c r="H130" s="35"/>
      <c r="I130" s="35"/>
      <c r="J130" s="31"/>
      <c r="K130" s="52"/>
      <c r="L130" s="35"/>
      <c r="M130" s="70"/>
      <c r="N130" s="35"/>
      <c r="O130" s="35"/>
      <c r="P130" s="71"/>
      <c r="Q130" s="71"/>
      <c r="R130" s="35"/>
      <c r="S130" s="33"/>
      <c r="T130" s="33"/>
      <c r="U130" s="34"/>
      <c r="V130" s="34"/>
      <c r="W130" s="52"/>
      <c r="X130" s="33"/>
      <c r="Y130" s="52"/>
      <c r="Z130" s="64"/>
      <c r="AA130" s="64"/>
      <c r="AB130" s="64"/>
      <c r="AC130" s="63"/>
      <c r="AD130" s="49"/>
      <c r="AE130" s="49"/>
      <c r="AF130" s="42"/>
      <c r="AG130" s="29" t="s">
        <v>238</v>
      </c>
      <c r="AH130" s="85" t="s">
        <v>239</v>
      </c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18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19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20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21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22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142" s="19" t="s">
        <v>23</v>
      </c>
      <c r="B142" s="13"/>
      <c r="C142" s="13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4" spans="1:188"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</row>
    <row r="146" spans="2:3">
      <c r="B146" s="17"/>
      <c r="C146" s="21"/>
    </row>
    <row r="147" spans="2:3">
      <c r="B147" s="17"/>
      <c r="C147" s="21"/>
    </row>
    <row r="148" spans="2:3">
      <c r="B148" s="17"/>
      <c r="C148" s="21"/>
    </row>
  </sheetData>
  <sheetProtection selectLockedCells="1" selectUnlockedCells="1"/>
  <autoFilter ref="A5:AH70">
    <filterColumn colId="29" showButton="0"/>
    <sortState ref="A8:AH99">
      <sortCondition ref="B5:B99"/>
    </sortState>
  </autoFilter>
  <mergeCells count="34">
    <mergeCell ref="AH5:AH6"/>
    <mergeCell ref="A74:B74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M5:M6"/>
    <mergeCell ref="N5:N6"/>
    <mergeCell ref="A125:B125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2017-03-10T00:24:27Z</dcterms:modified>
</cp:coreProperties>
</file>