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  <sheet name="Hoja2" sheetId="6" r:id="rId3"/>
    <sheet name="Hoja3" sheetId="7" r:id="rId4"/>
    <sheet name="Hoja4" sheetId="8" r:id="rId5"/>
  </sheets>
  <definedNames>
    <definedName name="_xlnm._FilterDatabase" localSheetId="0" hidden="1">'FORMATO NOMINA'!$A$5:$AG$65</definedName>
  </definedNames>
  <calcPr calcId="145621"/>
</workbook>
</file>

<file path=xl/calcChain.xml><?xml version="1.0" encoding="utf-8"?>
<calcChain xmlns="http://schemas.openxmlformats.org/spreadsheetml/2006/main">
  <c r="AS114" i="4" l="1"/>
  <c r="AR114" i="4"/>
  <c r="AS113" i="4"/>
  <c r="AR113" i="4"/>
  <c r="AS112" i="4"/>
  <c r="AR112" i="4"/>
  <c r="AS108" i="4"/>
  <c r="AR108" i="4"/>
  <c r="AS107" i="4"/>
  <c r="AR107" i="4"/>
  <c r="AS106" i="4"/>
  <c r="AR106" i="4"/>
  <c r="AS105" i="4"/>
  <c r="AR105" i="4"/>
  <c r="AS103" i="4"/>
  <c r="AR103" i="4"/>
  <c r="AS101" i="4"/>
  <c r="AR101" i="4"/>
  <c r="AS100" i="4"/>
  <c r="AR100" i="4"/>
  <c r="AS98" i="4"/>
  <c r="AR98" i="4"/>
  <c r="AS97" i="4"/>
  <c r="AR97" i="4"/>
  <c r="AS94" i="4"/>
  <c r="AR94" i="4"/>
  <c r="AS92" i="4"/>
  <c r="AR92" i="4"/>
  <c r="AS90" i="4"/>
  <c r="AR90" i="4"/>
  <c r="AS88" i="4"/>
  <c r="AR88" i="4"/>
  <c r="AS86" i="4"/>
  <c r="AR86" i="4"/>
  <c r="AS83" i="4"/>
  <c r="AR83" i="4"/>
  <c r="AS82" i="4"/>
  <c r="AR82" i="4"/>
  <c r="AS81" i="4"/>
  <c r="AR81" i="4"/>
  <c r="AS79" i="4"/>
  <c r="AR79" i="4"/>
  <c r="AS77" i="4"/>
  <c r="AR77" i="4"/>
  <c r="AS76" i="4"/>
  <c r="AR76" i="4"/>
  <c r="AS75" i="4"/>
  <c r="AR75" i="4"/>
  <c r="AS74" i="4"/>
  <c r="AR74" i="4"/>
  <c r="AS73" i="4"/>
  <c r="AR73" i="4"/>
  <c r="F93" i="4"/>
  <c r="F75" i="4" l="1"/>
  <c r="F99" i="4"/>
  <c r="F102" i="4"/>
  <c r="F78" i="4"/>
  <c r="F91" i="4"/>
  <c r="F116" i="4"/>
  <c r="F109" i="4"/>
  <c r="F110" i="4"/>
  <c r="F81" i="4"/>
  <c r="F84" i="4"/>
  <c r="F80" i="4"/>
  <c r="F103" i="4"/>
  <c r="F82" i="4"/>
  <c r="F98" i="4"/>
  <c r="F77" i="4"/>
  <c r="F114" i="4"/>
  <c r="F94" i="4"/>
  <c r="F97" i="4"/>
  <c r="F74" i="4"/>
  <c r="F89" i="4"/>
  <c r="F111" i="4"/>
  <c r="F115" i="4"/>
  <c r="F92" i="4"/>
  <c r="F101" i="4"/>
  <c r="F96" i="4"/>
  <c r="F104" i="4"/>
  <c r="F108" i="4"/>
  <c r="F85" i="4"/>
  <c r="F95" i="4"/>
  <c r="F83" i="4"/>
  <c r="F88" i="4"/>
  <c r="F73" i="4"/>
  <c r="F7" i="4"/>
  <c r="F10" i="4"/>
  <c r="F25" i="4"/>
  <c r="F18" i="4"/>
  <c r="J29" i="4" l="1"/>
  <c r="V29" i="4" s="1"/>
  <c r="J20" i="4" l="1"/>
  <c r="V20" i="4" s="1"/>
  <c r="J19" i="4"/>
  <c r="V19" i="4" s="1"/>
  <c r="J21" i="4"/>
  <c r="V21" i="4" s="1"/>
  <c r="J89" i="4" l="1"/>
  <c r="V89" i="4" s="1"/>
  <c r="K119" i="4" l="1"/>
  <c r="L119" i="4"/>
  <c r="M119" i="4"/>
  <c r="N119" i="4"/>
  <c r="O119" i="4"/>
  <c r="P119" i="4"/>
  <c r="Q119" i="4"/>
  <c r="R119" i="4"/>
  <c r="S119" i="4"/>
  <c r="T119" i="4"/>
  <c r="U119" i="4"/>
  <c r="G119" i="4"/>
  <c r="H119" i="4"/>
  <c r="I119" i="4"/>
  <c r="E119" i="4"/>
  <c r="J66" i="4" l="1"/>
  <c r="J52" i="4"/>
  <c r="V52" i="4" s="1"/>
  <c r="J117" i="4"/>
  <c r="V117" i="4" s="1"/>
  <c r="J87" i="4"/>
  <c r="V87" i="4" s="1"/>
  <c r="F119" i="4" l="1"/>
  <c r="J14" i="4"/>
  <c r="J13" i="4"/>
  <c r="J40" i="4"/>
  <c r="V40" i="4" s="1"/>
  <c r="J34" i="4" l="1"/>
  <c r="V34" i="4" s="1"/>
  <c r="J9" i="4"/>
  <c r="V9" i="4" s="1"/>
  <c r="J22" i="4" l="1"/>
  <c r="V22" i="4" s="1"/>
  <c r="J107" i="4"/>
  <c r="V107" i="4" s="1"/>
  <c r="J108" i="4"/>
  <c r="U69" i="4" l="1"/>
  <c r="F69" i="4" l="1"/>
  <c r="J114" i="4" l="1"/>
  <c r="J113" i="4"/>
  <c r="J112" i="4"/>
  <c r="J111" i="4"/>
  <c r="J100" i="4"/>
  <c r="V100" i="4" s="1"/>
  <c r="J57" i="4"/>
  <c r="J38" i="4"/>
  <c r="J67" i="4"/>
  <c r="J72" i="4"/>
  <c r="G69" i="4"/>
  <c r="H69" i="4"/>
  <c r="I69" i="4"/>
  <c r="K69" i="4"/>
  <c r="L69" i="4"/>
  <c r="M69" i="4"/>
  <c r="N69" i="4"/>
  <c r="O69" i="4"/>
  <c r="P69" i="4"/>
  <c r="Q69" i="4"/>
  <c r="R69" i="4"/>
  <c r="S69" i="4"/>
  <c r="T69" i="4"/>
  <c r="E69" i="4"/>
  <c r="V72" i="4" l="1"/>
  <c r="J115" i="4"/>
  <c r="V115" i="4" s="1"/>
  <c r="J7" i="4"/>
  <c r="V7" i="4" l="1"/>
  <c r="J86" i="4"/>
  <c r="V86" i="4" s="1"/>
  <c r="J11" i="4" l="1"/>
  <c r="J26" i="4"/>
  <c r="V26" i="4" s="1"/>
  <c r="J51" i="4"/>
  <c r="V51" i="4" s="1"/>
  <c r="J46" i="4" l="1"/>
  <c r="J129" i="4"/>
  <c r="V129" i="4" s="1"/>
  <c r="J17" i="4" l="1"/>
  <c r="V17" i="4" s="1"/>
  <c r="J18" i="4"/>
  <c r="J23" i="4"/>
  <c r="V23" i="4" s="1"/>
  <c r="J24" i="4"/>
  <c r="J39" i="4"/>
  <c r="V39" i="4" s="1"/>
  <c r="J47" i="4" l="1"/>
  <c r="V47" i="4" s="1"/>
  <c r="J75" i="4" l="1"/>
  <c r="J10" i="4" l="1"/>
  <c r="J12" i="4"/>
  <c r="J15" i="4"/>
  <c r="J16" i="4"/>
  <c r="V24" i="4"/>
  <c r="J25" i="4"/>
  <c r="J27" i="4"/>
  <c r="J28" i="4"/>
  <c r="J30" i="4"/>
  <c r="V30" i="4" s="1"/>
  <c r="J31" i="4"/>
  <c r="V31" i="4" s="1"/>
  <c r="J32" i="4"/>
  <c r="J33" i="4"/>
  <c r="J35" i="4"/>
  <c r="J36" i="4"/>
  <c r="J37" i="4"/>
  <c r="V37" i="4" s="1"/>
  <c r="J41" i="4"/>
  <c r="V41" i="4" s="1"/>
  <c r="J42" i="4"/>
  <c r="J43" i="4"/>
  <c r="J44" i="4"/>
  <c r="J45" i="4"/>
  <c r="V45" i="4" s="1"/>
  <c r="J48" i="4"/>
  <c r="V48" i="4" s="1"/>
  <c r="J49" i="4"/>
  <c r="J50" i="4"/>
  <c r="J53" i="4"/>
  <c r="J54" i="4"/>
  <c r="J55" i="4"/>
  <c r="J56" i="4"/>
  <c r="J58" i="4"/>
  <c r="J59" i="4"/>
  <c r="J60" i="4"/>
  <c r="J61" i="4"/>
  <c r="J62" i="4"/>
  <c r="J63" i="4"/>
  <c r="V63" i="4" s="1"/>
  <c r="J64" i="4"/>
  <c r="J65" i="4"/>
  <c r="J8" i="4"/>
  <c r="J69" i="4" l="1"/>
  <c r="J101" i="4" l="1"/>
  <c r="V101" i="4" s="1"/>
  <c r="J102" i="4"/>
  <c r="V102" i="4" s="1"/>
  <c r="J103" i="4"/>
  <c r="J94" i="4"/>
  <c r="V94" i="4" s="1"/>
  <c r="J95" i="4"/>
  <c r="V95" i="4" s="1"/>
  <c r="J96" i="4"/>
  <c r="V96" i="4" s="1"/>
  <c r="V49" i="4" l="1"/>
  <c r="V50" i="4"/>
  <c r="V53" i="4"/>
  <c r="V54" i="4"/>
  <c r="V16" i="4"/>
  <c r="V18" i="4"/>
  <c r="V25" i="4"/>
  <c r="V27" i="4"/>
  <c r="V28" i="4"/>
  <c r="V32" i="4"/>
  <c r="J97" i="4"/>
  <c r="V97" i="4" s="1"/>
  <c r="J98" i="4"/>
  <c r="V98" i="4" s="1"/>
  <c r="J99" i="4"/>
  <c r="V99" i="4" s="1"/>
  <c r="J104" i="4"/>
  <c r="V104" i="4" s="1"/>
  <c r="J105" i="4"/>
  <c r="V105" i="4" s="1"/>
  <c r="J106" i="4"/>
  <c r="V106" i="4" s="1"/>
  <c r="V108" i="4"/>
  <c r="J77" i="4"/>
  <c r="V77" i="4" s="1"/>
  <c r="J78" i="4"/>
  <c r="V78" i="4" s="1"/>
  <c r="J79" i="4"/>
  <c r="V79" i="4" s="1"/>
  <c r="J80" i="4"/>
  <c r="V80" i="4" s="1"/>
  <c r="J81" i="4"/>
  <c r="V81" i="4" s="1"/>
  <c r="V15" i="4" l="1"/>
  <c r="J85" i="4"/>
  <c r="V85" i="4" s="1"/>
  <c r="J93" i="4" l="1"/>
  <c r="V93" i="4" s="1"/>
  <c r="J91" i="4"/>
  <c r="V91" i="4" s="1"/>
  <c r="J92" i="4" l="1"/>
  <c r="V92" i="4" s="1"/>
  <c r="J88" i="4"/>
  <c r="V88" i="4" s="1"/>
  <c r="J90" i="4"/>
  <c r="V90" i="4" s="1"/>
  <c r="AA95" i="4" l="1"/>
  <c r="Y30" i="4"/>
  <c r="W30" i="4" l="1"/>
  <c r="V44" i="4" l="1"/>
  <c r="V61" i="4" l="1"/>
  <c r="J83" i="4" l="1"/>
  <c r="V83" i="4" s="1"/>
  <c r="J128" i="4" l="1"/>
  <c r="V128" i="4" s="1"/>
  <c r="J125" i="4"/>
  <c r="V125" i="4" s="1"/>
  <c r="J126" i="4"/>
  <c r="V126" i="4" s="1"/>
  <c r="J127" i="4"/>
  <c r="V127" i="4" s="1"/>
  <c r="J74" i="4"/>
  <c r="V75" i="4"/>
  <c r="J76" i="4"/>
  <c r="V76" i="4" s="1"/>
  <c r="J82" i="4"/>
  <c r="V82" i="4" s="1"/>
  <c r="J84" i="4"/>
  <c r="V84" i="4" s="1"/>
  <c r="V43" i="4"/>
  <c r="J109" i="4"/>
  <c r="V109" i="4" s="1"/>
  <c r="J110" i="4"/>
  <c r="V110" i="4" s="1"/>
  <c r="V112" i="4"/>
  <c r="V114" i="4"/>
  <c r="J116" i="4"/>
  <c r="V116" i="4" s="1"/>
  <c r="J118" i="4"/>
  <c r="V33" i="4"/>
  <c r="V74" i="4" l="1"/>
  <c r="V103" i="4"/>
  <c r="W99" i="4" l="1"/>
  <c r="X43" i="4"/>
  <c r="Y43" i="4"/>
  <c r="AB43" i="4" s="1"/>
  <c r="W43" i="4"/>
  <c r="X99" i="4" l="1"/>
  <c r="W112" i="4"/>
  <c r="X112" i="4" l="1"/>
  <c r="W95" i="4" l="1"/>
  <c r="X95" i="4" l="1"/>
  <c r="W65" i="4" l="1"/>
  <c r="V65" i="4" l="1"/>
  <c r="X65" i="4" s="1"/>
  <c r="W45" i="4"/>
  <c r="X45" i="4" l="1"/>
  <c r="W32" i="4" l="1"/>
  <c r="X32" i="4" l="1"/>
  <c r="W80" i="4" l="1"/>
  <c r="X80" i="4" s="1"/>
  <c r="W25" i="4" l="1"/>
  <c r="X25" i="4" l="1"/>
  <c r="W54" i="4"/>
  <c r="X54" i="4" l="1"/>
  <c r="W105" i="4"/>
  <c r="X105" i="4" l="1"/>
  <c r="V58" i="4" l="1"/>
  <c r="W58" i="4" l="1"/>
  <c r="X58" i="4" s="1"/>
  <c r="Y58" i="4"/>
  <c r="Y41" i="4" l="1"/>
  <c r="AA41" i="4"/>
  <c r="V62" i="4"/>
  <c r="AA62" i="4"/>
  <c r="AB41" i="4" l="1"/>
  <c r="W41" i="4"/>
  <c r="Y62" i="4"/>
  <c r="AB62" i="4" s="1"/>
  <c r="W62" i="4"/>
  <c r="X62" i="4" s="1"/>
  <c r="X41" i="4" l="1"/>
  <c r="AA27" i="4" l="1"/>
  <c r="AA28" i="4"/>
  <c r="AA84" i="4"/>
  <c r="AA33" i="4"/>
  <c r="AA35" i="4"/>
  <c r="Y35" i="4" l="1"/>
  <c r="AB35" i="4" s="1"/>
  <c r="V35" i="4"/>
  <c r="W35" i="4"/>
  <c r="X35" i="4" l="1"/>
  <c r="W84" i="4" l="1"/>
  <c r="Y84" i="4"/>
  <c r="AB84" i="4" s="1"/>
  <c r="X84" i="4" l="1"/>
  <c r="AA64" i="4" l="1"/>
  <c r="AA50" i="4"/>
  <c r="Y28" i="4" l="1"/>
  <c r="AB28" i="4" s="1"/>
  <c r="W28" i="4"/>
  <c r="V64" i="4"/>
  <c r="Y64" i="4"/>
  <c r="AB64" i="4" s="1"/>
  <c r="W50" i="4"/>
  <c r="Y50" i="4"/>
  <c r="AB50" i="4" s="1"/>
  <c r="W64" i="4"/>
  <c r="AA53" i="4"/>
  <c r="Y53" i="4"/>
  <c r="X28" i="4" l="1"/>
  <c r="AE28" i="4" s="1"/>
  <c r="X64" i="4"/>
  <c r="X50" i="4"/>
  <c r="AB53" i="4"/>
  <c r="W53" i="4"/>
  <c r="X53" i="4" l="1"/>
  <c r="AE64" i="4" l="1"/>
  <c r="AE50" i="4" l="1"/>
  <c r="AA59" i="4"/>
  <c r="W94" i="4" l="1"/>
  <c r="Y94" i="4"/>
  <c r="AA94" i="4"/>
  <c r="AB94" i="4" l="1"/>
  <c r="X94" i="4"/>
  <c r="AE94" i="4" s="1"/>
  <c r="AA23" i="4" l="1"/>
  <c r="W23" i="4" l="1"/>
  <c r="Y23" i="4"/>
  <c r="AB23" i="4" s="1"/>
  <c r="X23" i="4" l="1"/>
  <c r="AE23" i="4" l="1"/>
  <c r="AA60" i="4" l="1"/>
  <c r="Y60" i="4" l="1"/>
  <c r="W60" i="4" l="1"/>
  <c r="V60" i="4"/>
  <c r="AB60" i="4"/>
  <c r="X60" i="4" l="1"/>
  <c r="AE60" i="4" s="1"/>
  <c r="W103" i="4" l="1"/>
  <c r="Y103" i="4"/>
  <c r="AA116" i="4"/>
  <c r="AA109" i="4"/>
  <c r="AA56" i="4"/>
  <c r="AA55" i="4"/>
  <c r="AA102" i="4"/>
  <c r="AA99" i="4"/>
  <c r="AA42" i="4"/>
  <c r="AA93" i="4"/>
  <c r="AA36" i="4"/>
  <c r="AA22" i="4"/>
  <c r="AA78" i="4"/>
  <c r="AA18" i="4"/>
  <c r="AA12" i="4"/>
  <c r="AA10" i="4"/>
  <c r="AA8" i="4"/>
  <c r="AA103" i="4" l="1"/>
  <c r="AB103" i="4" l="1"/>
  <c r="X103" i="4"/>
  <c r="AE103" i="4" s="1"/>
  <c r="W102" i="4" l="1"/>
  <c r="Y102" i="4"/>
  <c r="AB102" i="4" s="1"/>
  <c r="Z69" i="4"/>
  <c r="J73" i="4"/>
  <c r="J119" i="4" s="1"/>
  <c r="AD69" i="4"/>
  <c r="AC69" i="4"/>
  <c r="Y59" i="4"/>
  <c r="X102" i="4" l="1"/>
  <c r="AE102" i="4" s="1"/>
  <c r="W33" i="4"/>
  <c r="Y33" i="4"/>
  <c r="AB33" i="4" s="1"/>
  <c r="W36" i="4"/>
  <c r="Y36" i="4"/>
  <c r="W42" i="4"/>
  <c r="Y42" i="4"/>
  <c r="W10" i="4"/>
  <c r="Y10" i="4"/>
  <c r="AB10" i="4" s="1"/>
  <c r="W18" i="4"/>
  <c r="Y18" i="4"/>
  <c r="AB18" i="4" s="1"/>
  <c r="W75" i="4"/>
  <c r="Y75" i="4"/>
  <c r="Y99" i="4"/>
  <c r="AB99" i="4" s="1"/>
  <c r="W78" i="4"/>
  <c r="Y78" i="4"/>
  <c r="AB78" i="4" s="1"/>
  <c r="W77" i="4"/>
  <c r="Y77" i="4"/>
  <c r="W97" i="4"/>
  <c r="Y97" i="4"/>
  <c r="W74" i="4"/>
  <c r="Y74" i="4"/>
  <c r="W88" i="4"/>
  <c r="Y88" i="4"/>
  <c r="W81" i="4"/>
  <c r="Y81" i="4"/>
  <c r="W93" i="4"/>
  <c r="Y93" i="4"/>
  <c r="AB93" i="4" s="1"/>
  <c r="W56" i="4"/>
  <c r="Y56" i="4"/>
  <c r="W114" i="4"/>
  <c r="Y114" i="4"/>
  <c r="W109" i="4"/>
  <c r="Y109" i="4"/>
  <c r="AB109" i="4" s="1"/>
  <c r="W116" i="4"/>
  <c r="Y116" i="4"/>
  <c r="AB116" i="4" s="1"/>
  <c r="W55" i="4"/>
  <c r="Y55" i="4"/>
  <c r="AB55" i="4" s="1"/>
  <c r="W108" i="4"/>
  <c r="Y108" i="4"/>
  <c r="W106" i="4"/>
  <c r="Y106" i="4"/>
  <c r="W98" i="4"/>
  <c r="Y98" i="4"/>
  <c r="W92" i="4"/>
  <c r="Y92" i="4"/>
  <c r="W90" i="4"/>
  <c r="Y90" i="4"/>
  <c r="W82" i="4"/>
  <c r="Y82" i="4"/>
  <c r="W59" i="4"/>
  <c r="AA90" i="4"/>
  <c r="AB59" i="4"/>
  <c r="AA81" i="4"/>
  <c r="AA77" i="4"/>
  <c r="V10" i="4"/>
  <c r="AA92" i="4"/>
  <c r="AA88" i="4"/>
  <c r="AA75" i="4"/>
  <c r="AA82" i="4"/>
  <c r="AA74" i="4"/>
  <c r="AE53" i="4"/>
  <c r="AA97" i="4"/>
  <c r="AA98" i="4"/>
  <c r="AA114" i="4"/>
  <c r="V55" i="4"/>
  <c r="AA106" i="4"/>
  <c r="AA108" i="4"/>
  <c r="V59" i="4"/>
  <c r="Y27" i="4" l="1"/>
  <c r="AB27" i="4" s="1"/>
  <c r="W27" i="4"/>
  <c r="X33" i="4"/>
  <c r="X116" i="4"/>
  <c r="AE116" i="4" s="1"/>
  <c r="X93" i="4"/>
  <c r="AE93" i="4" s="1"/>
  <c r="W22" i="4"/>
  <c r="Y22" i="4"/>
  <c r="AB22" i="4" s="1"/>
  <c r="Y12" i="4"/>
  <c r="AB12" i="4" s="1"/>
  <c r="W8" i="4"/>
  <c r="Y8" i="4"/>
  <c r="AB8" i="4" s="1"/>
  <c r="V73" i="4"/>
  <c r="V119" i="4" s="1"/>
  <c r="V12" i="4"/>
  <c r="W12" i="4"/>
  <c r="AE84" i="4"/>
  <c r="X18" i="4"/>
  <c r="AE18" i="4" s="1"/>
  <c r="AE99" i="4"/>
  <c r="X78" i="4"/>
  <c r="AE78" i="4" s="1"/>
  <c r="X109" i="4"/>
  <c r="AE109" i="4" s="1"/>
  <c r="X55" i="4"/>
  <c r="AE55" i="4" s="1"/>
  <c r="X10" i="4"/>
  <c r="AE10" i="4" s="1"/>
  <c r="X59" i="4"/>
  <c r="AE59" i="4" s="1"/>
  <c r="AB82" i="4"/>
  <c r="AB114" i="4"/>
  <c r="AB108" i="4"/>
  <c r="AB90" i="4"/>
  <c r="AB88" i="4"/>
  <c r="AB92" i="4"/>
  <c r="AB77" i="4"/>
  <c r="AB74" i="4"/>
  <c r="AB97" i="4"/>
  <c r="AB81" i="4"/>
  <c r="AB75" i="4"/>
  <c r="AB98" i="4"/>
  <c r="AB106" i="4"/>
  <c r="AA69" i="4"/>
  <c r="X90" i="4"/>
  <c r="AE90" i="4" s="1"/>
  <c r="X92" i="4"/>
  <c r="AE92" i="4" s="1"/>
  <c r="X108" i="4"/>
  <c r="AE108" i="4" s="1"/>
  <c r="X81" i="4"/>
  <c r="AE81" i="4" s="1"/>
  <c r="V36" i="4"/>
  <c r="AB36" i="4"/>
  <c r="AB56" i="4"/>
  <c r="V42" i="4"/>
  <c r="AB42" i="4"/>
  <c r="X77" i="4"/>
  <c r="AE77" i="4" s="1"/>
  <c r="X97" i="4"/>
  <c r="AE97" i="4" s="1"/>
  <c r="X98" i="4"/>
  <c r="AE98" i="4" s="1"/>
  <c r="X88" i="4"/>
  <c r="AE88" i="4" s="1"/>
  <c r="X82" i="4"/>
  <c r="AE82" i="4" s="1"/>
  <c r="X75" i="4"/>
  <c r="AE75" i="4" s="1"/>
  <c r="X114" i="4"/>
  <c r="AE114" i="4" s="1"/>
  <c r="V8" i="4"/>
  <c r="V56" i="4"/>
  <c r="X74" i="4"/>
  <c r="AE74" i="4" s="1"/>
  <c r="X106" i="4"/>
  <c r="AE106" i="4" s="1"/>
  <c r="W73" i="4" l="1"/>
  <c r="W119" i="4" s="1"/>
  <c r="X27" i="4"/>
  <c r="AE27" i="4" s="1"/>
  <c r="X22" i="4"/>
  <c r="AE22" i="4" s="1"/>
  <c r="X73" i="4"/>
  <c r="X119" i="4" s="1"/>
  <c r="Y73" i="4"/>
  <c r="AB73" i="4" s="1"/>
  <c r="AB120" i="4" s="1"/>
  <c r="X12" i="4"/>
  <c r="AE12" i="4" s="1"/>
  <c r="AE33" i="4"/>
  <c r="X36" i="4"/>
  <c r="AE36" i="4" s="1"/>
  <c r="X56" i="4"/>
  <c r="AE56" i="4" s="1"/>
  <c r="X42" i="4"/>
  <c r="AE42" i="4" s="1"/>
  <c r="X8" i="4"/>
  <c r="AE8" i="4" s="1"/>
  <c r="Y69" i="4" l="1"/>
  <c r="W69" i="4"/>
  <c r="V69" i="4" l="1"/>
  <c r="AB69" i="4"/>
  <c r="X69" i="4" l="1"/>
  <c r="AE69" i="4"/>
  <c r="AB70" i="4"/>
  <c r="AB71" i="4" s="1"/>
</calcChain>
</file>

<file path=xl/comments1.xml><?xml version="1.0" encoding="utf-8"?>
<comments xmlns="http://schemas.openxmlformats.org/spreadsheetml/2006/main">
  <authors>
    <author>usuario</author>
  </authors>
  <commentList>
    <comment ref="H1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8</t>
        </r>
      </text>
    </comment>
    <comment ref="N7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AM7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H81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6</t>
        </r>
      </text>
    </comment>
    <comment ref="N81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AM81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E4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E4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sharedStrings.xml><?xml version="1.0" encoding="utf-8"?>
<sst xmlns="http://schemas.openxmlformats.org/spreadsheetml/2006/main" count="1191" uniqueCount="426">
  <si>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</si>
  <si>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</si>
  <si>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</si>
  <si>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</si>
  <si>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</si>
  <si>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</si>
  <si>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</si>
  <si>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</si>
  <si>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</si>
  <si>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</si>
  <si>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</si>
  <si>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</si>
  <si>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</si>
  <si>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</si>
  <si>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</si>
  <si>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</si>
  <si>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</si>
  <si>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</si>
  <si>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</si>
  <si>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</si>
  <si>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</si>
  <si>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</si>
  <si>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</si>
  <si>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</si>
  <si>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</si>
  <si>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</si>
  <si>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</si>
  <si>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</si>
  <si>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</si>
  <si>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</si>
  <si>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</si>
  <si>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</si>
  <si>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</si>
  <si>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</si>
  <si>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</si>
  <si>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</si>
  <si>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</si>
  <si>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</si>
  <si>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</si>
  <si>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</si>
  <si>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</si>
  <si>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</si>
  <si>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</si>
  <si>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</si>
  <si>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</si>
  <si>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</si>
  <si>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</si>
  <si>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</si>
  <si>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</si>
  <si>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</si>
  <si>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</si>
  <si>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</si>
  <si>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</si>
  <si>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</si>
  <si>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</si>
  <si>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</si>
  <si>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</si>
  <si>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</si>
  <si>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</si>
  <si>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</si>
  <si>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</si>
  <si>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</si>
  <si>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</si>
  <si>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</si>
  <si>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</si>
  <si>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</si>
  <si>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</si>
  <si>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</si>
  <si>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</si>
  <si>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</si>
  <si>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</si>
  <si>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</si>
  <si>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</si>
  <si>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</si>
  <si>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</si>
  <si>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</si>
  <si>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</si>
  <si>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</si>
  <si>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</si>
  <si>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</si>
  <si>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</si>
  <si>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</si>
  <si>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</si>
  <si>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</si>
  <si>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</si>
  <si>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</si>
  <si>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</si>
  <si>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</si>
  <si>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</si>
  <si>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</si>
  <si>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</si>
  <si>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</si>
  <si>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</si>
  <si>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</si>
  <si>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</si>
  <si>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</si>
  <si>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</si>
  <si>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</si>
  <si>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</si>
  <si>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</si>
  <si>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</si>
  <si>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</si>
  <si>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</si>
  <si>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</si>
  <si>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</si>
  <si>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</si>
  <si>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</si>
  <si>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</si>
  <si>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</si>
  <si>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</si>
  <si>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</si>
  <si>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</si>
  <si>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</si>
  <si>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</si>
  <si>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</si>
  <si>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</si>
  <si>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</si>
  <si>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</si>
  <si>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</si>
  <si>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</si>
  <si>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</si>
  <si>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</si>
  <si>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</si>
  <si>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</si>
  <si>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</si>
  <si>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</si>
  <si>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</si>
  <si>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</si>
  <si>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</si>
  <si>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</si>
  <si>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</si>
  <si>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</si>
  <si>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</si>
  <si>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</si>
  <si>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</si>
  <si>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</si>
  <si>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</si>
  <si>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</si>
  <si>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</si>
  <si>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</si>
  <si>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</si>
  <si>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</si>
  <si>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</si>
  <si>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</si>
  <si>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</si>
  <si>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</si>
  <si>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</si>
  <si>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</si>
  <si>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</si>
  <si>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</si>
  <si>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</si>
  <si>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</si>
  <si>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</si>
  <si>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</si>
  <si>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</si>
  <si>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</si>
  <si>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</si>
  <si>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</si>
  <si>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</si>
  <si>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</si>
  <si>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</si>
  <si>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</si>
  <si>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</si>
  <si>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</si>
  <si>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</si>
  <si>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</si>
  <si>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</si>
  <si>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</si>
  <si>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</si>
  <si>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</si>
  <si>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ACOSTA MORENO EDGAR ARMANDO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</si>
  <si>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</si>
  <si>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</si>
  <si>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</si>
  <si>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</si>
  <si>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</si>
  <si>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</si>
  <si>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</si>
  <si>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</si>
  <si>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PEREZ TORRES VICENTE DANIEL</t>
  </si>
  <si>
    <t>MECANICO</t>
  </si>
  <si>
    <t>VALDEZ ESPINO JOSE JACOB</t>
  </si>
  <si>
    <t>AYUDANTE DE MECANICO</t>
  </si>
  <si>
    <t>SANCHEZ CABRERA ANGEL DAVID</t>
  </si>
  <si>
    <t>ANAYA OCHOA LEON FELIPE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</si>
  <si>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</si>
  <si>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</si>
  <si>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</si>
  <si>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</si>
  <si>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</si>
  <si>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LEON LUNA ARTURO</t>
  </si>
  <si>
    <t>AYUDANTE GENERAL</t>
  </si>
  <si>
    <t>VILLEGAS CRUZ ANDRES</t>
  </si>
  <si>
    <t>RAMOS GARDUÑO KRISTAL</t>
  </si>
  <si>
    <t>VILLARREAL LOPEZ CARLOS ALBERTO</t>
  </si>
  <si>
    <t>MARTINEZ FLORES FRANCISCO</t>
  </si>
  <si>
    <t>AMA11</t>
  </si>
  <si>
    <t>Acosta Moreno Edgar Armando</t>
  </si>
  <si>
    <t>0AB27</t>
  </si>
  <si>
    <t>Aguilar Bravo Cristian Saul</t>
  </si>
  <si>
    <t>00016</t>
  </si>
  <si>
    <t>Arenas Vargas Moises</t>
  </si>
  <si>
    <t>0AZ14</t>
  </si>
  <si>
    <t>Arroyo Zarazua Gilberto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</si>
  <si>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</si>
  <si>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</si>
  <si>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</si>
  <si>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</si>
  <si>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</si>
  <si>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</si>
  <si>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CAG27</t>
  </si>
  <si>
    <t>Cuatzon Aparicio Gelasio</t>
  </si>
  <si>
    <t>0DC20</t>
  </si>
  <si>
    <t>De Jesus Cruz Juan Carlos</t>
  </si>
  <si>
    <t>DGV17</t>
  </si>
  <si>
    <t>Duran Guerra Victor Manuel</t>
  </si>
  <si>
    <t>GAR10</t>
  </si>
  <si>
    <t>Gallegos Romero Cristian</t>
  </si>
  <si>
    <t>GTJ04</t>
  </si>
  <si>
    <t>Garcia Torres Juan Manuel</t>
  </si>
  <si>
    <t>0HP16</t>
  </si>
  <si>
    <t>Hurtado Pajaro Jose Eduardo</t>
  </si>
  <si>
    <t>0JH19</t>
  </si>
  <si>
    <t>Jimenez Hernandez Julio Cesar</t>
  </si>
  <si>
    <t>LSJ31</t>
  </si>
  <si>
    <t>Loyola Sandoval Jose Andres</t>
  </si>
  <si>
    <t>00030</t>
  </si>
  <si>
    <t>Melendez Padilla Claudia Cristina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</si>
  <si>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</si>
  <si>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</si>
  <si>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</si>
  <si>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</si>
  <si>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</si>
  <si>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</si>
  <si>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OPG05</t>
  </si>
  <si>
    <t>Ontiveros Pliego Luis Gerardo</t>
  </si>
  <si>
    <t>PNO16</t>
  </si>
  <si>
    <t>Patiño Navarro Oscar Martin</t>
  </si>
  <si>
    <t>PLJ01</t>
  </si>
  <si>
    <t>Perez Lopez Jimmy Florentino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</si>
  <si>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</si>
  <si>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</si>
  <si>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</si>
  <si>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</si>
  <si>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</si>
  <si>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</si>
  <si>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</si>
  <si>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</si>
  <si>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</si>
  <si>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</si>
  <si>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</si>
  <si>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</si>
  <si>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</si>
  <si>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</si>
  <si>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</si>
  <si>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</si>
  <si>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</si>
  <si>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</si>
  <si>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VH015</t>
  </si>
  <si>
    <t>Valdez Hernandez Elda Nelly</t>
  </si>
  <si>
    <t>VGR22</t>
  </si>
  <si>
    <t>Vargas Gomez Raul Armando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</si>
  <si>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</si>
  <si>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</si>
  <si>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</si>
  <si>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</si>
  <si>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</si>
  <si>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</si>
  <si>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</si>
  <si>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</si>
  <si>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</si>
  <si>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</si>
  <si>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</si>
  <si>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</si>
  <si>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</si>
  <si>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</si>
  <si>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</si>
  <si>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</si>
  <si>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</si>
  <si>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</si>
  <si>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</si>
  <si>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</si>
  <si>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</si>
  <si>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</si>
  <si>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</si>
  <si>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</si>
  <si>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</si>
  <si>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</si>
  <si>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</si>
  <si>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</si>
  <si>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</si>
  <si>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</si>
  <si>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LCE08</t>
  </si>
  <si>
    <t>Lopez Carrillo Ever Fernando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</si>
  <si>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</si>
  <si>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</si>
  <si>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</si>
  <si>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</si>
  <si>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</si>
  <si>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</si>
  <si>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</si>
  <si>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</si>
  <si>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</si>
  <si>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</si>
  <si>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</si>
  <si>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</si>
  <si>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</si>
  <si>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</si>
  <si>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</si>
  <si>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</si>
  <si>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</si>
  <si>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</si>
  <si>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</si>
  <si>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</si>
  <si>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</si>
  <si>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</si>
  <si>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</si>
  <si>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</si>
  <si>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PTV25</t>
  </si>
  <si>
    <t>Perez Torres Vicente Daniel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</si>
  <si>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</si>
  <si>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</si>
  <si>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</si>
  <si>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</si>
  <si>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</si>
  <si>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</si>
  <si>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</si>
  <si>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</si>
  <si>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</si>
  <si>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</si>
  <si>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</si>
  <si>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</si>
  <si>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</si>
  <si>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</si>
  <si>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</si>
  <si>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</si>
  <si>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</si>
  <si>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</si>
  <si>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</si>
  <si>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</si>
  <si>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</si>
  <si>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</si>
  <si>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</si>
  <si>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</si>
  <si>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</si>
  <si>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</si>
  <si>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</si>
  <si>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</si>
  <si>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</si>
  <si>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</si>
  <si>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</si>
  <si>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</si>
  <si>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ZERMEÑO  ALEX JOHNATHAN</t>
  </si>
  <si>
    <t>AVALOS RUDAMAS MARTHA KATHERINE</t>
  </si>
  <si>
    <t>CASTILLO ORDOÑEZ JORGE</t>
  </si>
  <si>
    <t>Periodo Semana 52</t>
  </si>
  <si>
    <t>20/12/17 AL 26/12/17</t>
  </si>
  <si>
    <t>DESC CTA 254 8/8 OPTICA</t>
  </si>
  <si>
    <t>DESC CTA 254 8/12 PRESTAMO</t>
  </si>
  <si>
    <t>DESC CTA 254 8/8 CONCEPTO CELULAR</t>
  </si>
  <si>
    <t>DESC CTA 254 8/16 PRESTAMO</t>
  </si>
  <si>
    <t>PAGO DE 7 HRS EXTRAS</t>
  </si>
  <si>
    <t>PAGO DE 5 HRS EXTRAS</t>
  </si>
  <si>
    <t>PAGO DE 8 HRS EXTRAS</t>
  </si>
  <si>
    <t>PAGO DE 12 HRS EXTRAS</t>
  </si>
  <si>
    <t>HERNANDEZ MARTINEZ SANDRA FABIOLA</t>
  </si>
  <si>
    <t>8 DIAS INCAP</t>
  </si>
  <si>
    <t>8 DIAS INCAP (21/12 - 28/12)</t>
  </si>
  <si>
    <t>AOL13</t>
  </si>
  <si>
    <t>Anaya Ochoa Leon Felipe</t>
  </si>
  <si>
    <t>AGL09</t>
  </si>
  <si>
    <t>Arias Gonzalez Luis Ignacio</t>
  </si>
  <si>
    <t>ARM15</t>
  </si>
  <si>
    <t>Avalos Rudamas Martha Katherine</t>
  </si>
  <si>
    <t>APA23</t>
  </si>
  <si>
    <t>Aviles Palazuelos Alfredo</t>
  </si>
  <si>
    <t>BPM22</t>
  </si>
  <si>
    <t>Bocanegra Peguero Maria Guadalupe</t>
  </si>
  <si>
    <t>0CO24</t>
  </si>
  <si>
    <t>Castillo Ordoñez Jorge</t>
  </si>
  <si>
    <t>CAD16</t>
  </si>
  <si>
    <t>Castruita Aguilar David Arturo</t>
  </si>
  <si>
    <t>DAM16</t>
  </si>
  <si>
    <t>Dominguez Alcantara Miguel Angel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</si>
  <si>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</si>
  <si>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</si>
  <si>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</si>
  <si>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</si>
  <si>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</si>
  <si>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</si>
  <si>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</si>
  <si>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</si>
  <si>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</si>
  <si>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</si>
  <si>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</si>
  <si>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</si>
  <si>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HSC13</t>
  </si>
  <si>
    <t>Hurrle Salzmann Carlos Abelardo</t>
  </si>
  <si>
    <t>LGJ30</t>
  </si>
  <si>
    <t>Landaverde Garcia Juan</t>
  </si>
  <si>
    <t>LPM27</t>
  </si>
  <si>
    <t>Lopez Pedroza Miroslava</t>
  </si>
  <si>
    <t>LPJ24</t>
  </si>
  <si>
    <t>Lozano Perez Jose Enrique</t>
  </si>
  <si>
    <t>LEA25</t>
  </si>
  <si>
    <t>Lupercio Espino Alan Jairo</t>
  </si>
  <si>
    <t>MSA27</t>
  </si>
  <si>
    <t>Morales Sanchez Angel</t>
  </si>
  <si>
    <t>OMJ16</t>
  </si>
  <si>
    <t>Olivas Mancilla Jesus Sadiel</t>
  </si>
  <si>
    <t>PRJ05</t>
  </si>
  <si>
    <t>Padilla Ruiz Jose Antonio</t>
  </si>
  <si>
    <t>RGK05</t>
  </si>
  <si>
    <t>Ramos Garduño Kristal</t>
  </si>
  <si>
    <t>0RA13</t>
  </si>
  <si>
    <t>Rivera Aguilar Gabriel</t>
  </si>
  <si>
    <t>SJJ30</t>
  </si>
  <si>
    <t>Saenz Juarez Josue</t>
  </si>
  <si>
    <t>TPG16</t>
  </si>
  <si>
    <t>Troncoso Peña Gerardo</t>
  </si>
  <si>
    <t>VLC29</t>
  </si>
  <si>
    <t>Villarreal Lopez Carlos Alberto</t>
  </si>
  <si>
    <t>LLA01</t>
  </si>
  <si>
    <t>Leon Luna Arturo</t>
  </si>
  <si>
    <t>VCA30</t>
  </si>
  <si>
    <t>Villegas Cruz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</si>
</sst>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"/>
    <numFmt numFmtId="165" formatCode="&quot;$&quot;#,##0.00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3" fontId="3" fillId="0" borderId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120">
    <xf numFmtId="0" fontId="0" fillId="0" borderId="0" xfId="0"/>
    <xf numFmtId="43" fontId="3" fillId="0" borderId="0" xfId="2"/>
    <xf numFmtId="0" fontId="6" fillId="0" borderId="0" xfId="3" applyFont="1" applyFill="1" applyAlignment="1" applyProtection="1">
      <alignment horizontal="left"/>
    </xf>
    <xf numFmtId="0" fontId="6" fillId="0" borderId="0" xfId="3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43" fontId="8" fillId="0" borderId="0" xfId="2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Protection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15" fontId="6" fillId="0" borderId="0" xfId="3" applyNumberFormat="1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center"/>
    </xf>
    <xf numFmtId="0" fontId="8" fillId="0" borderId="0" xfId="0" applyFont="1"/>
    <xf numFmtId="43" fontId="7" fillId="0" borderId="0" xfId="2" applyFont="1"/>
    <xf numFmtId="43" fontId="8" fillId="0" borderId="0" xfId="2" applyFont="1"/>
    <xf numFmtId="43" fontId="7" fillId="0" borderId="0" xfId="2" applyFont="1" applyFill="1"/>
    <xf numFmtId="0" fontId="8" fillId="0" borderId="0" xfId="0" applyFont="1" applyFill="1"/>
    <xf numFmtId="0" fontId="7" fillId="0" borderId="1" xfId="0" applyFont="1" applyBorder="1"/>
    <xf numFmtId="0" fontId="7" fillId="0" borderId="0" xfId="0" applyFont="1" applyFill="1"/>
    <xf numFmtId="0" fontId="7" fillId="0" borderId="0" xfId="0" applyFont="1"/>
    <xf numFmtId="0" fontId="10" fillId="0" borderId="0" xfId="0" applyFont="1"/>
    <xf numFmtId="43" fontId="3" fillId="0" borderId="0" xfId="2" applyProtection="1"/>
    <xf numFmtId="43" fontId="3" fillId="0" borderId="0" xfId="2" applyFill="1"/>
    <xf numFmtId="43" fontId="8" fillId="5" borderId="1" xfId="2" applyFont="1" applyFill="1" applyBorder="1" applyAlignment="1">
      <alignment horizontal="center" wrapText="1"/>
    </xf>
    <xf numFmtId="0" fontId="8" fillId="0" borderId="6" xfId="0" applyFont="1" applyFill="1" applyBorder="1"/>
    <xf numFmtId="0" fontId="7" fillId="0" borderId="8" xfId="0" applyFont="1" applyFill="1" applyBorder="1"/>
    <xf numFmtId="43" fontId="7" fillId="0" borderId="8" xfId="2" applyFont="1" applyFill="1" applyBorder="1"/>
    <xf numFmtId="43" fontId="8" fillId="0" borderId="8" xfId="2" applyFont="1" applyFill="1" applyBorder="1"/>
    <xf numFmtId="0" fontId="7" fillId="0" borderId="7" xfId="0" applyFont="1" applyBorder="1"/>
    <xf numFmtId="0" fontId="7" fillId="2" borderId="7" xfId="0" applyFont="1" applyFill="1" applyBorder="1"/>
    <xf numFmtId="43" fontId="7" fillId="0" borderId="7" xfId="2" applyFont="1" applyBorder="1"/>
    <xf numFmtId="43" fontId="7" fillId="2" borderId="7" xfId="2" applyFont="1" applyFill="1" applyBorder="1"/>
    <xf numFmtId="43" fontId="7" fillId="0" borderId="7" xfId="2" applyFont="1" applyFill="1" applyBorder="1" applyAlignment="1">
      <alignment horizontal="center"/>
    </xf>
    <xf numFmtId="0" fontId="7" fillId="0" borderId="7" xfId="0" applyFont="1" applyFill="1" applyBorder="1"/>
    <xf numFmtId="43" fontId="7" fillId="0" borderId="7" xfId="2" applyFont="1" applyFill="1" applyBorder="1"/>
    <xf numFmtId="0" fontId="8" fillId="0" borderId="7" xfId="0" applyFont="1" applyFill="1" applyBorder="1"/>
    <xf numFmtId="43" fontId="7" fillId="0" borderId="8" xfId="2" applyFont="1" applyFill="1" applyBorder="1" applyAlignment="1">
      <alignment horizontal="center"/>
    </xf>
    <xf numFmtId="0" fontId="8" fillId="0" borderId="7" xfId="0" applyFont="1" applyBorder="1"/>
    <xf numFmtId="43" fontId="8" fillId="0" borderId="7" xfId="2" applyFont="1" applyBorder="1"/>
    <xf numFmtId="43" fontId="3" fillId="0" borderId="7" xfId="2" applyBorder="1"/>
    <xf numFmtId="43" fontId="3" fillId="3" borderId="7" xfId="2" applyFill="1" applyBorder="1"/>
    <xf numFmtId="43" fontId="12" fillId="0" borderId="0" xfId="2" applyFont="1" applyProtection="1"/>
    <xf numFmtId="43" fontId="12" fillId="0" borderId="0" xfId="2" applyFont="1"/>
    <xf numFmtId="43" fontId="12" fillId="0" borderId="0" xfId="2" applyFont="1" applyFill="1"/>
    <xf numFmtId="43" fontId="12" fillId="0" borderId="7" xfId="2" applyFont="1" applyBorder="1"/>
    <xf numFmtId="43" fontId="12" fillId="3" borderId="7" xfId="2" applyFont="1" applyFill="1" applyBorder="1"/>
    <xf numFmtId="43" fontId="8" fillId="0" borderId="7" xfId="2" applyFont="1" applyFill="1" applyBorder="1"/>
    <xf numFmtId="43" fontId="13" fillId="0" borderId="7" xfId="2" applyFont="1" applyFill="1" applyBorder="1"/>
    <xf numFmtId="2" fontId="7" fillId="0" borderId="7" xfId="0" applyNumberFormat="1" applyFont="1" applyFill="1" applyBorder="1"/>
    <xf numFmtId="164" fontId="13" fillId="0" borderId="7" xfId="0" applyNumberFormat="1" applyFont="1" applyFill="1" applyBorder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43" fontId="8" fillId="7" borderId="7" xfId="2" applyFont="1" applyFill="1" applyBorder="1"/>
    <xf numFmtId="43" fontId="7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7" fillId="0" borderId="7" xfId="0" applyNumberFormat="1" applyFont="1" applyFill="1" applyBorder="1"/>
    <xf numFmtId="43" fontId="7" fillId="0" borderId="7" xfId="0" applyNumberFormat="1" applyFont="1" applyFill="1" applyBorder="1"/>
    <xf numFmtId="14" fontId="7" fillId="0" borderId="7" xfId="0" applyNumberFormat="1" applyFont="1" applyBorder="1"/>
    <xf numFmtId="0" fontId="8" fillId="0" borderId="7" xfId="2" applyNumberFormat="1" applyFont="1" applyFill="1" applyBorder="1" applyAlignment="1">
      <alignment horizontal="center"/>
    </xf>
    <xf numFmtId="43" fontId="8" fillId="0" borderId="7" xfId="2" applyFont="1" applyFill="1" applyBorder="1" applyAlignment="1">
      <alignment horizontal="center"/>
    </xf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0" fontId="7" fillId="7" borderId="7" xfId="0" applyFont="1" applyFill="1" applyBorder="1"/>
    <xf numFmtId="0" fontId="8" fillId="7" borderId="7" xfId="0" applyFont="1" applyFill="1" applyBorder="1" applyAlignment="1">
      <alignment wrapText="1"/>
    </xf>
    <xf numFmtId="9" fontId="15" fillId="0" borderId="7" xfId="2" applyNumberFormat="1" applyFont="1" applyFill="1" applyBorder="1" applyAlignment="1">
      <alignment horizontal="center"/>
    </xf>
    <xf numFmtId="43" fontId="8" fillId="5" borderId="2" xfId="2" applyFont="1" applyFill="1" applyBorder="1" applyAlignment="1">
      <alignment horizontal="center" wrapText="1"/>
    </xf>
    <xf numFmtId="43" fontId="11" fillId="5" borderId="2" xfId="2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8" borderId="7" xfId="0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right"/>
    </xf>
    <xf numFmtId="43" fontId="7" fillId="9" borderId="7" xfId="2" applyFont="1" applyFill="1" applyBorder="1"/>
    <xf numFmtId="0" fontId="20" fillId="0" borderId="0" xfId="5" applyFont="1"/>
    <xf numFmtId="49" fontId="20" fillId="0" borderId="0" xfId="5" applyNumberFormat="1" applyFont="1"/>
    <xf numFmtId="0" fontId="20" fillId="0" borderId="0" xfId="5" applyFont="1"/>
    <xf numFmtId="49" fontId="20" fillId="0" borderId="0" xfId="5" applyNumberFormat="1" applyFont="1"/>
    <xf numFmtId="165" fontId="20" fillId="0" borderId="0" xfId="5" applyNumberFormat="1" applyFont="1"/>
    <xf numFmtId="0" fontId="7" fillId="10" borderId="7" xfId="0" applyFont="1" applyFill="1" applyBorder="1"/>
    <xf numFmtId="164" fontId="13" fillId="10" borderId="7" xfId="0" applyNumberFormat="1" applyFont="1" applyFill="1" applyBorder="1"/>
    <xf numFmtId="43" fontId="7" fillId="10" borderId="7" xfId="2" applyFont="1" applyFill="1" applyBorder="1"/>
    <xf numFmtId="43" fontId="8" fillId="10" borderId="7" xfId="2" applyFont="1" applyFill="1" applyBorder="1"/>
    <xf numFmtId="0" fontId="8" fillId="10" borderId="7" xfId="2" applyNumberFormat="1" applyFont="1" applyFill="1" applyBorder="1" applyAlignment="1">
      <alignment horizontal="center"/>
    </xf>
    <xf numFmtId="43" fontId="8" fillId="10" borderId="7" xfId="2" applyFont="1" applyFill="1" applyBorder="1" applyAlignment="1">
      <alignment horizontal="center"/>
    </xf>
    <xf numFmtId="43" fontId="7" fillId="10" borderId="7" xfId="2" applyFont="1" applyFill="1" applyBorder="1" applyAlignment="1">
      <alignment horizontal="center"/>
    </xf>
    <xf numFmtId="43" fontId="13" fillId="10" borderId="7" xfId="2" applyFont="1" applyFill="1" applyBorder="1"/>
    <xf numFmtId="0" fontId="8" fillId="10" borderId="7" xfId="0" applyFont="1" applyFill="1" applyBorder="1"/>
    <xf numFmtId="0" fontId="7" fillId="10" borderId="0" xfId="0" applyFont="1" applyFill="1"/>
    <xf numFmtId="0" fontId="7" fillId="9" borderId="7" xfId="0" applyFont="1" applyFill="1" applyBorder="1"/>
    <xf numFmtId="164" fontId="13" fillId="9" borderId="7" xfId="0" applyNumberFormat="1" applyFont="1" applyFill="1" applyBorder="1"/>
    <xf numFmtId="0" fontId="8" fillId="9" borderId="7" xfId="0" applyFont="1" applyFill="1" applyBorder="1"/>
    <xf numFmtId="43" fontId="7" fillId="10" borderId="7" xfId="0" applyNumberFormat="1" applyFont="1" applyFill="1" applyBorder="1"/>
    <xf numFmtId="0" fontId="13" fillId="10" borderId="7" xfId="0" applyFont="1" applyFill="1" applyBorder="1"/>
    <xf numFmtId="0" fontId="20" fillId="0" borderId="0" xfId="6" applyFont="1"/>
    <xf numFmtId="49" fontId="20" fillId="0" borderId="0" xfId="6" applyNumberFormat="1" applyFont="1"/>
    <xf numFmtId="0" fontId="20" fillId="0" borderId="0" xfId="6" applyFont="1"/>
    <xf numFmtId="49" fontId="20" fillId="0" borderId="0" xfId="6" applyNumberFormat="1" applyFont="1"/>
    <xf numFmtId="0" fontId="20" fillId="0" borderId="0" xfId="6" applyFont="1"/>
    <xf numFmtId="49" fontId="20" fillId="0" borderId="0" xfId="6" applyNumberFormat="1" applyFont="1"/>
    <xf numFmtId="165" fontId="20" fillId="0" borderId="0" xfId="6" applyNumberFormat="1" applyFont="1"/>
    <xf numFmtId="43" fontId="8" fillId="5" borderId="2" xfId="2" applyFont="1" applyFill="1" applyBorder="1" applyAlignment="1">
      <alignment horizontal="center" vertical="center" wrapText="1"/>
    </xf>
    <xf numFmtId="43" fontId="8" fillId="5" borderId="8" xfId="2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43" fontId="8" fillId="5" borderId="1" xfId="2" applyFont="1" applyFill="1" applyBorder="1" applyAlignment="1">
      <alignment horizontal="center" wrapText="1"/>
    </xf>
    <xf numFmtId="43" fontId="8" fillId="5" borderId="2" xfId="2" applyFont="1" applyFill="1" applyBorder="1" applyAlignment="1">
      <alignment horizontal="center" wrapText="1"/>
    </xf>
    <xf numFmtId="43" fontId="11" fillId="5" borderId="3" xfId="2" applyFont="1" applyFill="1" applyBorder="1" applyAlignment="1">
      <alignment horizontal="center" wrapText="1"/>
    </xf>
    <xf numFmtId="43" fontId="11" fillId="5" borderId="4" xfId="2" applyFont="1" applyFill="1" applyBorder="1" applyAlignment="1">
      <alignment horizontal="center" wrapText="1"/>
    </xf>
    <xf numFmtId="43" fontId="3" fillId="4" borderId="5" xfId="2" applyFill="1" applyBorder="1" applyAlignment="1">
      <alignment horizontal="center"/>
    </xf>
    <xf numFmtId="43" fontId="8" fillId="5" borderId="9" xfId="2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</cellXfs>
  <cellStyles count="7">
    <cellStyle name="Excel Built-in Normal" xfId="1"/>
    <cellStyle name="Millares" xfId="2" builtinId="3"/>
    <cellStyle name="Normal" xfId="0" builtinId="0"/>
    <cellStyle name="Normal 2" xfId="5"/>
    <cellStyle name="Normal 3" xfId="6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R144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35" width="11.5703125" style="18"/>
    <col min="36" max="36" width="28.140625" style="19" bestFit="1" customWidth="1"/>
    <col min="37" max="37" width="13.85546875" style="13" customWidth="1"/>
    <col min="38" max="38" width="13.5703125" style="13" customWidth="1"/>
    <col min="39" max="39" width="13.5703125" style="15" customWidth="1"/>
    <col min="40" max="16384" width="11.5703125" style="19"/>
  </cols>
  <sheetData>
    <row r="1" spans="1:39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  <c r="AI1" s="6"/>
      <c r="AK1" s="4"/>
      <c r="AL1" s="4"/>
      <c r="AM1" s="4"/>
    </row>
    <row r="2" spans="1:39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  <c r="AI2" s="6"/>
      <c r="AK2" s="4"/>
      <c r="AL2" s="4"/>
      <c r="AM2" s="4"/>
    </row>
    <row r="3" spans="1:39" s="7" customFormat="1">
      <c r="A3" s="10" t="s">
        <v>355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  <c r="AI3" s="6"/>
      <c r="AK3" s="4"/>
      <c r="AL3" s="4"/>
      <c r="AM3" s="4"/>
    </row>
    <row r="4" spans="1:39" s="12" customFormat="1">
      <c r="A4" s="12" t="s">
        <v>356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  <c r="AI4" s="16"/>
      <c r="AK4" s="13"/>
      <c r="AL4" s="13"/>
      <c r="AM4" s="15"/>
    </row>
    <row r="5" spans="1:39" s="12" customFormat="1" ht="28.5" customHeight="1">
      <c r="A5" s="116" t="s">
        <v>13</v>
      </c>
      <c r="B5" s="116" t="s">
        <v>14</v>
      </c>
      <c r="C5" s="116" t="s">
        <v>0</v>
      </c>
      <c r="D5" s="118" t="s">
        <v>67</v>
      </c>
      <c r="E5" s="118" t="s">
        <v>145</v>
      </c>
      <c r="F5" s="102" t="s">
        <v>32</v>
      </c>
      <c r="G5" s="102" t="s">
        <v>168</v>
      </c>
      <c r="H5" s="104" t="s">
        <v>9</v>
      </c>
      <c r="I5" s="104" t="s">
        <v>10</v>
      </c>
      <c r="J5" s="104" t="s">
        <v>11</v>
      </c>
      <c r="K5" s="104" t="s">
        <v>12</v>
      </c>
      <c r="L5" s="102" t="s">
        <v>92</v>
      </c>
      <c r="M5" s="102" t="s">
        <v>74</v>
      </c>
      <c r="N5" s="105" t="s">
        <v>46</v>
      </c>
      <c r="O5" s="105" t="s">
        <v>60</v>
      </c>
      <c r="P5" s="105" t="s">
        <v>59</v>
      </c>
      <c r="Q5" s="105" t="s">
        <v>47</v>
      </c>
      <c r="R5" s="104" t="s">
        <v>6</v>
      </c>
      <c r="S5" s="104" t="s">
        <v>16</v>
      </c>
      <c r="T5" s="104" t="s">
        <v>15</v>
      </c>
      <c r="U5" s="104" t="s">
        <v>8</v>
      </c>
      <c r="V5" s="104" t="s">
        <v>23</v>
      </c>
      <c r="W5" s="109" t="s">
        <v>3</v>
      </c>
      <c r="X5" s="109" t="s">
        <v>7</v>
      </c>
      <c r="Y5" s="109" t="s">
        <v>2</v>
      </c>
      <c r="Z5" s="109" t="s">
        <v>4</v>
      </c>
      <c r="AA5" s="23"/>
      <c r="AB5" s="109" t="s">
        <v>5</v>
      </c>
      <c r="AC5" s="111" t="s">
        <v>78</v>
      </c>
      <c r="AD5" s="112"/>
      <c r="AE5" s="113" t="s">
        <v>48</v>
      </c>
      <c r="AF5" s="107" t="s">
        <v>69</v>
      </c>
      <c r="AG5" s="107" t="s">
        <v>70</v>
      </c>
      <c r="AH5" s="16"/>
      <c r="AI5" s="16"/>
      <c r="AK5" s="102" t="s">
        <v>32</v>
      </c>
      <c r="AL5" s="104" t="s">
        <v>12</v>
      </c>
      <c r="AM5" s="105" t="s">
        <v>46</v>
      </c>
    </row>
    <row r="6" spans="1:39" s="70" customFormat="1" ht="39" customHeight="1">
      <c r="A6" s="117"/>
      <c r="B6" s="117"/>
      <c r="C6" s="117"/>
      <c r="D6" s="119"/>
      <c r="E6" s="119"/>
      <c r="F6" s="103"/>
      <c r="G6" s="114"/>
      <c r="H6" s="102"/>
      <c r="I6" s="102"/>
      <c r="J6" s="102"/>
      <c r="K6" s="102"/>
      <c r="L6" s="114"/>
      <c r="M6" s="114"/>
      <c r="N6" s="106"/>
      <c r="O6" s="106"/>
      <c r="P6" s="106"/>
      <c r="Q6" s="106"/>
      <c r="R6" s="102"/>
      <c r="S6" s="102"/>
      <c r="T6" s="102"/>
      <c r="U6" s="102"/>
      <c r="V6" s="102"/>
      <c r="W6" s="110"/>
      <c r="X6" s="110"/>
      <c r="Y6" s="110"/>
      <c r="Z6" s="110"/>
      <c r="AA6" s="67"/>
      <c r="AB6" s="110"/>
      <c r="AC6" s="68" t="s">
        <v>24</v>
      </c>
      <c r="AD6" s="68" t="s">
        <v>25</v>
      </c>
      <c r="AE6" s="113"/>
      <c r="AF6" s="107"/>
      <c r="AG6" s="107"/>
      <c r="AH6" s="69"/>
      <c r="AI6" s="69"/>
      <c r="AK6" s="103"/>
      <c r="AL6" s="102"/>
      <c r="AM6" s="106"/>
    </row>
    <row r="7" spans="1:39" s="18" customFormat="1">
      <c r="A7" s="71" t="s">
        <v>28</v>
      </c>
      <c r="B7" s="33" t="s">
        <v>170</v>
      </c>
      <c r="C7" s="33" t="s">
        <v>30</v>
      </c>
      <c r="D7" s="49">
        <v>42685</v>
      </c>
      <c r="E7" s="34">
        <v>1026.69</v>
      </c>
      <c r="F7" s="34">
        <f>1247.42+8012.94</f>
        <v>9260.36</v>
      </c>
      <c r="G7" s="34"/>
      <c r="H7" s="34"/>
      <c r="I7" s="34"/>
      <c r="J7" s="46">
        <f t="shared" ref="J7:J22" si="0">SUM(F7:I7)</f>
        <v>9260.36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46">
        <f t="shared" ref="V7:V34" si="1">+J7-SUM(K7:U7)</f>
        <v>9260.36</v>
      </c>
      <c r="W7" s="32"/>
      <c r="X7" s="46"/>
      <c r="Y7" s="32"/>
      <c r="Z7" s="32"/>
      <c r="AA7" s="32"/>
      <c r="AB7" s="46"/>
      <c r="AC7" s="50"/>
      <c r="AD7" s="51"/>
      <c r="AE7" s="47"/>
      <c r="AF7" s="35">
        <v>56710784500</v>
      </c>
      <c r="AG7" s="33"/>
      <c r="AI7" s="96" t="s">
        <v>196</v>
      </c>
      <c r="AJ7" s="95" t="s">
        <v>197</v>
      </c>
      <c r="AK7" s="34">
        <v>9260.36</v>
      </c>
      <c r="AL7" s="34"/>
      <c r="AM7" s="34"/>
    </row>
    <row r="8" spans="1:39" s="18" customFormat="1">
      <c r="A8" s="71" t="s">
        <v>37</v>
      </c>
      <c r="B8" s="33" t="s">
        <v>65</v>
      </c>
      <c r="C8" s="33" t="s">
        <v>29</v>
      </c>
      <c r="D8" s="49">
        <v>42062</v>
      </c>
      <c r="E8" s="34">
        <v>1166.27</v>
      </c>
      <c r="F8" s="34">
        <v>1439.42</v>
      </c>
      <c r="G8" s="34"/>
      <c r="H8" s="34"/>
      <c r="I8" s="34"/>
      <c r="J8" s="46">
        <f t="shared" si="0"/>
        <v>1439.42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46">
        <f t="shared" si="1"/>
        <v>1439.42</v>
      </c>
      <c r="W8" s="32">
        <f t="shared" ref="W8:W27" si="2">IF(J8&gt;2250,J8*0.1,0)</f>
        <v>0</v>
      </c>
      <c r="X8" s="46">
        <f t="shared" ref="X8:X27" si="3">+V8-W8</f>
        <v>1439.42</v>
      </c>
      <c r="Y8" s="32">
        <f t="shared" ref="Y8:Y27" si="4">IF(J8&lt;2250,J8*0.1,0)</f>
        <v>143.94200000000001</v>
      </c>
      <c r="Z8" s="32">
        <v>10.23</v>
      </c>
      <c r="AA8" s="32">
        <f t="shared" ref="AA8:AA27" si="5">+O8</f>
        <v>0</v>
      </c>
      <c r="AB8" s="46">
        <f t="shared" ref="AB8:AB27" si="6">+J8+Y8+Z8+AA8</f>
        <v>1593.5920000000001</v>
      </c>
      <c r="AC8" s="50"/>
      <c r="AD8" s="51"/>
      <c r="AE8" s="47">
        <f t="shared" ref="AE8:AE12" si="7">+AC8+AD8-X8</f>
        <v>-1439.42</v>
      </c>
      <c r="AF8" s="35">
        <v>56708844887</v>
      </c>
      <c r="AG8" s="33"/>
      <c r="AI8" s="96" t="s">
        <v>198</v>
      </c>
      <c r="AJ8" s="95" t="s">
        <v>199</v>
      </c>
      <c r="AK8" s="34">
        <v>1439.42</v>
      </c>
      <c r="AL8" s="34"/>
      <c r="AM8" s="34"/>
    </row>
    <row r="9" spans="1:39" s="18" customFormat="1">
      <c r="A9" s="71" t="s">
        <v>28</v>
      </c>
      <c r="B9" s="33" t="s">
        <v>184</v>
      </c>
      <c r="C9" s="33" t="s">
        <v>30</v>
      </c>
      <c r="D9" s="49">
        <v>43052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>
        <v>2</v>
      </c>
      <c r="M9" s="34"/>
      <c r="N9" s="34"/>
      <c r="O9" s="61"/>
      <c r="P9" s="61"/>
      <c r="Q9" s="34"/>
      <c r="R9" s="32"/>
      <c r="S9" s="32"/>
      <c r="T9" s="33"/>
      <c r="U9" s="33"/>
      <c r="V9" s="46">
        <f t="shared" si="1"/>
        <v>-2</v>
      </c>
      <c r="W9" s="32"/>
      <c r="X9" s="46"/>
      <c r="Y9" s="32"/>
      <c r="Z9" s="32"/>
      <c r="AA9" s="32"/>
      <c r="AB9" s="46"/>
      <c r="AC9" s="50"/>
      <c r="AD9" s="51"/>
      <c r="AE9" s="47"/>
      <c r="AF9" s="35">
        <v>60597137212</v>
      </c>
      <c r="AG9" s="33"/>
      <c r="AI9" s="96" t="s">
        <v>368</v>
      </c>
      <c r="AJ9" s="95" t="s">
        <v>369</v>
      </c>
      <c r="AK9" s="34"/>
      <c r="AL9" s="34"/>
      <c r="AM9" s="34"/>
    </row>
    <row r="10" spans="1:39" s="18" customFormat="1">
      <c r="A10" s="71" t="s">
        <v>28</v>
      </c>
      <c r="B10" s="33" t="s">
        <v>35</v>
      </c>
      <c r="C10" s="33" t="s">
        <v>31</v>
      </c>
      <c r="D10" s="49">
        <v>39508</v>
      </c>
      <c r="E10" s="34">
        <v>4666.6899999999996</v>
      </c>
      <c r="F10" s="34">
        <f>16952.41+11000</f>
        <v>27952.41</v>
      </c>
      <c r="G10" s="34"/>
      <c r="H10" s="34"/>
      <c r="I10" s="34"/>
      <c r="J10" s="46">
        <f t="shared" si="0"/>
        <v>27952.41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33">
        <v>193.42</v>
      </c>
      <c r="V10" s="46">
        <f t="shared" si="1"/>
        <v>27758.99</v>
      </c>
      <c r="W10" s="32">
        <f t="shared" si="2"/>
        <v>2795.241</v>
      </c>
      <c r="X10" s="46">
        <f t="shared" si="3"/>
        <v>24963.749000000003</v>
      </c>
      <c r="Y10" s="32">
        <f t="shared" si="4"/>
        <v>0</v>
      </c>
      <c r="Z10" s="32">
        <v>10.23</v>
      </c>
      <c r="AA10" s="32">
        <f t="shared" si="5"/>
        <v>0</v>
      </c>
      <c r="AB10" s="46">
        <f t="shared" si="6"/>
        <v>27962.639999999999</v>
      </c>
      <c r="AC10" s="50"/>
      <c r="AD10" s="51"/>
      <c r="AE10" s="47">
        <f t="shared" si="7"/>
        <v>-24963.749000000003</v>
      </c>
      <c r="AF10" s="35">
        <v>56708881292</v>
      </c>
      <c r="AG10" s="33"/>
      <c r="AI10" s="96" t="s">
        <v>200</v>
      </c>
      <c r="AJ10" s="95" t="s">
        <v>201</v>
      </c>
      <c r="AK10" s="34">
        <v>27952.41</v>
      </c>
      <c r="AL10" s="34"/>
      <c r="AM10" s="34"/>
    </row>
    <row r="11" spans="1:39" s="18" customFormat="1">
      <c r="A11" s="71" t="s">
        <v>27</v>
      </c>
      <c r="B11" s="33" t="s">
        <v>167</v>
      </c>
      <c r="C11" s="33" t="s">
        <v>44</v>
      </c>
      <c r="D11" s="49">
        <v>43017</v>
      </c>
      <c r="E11" s="34">
        <v>1026.69</v>
      </c>
      <c r="F11" s="34">
        <v>3828.28</v>
      </c>
      <c r="G11" s="34"/>
      <c r="H11" s="34"/>
      <c r="I11" s="34"/>
      <c r="J11" s="46">
        <f t="shared" si="0"/>
        <v>3828.28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72"/>
      <c r="V11" s="46"/>
      <c r="W11" s="32"/>
      <c r="X11" s="46"/>
      <c r="Y11" s="32"/>
      <c r="Z11" s="32"/>
      <c r="AA11" s="32"/>
      <c r="AB11" s="46"/>
      <c r="AC11" s="50"/>
      <c r="AD11" s="51"/>
      <c r="AE11" s="47"/>
      <c r="AF11" s="73" t="s">
        <v>166</v>
      </c>
      <c r="AG11" s="35"/>
      <c r="AI11" s="96" t="s">
        <v>370</v>
      </c>
      <c r="AJ11" s="95" t="s">
        <v>371</v>
      </c>
      <c r="AK11" s="34">
        <v>3828.28</v>
      </c>
      <c r="AL11" s="34"/>
      <c r="AM11" s="34"/>
    </row>
    <row r="12" spans="1:39" s="18" customFormat="1">
      <c r="A12" s="71" t="s">
        <v>28</v>
      </c>
      <c r="B12" s="33" t="s">
        <v>61</v>
      </c>
      <c r="C12" s="33" t="s">
        <v>30</v>
      </c>
      <c r="D12" s="49">
        <v>42383</v>
      </c>
      <c r="E12" s="34">
        <v>1026.69</v>
      </c>
      <c r="F12" s="34">
        <v>5249.86</v>
      </c>
      <c r="G12" s="34"/>
      <c r="H12" s="34"/>
      <c r="I12" s="34"/>
      <c r="J12" s="46">
        <f t="shared" si="0"/>
        <v>5249.86</v>
      </c>
      <c r="K12" s="34"/>
      <c r="L12" s="60"/>
      <c r="M12" s="34"/>
      <c r="N12" s="34"/>
      <c r="O12" s="61"/>
      <c r="P12" s="61"/>
      <c r="Q12" s="34"/>
      <c r="R12" s="32">
        <v>1812.9</v>
      </c>
      <c r="S12" s="32"/>
      <c r="T12" s="33"/>
      <c r="U12" s="33">
        <v>358.34</v>
      </c>
      <c r="V12" s="46">
        <f t="shared" si="1"/>
        <v>3078.6199999999994</v>
      </c>
      <c r="W12" s="32">
        <f t="shared" si="2"/>
        <v>524.98599999999999</v>
      </c>
      <c r="X12" s="46">
        <f t="shared" si="3"/>
        <v>2553.6339999999996</v>
      </c>
      <c r="Y12" s="32">
        <f t="shared" si="4"/>
        <v>0</v>
      </c>
      <c r="Z12" s="32">
        <v>10.23</v>
      </c>
      <c r="AA12" s="32">
        <f t="shared" si="5"/>
        <v>0</v>
      </c>
      <c r="AB12" s="46">
        <f t="shared" si="6"/>
        <v>5260.0899999999992</v>
      </c>
      <c r="AC12" s="50"/>
      <c r="AD12" s="51"/>
      <c r="AE12" s="47">
        <f t="shared" si="7"/>
        <v>-2553.6339999999996</v>
      </c>
      <c r="AF12" s="35">
        <v>56708881304</v>
      </c>
      <c r="AG12" s="33"/>
      <c r="AI12" s="96" t="s">
        <v>202</v>
      </c>
      <c r="AJ12" s="95" t="s">
        <v>203</v>
      </c>
      <c r="AK12" s="34">
        <v>5249.86</v>
      </c>
      <c r="AL12" s="34"/>
      <c r="AM12" s="34"/>
    </row>
    <row r="13" spans="1:39" s="18" customFormat="1">
      <c r="A13" s="71" t="s">
        <v>37</v>
      </c>
      <c r="B13" s="33" t="s">
        <v>353</v>
      </c>
      <c r="C13" s="33" t="s">
        <v>177</v>
      </c>
      <c r="D13" s="49">
        <v>43054</v>
      </c>
      <c r="E13" s="34">
        <v>1400</v>
      </c>
      <c r="F13" s="34"/>
      <c r="G13" s="34"/>
      <c r="H13" s="34"/>
      <c r="I13" s="34"/>
      <c r="J13" s="46">
        <f t="shared" si="0"/>
        <v>0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72"/>
      <c r="V13" s="46"/>
      <c r="W13" s="32"/>
      <c r="X13" s="46"/>
      <c r="Y13" s="32"/>
      <c r="Z13" s="32"/>
      <c r="AA13" s="32"/>
      <c r="AB13" s="46"/>
      <c r="AC13" s="50"/>
      <c r="AD13" s="51"/>
      <c r="AE13" s="47"/>
      <c r="AF13" s="35">
        <v>60597130077</v>
      </c>
      <c r="AG13" s="33"/>
      <c r="AI13" s="96" t="s">
        <v>372</v>
      </c>
      <c r="AJ13" s="95" t="s">
        <v>373</v>
      </c>
      <c r="AK13" s="34"/>
      <c r="AL13" s="34"/>
      <c r="AM13" s="34"/>
    </row>
    <row r="14" spans="1:39" s="18" customFormat="1">
      <c r="A14" s="71" t="s">
        <v>28</v>
      </c>
      <c r="B14" s="33" t="s">
        <v>189</v>
      </c>
      <c r="C14" s="33" t="s">
        <v>30</v>
      </c>
      <c r="D14" s="49">
        <v>43062</v>
      </c>
      <c r="E14" s="34">
        <v>1026.69</v>
      </c>
      <c r="F14" s="34"/>
      <c r="G14" s="34"/>
      <c r="H14" s="34"/>
      <c r="I14" s="34"/>
      <c r="J14" s="46">
        <f t="shared" si="0"/>
        <v>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46"/>
      <c r="W14" s="32"/>
      <c r="X14" s="46"/>
      <c r="Y14" s="32"/>
      <c r="Z14" s="32"/>
      <c r="AA14" s="32"/>
      <c r="AB14" s="46"/>
      <c r="AC14" s="50"/>
      <c r="AD14" s="51"/>
      <c r="AE14" s="47"/>
      <c r="AF14" s="35">
        <v>1522786230</v>
      </c>
      <c r="AG14" s="33"/>
      <c r="AH14" s="18" t="s">
        <v>126</v>
      </c>
      <c r="AI14" s="96" t="s">
        <v>374</v>
      </c>
      <c r="AJ14" s="95" t="s">
        <v>375</v>
      </c>
      <c r="AK14" s="34"/>
      <c r="AL14" s="34"/>
      <c r="AM14" s="34"/>
    </row>
    <row r="15" spans="1:39" s="18" customFormat="1" ht="15.75">
      <c r="A15" s="71" t="s">
        <v>28</v>
      </c>
      <c r="B15" s="33" t="s">
        <v>134</v>
      </c>
      <c r="C15" s="33" t="s">
        <v>30</v>
      </c>
      <c r="D15" s="49">
        <v>42878</v>
      </c>
      <c r="E15" s="34">
        <v>1026.69</v>
      </c>
      <c r="F15" s="34">
        <v>4782.6099999999997</v>
      </c>
      <c r="G15" s="34"/>
      <c r="H15" s="34"/>
      <c r="I15" s="34"/>
      <c r="J15" s="46">
        <f t="shared" si="0"/>
        <v>4782.6099999999997</v>
      </c>
      <c r="K15" s="34"/>
      <c r="L15" s="60">
        <v>1</v>
      </c>
      <c r="M15" s="34"/>
      <c r="N15" s="34"/>
      <c r="O15" s="61"/>
      <c r="P15" s="61"/>
      <c r="Q15" s="34"/>
      <c r="R15" s="32"/>
      <c r="S15" s="66">
        <v>0.3</v>
      </c>
      <c r="T15" s="33"/>
      <c r="U15" s="33">
        <v>2500</v>
      </c>
      <c r="V15" s="46">
        <f t="shared" si="1"/>
        <v>2281.3099999999995</v>
      </c>
      <c r="W15" s="32"/>
      <c r="X15" s="46"/>
      <c r="Y15" s="32"/>
      <c r="Z15" s="32"/>
      <c r="AA15" s="32"/>
      <c r="AB15" s="46"/>
      <c r="AC15" s="50"/>
      <c r="AD15" s="51"/>
      <c r="AE15" s="47"/>
      <c r="AF15" s="35">
        <v>53917427816</v>
      </c>
      <c r="AG15" s="33"/>
      <c r="AI15" s="96" t="s">
        <v>204</v>
      </c>
      <c r="AJ15" s="95" t="s">
        <v>205</v>
      </c>
      <c r="AK15" s="34">
        <v>4782.6099999999997</v>
      </c>
      <c r="AL15" s="34"/>
      <c r="AM15" s="34"/>
    </row>
    <row r="16" spans="1:39" s="18" customFormat="1">
      <c r="A16" s="71" t="s">
        <v>27</v>
      </c>
      <c r="B16" s="33" t="s">
        <v>137</v>
      </c>
      <c r="C16" s="33" t="s">
        <v>163</v>
      </c>
      <c r="D16" s="49">
        <v>42908</v>
      </c>
      <c r="E16" s="34">
        <v>1499.96</v>
      </c>
      <c r="F16" s="34"/>
      <c r="G16" s="34"/>
      <c r="H16" s="34"/>
      <c r="I16" s="34"/>
      <c r="J16" s="46">
        <f t="shared" si="0"/>
        <v>0</v>
      </c>
      <c r="K16" s="34"/>
      <c r="L16" s="60"/>
      <c r="M16" s="34"/>
      <c r="N16" s="34"/>
      <c r="O16" s="61"/>
      <c r="P16" s="61"/>
      <c r="Q16" s="34"/>
      <c r="R16" s="32"/>
      <c r="S16" s="32"/>
      <c r="T16" s="33"/>
      <c r="U16" s="33"/>
      <c r="V16" s="46">
        <f t="shared" si="1"/>
        <v>0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60592545278</v>
      </c>
      <c r="AG16" s="33"/>
      <c r="AI16" s="96" t="s">
        <v>376</v>
      </c>
      <c r="AJ16" s="95" t="s">
        <v>377</v>
      </c>
      <c r="AK16" s="34"/>
      <c r="AL16" s="34"/>
      <c r="AM16" s="34"/>
    </row>
    <row r="17" spans="1:39" s="18" customFormat="1">
      <c r="A17" s="71" t="s">
        <v>37</v>
      </c>
      <c r="B17" s="33" t="s">
        <v>155</v>
      </c>
      <c r="C17" s="33" t="s">
        <v>42</v>
      </c>
      <c r="D17" s="49">
        <v>42977</v>
      </c>
      <c r="E17" s="34">
        <v>933.31</v>
      </c>
      <c r="F17" s="34">
        <v>2310</v>
      </c>
      <c r="G17" s="34"/>
      <c r="H17" s="34"/>
      <c r="I17" s="34"/>
      <c r="J17" s="46">
        <f t="shared" si="0"/>
        <v>2310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46">
        <f t="shared" si="1"/>
        <v>2310</v>
      </c>
      <c r="W17" s="32"/>
      <c r="X17" s="46"/>
      <c r="Y17" s="32"/>
      <c r="Z17" s="32"/>
      <c r="AA17" s="32"/>
      <c r="AB17" s="46"/>
      <c r="AC17" s="50"/>
      <c r="AD17" s="51"/>
      <c r="AE17" s="47"/>
      <c r="AF17" s="35">
        <v>60594701908</v>
      </c>
      <c r="AG17" s="33"/>
      <c r="AI17" s="96" t="s">
        <v>206</v>
      </c>
      <c r="AJ17" s="95" t="s">
        <v>207</v>
      </c>
      <c r="AK17" s="34">
        <v>2310</v>
      </c>
      <c r="AL17" s="34"/>
      <c r="AM17" s="34"/>
    </row>
    <row r="18" spans="1:39" s="18" customFormat="1">
      <c r="A18" s="71" t="s">
        <v>28</v>
      </c>
      <c r="B18" s="33" t="s">
        <v>72</v>
      </c>
      <c r="C18" s="33" t="s">
        <v>31</v>
      </c>
      <c r="D18" s="49">
        <v>39699</v>
      </c>
      <c r="E18" s="34">
        <v>4666.6899999999996</v>
      </c>
      <c r="F18" s="34">
        <f>39459+11000</f>
        <v>50459</v>
      </c>
      <c r="G18" s="34"/>
      <c r="H18" s="34">
        <v>12459.89</v>
      </c>
      <c r="I18" s="34"/>
      <c r="J18" s="46">
        <f t="shared" si="0"/>
        <v>62918.89</v>
      </c>
      <c r="K18" s="34">
        <v>1250</v>
      </c>
      <c r="L18" s="60"/>
      <c r="M18" s="34"/>
      <c r="N18" s="34">
        <v>1000</v>
      </c>
      <c r="O18" s="61"/>
      <c r="P18" s="61"/>
      <c r="Q18" s="34"/>
      <c r="R18" s="32">
        <v>5323.5</v>
      </c>
      <c r="S18" s="32"/>
      <c r="T18" s="33"/>
      <c r="U18" s="33"/>
      <c r="V18" s="46">
        <f t="shared" si="1"/>
        <v>55345.39</v>
      </c>
      <c r="W18" s="32">
        <f t="shared" si="2"/>
        <v>6291.8890000000001</v>
      </c>
      <c r="X18" s="46">
        <f t="shared" si="3"/>
        <v>49053.500999999997</v>
      </c>
      <c r="Y18" s="32">
        <f t="shared" si="4"/>
        <v>0</v>
      </c>
      <c r="Z18" s="32">
        <v>10.23</v>
      </c>
      <c r="AA18" s="32">
        <f t="shared" si="5"/>
        <v>0</v>
      </c>
      <c r="AB18" s="46">
        <f t="shared" si="6"/>
        <v>62929.120000000003</v>
      </c>
      <c r="AC18" s="50"/>
      <c r="AD18" s="51"/>
      <c r="AE18" s="47">
        <f t="shared" ref="AE18" si="8">+AC18+AD18-X18</f>
        <v>-49053.500999999997</v>
      </c>
      <c r="AF18" s="35">
        <v>56708881349</v>
      </c>
      <c r="AG18" s="35" t="s">
        <v>360</v>
      </c>
      <c r="AI18" s="96" t="s">
        <v>208</v>
      </c>
      <c r="AJ18" s="95" t="s">
        <v>209</v>
      </c>
      <c r="AK18" s="34">
        <v>50459</v>
      </c>
      <c r="AL18" s="34">
        <v>1250</v>
      </c>
      <c r="AM18" s="34">
        <v>1000</v>
      </c>
    </row>
    <row r="19" spans="1:39" s="18" customFormat="1">
      <c r="A19" s="71" t="s">
        <v>27</v>
      </c>
      <c r="B19" s="33" t="s">
        <v>354</v>
      </c>
      <c r="C19" s="33" t="s">
        <v>44</v>
      </c>
      <c r="D19" s="49">
        <v>43082</v>
      </c>
      <c r="E19" s="34">
        <v>1026.69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/>
      <c r="O19" s="61"/>
      <c r="P19" s="61"/>
      <c r="Q19" s="34"/>
      <c r="R19" s="32"/>
      <c r="S19" s="32"/>
      <c r="T19" s="33"/>
      <c r="U19" s="33">
        <v>599.98</v>
      </c>
      <c r="V19" s="46">
        <f t="shared" si="1"/>
        <v>-599.98</v>
      </c>
      <c r="W19" s="32"/>
      <c r="X19" s="46"/>
      <c r="Y19" s="32"/>
      <c r="Z19" s="32"/>
      <c r="AA19" s="32"/>
      <c r="AB19" s="46"/>
      <c r="AC19" s="50"/>
      <c r="AD19" s="51"/>
      <c r="AE19" s="47"/>
      <c r="AF19" s="35">
        <v>56708844947</v>
      </c>
      <c r="AG19" s="35"/>
      <c r="AI19" s="96" t="s">
        <v>378</v>
      </c>
      <c r="AJ19" s="95" t="s">
        <v>379</v>
      </c>
      <c r="AK19" s="34"/>
      <c r="AL19" s="34"/>
      <c r="AM19" s="34"/>
    </row>
    <row r="20" spans="1:39" s="18" customFormat="1">
      <c r="A20" s="71" t="s">
        <v>28</v>
      </c>
      <c r="B20" s="33" t="s">
        <v>186</v>
      </c>
      <c r="C20" s="33" t="s">
        <v>30</v>
      </c>
      <c r="D20" s="49">
        <v>43055</v>
      </c>
      <c r="E20" s="34">
        <v>1026.69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/>
      <c r="O20" s="61"/>
      <c r="P20" s="61"/>
      <c r="Q20" s="34"/>
      <c r="R20" s="32"/>
      <c r="S20" s="32"/>
      <c r="T20" s="33"/>
      <c r="U20" s="33"/>
      <c r="V20" s="46">
        <f t="shared" si="1"/>
        <v>0</v>
      </c>
      <c r="W20" s="32"/>
      <c r="X20" s="46"/>
      <c r="Y20" s="32"/>
      <c r="Z20" s="32"/>
      <c r="AA20" s="32"/>
      <c r="AB20" s="46"/>
      <c r="AC20" s="50"/>
      <c r="AD20" s="51"/>
      <c r="AE20" s="47"/>
      <c r="AF20" s="35">
        <v>60597155367</v>
      </c>
      <c r="AG20" s="33"/>
      <c r="AI20" s="96" t="s">
        <v>380</v>
      </c>
      <c r="AJ20" s="95" t="s">
        <v>381</v>
      </c>
      <c r="AK20" s="34"/>
      <c r="AL20" s="34"/>
      <c r="AM20" s="34"/>
    </row>
    <row r="21" spans="1:39" s="18" customFormat="1" ht="15.75">
      <c r="A21" s="71" t="s">
        <v>27</v>
      </c>
      <c r="B21" s="33" t="s">
        <v>160</v>
      </c>
      <c r="C21" s="33" t="s">
        <v>30</v>
      </c>
      <c r="D21" s="49">
        <v>43005</v>
      </c>
      <c r="E21" s="34">
        <v>1026.69</v>
      </c>
      <c r="F21" s="34">
        <v>3870.54</v>
      </c>
      <c r="G21" s="34"/>
      <c r="H21" s="34"/>
      <c r="I21" s="34"/>
      <c r="J21" s="46">
        <f t="shared" si="0"/>
        <v>3870.54</v>
      </c>
      <c r="K21" s="34"/>
      <c r="L21" s="60"/>
      <c r="M21" s="34"/>
      <c r="N21" s="34"/>
      <c r="O21" s="61"/>
      <c r="P21" s="61"/>
      <c r="Q21" s="34"/>
      <c r="R21" s="32">
        <v>636.32000000000005</v>
      </c>
      <c r="S21" s="66"/>
      <c r="T21" s="33"/>
      <c r="U21" s="33">
        <v>302.99</v>
      </c>
      <c r="V21" s="46">
        <f t="shared" si="1"/>
        <v>2931.23</v>
      </c>
      <c r="W21" s="32"/>
      <c r="X21" s="46"/>
      <c r="Y21" s="32"/>
      <c r="Z21" s="32"/>
      <c r="AA21" s="32"/>
      <c r="AB21" s="46"/>
      <c r="AC21" s="50"/>
      <c r="AD21" s="51"/>
      <c r="AE21" s="47"/>
      <c r="AF21" s="35">
        <v>60595911850</v>
      </c>
      <c r="AG21" s="33"/>
      <c r="AI21" s="96" t="s">
        <v>210</v>
      </c>
      <c r="AJ21" s="95" t="s">
        <v>211</v>
      </c>
      <c r="AK21" s="34">
        <v>3870.54</v>
      </c>
      <c r="AL21" s="34"/>
      <c r="AM21" s="34"/>
    </row>
    <row r="22" spans="1:39" s="18" customFormat="1" ht="15.75">
      <c r="A22" s="71" t="s">
        <v>68</v>
      </c>
      <c r="B22" s="33" t="s">
        <v>55</v>
      </c>
      <c r="C22" s="33" t="s">
        <v>43</v>
      </c>
      <c r="D22" s="49">
        <v>42205</v>
      </c>
      <c r="E22" s="34">
        <v>1869</v>
      </c>
      <c r="F22" s="34"/>
      <c r="G22" s="34"/>
      <c r="H22" s="34"/>
      <c r="I22" s="34"/>
      <c r="J22" s="46">
        <f t="shared" si="0"/>
        <v>0</v>
      </c>
      <c r="K22" s="34"/>
      <c r="L22" s="60"/>
      <c r="M22" s="34"/>
      <c r="N22" s="34">
        <v>300</v>
      </c>
      <c r="O22" s="61"/>
      <c r="P22" s="61"/>
      <c r="Q22" s="34"/>
      <c r="R22" s="32"/>
      <c r="S22" s="66">
        <v>0.3</v>
      </c>
      <c r="T22" s="33"/>
      <c r="U22" s="33"/>
      <c r="V22" s="46">
        <f t="shared" si="1"/>
        <v>-300.3</v>
      </c>
      <c r="W22" s="32">
        <f t="shared" si="2"/>
        <v>0</v>
      </c>
      <c r="X22" s="46">
        <f t="shared" si="3"/>
        <v>-300.3</v>
      </c>
      <c r="Y22" s="32">
        <f t="shared" si="4"/>
        <v>0</v>
      </c>
      <c r="Z22" s="32">
        <v>10.23</v>
      </c>
      <c r="AA22" s="32">
        <f t="shared" si="5"/>
        <v>0</v>
      </c>
      <c r="AB22" s="46">
        <f t="shared" si="6"/>
        <v>10.23</v>
      </c>
      <c r="AC22" s="50"/>
      <c r="AD22" s="51"/>
      <c r="AE22" s="47">
        <f t="shared" ref="AE22" si="9">+AC22+AD22-X22</f>
        <v>300.3</v>
      </c>
      <c r="AF22" s="35">
        <v>56708844950</v>
      </c>
      <c r="AG22" s="35" t="s">
        <v>363</v>
      </c>
      <c r="AI22" s="96" t="s">
        <v>212</v>
      </c>
      <c r="AJ22" s="95" t="s">
        <v>213</v>
      </c>
      <c r="AK22" s="34"/>
      <c r="AL22" s="34"/>
      <c r="AM22" s="34">
        <v>300</v>
      </c>
    </row>
    <row r="23" spans="1:39" s="18" customFormat="1" ht="15.75">
      <c r="A23" s="71" t="s">
        <v>68</v>
      </c>
      <c r="B23" s="33" t="s">
        <v>85</v>
      </c>
      <c r="C23" s="33" t="s">
        <v>43</v>
      </c>
      <c r="D23" s="49">
        <v>42476</v>
      </c>
      <c r="E23" s="34">
        <v>1869</v>
      </c>
      <c r="F23" s="34"/>
      <c r="G23" s="34"/>
      <c r="H23" s="34"/>
      <c r="I23" s="34"/>
      <c r="J23" s="46">
        <f t="shared" ref="J23:J67" si="10">SUM(F23:I23)</f>
        <v>0</v>
      </c>
      <c r="K23" s="34"/>
      <c r="L23" s="60">
        <v>1</v>
      </c>
      <c r="M23" s="34"/>
      <c r="N23" s="34"/>
      <c r="O23" s="61"/>
      <c r="P23" s="61"/>
      <c r="Q23" s="34"/>
      <c r="R23" s="32"/>
      <c r="S23" s="66"/>
      <c r="T23" s="33"/>
      <c r="U23" s="33"/>
      <c r="V23" s="46">
        <f t="shared" si="1"/>
        <v>-1</v>
      </c>
      <c r="W23" s="32">
        <f t="shared" ref="W23" si="11">IF(J23&gt;2250,J23*0.1,0)</f>
        <v>0</v>
      </c>
      <c r="X23" s="46">
        <f t="shared" ref="X23" si="12">+V23-W23</f>
        <v>-1</v>
      </c>
      <c r="Y23" s="32">
        <f t="shared" si="4"/>
        <v>0</v>
      </c>
      <c r="Z23" s="32">
        <v>10.23</v>
      </c>
      <c r="AA23" s="32">
        <f t="shared" si="5"/>
        <v>0</v>
      </c>
      <c r="AB23" s="46">
        <f t="shared" si="6"/>
        <v>10.23</v>
      </c>
      <c r="AC23" s="50"/>
      <c r="AD23" s="51"/>
      <c r="AE23" s="47" t="e">
        <f>+AC23+AD23-#REF!</f>
        <v>#REF!</v>
      </c>
      <c r="AF23" s="35">
        <v>56708844964</v>
      </c>
      <c r="AG23" s="35" t="s">
        <v>364</v>
      </c>
      <c r="AI23" s="96" t="s">
        <v>382</v>
      </c>
      <c r="AJ23" s="95" t="s">
        <v>383</v>
      </c>
      <c r="AK23" s="34"/>
      <c r="AL23" s="34"/>
      <c r="AM23" s="34"/>
    </row>
    <row r="24" spans="1:39" s="18" customFormat="1" ht="15.75">
      <c r="A24" s="71" t="s">
        <v>28</v>
      </c>
      <c r="B24" s="33" t="s">
        <v>141</v>
      </c>
      <c r="C24" s="33" t="s">
        <v>30</v>
      </c>
      <c r="D24" s="49">
        <v>42916</v>
      </c>
      <c r="E24" s="34">
        <v>1026.69</v>
      </c>
      <c r="F24" s="34">
        <v>8406.2800000000007</v>
      </c>
      <c r="G24" s="34"/>
      <c r="H24" s="34"/>
      <c r="I24" s="34"/>
      <c r="J24" s="46">
        <f t="shared" si="10"/>
        <v>8406.2800000000007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>
        <v>432.26</v>
      </c>
      <c r="V24" s="46">
        <f t="shared" si="1"/>
        <v>7974.02</v>
      </c>
      <c r="W24" s="32"/>
      <c r="X24" s="46"/>
      <c r="Y24" s="32"/>
      <c r="Z24" s="32"/>
      <c r="AA24" s="32"/>
      <c r="AB24" s="46"/>
      <c r="AC24" s="50"/>
      <c r="AD24" s="51"/>
      <c r="AE24" s="47"/>
      <c r="AF24" s="35">
        <v>60592609882</v>
      </c>
      <c r="AG24" s="33"/>
      <c r="AI24" s="96" t="s">
        <v>214</v>
      </c>
      <c r="AJ24" s="95" t="s">
        <v>215</v>
      </c>
      <c r="AK24" s="34">
        <v>8406.2800000000007</v>
      </c>
      <c r="AL24" s="34"/>
      <c r="AM24" s="34"/>
    </row>
    <row r="25" spans="1:39" s="18" customFormat="1" ht="15.75">
      <c r="A25" s="71" t="s">
        <v>28</v>
      </c>
      <c r="B25" s="33" t="s">
        <v>109</v>
      </c>
      <c r="C25" s="33" t="s">
        <v>110</v>
      </c>
      <c r="D25" s="49">
        <v>41359</v>
      </c>
      <c r="E25" s="34">
        <v>4666.6899999999996</v>
      </c>
      <c r="F25" s="34">
        <f>21853.15+17000</f>
        <v>38853.15</v>
      </c>
      <c r="G25" s="34"/>
      <c r="H25" s="34"/>
      <c r="I25" s="34"/>
      <c r="J25" s="46">
        <f t="shared" si="10"/>
        <v>38853.15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46">
        <f t="shared" si="1"/>
        <v>38853.15</v>
      </c>
      <c r="W25" s="32">
        <f t="shared" ref="W25" si="13">IF(J25&gt;2250,J25*0.1,0)</f>
        <v>3885.3150000000005</v>
      </c>
      <c r="X25" s="46">
        <f t="shared" ref="X25" si="14">+V25-W25</f>
        <v>34967.834999999999</v>
      </c>
      <c r="Y25" s="32"/>
      <c r="Z25" s="32"/>
      <c r="AA25" s="32"/>
      <c r="AB25" s="46"/>
      <c r="AC25" s="50"/>
      <c r="AD25" s="51"/>
      <c r="AE25" s="47"/>
      <c r="AF25" s="35">
        <v>56708881383</v>
      </c>
      <c r="AG25" s="33"/>
      <c r="AI25" s="96" t="s">
        <v>216</v>
      </c>
      <c r="AJ25" s="95" t="s">
        <v>217</v>
      </c>
      <c r="AK25" s="34">
        <v>38853.15</v>
      </c>
      <c r="AL25" s="34"/>
      <c r="AM25" s="34"/>
    </row>
    <row r="26" spans="1:39" s="18" customFormat="1">
      <c r="A26" s="71" t="s">
        <v>28</v>
      </c>
      <c r="B26" s="33" t="s">
        <v>165</v>
      </c>
      <c r="C26" s="33" t="s">
        <v>30</v>
      </c>
      <c r="D26" s="49">
        <v>43012</v>
      </c>
      <c r="E26" s="34">
        <v>1026.69</v>
      </c>
      <c r="F26" s="34">
        <v>2554.17</v>
      </c>
      <c r="G26" s="34"/>
      <c r="H26" s="34"/>
      <c r="I26" s="34"/>
      <c r="J26" s="46">
        <f t="shared" si="10"/>
        <v>2554.17</v>
      </c>
      <c r="K26" s="34"/>
      <c r="L26" s="60"/>
      <c r="M26" s="34"/>
      <c r="N26" s="34"/>
      <c r="O26" s="61"/>
      <c r="P26" s="61"/>
      <c r="Q26" s="34"/>
      <c r="R26" s="32"/>
      <c r="S26" s="32"/>
      <c r="T26" s="33"/>
      <c r="U26" s="72"/>
      <c r="V26" s="46">
        <f t="shared" si="1"/>
        <v>2554.17</v>
      </c>
      <c r="W26" s="32"/>
      <c r="X26" s="46"/>
      <c r="Y26" s="32"/>
      <c r="Z26" s="32"/>
      <c r="AA26" s="32"/>
      <c r="AB26" s="46"/>
      <c r="AC26" s="50"/>
      <c r="AD26" s="51"/>
      <c r="AE26" s="47"/>
      <c r="AF26" s="73" t="s">
        <v>164</v>
      </c>
      <c r="AG26" s="35"/>
      <c r="AH26" s="18" t="s">
        <v>126</v>
      </c>
      <c r="AI26" s="96" t="s">
        <v>218</v>
      </c>
      <c r="AJ26" s="95" t="s">
        <v>219</v>
      </c>
      <c r="AK26" s="34">
        <v>2554.17</v>
      </c>
      <c r="AL26" s="34"/>
      <c r="AM26" s="34"/>
    </row>
    <row r="27" spans="1:39" s="18" customFormat="1" ht="15.75">
      <c r="A27" s="71" t="s">
        <v>28</v>
      </c>
      <c r="B27" s="33" t="s">
        <v>84</v>
      </c>
      <c r="C27" s="33" t="s">
        <v>30</v>
      </c>
      <c r="D27" s="49">
        <v>42413</v>
      </c>
      <c r="E27" s="34">
        <v>1026.69</v>
      </c>
      <c r="F27" s="34"/>
      <c r="G27" s="34"/>
      <c r="H27" s="34"/>
      <c r="I27" s="34"/>
      <c r="J27" s="46">
        <f t="shared" si="10"/>
        <v>0</v>
      </c>
      <c r="K27" s="34"/>
      <c r="L27" s="60">
        <v>1</v>
      </c>
      <c r="M27" s="34"/>
      <c r="N27" s="34"/>
      <c r="O27" s="61"/>
      <c r="P27" s="61"/>
      <c r="Q27" s="34"/>
      <c r="R27" s="32"/>
      <c r="S27" s="66"/>
      <c r="T27" s="33"/>
      <c r="U27" s="33"/>
      <c r="V27" s="46">
        <f t="shared" si="1"/>
        <v>-1</v>
      </c>
      <c r="W27" s="32">
        <f t="shared" si="2"/>
        <v>0</v>
      </c>
      <c r="X27" s="46">
        <f t="shared" si="3"/>
        <v>-1</v>
      </c>
      <c r="Y27" s="32">
        <f t="shared" si="4"/>
        <v>0</v>
      </c>
      <c r="Z27" s="32">
        <v>13.23</v>
      </c>
      <c r="AA27" s="32">
        <f t="shared" si="5"/>
        <v>0</v>
      </c>
      <c r="AB27" s="46">
        <f t="shared" si="6"/>
        <v>13.23</v>
      </c>
      <c r="AC27" s="50"/>
      <c r="AD27" s="51"/>
      <c r="AE27" s="47">
        <f>+AC27+AD27-X27</f>
        <v>1</v>
      </c>
      <c r="AF27" s="35">
        <v>60590329504</v>
      </c>
      <c r="AG27" s="33"/>
      <c r="AI27" s="96" t="s">
        <v>384</v>
      </c>
      <c r="AJ27" s="95" t="s">
        <v>385</v>
      </c>
      <c r="AK27" s="34"/>
      <c r="AL27" s="34"/>
      <c r="AM27" s="34"/>
    </row>
    <row r="28" spans="1:39" s="18" customFormat="1" ht="15.75">
      <c r="A28" s="71" t="s">
        <v>28</v>
      </c>
      <c r="B28" s="33" t="s">
        <v>90</v>
      </c>
      <c r="C28" s="33" t="s">
        <v>100</v>
      </c>
      <c r="D28" s="49">
        <v>42480</v>
      </c>
      <c r="E28" s="34">
        <v>2800</v>
      </c>
      <c r="F28" s="34"/>
      <c r="G28" s="34"/>
      <c r="H28" s="34"/>
      <c r="I28" s="34"/>
      <c r="J28" s="46">
        <f t="shared" si="1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46">
        <f t="shared" si="1"/>
        <v>0</v>
      </c>
      <c r="W28" s="32">
        <f t="shared" ref="W28:W50" si="15">IF(J28&gt;2250,J28*0.1,0)</f>
        <v>0</v>
      </c>
      <c r="X28" s="46">
        <f t="shared" ref="X28:X50" si="16">+V28-W28</f>
        <v>0</v>
      </c>
      <c r="Y28" s="32">
        <f t="shared" ref="Y28:Y50" si="17">IF(J28&lt;2250,J28*0.1,0)</f>
        <v>0</v>
      </c>
      <c r="Z28" s="32">
        <v>17.23</v>
      </c>
      <c r="AA28" s="32">
        <f t="shared" ref="AA28:AA50" si="18">+O28</f>
        <v>0</v>
      </c>
      <c r="AB28" s="46">
        <f t="shared" ref="AB28:AB50" si="19">+J28+Y28+Z28+AA28</f>
        <v>17.23</v>
      </c>
      <c r="AC28" s="50"/>
      <c r="AD28" s="51"/>
      <c r="AE28" s="47">
        <f>+AC28+AD28-X28</f>
        <v>0</v>
      </c>
      <c r="AF28" s="35">
        <v>56708845010</v>
      </c>
      <c r="AG28" s="33"/>
      <c r="AI28" s="96" t="s">
        <v>386</v>
      </c>
      <c r="AJ28" s="95" t="s">
        <v>387</v>
      </c>
      <c r="AK28" s="34"/>
      <c r="AL28" s="34"/>
      <c r="AM28" s="34"/>
    </row>
    <row r="29" spans="1:39" s="18" customFormat="1" ht="15.75">
      <c r="A29" s="90" t="s">
        <v>28</v>
      </c>
      <c r="B29" s="90" t="s">
        <v>365</v>
      </c>
      <c r="C29" s="90" t="s">
        <v>177</v>
      </c>
      <c r="D29" s="91">
        <v>43089</v>
      </c>
      <c r="E29" s="74">
        <v>1400</v>
      </c>
      <c r="F29" s="74"/>
      <c r="G29" s="74"/>
      <c r="H29" s="74"/>
      <c r="I29" s="74"/>
      <c r="J29" s="46">
        <f t="shared" si="1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46">
        <f t="shared" si="1"/>
        <v>0</v>
      </c>
      <c r="W29" s="32"/>
      <c r="X29" s="46"/>
      <c r="Y29" s="32"/>
      <c r="Z29" s="32"/>
      <c r="AA29" s="32"/>
      <c r="AB29" s="46"/>
      <c r="AC29" s="50"/>
      <c r="AD29" s="51"/>
      <c r="AE29" s="47"/>
      <c r="AF29" s="92">
        <v>60597980674</v>
      </c>
      <c r="AG29" s="90"/>
      <c r="AK29" s="74"/>
      <c r="AL29" s="34"/>
      <c r="AM29" s="34"/>
    </row>
    <row r="30" spans="1:39" s="18" customFormat="1" ht="15.75">
      <c r="A30" s="71" t="s">
        <v>39</v>
      </c>
      <c r="B30" s="33" t="s">
        <v>127</v>
      </c>
      <c r="C30" s="33" t="s">
        <v>43</v>
      </c>
      <c r="D30" s="49">
        <v>42826</v>
      </c>
      <c r="E30" s="34">
        <v>1633.31</v>
      </c>
      <c r="F30" s="34"/>
      <c r="G30" s="34"/>
      <c r="H30" s="34"/>
      <c r="I30" s="34"/>
      <c r="J30" s="46">
        <f t="shared" si="1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46">
        <f t="shared" si="1"/>
        <v>0</v>
      </c>
      <c r="W30" s="32">
        <f t="shared" si="15"/>
        <v>0</v>
      </c>
      <c r="X30" s="46"/>
      <c r="Y30" s="32">
        <f t="shared" si="17"/>
        <v>0</v>
      </c>
      <c r="Z30" s="32"/>
      <c r="AA30" s="32"/>
      <c r="AB30" s="46"/>
      <c r="AC30" s="50"/>
      <c r="AD30" s="51"/>
      <c r="AE30" s="47"/>
      <c r="AF30" s="35">
        <v>60590035118</v>
      </c>
      <c r="AG30" s="35" t="s">
        <v>361</v>
      </c>
      <c r="AI30" s="96" t="s">
        <v>388</v>
      </c>
      <c r="AJ30" s="95" t="s">
        <v>389</v>
      </c>
      <c r="AK30" s="34"/>
      <c r="AL30" s="34"/>
      <c r="AM30" s="34"/>
    </row>
    <row r="31" spans="1:39" s="18" customFormat="1" ht="15.75">
      <c r="A31" s="71" t="s">
        <v>27</v>
      </c>
      <c r="B31" s="33" t="s">
        <v>140</v>
      </c>
      <c r="C31" s="33" t="s">
        <v>44</v>
      </c>
      <c r="D31" s="49">
        <v>42916</v>
      </c>
      <c r="E31" s="34">
        <v>1026.69</v>
      </c>
      <c r="F31" s="34">
        <v>10128.11</v>
      </c>
      <c r="G31" s="34"/>
      <c r="H31" s="34"/>
      <c r="I31" s="34"/>
      <c r="J31" s="46">
        <f t="shared" si="10"/>
        <v>10128.11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>
        <v>599.46</v>
      </c>
      <c r="V31" s="46">
        <f t="shared" si="1"/>
        <v>9528.6500000000015</v>
      </c>
      <c r="W31" s="32"/>
      <c r="X31" s="46"/>
      <c r="Y31" s="32"/>
      <c r="Z31" s="32"/>
      <c r="AA31" s="32"/>
      <c r="AB31" s="46"/>
      <c r="AC31" s="50"/>
      <c r="AD31" s="51"/>
      <c r="AE31" s="47"/>
      <c r="AF31" s="35">
        <v>60584074827</v>
      </c>
      <c r="AG31" s="33"/>
      <c r="AI31" s="96" t="s">
        <v>390</v>
      </c>
      <c r="AJ31" s="95" t="s">
        <v>391</v>
      </c>
      <c r="AK31" s="34">
        <v>10128.11</v>
      </c>
      <c r="AL31" s="34"/>
      <c r="AM31" s="34"/>
    </row>
    <row r="32" spans="1:39" s="18" customFormat="1" ht="15.75">
      <c r="A32" s="71" t="s">
        <v>28</v>
      </c>
      <c r="B32" s="33" t="s">
        <v>113</v>
      </c>
      <c r="C32" s="33" t="s">
        <v>30</v>
      </c>
      <c r="D32" s="49">
        <v>42415</v>
      </c>
      <c r="E32" s="34">
        <v>1026.69</v>
      </c>
      <c r="F32" s="34">
        <v>1709.16</v>
      </c>
      <c r="G32" s="34"/>
      <c r="H32" s="34"/>
      <c r="I32" s="34"/>
      <c r="J32" s="46">
        <f t="shared" si="10"/>
        <v>1709.16</v>
      </c>
      <c r="K32" s="34"/>
      <c r="L32" s="60">
        <v>1</v>
      </c>
      <c r="M32" s="34"/>
      <c r="N32" s="34"/>
      <c r="O32" s="61"/>
      <c r="P32" s="61"/>
      <c r="Q32" s="34"/>
      <c r="R32" s="32"/>
      <c r="S32" s="66"/>
      <c r="T32" s="33"/>
      <c r="U32" s="33"/>
      <c r="V32" s="46">
        <f t="shared" si="1"/>
        <v>1708.16</v>
      </c>
      <c r="W32" s="32">
        <f t="shared" ref="W32" si="20">IF(J32&gt;2250,J32*0.1,0)</f>
        <v>0</v>
      </c>
      <c r="X32" s="46">
        <f t="shared" ref="X32" si="21">+V32-W32</f>
        <v>1708.16</v>
      </c>
      <c r="Y32" s="32"/>
      <c r="Z32" s="32"/>
      <c r="AA32" s="32"/>
      <c r="AB32" s="46"/>
      <c r="AC32" s="50"/>
      <c r="AD32" s="51"/>
      <c r="AE32" s="47"/>
      <c r="AF32" s="35">
        <v>56708881656</v>
      </c>
      <c r="AG32" s="33"/>
      <c r="AI32" s="96" t="s">
        <v>392</v>
      </c>
      <c r="AJ32" s="95" t="s">
        <v>393</v>
      </c>
      <c r="AK32" s="34">
        <v>1709.16</v>
      </c>
      <c r="AL32" s="34"/>
      <c r="AM32" s="34"/>
    </row>
    <row r="33" spans="1:39" s="18" customFormat="1" ht="15.75">
      <c r="A33" s="71" t="s">
        <v>28</v>
      </c>
      <c r="B33" s="33" t="s">
        <v>131</v>
      </c>
      <c r="C33" s="33" t="s">
        <v>30</v>
      </c>
      <c r="D33" s="49">
        <v>41463</v>
      </c>
      <c r="E33" s="34">
        <v>1026.69</v>
      </c>
      <c r="F33" s="34">
        <v>2798.59</v>
      </c>
      <c r="G33" s="34"/>
      <c r="H33" s="34"/>
      <c r="I33" s="34"/>
      <c r="J33" s="46">
        <f t="shared" si="10"/>
        <v>2798.59</v>
      </c>
      <c r="K33" s="34"/>
      <c r="L33" s="60">
        <v>2</v>
      </c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si="1"/>
        <v>2796.59</v>
      </c>
      <c r="W33" s="32">
        <f t="shared" si="15"/>
        <v>279.85900000000004</v>
      </c>
      <c r="X33" s="46">
        <f t="shared" si="16"/>
        <v>2516.7310000000002</v>
      </c>
      <c r="Y33" s="32">
        <f t="shared" si="17"/>
        <v>0</v>
      </c>
      <c r="Z33" s="32">
        <v>20.23</v>
      </c>
      <c r="AA33" s="32">
        <f t="shared" si="18"/>
        <v>0</v>
      </c>
      <c r="AB33" s="46">
        <f t="shared" si="19"/>
        <v>2818.82</v>
      </c>
      <c r="AC33" s="50"/>
      <c r="AD33" s="51"/>
      <c r="AE33" s="47">
        <f>+AC33+AD33-X33</f>
        <v>-2516.7310000000002</v>
      </c>
      <c r="AF33" s="35">
        <v>56708881457</v>
      </c>
      <c r="AG33" s="33"/>
      <c r="AI33" s="96" t="s">
        <v>394</v>
      </c>
      <c r="AJ33" s="95" t="s">
        <v>395</v>
      </c>
      <c r="AK33" s="34">
        <v>2798.59</v>
      </c>
      <c r="AL33" s="34"/>
      <c r="AM33" s="34"/>
    </row>
    <row r="34" spans="1:39" s="18" customFormat="1" ht="15.75">
      <c r="A34" s="71" t="s">
        <v>28</v>
      </c>
      <c r="B34" s="33" t="s">
        <v>185</v>
      </c>
      <c r="C34" s="33" t="s">
        <v>30</v>
      </c>
      <c r="D34" s="49">
        <v>43052</v>
      </c>
      <c r="E34" s="34">
        <v>1026.69</v>
      </c>
      <c r="F34" s="34"/>
      <c r="G34" s="34"/>
      <c r="H34" s="34"/>
      <c r="I34" s="34"/>
      <c r="J34" s="46">
        <f t="shared" si="1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46">
        <f t="shared" si="1"/>
        <v>0</v>
      </c>
      <c r="W34" s="32"/>
      <c r="X34" s="46"/>
      <c r="Y34" s="32"/>
      <c r="Z34" s="32"/>
      <c r="AA34" s="32"/>
      <c r="AB34" s="46"/>
      <c r="AC34" s="50"/>
      <c r="AD34" s="51"/>
      <c r="AE34" s="47"/>
      <c r="AF34" s="35">
        <v>60597082882</v>
      </c>
      <c r="AG34" s="33"/>
      <c r="AI34" s="96" t="s">
        <v>396</v>
      </c>
      <c r="AJ34" s="95" t="s">
        <v>397</v>
      </c>
      <c r="AK34" s="34"/>
      <c r="AL34" s="34"/>
      <c r="AM34" s="34"/>
    </row>
    <row r="35" spans="1:39" s="18" customFormat="1" ht="15.75">
      <c r="A35" s="71" t="s">
        <v>26</v>
      </c>
      <c r="B35" s="33" t="s">
        <v>128</v>
      </c>
      <c r="C35" s="33" t="s">
        <v>91</v>
      </c>
      <c r="D35" s="49">
        <v>40618</v>
      </c>
      <c r="E35" s="34">
        <v>1633.31</v>
      </c>
      <c r="F35" s="34">
        <v>2856.88</v>
      </c>
      <c r="G35" s="34"/>
      <c r="H35" s="34"/>
      <c r="I35" s="34"/>
      <c r="J35" s="46">
        <f t="shared" si="10"/>
        <v>2856.88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46">
        <f t="shared" ref="V35:V42" si="22">+J35-SUM(K35:U35)</f>
        <v>2856.88</v>
      </c>
      <c r="W35" s="32">
        <f t="shared" si="15"/>
        <v>285.68800000000005</v>
      </c>
      <c r="X35" s="46">
        <f t="shared" si="16"/>
        <v>2571.192</v>
      </c>
      <c r="Y35" s="32">
        <f t="shared" si="17"/>
        <v>0</v>
      </c>
      <c r="Z35" s="32">
        <v>21.23</v>
      </c>
      <c r="AA35" s="32">
        <f t="shared" si="18"/>
        <v>0</v>
      </c>
      <c r="AB35" s="46">
        <f t="shared" si="19"/>
        <v>2878.11</v>
      </c>
      <c r="AC35" s="50"/>
      <c r="AD35" s="51"/>
      <c r="AE35" s="47"/>
      <c r="AF35" s="35">
        <v>56708845038</v>
      </c>
      <c r="AG35" s="33"/>
      <c r="AI35" s="96" t="s">
        <v>220</v>
      </c>
      <c r="AJ35" s="95" t="s">
        <v>221</v>
      </c>
      <c r="AK35" s="34">
        <v>2856.88</v>
      </c>
      <c r="AL35" s="34"/>
      <c r="AM35" s="34"/>
    </row>
    <row r="36" spans="1:39" s="18" customFormat="1" ht="15.75">
      <c r="A36" s="71" t="s">
        <v>28</v>
      </c>
      <c r="B36" s="33" t="s">
        <v>83</v>
      </c>
      <c r="C36" s="33" t="s">
        <v>30</v>
      </c>
      <c r="D36" s="49">
        <v>42296</v>
      </c>
      <c r="E36" s="34">
        <v>1026.69</v>
      </c>
      <c r="F36" s="34">
        <v>2500</v>
      </c>
      <c r="G36" s="34"/>
      <c r="H36" s="34"/>
      <c r="I36" s="34"/>
      <c r="J36" s="46">
        <f t="shared" si="10"/>
        <v>2500</v>
      </c>
      <c r="K36" s="34"/>
      <c r="L36" s="60">
        <v>1</v>
      </c>
      <c r="M36" s="34"/>
      <c r="N36" s="34"/>
      <c r="O36" s="61"/>
      <c r="P36" s="61"/>
      <c r="Q36" s="34"/>
      <c r="R36" s="32">
        <v>1500</v>
      </c>
      <c r="S36" s="66"/>
      <c r="T36" s="33"/>
      <c r="U36" s="33">
        <v>688.02</v>
      </c>
      <c r="V36" s="46">
        <f t="shared" si="22"/>
        <v>310.98</v>
      </c>
      <c r="W36" s="32">
        <f t="shared" si="15"/>
        <v>250</v>
      </c>
      <c r="X36" s="46">
        <f t="shared" si="16"/>
        <v>60.980000000000018</v>
      </c>
      <c r="Y36" s="32">
        <f t="shared" si="17"/>
        <v>0</v>
      </c>
      <c r="Z36" s="32">
        <v>10.23</v>
      </c>
      <c r="AA36" s="32">
        <f t="shared" si="18"/>
        <v>0</v>
      </c>
      <c r="AB36" s="46">
        <f t="shared" si="19"/>
        <v>2510.23</v>
      </c>
      <c r="AC36" s="50"/>
      <c r="AD36" s="51"/>
      <c r="AE36" s="47">
        <f>+AC36+AD36-X36</f>
        <v>-60.980000000000018</v>
      </c>
      <c r="AF36" s="35">
        <v>56708881460</v>
      </c>
      <c r="AG36" s="33"/>
      <c r="AI36" s="96" t="s">
        <v>222</v>
      </c>
      <c r="AJ36" s="95" t="s">
        <v>223</v>
      </c>
      <c r="AK36" s="34">
        <v>2500</v>
      </c>
      <c r="AL36" s="34"/>
      <c r="AM36" s="34"/>
    </row>
    <row r="37" spans="1:39" s="18" customFormat="1" ht="15.75">
      <c r="A37" s="71" t="s">
        <v>27</v>
      </c>
      <c r="B37" s="33" t="s">
        <v>142</v>
      </c>
      <c r="C37" s="33" t="s">
        <v>44</v>
      </c>
      <c r="D37" s="49">
        <v>42916</v>
      </c>
      <c r="E37" s="34">
        <v>1026.69</v>
      </c>
      <c r="F37" s="34">
        <v>3453.52</v>
      </c>
      <c r="G37" s="34"/>
      <c r="H37" s="34"/>
      <c r="I37" s="34"/>
      <c r="J37" s="46">
        <f t="shared" si="10"/>
        <v>3453.52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46">
        <f t="shared" si="22"/>
        <v>3453.52</v>
      </c>
      <c r="W37" s="32"/>
      <c r="X37" s="46"/>
      <c r="Y37" s="32"/>
      <c r="Z37" s="32"/>
      <c r="AA37" s="32"/>
      <c r="AB37" s="46"/>
      <c r="AC37" s="50"/>
      <c r="AD37" s="51"/>
      <c r="AE37" s="47"/>
      <c r="AF37" s="35">
        <v>60592636121</v>
      </c>
      <c r="AG37" s="33"/>
      <c r="AI37" s="96" t="s">
        <v>398</v>
      </c>
      <c r="AJ37" s="95" t="s">
        <v>399</v>
      </c>
      <c r="AK37" s="34">
        <v>3453.52</v>
      </c>
      <c r="AL37" s="34"/>
      <c r="AM37" s="34"/>
    </row>
    <row r="38" spans="1:39" s="18" customFormat="1" ht="15.75">
      <c r="A38" s="71" t="s">
        <v>28</v>
      </c>
      <c r="B38" s="33" t="s">
        <v>178</v>
      </c>
      <c r="C38" s="33" t="s">
        <v>177</v>
      </c>
      <c r="D38" s="49">
        <v>43035</v>
      </c>
      <c r="E38" s="34">
        <v>1400</v>
      </c>
      <c r="F38" s="34"/>
      <c r="G38" s="34"/>
      <c r="H38" s="34"/>
      <c r="I38" s="34"/>
      <c r="J38" s="46">
        <f>SUM(F38:I38)</f>
        <v>0</v>
      </c>
      <c r="K38" s="34"/>
      <c r="L38" s="60">
        <v>1</v>
      </c>
      <c r="M38" s="34"/>
      <c r="N38" s="34"/>
      <c r="O38" s="61"/>
      <c r="P38" s="61"/>
      <c r="Q38" s="34"/>
      <c r="R38" s="32"/>
      <c r="S38" s="66"/>
      <c r="T38" s="33"/>
      <c r="U38" s="33"/>
      <c r="V38" s="46"/>
      <c r="W38" s="32"/>
      <c r="X38" s="46"/>
      <c r="Y38" s="32"/>
      <c r="Z38" s="32"/>
      <c r="AA38" s="32"/>
      <c r="AB38" s="46"/>
      <c r="AC38" s="50"/>
      <c r="AD38" s="51"/>
      <c r="AE38" s="47"/>
      <c r="AF38" s="35">
        <v>60596635649</v>
      </c>
      <c r="AG38" s="33"/>
      <c r="AI38" s="96" t="s">
        <v>400</v>
      </c>
      <c r="AJ38" s="95" t="s">
        <v>401</v>
      </c>
      <c r="AK38" s="34"/>
      <c r="AL38" s="34"/>
      <c r="AM38" s="34"/>
    </row>
    <row r="39" spans="1:39" s="18" customFormat="1" ht="15.75">
      <c r="A39" s="71" t="s">
        <v>37</v>
      </c>
      <c r="B39" s="33" t="s">
        <v>154</v>
      </c>
      <c r="C39" s="33" t="s">
        <v>29</v>
      </c>
      <c r="D39" s="49">
        <v>42978</v>
      </c>
      <c r="E39" s="34">
        <v>1166.6199999999999</v>
      </c>
      <c r="F39" s="34">
        <v>2150.16</v>
      </c>
      <c r="G39" s="34"/>
      <c r="H39" s="34"/>
      <c r="I39" s="34"/>
      <c r="J39" s="46">
        <f t="shared" si="10"/>
        <v>2150.16</v>
      </c>
      <c r="K39" s="34"/>
      <c r="L39" s="60"/>
      <c r="M39" s="34"/>
      <c r="N39" s="34"/>
      <c r="O39" s="61"/>
      <c r="P39" s="61"/>
      <c r="Q39" s="34"/>
      <c r="R39" s="32"/>
      <c r="S39" s="66"/>
      <c r="T39" s="33"/>
      <c r="U39" s="33"/>
      <c r="V39" s="46">
        <f t="shared" si="22"/>
        <v>2150.16</v>
      </c>
      <c r="W39" s="32"/>
      <c r="X39" s="46"/>
      <c r="Y39" s="32"/>
      <c r="Z39" s="32"/>
      <c r="AA39" s="32"/>
      <c r="AB39" s="46"/>
      <c r="AC39" s="50"/>
      <c r="AD39" s="51"/>
      <c r="AE39" s="47"/>
      <c r="AF39" s="35">
        <v>60594750506</v>
      </c>
      <c r="AG39" s="33"/>
      <c r="AI39" s="96" t="s">
        <v>224</v>
      </c>
      <c r="AJ39" s="95" t="s">
        <v>225</v>
      </c>
      <c r="AK39" s="34">
        <v>2150.16</v>
      </c>
      <c r="AL39" s="34"/>
      <c r="AM39" s="34"/>
    </row>
    <row r="40" spans="1:39" s="18" customFormat="1" ht="15.75">
      <c r="A40" s="71" t="s">
        <v>28</v>
      </c>
      <c r="B40" s="33" t="s">
        <v>187</v>
      </c>
      <c r="C40" s="33" t="s">
        <v>188</v>
      </c>
      <c r="D40" s="49">
        <v>43063</v>
      </c>
      <c r="E40" s="34">
        <v>2333.31</v>
      </c>
      <c r="F40" s="34"/>
      <c r="G40" s="34"/>
      <c r="H40" s="34"/>
      <c r="I40" s="34"/>
      <c r="J40" s="46">
        <f t="shared" si="10"/>
        <v>0</v>
      </c>
      <c r="K40" s="34"/>
      <c r="L40" s="60"/>
      <c r="M40" s="34"/>
      <c r="N40" s="34"/>
      <c r="O40" s="61"/>
      <c r="P40" s="61"/>
      <c r="Q40" s="34"/>
      <c r="R40" s="32"/>
      <c r="S40" s="66"/>
      <c r="T40" s="33"/>
      <c r="U40" s="33"/>
      <c r="V40" s="46">
        <f t="shared" si="22"/>
        <v>0</v>
      </c>
      <c r="W40" s="32"/>
      <c r="X40" s="46"/>
      <c r="Y40" s="32"/>
      <c r="Z40" s="32"/>
      <c r="AA40" s="32"/>
      <c r="AB40" s="46"/>
      <c r="AC40" s="50"/>
      <c r="AD40" s="51"/>
      <c r="AE40" s="47"/>
      <c r="AF40" s="35">
        <v>56701660014</v>
      </c>
      <c r="AG40" s="33"/>
      <c r="AI40" s="96" t="s">
        <v>402</v>
      </c>
      <c r="AJ40" s="95" t="s">
        <v>403</v>
      </c>
      <c r="AK40" s="34"/>
      <c r="AL40" s="34"/>
      <c r="AM40" s="34"/>
    </row>
    <row r="41" spans="1:39" s="18" customFormat="1">
      <c r="A41" s="71" t="s">
        <v>27</v>
      </c>
      <c r="B41" s="33" t="s">
        <v>95</v>
      </c>
      <c r="C41" s="33" t="s">
        <v>44</v>
      </c>
      <c r="D41" s="49">
        <v>42576</v>
      </c>
      <c r="E41" s="34">
        <v>1026.69</v>
      </c>
      <c r="F41" s="34">
        <v>5350</v>
      </c>
      <c r="G41" s="34"/>
      <c r="H41" s="34"/>
      <c r="I41" s="34"/>
      <c r="J41" s="46">
        <f t="shared" si="10"/>
        <v>5350</v>
      </c>
      <c r="K41" s="34"/>
      <c r="L41" s="60">
        <v>1</v>
      </c>
      <c r="M41" s="34"/>
      <c r="N41" s="34"/>
      <c r="O41" s="61"/>
      <c r="P41" s="61"/>
      <c r="Q41" s="34"/>
      <c r="R41" s="32"/>
      <c r="S41" s="32"/>
      <c r="T41" s="33"/>
      <c r="U41" s="33"/>
      <c r="V41" s="46">
        <f t="shared" si="22"/>
        <v>5349</v>
      </c>
      <c r="W41" s="33">
        <f t="shared" si="15"/>
        <v>535</v>
      </c>
      <c r="X41" s="33">
        <f t="shared" si="16"/>
        <v>4814</v>
      </c>
      <c r="Y41" s="32">
        <f t="shared" si="17"/>
        <v>0</v>
      </c>
      <c r="Z41" s="32">
        <v>11.23</v>
      </c>
      <c r="AA41" s="32">
        <f t="shared" si="18"/>
        <v>0</v>
      </c>
      <c r="AB41" s="46">
        <f t="shared" si="19"/>
        <v>5361.23</v>
      </c>
      <c r="AC41" s="50"/>
      <c r="AD41" s="50"/>
      <c r="AE41" s="47"/>
      <c r="AF41" s="35">
        <v>56708845072</v>
      </c>
      <c r="AG41" s="35"/>
      <c r="AI41" s="96" t="s">
        <v>404</v>
      </c>
      <c r="AJ41" s="95" t="s">
        <v>405</v>
      </c>
      <c r="AK41" s="34">
        <v>5350</v>
      </c>
      <c r="AL41" s="34"/>
      <c r="AM41" s="34"/>
    </row>
    <row r="42" spans="1:39" s="18" customFormat="1">
      <c r="A42" s="71" t="s">
        <v>28</v>
      </c>
      <c r="B42" s="33" t="s">
        <v>86</v>
      </c>
      <c r="C42" s="33" t="s">
        <v>30</v>
      </c>
      <c r="D42" s="49">
        <v>37834</v>
      </c>
      <c r="E42" s="34">
        <v>1026.69</v>
      </c>
      <c r="F42" s="34">
        <v>11271.9</v>
      </c>
      <c r="G42" s="34"/>
      <c r="H42" s="34"/>
      <c r="I42" s="34"/>
      <c r="J42" s="46">
        <f t="shared" si="10"/>
        <v>11271.9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46">
        <f t="shared" si="22"/>
        <v>11271.9</v>
      </c>
      <c r="W42" s="32">
        <f t="shared" si="15"/>
        <v>1127.19</v>
      </c>
      <c r="X42" s="46">
        <f t="shared" si="16"/>
        <v>10144.709999999999</v>
      </c>
      <c r="Y42" s="32">
        <f t="shared" si="17"/>
        <v>0</v>
      </c>
      <c r="Z42" s="32">
        <v>10.23</v>
      </c>
      <c r="AA42" s="32">
        <f t="shared" si="18"/>
        <v>0</v>
      </c>
      <c r="AB42" s="46">
        <f t="shared" si="19"/>
        <v>11282.13</v>
      </c>
      <c r="AC42" s="50"/>
      <c r="AD42" s="51"/>
      <c r="AE42" s="47">
        <f t="shared" ref="AE42" si="23">+AC42+AD42-X42</f>
        <v>-10144.709999999999</v>
      </c>
      <c r="AF42" s="35">
        <v>56708881503</v>
      </c>
      <c r="AG42" s="35"/>
      <c r="AI42" s="96" t="s">
        <v>226</v>
      </c>
      <c r="AJ42" s="95" t="s">
        <v>227</v>
      </c>
      <c r="AK42" s="34">
        <v>11271.9</v>
      </c>
      <c r="AL42" s="34"/>
      <c r="AM42" s="34"/>
    </row>
    <row r="43" spans="1:39" s="18" customFormat="1">
      <c r="A43" s="71" t="s">
        <v>28</v>
      </c>
      <c r="B43" s="33" t="s">
        <v>76</v>
      </c>
      <c r="C43" s="33" t="s">
        <v>43</v>
      </c>
      <c r="D43" s="49">
        <v>40813</v>
      </c>
      <c r="E43" s="34">
        <v>1869</v>
      </c>
      <c r="F43" s="63"/>
      <c r="G43" s="63"/>
      <c r="H43" s="34"/>
      <c r="I43" s="34"/>
      <c r="J43" s="46">
        <f t="shared" si="10"/>
        <v>0</v>
      </c>
      <c r="K43" s="34"/>
      <c r="L43" s="60"/>
      <c r="M43" s="34"/>
      <c r="N43" s="34"/>
      <c r="O43" s="61"/>
      <c r="P43" s="61"/>
      <c r="Q43" s="34"/>
      <c r="R43" s="32"/>
      <c r="S43" s="32"/>
      <c r="T43" s="48"/>
      <c r="U43" s="48"/>
      <c r="V43" s="46">
        <f t="shared" ref="V43:V54" si="24">+J43-SUM(K43:U43)</f>
        <v>0</v>
      </c>
      <c r="W43" s="32">
        <f t="shared" ref="W43" si="25">+V43*0.05</f>
        <v>0</v>
      </c>
      <c r="X43" s="46">
        <f t="shared" ref="X43" si="26">+V43-R43-U43</f>
        <v>0</v>
      </c>
      <c r="Y43" s="32">
        <f t="shared" ref="Y43" si="27">IF(V43&lt;3000,V43*0.1,0)</f>
        <v>0</v>
      </c>
      <c r="Z43" s="32"/>
      <c r="AA43" s="32"/>
      <c r="AB43" s="46">
        <f t="shared" ref="AB43" si="28">+V43+Y43+Z43</f>
        <v>0</v>
      </c>
      <c r="AC43" s="50"/>
      <c r="AD43" s="51"/>
      <c r="AE43" s="47"/>
      <c r="AF43" s="35">
        <v>60589552237</v>
      </c>
      <c r="AG43" s="35" t="s">
        <v>362</v>
      </c>
      <c r="AI43" s="96" t="s">
        <v>406</v>
      </c>
      <c r="AJ43" s="95" t="s">
        <v>407</v>
      </c>
      <c r="AK43" s="63"/>
      <c r="AL43" s="34"/>
      <c r="AM43" s="34"/>
    </row>
    <row r="44" spans="1:39" s="18" customFormat="1">
      <c r="A44" s="71" t="s">
        <v>27</v>
      </c>
      <c r="B44" s="33" t="s">
        <v>143</v>
      </c>
      <c r="C44" s="33" t="s">
        <v>30</v>
      </c>
      <c r="D44" s="49">
        <v>42852</v>
      </c>
      <c r="E44" s="34">
        <v>1026.69</v>
      </c>
      <c r="F44" s="34">
        <v>7305.25</v>
      </c>
      <c r="G44" s="34"/>
      <c r="H44" s="34"/>
      <c r="I44" s="34"/>
      <c r="J44" s="46">
        <f t="shared" si="10"/>
        <v>7305.25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6">
        <f t="shared" si="24"/>
        <v>7305.25</v>
      </c>
      <c r="W44" s="32"/>
      <c r="X44" s="46"/>
      <c r="Y44" s="32"/>
      <c r="Z44" s="32"/>
      <c r="AA44" s="32"/>
      <c r="AB44" s="46"/>
      <c r="AC44" s="50"/>
      <c r="AD44" s="51"/>
      <c r="AE44" s="47"/>
      <c r="AF44" s="35">
        <v>60590678030</v>
      </c>
      <c r="AG44" s="35"/>
      <c r="AI44" s="96" t="s">
        <v>228</v>
      </c>
      <c r="AJ44" s="95" t="s">
        <v>229</v>
      </c>
      <c r="AK44" s="34">
        <v>7305.25</v>
      </c>
      <c r="AL44" s="34"/>
      <c r="AM44" s="34"/>
    </row>
    <row r="45" spans="1:39" s="18" customFormat="1">
      <c r="A45" s="71" t="s">
        <v>27</v>
      </c>
      <c r="B45" s="33" t="s">
        <v>114</v>
      </c>
      <c r="C45" s="33" t="s">
        <v>136</v>
      </c>
      <c r="D45" s="49">
        <v>42644</v>
      </c>
      <c r="E45" s="34">
        <v>1633.38</v>
      </c>
      <c r="F45" s="34">
        <v>8731.07</v>
      </c>
      <c r="G45" s="34"/>
      <c r="H45" s="34"/>
      <c r="I45" s="34"/>
      <c r="J45" s="46">
        <f t="shared" si="10"/>
        <v>8731.07</v>
      </c>
      <c r="K45" s="34">
        <v>500</v>
      </c>
      <c r="L45" s="60"/>
      <c r="M45" s="34"/>
      <c r="N45" s="34"/>
      <c r="O45" s="61"/>
      <c r="P45" s="61"/>
      <c r="Q45" s="34"/>
      <c r="R45" s="32">
        <v>845.43</v>
      </c>
      <c r="S45" s="32"/>
      <c r="T45" s="48"/>
      <c r="U45" s="48"/>
      <c r="V45" s="46">
        <f t="shared" si="24"/>
        <v>7385.6399999999994</v>
      </c>
      <c r="W45" s="32">
        <f t="shared" ref="W45" si="29">IF(J45&gt;2250,J45*0.1,0)</f>
        <v>873.10699999999997</v>
      </c>
      <c r="X45" s="46">
        <f t="shared" ref="X45" si="30">+V45-W45</f>
        <v>6512.5329999999994</v>
      </c>
      <c r="Y45" s="32"/>
      <c r="Z45" s="32"/>
      <c r="AA45" s="32"/>
      <c r="AB45" s="46"/>
      <c r="AC45" s="50"/>
      <c r="AD45" s="51"/>
      <c r="AE45" s="47"/>
      <c r="AF45" s="35">
        <v>56708845530</v>
      </c>
      <c r="AG45" s="35" t="s">
        <v>359</v>
      </c>
      <c r="AI45" s="96" t="s">
        <v>230</v>
      </c>
      <c r="AJ45" s="95" t="s">
        <v>231</v>
      </c>
      <c r="AK45" s="34">
        <v>8731.07</v>
      </c>
      <c r="AL45" s="34">
        <v>500</v>
      </c>
      <c r="AM45" s="34"/>
    </row>
    <row r="46" spans="1:39" s="18" customFormat="1">
      <c r="A46" s="71" t="s">
        <v>26</v>
      </c>
      <c r="B46" s="33" t="s">
        <v>158</v>
      </c>
      <c r="C46" s="33" t="s">
        <v>29</v>
      </c>
      <c r="D46" s="49">
        <v>42991</v>
      </c>
      <c r="E46" s="34">
        <v>1166.6199999999999</v>
      </c>
      <c r="F46" s="34">
        <v>2392.98</v>
      </c>
      <c r="G46" s="34"/>
      <c r="H46" s="34"/>
      <c r="I46" s="34"/>
      <c r="J46" s="46">
        <f t="shared" si="10"/>
        <v>2392.98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46"/>
      <c r="W46" s="32"/>
      <c r="X46" s="46"/>
      <c r="Y46" s="32"/>
      <c r="Z46" s="32"/>
      <c r="AA46" s="32"/>
      <c r="AB46" s="46"/>
      <c r="AC46" s="50"/>
      <c r="AD46" s="51"/>
      <c r="AE46" s="47"/>
      <c r="AF46" s="35">
        <v>1168500843</v>
      </c>
      <c r="AG46" s="33"/>
      <c r="AH46" s="18" t="s">
        <v>126</v>
      </c>
      <c r="AI46" s="96" t="s">
        <v>232</v>
      </c>
      <c r="AJ46" s="95" t="s">
        <v>233</v>
      </c>
      <c r="AK46" s="34">
        <v>2392.98</v>
      </c>
      <c r="AL46" s="34"/>
      <c r="AM46" s="34"/>
    </row>
    <row r="47" spans="1:39" s="18" customFormat="1">
      <c r="A47" s="71" t="s">
        <v>28</v>
      </c>
      <c r="B47" s="33" t="s">
        <v>153</v>
      </c>
      <c r="C47" s="33" t="s">
        <v>30</v>
      </c>
      <c r="D47" s="49">
        <v>42961</v>
      </c>
      <c r="E47" s="34">
        <v>1022.56</v>
      </c>
      <c r="F47" s="34"/>
      <c r="G47" s="34"/>
      <c r="H47" s="34"/>
      <c r="I47" s="34"/>
      <c r="J47" s="46">
        <f t="shared" si="10"/>
        <v>0</v>
      </c>
      <c r="K47" s="34"/>
      <c r="L47" s="60"/>
      <c r="M47" s="34"/>
      <c r="N47" s="34"/>
      <c r="O47" s="61"/>
      <c r="P47" s="61"/>
      <c r="Q47" s="34"/>
      <c r="R47" s="32"/>
      <c r="S47" s="32"/>
      <c r="T47" s="48"/>
      <c r="U47" s="48"/>
      <c r="V47" s="46">
        <f t="shared" si="24"/>
        <v>0</v>
      </c>
      <c r="W47" s="32"/>
      <c r="X47" s="46"/>
      <c r="Y47" s="32"/>
      <c r="Z47" s="32"/>
      <c r="AA47" s="32"/>
      <c r="AB47" s="46"/>
      <c r="AC47" s="50"/>
      <c r="AD47" s="51"/>
      <c r="AE47" s="47"/>
      <c r="AF47" s="35">
        <v>60589665774</v>
      </c>
      <c r="AG47" s="35"/>
      <c r="AI47" s="96" t="s">
        <v>408</v>
      </c>
      <c r="AJ47" s="95" t="s">
        <v>409</v>
      </c>
      <c r="AK47" s="34"/>
      <c r="AL47" s="34"/>
      <c r="AM47" s="34"/>
    </row>
    <row r="48" spans="1:39" s="18" customFormat="1">
      <c r="A48" s="71" t="s">
        <v>28</v>
      </c>
      <c r="B48" s="33" t="s">
        <v>144</v>
      </c>
      <c r="C48" s="33" t="s">
        <v>30</v>
      </c>
      <c r="D48" s="49">
        <v>42380</v>
      </c>
      <c r="E48" s="34">
        <v>1022.56</v>
      </c>
      <c r="F48" s="34">
        <v>11173.02</v>
      </c>
      <c r="G48" s="34"/>
      <c r="H48" s="34"/>
      <c r="I48" s="34"/>
      <c r="J48" s="46">
        <f t="shared" si="10"/>
        <v>11173.02</v>
      </c>
      <c r="K48" s="34"/>
      <c r="L48" s="60">
        <v>1</v>
      </c>
      <c r="M48" s="34"/>
      <c r="N48" s="34"/>
      <c r="O48" s="61"/>
      <c r="P48" s="61"/>
      <c r="Q48" s="34"/>
      <c r="R48" s="32">
        <v>260</v>
      </c>
      <c r="S48" s="32"/>
      <c r="T48" s="33"/>
      <c r="U48" s="33"/>
      <c r="V48" s="46">
        <f t="shared" si="24"/>
        <v>10912.02</v>
      </c>
      <c r="W48" s="32"/>
      <c r="X48" s="46"/>
      <c r="Y48" s="32"/>
      <c r="Z48" s="32"/>
      <c r="AA48" s="32"/>
      <c r="AB48" s="46"/>
      <c r="AC48" s="50"/>
      <c r="AD48" s="51"/>
      <c r="AE48" s="47"/>
      <c r="AF48" s="35">
        <v>56708881702</v>
      </c>
      <c r="AG48" s="33"/>
      <c r="AI48" s="96" t="s">
        <v>234</v>
      </c>
      <c r="AJ48" s="95" t="s">
        <v>235</v>
      </c>
      <c r="AK48" s="34">
        <v>11173.02</v>
      </c>
      <c r="AL48" s="34"/>
      <c r="AM48" s="34"/>
    </row>
    <row r="49" spans="1:39" s="18" customFormat="1">
      <c r="A49" s="71" t="s">
        <v>39</v>
      </c>
      <c r="B49" s="33" t="s">
        <v>135</v>
      </c>
      <c r="C49" s="33" t="s">
        <v>43</v>
      </c>
      <c r="D49" s="49">
        <v>42891</v>
      </c>
      <c r="E49" s="34">
        <v>1633.31</v>
      </c>
      <c r="F49" s="34"/>
      <c r="G49" s="34"/>
      <c r="H49" s="34"/>
      <c r="I49" s="34"/>
      <c r="J49" s="46">
        <f t="shared" si="10"/>
        <v>0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46">
        <f t="shared" si="24"/>
        <v>0</v>
      </c>
      <c r="W49" s="32"/>
      <c r="X49" s="46"/>
      <c r="Y49" s="32"/>
      <c r="Z49" s="32"/>
      <c r="AA49" s="32"/>
      <c r="AB49" s="46"/>
      <c r="AC49" s="50"/>
      <c r="AD49" s="51"/>
      <c r="AE49" s="47"/>
      <c r="AF49" s="35">
        <v>60590340221</v>
      </c>
      <c r="AG49" s="35" t="s">
        <v>362</v>
      </c>
      <c r="AI49" s="96" t="s">
        <v>410</v>
      </c>
      <c r="AJ49" s="95" t="s">
        <v>411</v>
      </c>
      <c r="AK49" s="34"/>
      <c r="AL49" s="34"/>
      <c r="AM49" s="34"/>
    </row>
    <row r="50" spans="1:39" s="18" customFormat="1">
      <c r="A50" s="71" t="s">
        <v>37</v>
      </c>
      <c r="B50" s="33" t="s">
        <v>89</v>
      </c>
      <c r="C50" s="33" t="s">
        <v>29</v>
      </c>
      <c r="D50" s="49">
        <v>42506</v>
      </c>
      <c r="E50" s="34">
        <v>1166.27</v>
      </c>
      <c r="F50" s="34">
        <v>2006.19</v>
      </c>
      <c r="G50" s="34"/>
      <c r="H50" s="34"/>
      <c r="I50" s="34"/>
      <c r="J50" s="46">
        <f t="shared" si="10"/>
        <v>2006.19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46">
        <f t="shared" si="24"/>
        <v>2006.19</v>
      </c>
      <c r="W50" s="32">
        <f t="shared" si="15"/>
        <v>0</v>
      </c>
      <c r="X50" s="46">
        <f t="shared" si="16"/>
        <v>2006.19</v>
      </c>
      <c r="Y50" s="32">
        <f t="shared" si="17"/>
        <v>200.61900000000003</v>
      </c>
      <c r="Z50" s="32">
        <v>10.23</v>
      </c>
      <c r="AA50" s="32">
        <f t="shared" si="18"/>
        <v>0</v>
      </c>
      <c r="AB50" s="46">
        <f t="shared" si="19"/>
        <v>2217.0390000000002</v>
      </c>
      <c r="AC50" s="50"/>
      <c r="AD50" s="50"/>
      <c r="AE50" s="47">
        <f t="shared" ref="AE50" si="31">+AC50+AD50-X50</f>
        <v>-2006.19</v>
      </c>
      <c r="AF50" s="35">
        <v>56708881551</v>
      </c>
      <c r="AG50" s="35"/>
      <c r="AI50" s="96" t="s">
        <v>236</v>
      </c>
      <c r="AJ50" s="95" t="s">
        <v>237</v>
      </c>
      <c r="AK50" s="34">
        <v>2006.19</v>
      </c>
      <c r="AL50" s="34"/>
      <c r="AM50" s="34"/>
    </row>
    <row r="51" spans="1:39" s="18" customFormat="1" ht="15.75">
      <c r="A51" s="71" t="s">
        <v>37</v>
      </c>
      <c r="B51" s="33" t="s">
        <v>159</v>
      </c>
      <c r="C51" s="33" t="s">
        <v>29</v>
      </c>
      <c r="D51" s="49">
        <v>43006</v>
      </c>
      <c r="E51" s="34">
        <v>1166.6199999999999</v>
      </c>
      <c r="F51" s="34">
        <v>2242.63</v>
      </c>
      <c r="G51" s="34"/>
      <c r="H51" s="34"/>
      <c r="I51" s="34"/>
      <c r="J51" s="46">
        <f t="shared" si="10"/>
        <v>2242.63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46">
        <f t="shared" si="24"/>
        <v>2242.63</v>
      </c>
      <c r="W51" s="32"/>
      <c r="X51" s="46"/>
      <c r="Y51" s="32"/>
      <c r="Z51" s="32"/>
      <c r="AA51" s="32"/>
      <c r="AB51" s="46"/>
      <c r="AC51" s="50"/>
      <c r="AD51" s="51"/>
      <c r="AE51" s="47"/>
      <c r="AF51" s="35">
        <v>60595911850</v>
      </c>
      <c r="AG51" s="33"/>
      <c r="AI51" s="96" t="s">
        <v>238</v>
      </c>
      <c r="AJ51" s="95" t="s">
        <v>239</v>
      </c>
      <c r="AK51" s="34">
        <v>2242.63</v>
      </c>
      <c r="AL51" s="34"/>
      <c r="AM51" s="34"/>
    </row>
    <row r="52" spans="1:39" s="18" customFormat="1" ht="15.75">
      <c r="A52" s="71" t="s">
        <v>28</v>
      </c>
      <c r="B52" s="33" t="s">
        <v>193</v>
      </c>
      <c r="C52" s="33" t="s">
        <v>177</v>
      </c>
      <c r="D52" s="49">
        <v>43074</v>
      </c>
      <c r="E52" s="34">
        <v>1400</v>
      </c>
      <c r="F52" s="34"/>
      <c r="G52" s="34"/>
      <c r="H52" s="34"/>
      <c r="I52" s="34"/>
      <c r="J52" s="46">
        <f t="shared" si="10"/>
        <v>0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46">
        <f t="shared" si="24"/>
        <v>0</v>
      </c>
      <c r="W52" s="32"/>
      <c r="X52" s="46"/>
      <c r="Y52" s="32"/>
      <c r="Z52" s="32"/>
      <c r="AA52" s="32"/>
      <c r="AB52" s="46"/>
      <c r="AC52" s="50"/>
      <c r="AD52" s="51"/>
      <c r="AE52" s="47"/>
      <c r="AF52" s="35">
        <v>60568120718</v>
      </c>
      <c r="AG52" s="33"/>
      <c r="AI52" s="96" t="s">
        <v>412</v>
      </c>
      <c r="AJ52" s="95" t="s">
        <v>413</v>
      </c>
      <c r="AK52" s="34"/>
      <c r="AL52" s="34"/>
      <c r="AM52" s="34"/>
    </row>
    <row r="53" spans="1:39" s="18" customFormat="1">
      <c r="A53" s="71" t="s">
        <v>37</v>
      </c>
      <c r="B53" s="33" t="s">
        <v>66</v>
      </c>
      <c r="C53" s="33" t="s">
        <v>43</v>
      </c>
      <c r="D53" s="49">
        <v>42321</v>
      </c>
      <c r="E53" s="34">
        <v>1869</v>
      </c>
      <c r="F53" s="63"/>
      <c r="G53" s="63"/>
      <c r="H53" s="34"/>
      <c r="I53" s="34"/>
      <c r="J53" s="46">
        <f t="shared" si="1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46">
        <f t="shared" si="24"/>
        <v>0</v>
      </c>
      <c r="W53" s="32">
        <f t="shared" ref="W53:W56" si="32">IF(J53&gt;2250,J53*0.1,0)</f>
        <v>0</v>
      </c>
      <c r="X53" s="46">
        <f t="shared" ref="X53:X64" si="33">+V53-W53</f>
        <v>0</v>
      </c>
      <c r="Y53" s="32">
        <f t="shared" ref="Y53:Y64" si="34">IF(J53&lt;2250,J53*0.1,0)</f>
        <v>0</v>
      </c>
      <c r="Z53" s="32">
        <v>10.23</v>
      </c>
      <c r="AA53" s="32">
        <f t="shared" ref="AA53:AA64" si="35">+O53</f>
        <v>0</v>
      </c>
      <c r="AB53" s="46">
        <f t="shared" ref="AB53:AB64" si="36">+J53+Y53+Z53+AA53</f>
        <v>10.23</v>
      </c>
      <c r="AC53" s="50"/>
      <c r="AD53" s="51"/>
      <c r="AE53" s="47">
        <f t="shared" ref="AE53:AE56" si="37">+AC53+AD53-X53</f>
        <v>0</v>
      </c>
      <c r="AF53" s="35">
        <v>56708845240</v>
      </c>
      <c r="AG53" s="35" t="s">
        <v>361</v>
      </c>
      <c r="AI53" s="96" t="s">
        <v>414</v>
      </c>
      <c r="AJ53" s="95" t="s">
        <v>415</v>
      </c>
      <c r="AK53" s="63"/>
      <c r="AL53" s="34"/>
      <c r="AM53" s="34"/>
    </row>
    <row r="54" spans="1:39" s="18" customFormat="1">
      <c r="A54" s="71" t="s">
        <v>37</v>
      </c>
      <c r="B54" s="33" t="s">
        <v>108</v>
      </c>
      <c r="C54" s="33" t="s">
        <v>91</v>
      </c>
      <c r="D54" s="49">
        <v>42646</v>
      </c>
      <c r="E54" s="34">
        <v>1166.27</v>
      </c>
      <c r="F54" s="34">
        <v>1628.32</v>
      </c>
      <c r="G54" s="34"/>
      <c r="H54" s="34"/>
      <c r="I54" s="34"/>
      <c r="J54" s="46">
        <f t="shared" si="10"/>
        <v>1628.32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46">
        <f t="shared" si="24"/>
        <v>1628.32</v>
      </c>
      <c r="W54" s="32">
        <f t="shared" ref="W54" si="38">IF(J54&gt;2250,J54*0.1,0)</f>
        <v>0</v>
      </c>
      <c r="X54" s="46">
        <f t="shared" ref="X54" si="39">+V54-W54</f>
        <v>1628.32</v>
      </c>
      <c r="Y54" s="32"/>
      <c r="Z54" s="32"/>
      <c r="AA54" s="32"/>
      <c r="AB54" s="46"/>
      <c r="AC54" s="50"/>
      <c r="AD54" s="51"/>
      <c r="AE54" s="47"/>
      <c r="AF54" s="35">
        <v>56708881582</v>
      </c>
      <c r="AG54" s="35"/>
      <c r="AI54" s="96" t="s">
        <v>240</v>
      </c>
      <c r="AJ54" s="95" t="s">
        <v>241</v>
      </c>
      <c r="AK54" s="34">
        <v>1628.32</v>
      </c>
      <c r="AL54" s="34"/>
      <c r="AM54" s="34"/>
    </row>
    <row r="55" spans="1:39" s="18" customFormat="1">
      <c r="A55" s="71" t="s">
        <v>37</v>
      </c>
      <c r="B55" s="33" t="s">
        <v>148</v>
      </c>
      <c r="C55" s="33" t="s">
        <v>29</v>
      </c>
      <c r="D55" s="49">
        <v>42065</v>
      </c>
      <c r="E55" s="34">
        <v>1166.27</v>
      </c>
      <c r="F55" s="34">
        <v>1950.98</v>
      </c>
      <c r="G55" s="34"/>
      <c r="H55" s="34"/>
      <c r="I55" s="34"/>
      <c r="J55" s="46">
        <f t="shared" si="10"/>
        <v>1950.98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ref="V55:V64" si="40">+J55-SUM(K55:U55)</f>
        <v>1950.98</v>
      </c>
      <c r="W55" s="32">
        <f t="shared" si="32"/>
        <v>0</v>
      </c>
      <c r="X55" s="46">
        <f t="shared" si="33"/>
        <v>1950.98</v>
      </c>
      <c r="Y55" s="32">
        <f t="shared" si="34"/>
        <v>195.09800000000001</v>
      </c>
      <c r="Z55" s="32">
        <v>10.23</v>
      </c>
      <c r="AA55" s="32">
        <f t="shared" si="35"/>
        <v>0</v>
      </c>
      <c r="AB55" s="46">
        <f t="shared" si="36"/>
        <v>2156.308</v>
      </c>
      <c r="AC55" s="50"/>
      <c r="AD55" s="51"/>
      <c r="AE55" s="47">
        <f t="shared" si="37"/>
        <v>-1950.98</v>
      </c>
      <c r="AF55" s="35">
        <v>56708845254</v>
      </c>
      <c r="AG55" s="35"/>
      <c r="AI55" s="96" t="s">
        <v>242</v>
      </c>
      <c r="AJ55" s="95" t="s">
        <v>243</v>
      </c>
      <c r="AK55" s="34">
        <v>1950.98</v>
      </c>
      <c r="AL55" s="34"/>
      <c r="AM55" s="34"/>
    </row>
    <row r="56" spans="1:39" s="18" customFormat="1">
      <c r="A56" s="71" t="s">
        <v>28</v>
      </c>
      <c r="B56" s="33" t="s">
        <v>36</v>
      </c>
      <c r="C56" s="33" t="s">
        <v>30</v>
      </c>
      <c r="D56" s="49">
        <v>41218</v>
      </c>
      <c r="E56" s="34">
        <v>1026.69</v>
      </c>
      <c r="F56" s="34">
        <v>2546.19</v>
      </c>
      <c r="G56" s="34"/>
      <c r="H56" s="34"/>
      <c r="I56" s="34"/>
      <c r="J56" s="46">
        <f t="shared" si="10"/>
        <v>2546.19</v>
      </c>
      <c r="K56" s="34"/>
      <c r="L56" s="60">
        <v>1</v>
      </c>
      <c r="M56" s="34"/>
      <c r="N56" s="34"/>
      <c r="O56" s="61"/>
      <c r="P56" s="61"/>
      <c r="Q56" s="34"/>
      <c r="R56" s="32">
        <v>1750</v>
      </c>
      <c r="S56" s="32"/>
      <c r="T56" s="33"/>
      <c r="U56" s="72">
        <v>469.13</v>
      </c>
      <c r="V56" s="46">
        <f t="shared" si="40"/>
        <v>326.05999999999995</v>
      </c>
      <c r="W56" s="32">
        <f t="shared" si="32"/>
        <v>254.61900000000003</v>
      </c>
      <c r="X56" s="46">
        <f t="shared" si="33"/>
        <v>71.440999999999917</v>
      </c>
      <c r="Y56" s="32">
        <f t="shared" si="34"/>
        <v>0</v>
      </c>
      <c r="Z56" s="32">
        <v>10.23</v>
      </c>
      <c r="AA56" s="32">
        <f t="shared" si="35"/>
        <v>0</v>
      </c>
      <c r="AB56" s="46">
        <f t="shared" si="36"/>
        <v>2556.42</v>
      </c>
      <c r="AC56" s="50"/>
      <c r="AD56" s="51"/>
      <c r="AE56" s="47">
        <f t="shared" si="37"/>
        <v>-71.440999999999917</v>
      </c>
      <c r="AF56" s="35">
        <v>56708881596</v>
      </c>
      <c r="AG56" s="33"/>
      <c r="AI56" s="96" t="s">
        <v>244</v>
      </c>
      <c r="AJ56" s="95" t="s">
        <v>245</v>
      </c>
      <c r="AK56" s="34">
        <v>2546.19</v>
      </c>
      <c r="AL56" s="34"/>
      <c r="AM56" s="34"/>
    </row>
    <row r="57" spans="1:39" s="18" customFormat="1">
      <c r="A57" s="71" t="s">
        <v>28</v>
      </c>
      <c r="B57" s="33" t="s">
        <v>176</v>
      </c>
      <c r="C57" s="33" t="s">
        <v>177</v>
      </c>
      <c r="D57" s="49">
        <v>43038</v>
      </c>
      <c r="E57" s="34">
        <v>1400</v>
      </c>
      <c r="F57" s="34"/>
      <c r="G57" s="34"/>
      <c r="H57" s="34"/>
      <c r="I57" s="34"/>
      <c r="J57" s="46">
        <f t="shared" si="10"/>
        <v>0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72"/>
      <c r="V57" s="46"/>
      <c r="W57" s="32"/>
      <c r="X57" s="46"/>
      <c r="Y57" s="32"/>
      <c r="Z57" s="32"/>
      <c r="AA57" s="32"/>
      <c r="AB57" s="46"/>
      <c r="AC57" s="50"/>
      <c r="AD57" s="51"/>
      <c r="AE57" s="47"/>
      <c r="AF57" s="35">
        <v>1539992200</v>
      </c>
      <c r="AG57" s="33"/>
      <c r="AH57" s="18" t="s">
        <v>126</v>
      </c>
      <c r="AI57" s="96" t="s">
        <v>416</v>
      </c>
      <c r="AJ57" s="95" t="s">
        <v>417</v>
      </c>
      <c r="AK57" s="34"/>
      <c r="AL57" s="34"/>
      <c r="AM57" s="34"/>
    </row>
    <row r="58" spans="1:39" s="18" customFormat="1">
      <c r="A58" s="71" t="s">
        <v>26</v>
      </c>
      <c r="B58" s="33" t="s">
        <v>106</v>
      </c>
      <c r="C58" s="33" t="s">
        <v>104</v>
      </c>
      <c r="D58" s="49">
        <v>42241</v>
      </c>
      <c r="E58" s="34">
        <v>1250.02</v>
      </c>
      <c r="F58" s="34"/>
      <c r="G58" s="34"/>
      <c r="H58" s="34"/>
      <c r="I58" s="34"/>
      <c r="J58" s="46">
        <f t="shared" si="10"/>
        <v>0</v>
      </c>
      <c r="K58" s="34">
        <v>187.5</v>
      </c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46">
        <f t="shared" ref="V58" si="41">+J58-SUM(K58:U58)</f>
        <v>-187.5</v>
      </c>
      <c r="W58" s="32">
        <f t="shared" ref="W58" si="42">IF(J58&gt;2250,J58*0.1,0)</f>
        <v>0</v>
      </c>
      <c r="X58" s="46">
        <f t="shared" ref="X58" si="43">+V58-W58</f>
        <v>-187.5</v>
      </c>
      <c r="Y58" s="32">
        <f t="shared" si="34"/>
        <v>0</v>
      </c>
      <c r="Z58" s="32"/>
      <c r="AA58" s="32"/>
      <c r="AB58" s="46"/>
      <c r="AC58" s="50"/>
      <c r="AD58" s="51"/>
      <c r="AE58" s="47"/>
      <c r="AF58" s="35">
        <v>56708845268</v>
      </c>
      <c r="AG58" s="35" t="s">
        <v>357</v>
      </c>
      <c r="AI58" s="96" t="s">
        <v>246</v>
      </c>
      <c r="AJ58" s="95" t="s">
        <v>247</v>
      </c>
      <c r="AK58" s="34"/>
      <c r="AL58" s="34">
        <v>187.5</v>
      </c>
      <c r="AM58" s="34"/>
    </row>
    <row r="59" spans="1:39" s="18" customFormat="1">
      <c r="A59" s="71" t="s">
        <v>39</v>
      </c>
      <c r="B59" s="33" t="s">
        <v>77</v>
      </c>
      <c r="C59" s="33" t="s">
        <v>43</v>
      </c>
      <c r="D59" s="49">
        <v>42333</v>
      </c>
      <c r="E59" s="34">
        <v>1869</v>
      </c>
      <c r="F59" s="63"/>
      <c r="G59" s="63"/>
      <c r="H59" s="34"/>
      <c r="I59" s="34"/>
      <c r="J59" s="46">
        <f t="shared" si="1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>
        <v>356.04</v>
      </c>
      <c r="V59" s="46">
        <f t="shared" si="40"/>
        <v>-356.04</v>
      </c>
      <c r="W59" s="32">
        <f t="shared" ref="W59:W64" si="44">IF(J59&gt;2250,J59*0.1,0)</f>
        <v>0</v>
      </c>
      <c r="X59" s="46">
        <f t="shared" si="33"/>
        <v>-356.04</v>
      </c>
      <c r="Y59" s="32">
        <f t="shared" si="34"/>
        <v>0</v>
      </c>
      <c r="Z59" s="32">
        <v>10.23</v>
      </c>
      <c r="AA59" s="32">
        <f t="shared" si="35"/>
        <v>0</v>
      </c>
      <c r="AB59" s="46">
        <f t="shared" si="36"/>
        <v>10.23</v>
      </c>
      <c r="AC59" s="50"/>
      <c r="AD59" s="51"/>
      <c r="AE59" s="47">
        <f>+AC59+AD59-X59</f>
        <v>356.04</v>
      </c>
      <c r="AF59" s="35">
        <v>60589939521</v>
      </c>
      <c r="AG59" s="35" t="s">
        <v>362</v>
      </c>
      <c r="AI59" s="96" t="s">
        <v>248</v>
      </c>
      <c r="AJ59" s="95" t="s">
        <v>249</v>
      </c>
      <c r="AK59" s="63"/>
      <c r="AL59" s="34"/>
      <c r="AM59" s="34"/>
    </row>
    <row r="60" spans="1:39" s="18" customFormat="1">
      <c r="A60" s="71" t="s">
        <v>28</v>
      </c>
      <c r="B60" s="33" t="s">
        <v>96</v>
      </c>
      <c r="C60" s="33" t="s">
        <v>30</v>
      </c>
      <c r="D60" s="49">
        <v>42459</v>
      </c>
      <c r="E60" s="34">
        <v>1026.69</v>
      </c>
      <c r="F60" s="34">
        <v>9197.09</v>
      </c>
      <c r="G60" s="34"/>
      <c r="H60" s="34"/>
      <c r="I60" s="34"/>
      <c r="J60" s="46">
        <f t="shared" si="10"/>
        <v>9197.09</v>
      </c>
      <c r="K60" s="34"/>
      <c r="L60" s="60"/>
      <c r="M60" s="34"/>
      <c r="N60" s="34"/>
      <c r="O60" s="61"/>
      <c r="P60" s="61"/>
      <c r="Q60" s="34"/>
      <c r="R60" s="32">
        <v>1363</v>
      </c>
      <c r="S60" s="32"/>
      <c r="T60" s="33"/>
      <c r="U60" s="33"/>
      <c r="V60" s="46">
        <f t="shared" si="40"/>
        <v>7834.09</v>
      </c>
      <c r="W60" s="32">
        <f t="shared" si="44"/>
        <v>919.70900000000006</v>
      </c>
      <c r="X60" s="46">
        <f t="shared" si="33"/>
        <v>6914.3810000000003</v>
      </c>
      <c r="Y60" s="32">
        <f t="shared" si="34"/>
        <v>0</v>
      </c>
      <c r="Z60" s="32">
        <v>10.23</v>
      </c>
      <c r="AA60" s="32">
        <f t="shared" si="35"/>
        <v>0</v>
      </c>
      <c r="AB60" s="46">
        <f t="shared" si="36"/>
        <v>9207.32</v>
      </c>
      <c r="AC60" s="55"/>
      <c r="AD60" s="51"/>
      <c r="AE60" s="47">
        <f>+AC60+AD60-X60</f>
        <v>-6914.3810000000003</v>
      </c>
      <c r="AF60" s="35">
        <v>60589627948</v>
      </c>
      <c r="AG60" s="35"/>
      <c r="AI60" s="96" t="s">
        <v>250</v>
      </c>
      <c r="AJ60" s="95" t="s">
        <v>251</v>
      </c>
      <c r="AK60" s="34">
        <v>9197.09</v>
      </c>
      <c r="AL60" s="34"/>
      <c r="AM60" s="34"/>
    </row>
    <row r="61" spans="1:39" s="18" customFormat="1">
      <c r="A61" s="71" t="s">
        <v>26</v>
      </c>
      <c r="B61" s="33" t="s">
        <v>130</v>
      </c>
      <c r="C61" s="33" t="s">
        <v>29</v>
      </c>
      <c r="D61" s="49">
        <v>42849</v>
      </c>
      <c r="E61" s="34">
        <v>1166.27</v>
      </c>
      <c r="F61" s="34">
        <v>1512.73</v>
      </c>
      <c r="G61" s="34"/>
      <c r="H61" s="34"/>
      <c r="I61" s="34"/>
      <c r="J61" s="46">
        <f t="shared" si="10"/>
        <v>1512.73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46">
        <f t="shared" si="40"/>
        <v>1512.73</v>
      </c>
      <c r="W61" s="32"/>
      <c r="X61" s="46"/>
      <c r="Y61" s="32"/>
      <c r="Z61" s="32"/>
      <c r="AA61" s="32"/>
      <c r="AB61" s="46"/>
      <c r="AC61" s="55"/>
      <c r="AD61" s="51"/>
      <c r="AE61" s="47"/>
      <c r="AF61" s="35">
        <v>60590412629</v>
      </c>
      <c r="AG61" s="35"/>
      <c r="AI61" s="96" t="s">
        <v>252</v>
      </c>
      <c r="AJ61" s="95" t="s">
        <v>253</v>
      </c>
      <c r="AK61" s="34">
        <v>1512.73</v>
      </c>
      <c r="AL61" s="34"/>
      <c r="AM61" s="34"/>
    </row>
    <row r="62" spans="1:39" s="18" customFormat="1">
      <c r="A62" s="71" t="s">
        <v>26</v>
      </c>
      <c r="B62" s="33" t="s">
        <v>93</v>
      </c>
      <c r="C62" s="33" t="s">
        <v>42</v>
      </c>
      <c r="D62" s="49">
        <v>42566</v>
      </c>
      <c r="E62" s="34">
        <v>933.31</v>
      </c>
      <c r="F62" s="34">
        <v>2610</v>
      </c>
      <c r="G62" s="34"/>
      <c r="H62" s="34"/>
      <c r="I62" s="34"/>
      <c r="J62" s="46">
        <f t="shared" si="10"/>
        <v>2610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46">
        <f t="shared" si="40"/>
        <v>2610</v>
      </c>
      <c r="W62" s="32">
        <f t="shared" si="44"/>
        <v>261</v>
      </c>
      <c r="X62" s="46">
        <f t="shared" si="33"/>
        <v>2349</v>
      </c>
      <c r="Y62" s="32">
        <f t="shared" si="34"/>
        <v>0</v>
      </c>
      <c r="Z62" s="32">
        <v>21.23</v>
      </c>
      <c r="AA62" s="32">
        <f t="shared" si="35"/>
        <v>0</v>
      </c>
      <c r="AB62" s="46">
        <f t="shared" si="36"/>
        <v>2631.23</v>
      </c>
      <c r="AC62" s="55"/>
      <c r="AD62" s="51"/>
      <c r="AE62" s="47"/>
      <c r="AF62" s="35">
        <v>56708845709</v>
      </c>
      <c r="AG62" s="35"/>
      <c r="AI62" s="96" t="s">
        <v>254</v>
      </c>
      <c r="AJ62" s="95" t="s">
        <v>255</v>
      </c>
      <c r="AK62" s="34">
        <v>2610</v>
      </c>
      <c r="AL62" s="34"/>
      <c r="AM62" s="34"/>
    </row>
    <row r="63" spans="1:39" s="18" customFormat="1">
      <c r="A63" s="71" t="s">
        <v>28</v>
      </c>
      <c r="B63" s="33" t="s">
        <v>149</v>
      </c>
      <c r="C63" s="33" t="s">
        <v>30</v>
      </c>
      <c r="D63" s="49">
        <v>42842</v>
      </c>
      <c r="E63" s="34">
        <v>1026.69</v>
      </c>
      <c r="F63" s="34">
        <v>3076.54</v>
      </c>
      <c r="G63" s="34"/>
      <c r="H63" s="34"/>
      <c r="I63" s="34"/>
      <c r="J63" s="46">
        <f t="shared" si="10"/>
        <v>3076.54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46">
        <f t="shared" si="40"/>
        <v>3076.54</v>
      </c>
      <c r="W63" s="32"/>
      <c r="X63" s="46"/>
      <c r="Y63" s="32"/>
      <c r="Z63" s="32"/>
      <c r="AA63" s="32"/>
      <c r="AB63" s="46"/>
      <c r="AC63" s="55"/>
      <c r="AD63" s="56"/>
      <c r="AE63" s="47"/>
      <c r="AF63" s="35">
        <v>60590199370</v>
      </c>
      <c r="AG63" s="35"/>
      <c r="AI63" s="96" t="s">
        <v>256</v>
      </c>
      <c r="AJ63" s="95" t="s">
        <v>257</v>
      </c>
      <c r="AK63" s="34">
        <v>3076.54</v>
      </c>
      <c r="AL63" s="34"/>
      <c r="AM63" s="34"/>
    </row>
    <row r="64" spans="1:39" s="18" customFormat="1">
      <c r="A64" s="71" t="s">
        <v>27</v>
      </c>
      <c r="B64" s="33" t="s">
        <v>88</v>
      </c>
      <c r="C64" s="33" t="s">
        <v>136</v>
      </c>
      <c r="D64" s="49">
        <v>42506</v>
      </c>
      <c r="E64" s="34">
        <v>1633.38</v>
      </c>
      <c r="F64" s="34">
        <v>14887.93</v>
      </c>
      <c r="G64" s="34"/>
      <c r="H64" s="34"/>
      <c r="I64" s="34"/>
      <c r="J64" s="46">
        <f t="shared" si="10"/>
        <v>14887.93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58">
        <v>209.3</v>
      </c>
      <c r="V64" s="46">
        <f t="shared" si="40"/>
        <v>14678.630000000001</v>
      </c>
      <c r="W64" s="32">
        <f t="shared" si="44"/>
        <v>1488.7930000000001</v>
      </c>
      <c r="X64" s="46">
        <f t="shared" si="33"/>
        <v>13189.837000000001</v>
      </c>
      <c r="Y64" s="32">
        <f t="shared" si="34"/>
        <v>0</v>
      </c>
      <c r="Z64" s="32">
        <v>10.23</v>
      </c>
      <c r="AA64" s="32">
        <f t="shared" si="35"/>
        <v>0</v>
      </c>
      <c r="AB64" s="46">
        <f t="shared" si="36"/>
        <v>14898.16</v>
      </c>
      <c r="AC64" s="55"/>
      <c r="AD64" s="55"/>
      <c r="AE64" s="47">
        <f t="shared" ref="AE64" si="45">+AC64+AD64-X64</f>
        <v>-13189.837000000001</v>
      </c>
      <c r="AF64" s="35">
        <v>1179675078</v>
      </c>
      <c r="AG64" s="35"/>
      <c r="AH64" s="18" t="s">
        <v>126</v>
      </c>
      <c r="AI64" s="96" t="s">
        <v>418</v>
      </c>
      <c r="AJ64" s="95" t="s">
        <v>419</v>
      </c>
      <c r="AK64" s="34">
        <v>14887.93</v>
      </c>
      <c r="AL64" s="34"/>
      <c r="AM64" s="34"/>
    </row>
    <row r="65" spans="1:174" s="18" customFormat="1">
      <c r="A65" s="71" t="s">
        <v>37</v>
      </c>
      <c r="B65" s="33" t="s">
        <v>115</v>
      </c>
      <c r="C65" s="33" t="s">
        <v>29</v>
      </c>
      <c r="D65" s="49">
        <v>42696</v>
      </c>
      <c r="E65" s="34">
        <v>1166.27</v>
      </c>
      <c r="F65" s="34">
        <v>5621.04</v>
      </c>
      <c r="G65" s="34"/>
      <c r="H65" s="34"/>
      <c r="I65" s="34"/>
      <c r="J65" s="46">
        <f t="shared" si="10"/>
        <v>5621.04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58"/>
      <c r="V65" s="46">
        <f t="shared" ref="V65" si="46">+J65-SUM(K65:U65)</f>
        <v>5621.04</v>
      </c>
      <c r="W65" s="32">
        <f t="shared" ref="W65" si="47">IF(J65&gt;2250,J65*0.1,0)</f>
        <v>562.10400000000004</v>
      </c>
      <c r="X65" s="46">
        <f t="shared" ref="X65" si="48">+V65-W65</f>
        <v>5058.9359999999997</v>
      </c>
      <c r="Y65" s="32"/>
      <c r="Z65" s="32"/>
      <c r="AA65" s="32"/>
      <c r="AB65" s="46"/>
      <c r="AC65" s="55"/>
      <c r="AD65" s="55"/>
      <c r="AE65" s="47"/>
      <c r="AF65" s="35">
        <v>56710784605</v>
      </c>
      <c r="AG65" s="35"/>
      <c r="AI65" s="96" t="s">
        <v>260</v>
      </c>
      <c r="AJ65" s="95" t="s">
        <v>261</v>
      </c>
      <c r="AK65" s="34">
        <v>5621.04</v>
      </c>
      <c r="AL65" s="34"/>
      <c r="AM65" s="34"/>
    </row>
    <row r="66" spans="1:174" s="18" customFormat="1">
      <c r="A66" s="71" t="s">
        <v>28</v>
      </c>
      <c r="B66" s="33" t="s">
        <v>194</v>
      </c>
      <c r="C66" s="33" t="s">
        <v>30</v>
      </c>
      <c r="D66" s="49">
        <v>43068</v>
      </c>
      <c r="E66" s="34">
        <v>1026.69</v>
      </c>
      <c r="F66" s="34"/>
      <c r="G66" s="34"/>
      <c r="H66" s="34"/>
      <c r="I66" s="34"/>
      <c r="J66" s="46">
        <f t="shared" si="10"/>
        <v>0</v>
      </c>
      <c r="K66" s="34"/>
      <c r="L66" s="60"/>
      <c r="M66" s="34"/>
      <c r="N66" s="34"/>
      <c r="O66" s="61"/>
      <c r="P66" s="61"/>
      <c r="Q66" s="34"/>
      <c r="R66" s="32"/>
      <c r="S66" s="32"/>
      <c r="T66" s="33"/>
      <c r="U66" s="58"/>
      <c r="V66" s="46"/>
      <c r="W66" s="32"/>
      <c r="X66" s="46"/>
      <c r="Y66" s="32"/>
      <c r="Z66" s="32"/>
      <c r="AA66" s="32"/>
      <c r="AB66" s="46"/>
      <c r="AC66" s="55"/>
      <c r="AD66" s="55"/>
      <c r="AE66" s="47"/>
      <c r="AF66" s="35">
        <v>60597479727</v>
      </c>
      <c r="AG66" s="35"/>
      <c r="AI66" s="96" t="s">
        <v>420</v>
      </c>
      <c r="AJ66" s="95" t="s">
        <v>421</v>
      </c>
      <c r="AK66" s="34"/>
      <c r="AL66" s="34"/>
      <c r="AM66" s="34"/>
    </row>
    <row r="67" spans="1:174" s="89" customFormat="1">
      <c r="A67" s="80" t="s">
        <v>28</v>
      </c>
      <c r="B67" s="80" t="s">
        <v>352</v>
      </c>
      <c r="C67" s="80" t="s">
        <v>177</v>
      </c>
      <c r="D67" s="81">
        <v>43038</v>
      </c>
      <c r="E67" s="82">
        <v>1400</v>
      </c>
      <c r="F67" s="82"/>
      <c r="G67" s="82"/>
      <c r="H67" s="82"/>
      <c r="I67" s="82"/>
      <c r="J67" s="83">
        <f t="shared" si="10"/>
        <v>0</v>
      </c>
      <c r="K67" s="82"/>
      <c r="L67" s="84"/>
      <c r="M67" s="82"/>
      <c r="N67" s="82"/>
      <c r="O67" s="85"/>
      <c r="P67" s="85"/>
      <c r="Q67" s="82"/>
      <c r="R67" s="86"/>
      <c r="S67" s="86"/>
      <c r="T67" s="80"/>
      <c r="U67" s="93"/>
      <c r="V67" s="83"/>
      <c r="W67" s="86"/>
      <c r="X67" s="83"/>
      <c r="Y67" s="86"/>
      <c r="Z67" s="86"/>
      <c r="AA67" s="86"/>
      <c r="AB67" s="83"/>
      <c r="AC67" s="94"/>
      <c r="AD67" s="94"/>
      <c r="AE67" s="87"/>
      <c r="AF67" s="88">
        <v>1514177835</v>
      </c>
      <c r="AG67" s="88"/>
      <c r="AH67" s="89" t="s">
        <v>126</v>
      </c>
      <c r="AI67" s="96"/>
      <c r="AJ67" s="95"/>
      <c r="AK67" s="82"/>
      <c r="AL67" s="82"/>
      <c r="AM67" s="82"/>
    </row>
    <row r="68" spans="1:174" s="18" customFormat="1">
      <c r="A68" s="24"/>
      <c r="B68" s="25"/>
      <c r="C68" s="25"/>
      <c r="D68" s="25"/>
      <c r="E68" s="25"/>
      <c r="F68" s="26"/>
      <c r="G68" s="26"/>
      <c r="H68" s="26"/>
      <c r="I68" s="26"/>
      <c r="J68" s="27"/>
      <c r="K68" s="26"/>
      <c r="L68" s="26"/>
      <c r="M68" s="26"/>
      <c r="N68" s="26"/>
      <c r="O68" s="26"/>
      <c r="P68" s="26"/>
      <c r="Q68" s="26"/>
      <c r="R68" s="36"/>
      <c r="S68" s="36"/>
      <c r="T68" s="36"/>
      <c r="U68" s="36"/>
      <c r="V68" s="27"/>
      <c r="W68" s="36"/>
      <c r="X68" s="27"/>
      <c r="Y68" s="36"/>
      <c r="Z68" s="36"/>
      <c r="AA68" s="36"/>
      <c r="AB68" s="27"/>
      <c r="AC68" s="43"/>
      <c r="AD68" s="43"/>
      <c r="AE68" s="22"/>
      <c r="AK68" s="26"/>
      <c r="AL68" s="26"/>
      <c r="AM68" s="26"/>
    </row>
    <row r="69" spans="1:174">
      <c r="B69" s="37" t="s">
        <v>1</v>
      </c>
      <c r="C69" s="37"/>
      <c r="D69" s="37"/>
      <c r="E69" s="38">
        <f t="shared" ref="E69:U69" si="49">SUM(E7:E68)</f>
        <v>87871.520000000033</v>
      </c>
      <c r="F69" s="38">
        <f t="shared" si="49"/>
        <v>278066.36000000004</v>
      </c>
      <c r="G69" s="38">
        <f t="shared" si="49"/>
        <v>0</v>
      </c>
      <c r="H69" s="38">
        <f t="shared" si="49"/>
        <v>12459.89</v>
      </c>
      <c r="I69" s="38">
        <f t="shared" si="49"/>
        <v>0</v>
      </c>
      <c r="J69" s="38">
        <f t="shared" si="49"/>
        <v>290526.25</v>
      </c>
      <c r="K69" s="38">
        <f t="shared" si="49"/>
        <v>1937.5</v>
      </c>
      <c r="L69" s="38">
        <f t="shared" si="49"/>
        <v>13</v>
      </c>
      <c r="M69" s="38">
        <f t="shared" si="49"/>
        <v>0</v>
      </c>
      <c r="N69" s="38">
        <f t="shared" si="49"/>
        <v>1300</v>
      </c>
      <c r="O69" s="38">
        <f t="shared" si="49"/>
        <v>0</v>
      </c>
      <c r="P69" s="38">
        <f t="shared" si="49"/>
        <v>0</v>
      </c>
      <c r="Q69" s="38">
        <f t="shared" si="49"/>
        <v>0</v>
      </c>
      <c r="R69" s="38">
        <f t="shared" si="49"/>
        <v>13491.15</v>
      </c>
      <c r="S69" s="38">
        <f t="shared" si="49"/>
        <v>0.6</v>
      </c>
      <c r="T69" s="38">
        <f t="shared" si="49"/>
        <v>0</v>
      </c>
      <c r="U69" s="38">
        <f t="shared" si="49"/>
        <v>6708.9400000000014</v>
      </c>
      <c r="V69" s="38">
        <f t="shared" ref="V69:AE69" si="50">SUM(V8:V68)</f>
        <v>251594.44000000003</v>
      </c>
      <c r="W69" s="38">
        <f t="shared" si="50"/>
        <v>20334.5</v>
      </c>
      <c r="X69" s="38">
        <f t="shared" si="50"/>
        <v>173629.68999999997</v>
      </c>
      <c r="Y69" s="38">
        <f t="shared" si="50"/>
        <v>539.65900000000011</v>
      </c>
      <c r="Z69" s="38">
        <f t="shared" si="50"/>
        <v>257.82999999999993</v>
      </c>
      <c r="AA69" s="38">
        <f t="shared" si="50"/>
        <v>0</v>
      </c>
      <c r="AB69" s="38">
        <f t="shared" si="50"/>
        <v>156333.81900000002</v>
      </c>
      <c r="AC69" s="44">
        <f t="shared" si="50"/>
        <v>0</v>
      </c>
      <c r="AD69" s="44">
        <f t="shared" si="50"/>
        <v>0</v>
      </c>
      <c r="AE69" s="39" t="e">
        <f t="shared" si="50"/>
        <v>#REF!</v>
      </c>
      <c r="AF69" s="28"/>
      <c r="AG69" s="28"/>
      <c r="AJ69" s="18"/>
      <c r="AK69" s="38">
        <v>278066.36000000004</v>
      </c>
      <c r="AL69" s="38">
        <v>1937.5</v>
      </c>
      <c r="AM69" s="38">
        <v>1300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</row>
    <row r="70" spans="1:174">
      <c r="AB70" s="14">
        <f>AB69*0.16</f>
        <v>25013.411040000003</v>
      </c>
      <c r="AJ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</row>
    <row r="71" spans="1:174">
      <c r="A71" s="108" t="s">
        <v>75</v>
      </c>
      <c r="B71" s="108"/>
      <c r="C71" s="28"/>
      <c r="D71" s="28"/>
      <c r="E71" s="28"/>
      <c r="F71" s="30"/>
      <c r="G71" s="30"/>
      <c r="H71" s="30"/>
      <c r="I71" s="30"/>
      <c r="J71" s="38"/>
      <c r="K71" s="30"/>
      <c r="L71" s="30"/>
      <c r="M71" s="30"/>
      <c r="N71" s="34"/>
      <c r="O71" s="34"/>
      <c r="P71" s="34"/>
      <c r="Q71" s="34"/>
      <c r="R71" s="30"/>
      <c r="S71" s="30"/>
      <c r="T71" s="30"/>
      <c r="U71" s="30"/>
      <c r="V71" s="38"/>
      <c r="W71" s="30"/>
      <c r="X71" s="38"/>
      <c r="Y71" s="30"/>
      <c r="Z71" s="30"/>
      <c r="AA71" s="30"/>
      <c r="AB71" s="38">
        <f>+AB69+AB70</f>
        <v>181347.23004000002</v>
      </c>
      <c r="AC71" s="44"/>
      <c r="AD71" s="44"/>
      <c r="AE71" s="39"/>
      <c r="AF71" s="28"/>
      <c r="AG71" s="28"/>
      <c r="AJ71" s="18"/>
      <c r="AK71" s="30"/>
      <c r="AL71" s="30"/>
      <c r="AM71" s="34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</row>
    <row r="72" spans="1:174">
      <c r="A72" s="33" t="s">
        <v>38</v>
      </c>
      <c r="B72" s="33" t="s">
        <v>173</v>
      </c>
      <c r="C72" s="29" t="s">
        <v>174</v>
      </c>
      <c r="D72" s="49">
        <v>43038</v>
      </c>
      <c r="E72" s="34">
        <v>638.96</v>
      </c>
      <c r="F72" s="34">
        <v>2337.9850000000001</v>
      </c>
      <c r="G72" s="34"/>
      <c r="H72" s="31"/>
      <c r="I72" s="31"/>
      <c r="J72" s="46">
        <f>SUM(F72:I72)</f>
        <v>2337.9850000000001</v>
      </c>
      <c r="K72" s="34"/>
      <c r="L72" s="60"/>
      <c r="M72" s="34"/>
      <c r="N72" s="34"/>
      <c r="O72" s="61"/>
      <c r="P72" s="61"/>
      <c r="Q72" s="34"/>
      <c r="R72" s="32"/>
      <c r="S72" s="32"/>
      <c r="T72" s="33"/>
      <c r="U72" s="33">
        <v>553.23</v>
      </c>
      <c r="V72" s="46">
        <f>+J72-SUM(K72:U72)</f>
        <v>1784.7550000000001</v>
      </c>
      <c r="W72" s="32"/>
      <c r="X72" s="46"/>
      <c r="Y72" s="54"/>
      <c r="Z72" s="54"/>
      <c r="AA72" s="54"/>
      <c r="AB72" s="53"/>
      <c r="AC72" s="45"/>
      <c r="AD72" s="45"/>
      <c r="AE72" s="40"/>
      <c r="AF72" s="35">
        <v>56697905731</v>
      </c>
      <c r="AG72" s="35"/>
      <c r="AI72" s="98" t="s">
        <v>262</v>
      </c>
      <c r="AJ72" s="97" t="s">
        <v>263</v>
      </c>
      <c r="AK72" s="34">
        <v>2337.9850000000001</v>
      </c>
      <c r="AL72" s="34"/>
      <c r="AM72" s="34"/>
      <c r="AN72" s="18"/>
      <c r="AO72" s="100" t="s">
        <v>262</v>
      </c>
      <c r="AP72" s="99" t="s">
        <v>263</v>
      </c>
      <c r="AQ72" s="101">
        <v>2976.95</v>
      </c>
      <c r="AR72" s="61"/>
      <c r="AS72" s="61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</row>
    <row r="73" spans="1:174">
      <c r="A73" s="33" t="s">
        <v>40</v>
      </c>
      <c r="B73" s="33" t="s">
        <v>150</v>
      </c>
      <c r="C73" s="29" t="s">
        <v>102</v>
      </c>
      <c r="D73" s="49">
        <v>41142</v>
      </c>
      <c r="E73" s="34">
        <v>667.87</v>
      </c>
      <c r="F73" s="34">
        <f>1046.703+3.736</f>
        <v>1050.4390000000001</v>
      </c>
      <c r="G73" s="34"/>
      <c r="H73" s="31"/>
      <c r="I73" s="31"/>
      <c r="J73" s="46">
        <f>SUM(F73:I73)</f>
        <v>1050.4390000000001</v>
      </c>
      <c r="K73" s="34"/>
      <c r="L73" s="60"/>
      <c r="M73" s="34"/>
      <c r="N73" s="34"/>
      <c r="O73" s="61" t="s">
        <v>132</v>
      </c>
      <c r="P73" s="61" t="s">
        <v>132</v>
      </c>
      <c r="Q73" s="34"/>
      <c r="R73" s="32"/>
      <c r="S73" s="32"/>
      <c r="T73" s="33"/>
      <c r="U73" s="33"/>
      <c r="V73" s="46">
        <f>+J73-SUM(K73:U73)</f>
        <v>1050.4390000000001</v>
      </c>
      <c r="W73" s="32">
        <f>+V73*0.05</f>
        <v>52.521950000000004</v>
      </c>
      <c r="X73" s="46">
        <f>+V73-R73-U73</f>
        <v>1050.4390000000001</v>
      </c>
      <c r="Y73" s="54">
        <f>IF(V73&lt;3000,V73*0.1,0)</f>
        <v>105.04390000000001</v>
      </c>
      <c r="Z73" s="54">
        <v>0</v>
      </c>
      <c r="AA73" s="54"/>
      <c r="AB73" s="53">
        <f>+V73+Y73+Z73</f>
        <v>1155.4829</v>
      </c>
      <c r="AC73" s="45"/>
      <c r="AD73" s="45"/>
      <c r="AE73" s="40"/>
      <c r="AF73" s="35">
        <v>56708845760</v>
      </c>
      <c r="AG73" s="35"/>
      <c r="AI73" s="98" t="s">
        <v>264</v>
      </c>
      <c r="AJ73" s="97" t="s">
        <v>265</v>
      </c>
      <c r="AK73" s="34">
        <v>1050.4390000000001</v>
      </c>
      <c r="AL73" s="34"/>
      <c r="AM73" s="34"/>
      <c r="AN73" s="18"/>
      <c r="AO73" s="100" t="s">
        <v>264</v>
      </c>
      <c r="AP73" s="99" t="s">
        <v>265</v>
      </c>
      <c r="AQ73" s="101">
        <v>1718.31</v>
      </c>
      <c r="AR73" s="61">
        <f>+AQ73*4.9%</f>
        <v>84.197190000000006</v>
      </c>
      <c r="AS73" s="61">
        <f>+AQ73*1%</f>
        <v>17.1831</v>
      </c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</row>
    <row r="74" spans="1:174" s="18" customFormat="1">
      <c r="A74" s="33" t="s">
        <v>40</v>
      </c>
      <c r="B74" s="33" t="s">
        <v>52</v>
      </c>
      <c r="C74" s="33" t="s">
        <v>102</v>
      </c>
      <c r="D74" s="49">
        <v>41381</v>
      </c>
      <c r="E74" s="34">
        <v>627.13</v>
      </c>
      <c r="F74" s="34">
        <f>8924.94+5.571</f>
        <v>8930.5110000000004</v>
      </c>
      <c r="G74" s="34"/>
      <c r="H74" s="34"/>
      <c r="I74" s="34"/>
      <c r="J74" s="46">
        <f t="shared" ref="J74:J118" si="51">SUM(F74:I74)</f>
        <v>8930.5110000000004</v>
      </c>
      <c r="K74" s="34"/>
      <c r="L74" s="60"/>
      <c r="M74" s="34"/>
      <c r="N74" s="34"/>
      <c r="O74" s="61" t="s">
        <v>132</v>
      </c>
      <c r="P74" s="61" t="s">
        <v>132</v>
      </c>
      <c r="Q74" s="34"/>
      <c r="R74" s="32"/>
      <c r="S74" s="32"/>
      <c r="T74" s="33"/>
      <c r="U74" s="33"/>
      <c r="V74" s="46">
        <f t="shared" ref="V74:V117" si="52">+J74-SUM(K74:U74)</f>
        <v>8930.5110000000004</v>
      </c>
      <c r="W74" s="32">
        <f t="shared" ref="W74:W82" si="53">IF(J74&gt;2250,J74*0.1,0)</f>
        <v>893.05110000000013</v>
      </c>
      <c r="X74" s="46">
        <f t="shared" ref="X74:X82" si="54">+V74-W74</f>
        <v>8037.4598999999998</v>
      </c>
      <c r="Y74" s="32">
        <f t="shared" ref="Y74:Y82" si="55">IF(J74&lt;2250,J74*0.1,0)</f>
        <v>0</v>
      </c>
      <c r="Z74" s="32">
        <v>10.23</v>
      </c>
      <c r="AA74" s="32" t="str">
        <f t="shared" ref="AA74:AA82" si="56">+O74</f>
        <v>XX</v>
      </c>
      <c r="AB74" s="46" t="e">
        <f t="shared" ref="AB74:AB82" si="57">+J74+Y74+Z74+AA74</f>
        <v>#VALUE!</v>
      </c>
      <c r="AC74" s="50"/>
      <c r="AD74" s="51"/>
      <c r="AE74" s="47">
        <f t="shared" ref="AE74:AE77" si="58">+AC74+AD74-X74</f>
        <v>-8037.4598999999998</v>
      </c>
      <c r="AF74" s="35">
        <v>56708845774</v>
      </c>
      <c r="AG74" s="35"/>
      <c r="AI74" s="98" t="s">
        <v>266</v>
      </c>
      <c r="AJ74" s="97" t="s">
        <v>267</v>
      </c>
      <c r="AK74" s="34">
        <v>8930.5110000000004</v>
      </c>
      <c r="AL74" s="34"/>
      <c r="AM74" s="34"/>
      <c r="AO74" s="100" t="s">
        <v>266</v>
      </c>
      <c r="AP74" s="99" t="s">
        <v>267</v>
      </c>
      <c r="AQ74" s="101">
        <v>9557.64</v>
      </c>
      <c r="AR74" s="61">
        <f t="shared" ref="AR74:AR77" si="59">+AQ74*4.9%</f>
        <v>468.32436000000001</v>
      </c>
      <c r="AS74" s="61">
        <f t="shared" ref="AS74:AS77" si="60">+AQ74*1%</f>
        <v>95.576399999999992</v>
      </c>
    </row>
    <row r="75" spans="1:174" s="18" customFormat="1">
      <c r="A75" s="33" t="s">
        <v>40</v>
      </c>
      <c r="B75" s="33" t="s">
        <v>82</v>
      </c>
      <c r="C75" s="33" t="s">
        <v>102</v>
      </c>
      <c r="D75" s="49">
        <v>41740</v>
      </c>
      <c r="E75" s="34">
        <v>627.13</v>
      </c>
      <c r="F75" s="34">
        <f>1738.538+5.571</f>
        <v>1744.1089999999999</v>
      </c>
      <c r="G75" s="34"/>
      <c r="H75" s="34"/>
      <c r="I75" s="34"/>
      <c r="J75" s="46">
        <f t="shared" si="51"/>
        <v>1744.1089999999999</v>
      </c>
      <c r="K75" s="34"/>
      <c r="L75" s="60"/>
      <c r="M75" s="34"/>
      <c r="N75" s="32">
        <v>300</v>
      </c>
      <c r="O75" s="61" t="s">
        <v>132</v>
      </c>
      <c r="P75" s="61" t="s">
        <v>132</v>
      </c>
      <c r="Q75" s="34"/>
      <c r="R75" s="32"/>
      <c r="S75" s="32"/>
      <c r="T75" s="33"/>
      <c r="U75" s="33"/>
      <c r="V75" s="46">
        <f t="shared" si="52"/>
        <v>1444.1089999999999</v>
      </c>
      <c r="W75" s="32">
        <f t="shared" si="53"/>
        <v>0</v>
      </c>
      <c r="X75" s="46">
        <f t="shared" si="54"/>
        <v>1444.1089999999999</v>
      </c>
      <c r="Y75" s="32">
        <f t="shared" si="55"/>
        <v>174.4109</v>
      </c>
      <c r="Z75" s="32">
        <v>10.23</v>
      </c>
      <c r="AA75" s="32" t="str">
        <f t="shared" si="56"/>
        <v>XX</v>
      </c>
      <c r="AB75" s="46" t="e">
        <f t="shared" si="57"/>
        <v>#VALUE!</v>
      </c>
      <c r="AC75" s="50"/>
      <c r="AD75" s="51"/>
      <c r="AE75" s="47">
        <f t="shared" si="58"/>
        <v>-1444.1089999999999</v>
      </c>
      <c r="AF75" s="35">
        <v>56708845788</v>
      </c>
      <c r="AG75" s="35"/>
      <c r="AI75" s="98" t="s">
        <v>268</v>
      </c>
      <c r="AJ75" s="97" t="s">
        <v>269</v>
      </c>
      <c r="AK75" s="34">
        <v>1744.1089999999999</v>
      </c>
      <c r="AL75" s="34"/>
      <c r="AM75" s="32">
        <v>300</v>
      </c>
      <c r="AO75" s="100" t="s">
        <v>268</v>
      </c>
      <c r="AP75" s="99" t="s">
        <v>269</v>
      </c>
      <c r="AQ75" s="101">
        <v>2371.2399999999998</v>
      </c>
      <c r="AR75" s="61">
        <f t="shared" si="59"/>
        <v>116.19076</v>
      </c>
      <c r="AS75" s="61">
        <f t="shared" si="60"/>
        <v>23.712399999999999</v>
      </c>
    </row>
    <row r="76" spans="1:174" s="18" customFormat="1">
      <c r="A76" s="33" t="s">
        <v>40</v>
      </c>
      <c r="B76" s="33" t="s">
        <v>122</v>
      </c>
      <c r="C76" s="33" t="s">
        <v>98</v>
      </c>
      <c r="D76" s="49">
        <v>42779</v>
      </c>
      <c r="E76" s="34">
        <v>618.45000000000005</v>
      </c>
      <c r="F76" s="34">
        <v>80.2</v>
      </c>
      <c r="G76" s="34"/>
      <c r="H76" s="34"/>
      <c r="I76" s="34"/>
      <c r="J76" s="46">
        <f t="shared" si="51"/>
        <v>80.2</v>
      </c>
      <c r="K76" s="34"/>
      <c r="L76" s="60" t="s">
        <v>366</v>
      </c>
      <c r="M76" s="34"/>
      <c r="N76" s="34"/>
      <c r="O76" s="61" t="s">
        <v>132</v>
      </c>
      <c r="P76" s="61" t="s">
        <v>132</v>
      </c>
      <c r="Q76" s="34"/>
      <c r="R76" s="32"/>
      <c r="S76" s="32"/>
      <c r="T76" s="33"/>
      <c r="U76" s="33"/>
      <c r="V76" s="46">
        <f t="shared" si="52"/>
        <v>80.2</v>
      </c>
      <c r="W76" s="32"/>
      <c r="X76" s="46"/>
      <c r="Y76" s="32"/>
      <c r="Z76" s="32"/>
      <c r="AA76" s="32"/>
      <c r="AB76" s="46"/>
      <c r="AC76" s="50"/>
      <c r="AD76" s="51"/>
      <c r="AE76" s="47"/>
      <c r="AF76" s="35">
        <v>60589582591</v>
      </c>
      <c r="AG76" s="35" t="s">
        <v>367</v>
      </c>
      <c r="AI76" s="98" t="s">
        <v>270</v>
      </c>
      <c r="AJ76" s="97" t="s">
        <v>271</v>
      </c>
      <c r="AK76" s="34">
        <v>80.2</v>
      </c>
      <c r="AL76" s="34"/>
      <c r="AM76" s="34"/>
      <c r="AO76" s="100" t="s">
        <v>270</v>
      </c>
      <c r="AP76" s="99" t="s">
        <v>271</v>
      </c>
      <c r="AQ76" s="101">
        <v>168.56</v>
      </c>
      <c r="AR76" s="61">
        <f t="shared" si="59"/>
        <v>8.2594399999999997</v>
      </c>
      <c r="AS76" s="61">
        <f t="shared" si="60"/>
        <v>1.6856</v>
      </c>
    </row>
    <row r="77" spans="1:174" s="18" customFormat="1">
      <c r="A77" s="33" t="s">
        <v>40</v>
      </c>
      <c r="B77" s="33" t="s">
        <v>53</v>
      </c>
      <c r="C77" s="33" t="s">
        <v>45</v>
      </c>
      <c r="D77" s="49">
        <v>41227</v>
      </c>
      <c r="E77" s="34">
        <v>618.45000000000005</v>
      </c>
      <c r="F77" s="34">
        <f>3470.44+13.099</f>
        <v>3483.5390000000002</v>
      </c>
      <c r="G77" s="34"/>
      <c r="H77" s="34"/>
      <c r="I77" s="34"/>
      <c r="J77" s="46">
        <f t="shared" si="51"/>
        <v>3483.5390000000002</v>
      </c>
      <c r="K77" s="34"/>
      <c r="L77" s="60"/>
      <c r="M77" s="34"/>
      <c r="N77" s="32">
        <v>700</v>
      </c>
      <c r="O77" s="61" t="s">
        <v>132</v>
      </c>
      <c r="P77" s="61" t="s">
        <v>132</v>
      </c>
      <c r="Q77" s="34"/>
      <c r="R77" s="32"/>
      <c r="S77" s="32"/>
      <c r="T77" s="33"/>
      <c r="U77" s="33"/>
      <c r="V77" s="46">
        <f t="shared" si="52"/>
        <v>2783.5390000000002</v>
      </c>
      <c r="W77" s="32">
        <f t="shared" si="53"/>
        <v>348.35390000000007</v>
      </c>
      <c r="X77" s="46">
        <f t="shared" si="54"/>
        <v>2435.1851000000001</v>
      </c>
      <c r="Y77" s="32">
        <f t="shared" si="55"/>
        <v>0</v>
      </c>
      <c r="Z77" s="32">
        <v>10.23</v>
      </c>
      <c r="AA77" s="32" t="str">
        <f t="shared" si="56"/>
        <v>XX</v>
      </c>
      <c r="AB77" s="46" t="e">
        <f t="shared" si="57"/>
        <v>#VALUE!</v>
      </c>
      <c r="AC77" s="50"/>
      <c r="AD77" s="51"/>
      <c r="AE77" s="47">
        <f t="shared" si="58"/>
        <v>-2435.1851000000001</v>
      </c>
      <c r="AF77" s="35">
        <v>56708845791</v>
      </c>
      <c r="AG77" s="35"/>
      <c r="AI77" s="98" t="s">
        <v>272</v>
      </c>
      <c r="AJ77" s="97" t="s">
        <v>273</v>
      </c>
      <c r="AK77" s="34">
        <v>3483.5390000000002</v>
      </c>
      <c r="AL77" s="34"/>
      <c r="AM77" s="32">
        <v>700</v>
      </c>
      <c r="AO77" s="100" t="s">
        <v>272</v>
      </c>
      <c r="AP77" s="99" t="s">
        <v>273</v>
      </c>
      <c r="AQ77" s="101">
        <v>4102.0600000000004</v>
      </c>
      <c r="AR77" s="61">
        <f t="shared" si="59"/>
        <v>201.00094000000001</v>
      </c>
      <c r="AS77" s="61">
        <f t="shared" si="60"/>
        <v>41.020600000000002</v>
      </c>
    </row>
    <row r="78" spans="1:174" s="18" customFormat="1">
      <c r="A78" s="33" t="s">
        <v>38</v>
      </c>
      <c r="B78" s="33" t="s">
        <v>79</v>
      </c>
      <c r="C78" s="33" t="s">
        <v>161</v>
      </c>
      <c r="D78" s="49">
        <v>42338</v>
      </c>
      <c r="E78" s="34">
        <v>739.2</v>
      </c>
      <c r="F78" s="34">
        <f>2563.2+7.428</f>
        <v>2570.6279999999997</v>
      </c>
      <c r="G78" s="34"/>
      <c r="H78" s="34"/>
      <c r="I78" s="34"/>
      <c r="J78" s="46">
        <f t="shared" si="51"/>
        <v>2570.6279999999997</v>
      </c>
      <c r="K78" s="34">
        <v>187.5</v>
      </c>
      <c r="L78" s="60"/>
      <c r="M78" s="34"/>
      <c r="N78" s="34"/>
      <c r="O78" s="61"/>
      <c r="P78" s="61"/>
      <c r="Q78" s="34"/>
      <c r="R78" s="32"/>
      <c r="S78" s="32"/>
      <c r="T78" s="33"/>
      <c r="U78" s="33"/>
      <c r="V78" s="46">
        <f t="shared" si="52"/>
        <v>2383.1279999999997</v>
      </c>
      <c r="W78" s="32">
        <f t="shared" si="53"/>
        <v>257.06279999999998</v>
      </c>
      <c r="X78" s="46">
        <f t="shared" si="54"/>
        <v>2126.0651999999995</v>
      </c>
      <c r="Y78" s="32">
        <f t="shared" si="55"/>
        <v>0</v>
      </c>
      <c r="Z78" s="32">
        <v>10.23</v>
      </c>
      <c r="AA78" s="32">
        <f t="shared" si="56"/>
        <v>0</v>
      </c>
      <c r="AB78" s="46">
        <f t="shared" si="57"/>
        <v>2580.8579999999997</v>
      </c>
      <c r="AC78" s="50"/>
      <c r="AD78" s="51"/>
      <c r="AE78" s="47">
        <f>+AC78+AD78-X78</f>
        <v>-2126.0651999999995</v>
      </c>
      <c r="AF78" s="35">
        <v>56708881872</v>
      </c>
      <c r="AG78" s="35" t="s">
        <v>357</v>
      </c>
      <c r="AI78" s="98" t="s">
        <v>274</v>
      </c>
      <c r="AJ78" s="97" t="s">
        <v>275</v>
      </c>
      <c r="AK78" s="34">
        <v>2570.6279999999997</v>
      </c>
      <c r="AL78" s="34">
        <v>187.5</v>
      </c>
      <c r="AM78" s="34"/>
      <c r="AO78" s="100" t="s">
        <v>274</v>
      </c>
      <c r="AP78" s="99" t="s">
        <v>275</v>
      </c>
      <c r="AQ78" s="101">
        <v>3309.83</v>
      </c>
      <c r="AR78" s="61"/>
      <c r="AS78" s="61"/>
    </row>
    <row r="79" spans="1:174" s="18" customFormat="1">
      <c r="A79" s="33" t="s">
        <v>40</v>
      </c>
      <c r="B79" s="33" t="s">
        <v>124</v>
      </c>
      <c r="C79" s="33" t="s">
        <v>98</v>
      </c>
      <c r="D79" s="49">
        <v>42807</v>
      </c>
      <c r="E79" s="34">
        <v>618.45000000000005</v>
      </c>
      <c r="F79" s="34">
        <v>993.9</v>
      </c>
      <c r="G79" s="34"/>
      <c r="H79" s="34"/>
      <c r="I79" s="34"/>
      <c r="J79" s="46">
        <f t="shared" si="51"/>
        <v>993.9</v>
      </c>
      <c r="K79" s="34"/>
      <c r="L79" s="60"/>
      <c r="M79" s="34"/>
      <c r="N79" s="34"/>
      <c r="O79" s="61" t="s">
        <v>132</v>
      </c>
      <c r="P79" s="61" t="s">
        <v>132</v>
      </c>
      <c r="Q79" s="34"/>
      <c r="R79" s="32"/>
      <c r="S79" s="32"/>
      <c r="T79" s="33"/>
      <c r="U79" s="33"/>
      <c r="V79" s="46">
        <f t="shared" si="52"/>
        <v>993.9</v>
      </c>
      <c r="W79" s="32"/>
      <c r="X79" s="46"/>
      <c r="Y79" s="32"/>
      <c r="Z79" s="32"/>
      <c r="AA79" s="32"/>
      <c r="AB79" s="46"/>
      <c r="AC79" s="50"/>
      <c r="AD79" s="51"/>
      <c r="AE79" s="47"/>
      <c r="AF79" s="35">
        <v>60589642468</v>
      </c>
      <c r="AG79" s="35"/>
      <c r="AI79" s="98" t="s">
        <v>276</v>
      </c>
      <c r="AJ79" s="97" t="s">
        <v>277</v>
      </c>
      <c r="AK79" s="34">
        <v>993.9</v>
      </c>
      <c r="AL79" s="34"/>
      <c r="AM79" s="34"/>
      <c r="AO79" s="100" t="s">
        <v>276</v>
      </c>
      <c r="AP79" s="99" t="s">
        <v>277</v>
      </c>
      <c r="AQ79" s="101">
        <v>1612.42</v>
      </c>
      <c r="AR79" s="61">
        <f>+AQ79*4.9%</f>
        <v>79.008580000000009</v>
      </c>
      <c r="AS79" s="61">
        <f>+AQ79*1%</f>
        <v>16.124200000000002</v>
      </c>
    </row>
    <row r="80" spans="1:174" s="18" customFormat="1">
      <c r="A80" s="33" t="s">
        <v>38</v>
      </c>
      <c r="B80" s="33" t="s">
        <v>112</v>
      </c>
      <c r="C80" s="33" t="s">
        <v>41</v>
      </c>
      <c r="D80" s="49">
        <v>42681</v>
      </c>
      <c r="E80" s="34">
        <v>738.99</v>
      </c>
      <c r="F80" s="34">
        <f>3143.04+13.099</f>
        <v>3156.1390000000001</v>
      </c>
      <c r="G80" s="34"/>
      <c r="H80" s="34"/>
      <c r="I80" s="34"/>
      <c r="J80" s="46">
        <f t="shared" si="51"/>
        <v>3156.1390000000001</v>
      </c>
      <c r="K80" s="34"/>
      <c r="L80" s="60"/>
      <c r="M80" s="34"/>
      <c r="N80" s="34">
        <v>150</v>
      </c>
      <c r="O80" s="61"/>
      <c r="P80" s="61"/>
      <c r="Q80" s="34"/>
      <c r="R80" s="32"/>
      <c r="S80" s="32"/>
      <c r="T80" s="33"/>
      <c r="U80" s="33"/>
      <c r="V80" s="46">
        <f t="shared" si="52"/>
        <v>3006.1390000000001</v>
      </c>
      <c r="W80" s="32">
        <f t="shared" ref="W80" si="61">IF(J80&gt;2250,J80*0.1,0)</f>
        <v>315.61390000000006</v>
      </c>
      <c r="X80" s="46">
        <f t="shared" ref="X80" si="62">+V80-W80</f>
        <v>2690.5250999999998</v>
      </c>
      <c r="Y80" s="32"/>
      <c r="Z80" s="32"/>
      <c r="AA80" s="32"/>
      <c r="AB80" s="46"/>
      <c r="AC80" s="50"/>
      <c r="AD80" s="51"/>
      <c r="AE80" s="47"/>
      <c r="AF80" s="35">
        <v>56710773131</v>
      </c>
      <c r="AG80" s="35"/>
      <c r="AI80" s="98" t="s">
        <v>278</v>
      </c>
      <c r="AJ80" s="97" t="s">
        <v>279</v>
      </c>
      <c r="AK80" s="34">
        <v>3156.1390000000001</v>
      </c>
      <c r="AL80" s="34"/>
      <c r="AM80" s="34">
        <v>150</v>
      </c>
      <c r="AO80" s="100" t="s">
        <v>278</v>
      </c>
      <c r="AP80" s="99" t="s">
        <v>279</v>
      </c>
      <c r="AQ80" s="101">
        <v>3895.13</v>
      </c>
      <c r="AR80" s="61"/>
      <c r="AS80" s="61"/>
    </row>
    <row r="81" spans="1:45" s="18" customFormat="1">
      <c r="A81" s="33" t="s">
        <v>40</v>
      </c>
      <c r="B81" s="33" t="s">
        <v>87</v>
      </c>
      <c r="C81" s="33" t="s">
        <v>102</v>
      </c>
      <c r="D81" s="49">
        <v>41227</v>
      </c>
      <c r="E81" s="34">
        <v>627.13</v>
      </c>
      <c r="F81" s="34">
        <f>2859.973+2.599</f>
        <v>2862.5720000000001</v>
      </c>
      <c r="G81" s="34"/>
      <c r="H81" s="34">
        <v>1734.97</v>
      </c>
      <c r="I81" s="34"/>
      <c r="J81" s="46">
        <f t="shared" si="51"/>
        <v>4597.5420000000004</v>
      </c>
      <c r="K81" s="34"/>
      <c r="L81" s="60"/>
      <c r="M81" s="34"/>
      <c r="N81" s="32">
        <v>500</v>
      </c>
      <c r="O81" s="61" t="s">
        <v>132</v>
      </c>
      <c r="P81" s="61" t="s">
        <v>132</v>
      </c>
      <c r="Q81" s="34"/>
      <c r="R81" s="32"/>
      <c r="S81" s="32"/>
      <c r="T81" s="33"/>
      <c r="U81" s="33"/>
      <c r="V81" s="46">
        <f t="shared" si="52"/>
        <v>4097.5420000000004</v>
      </c>
      <c r="W81" s="32">
        <f t="shared" si="53"/>
        <v>459.75420000000008</v>
      </c>
      <c r="X81" s="46">
        <f t="shared" si="54"/>
        <v>3637.7878000000001</v>
      </c>
      <c r="Y81" s="32">
        <f t="shared" si="55"/>
        <v>0</v>
      </c>
      <c r="Z81" s="32">
        <v>10.23</v>
      </c>
      <c r="AA81" s="32" t="str">
        <f t="shared" si="56"/>
        <v>XX</v>
      </c>
      <c r="AB81" s="46" t="e">
        <f t="shared" si="57"/>
        <v>#VALUE!</v>
      </c>
      <c r="AC81" s="50"/>
      <c r="AD81" s="51"/>
      <c r="AE81" s="47">
        <f>+AC81+AD81-X81</f>
        <v>-3637.7878000000001</v>
      </c>
      <c r="AF81" s="35">
        <v>56708845820</v>
      </c>
      <c r="AG81" s="35"/>
      <c r="AI81" s="98" t="s">
        <v>280</v>
      </c>
      <c r="AJ81" s="97" t="s">
        <v>281</v>
      </c>
      <c r="AK81" s="34">
        <v>2862.5720000000001</v>
      </c>
      <c r="AL81" s="34"/>
      <c r="AM81" s="32">
        <v>500</v>
      </c>
      <c r="AO81" s="100" t="s">
        <v>280</v>
      </c>
      <c r="AP81" s="99" t="s">
        <v>281</v>
      </c>
      <c r="AQ81" s="101">
        <v>5224.67</v>
      </c>
      <c r="AR81" s="61">
        <f t="shared" ref="AR81:AR83" si="63">+AQ81*4.9%</f>
        <v>256.00882999999999</v>
      </c>
      <c r="AS81" s="61">
        <f t="shared" ref="AS81:AS83" si="64">+AQ81*1%</f>
        <v>52.246700000000004</v>
      </c>
    </row>
    <row r="82" spans="1:45" s="18" customFormat="1">
      <c r="A82" s="33" t="s">
        <v>40</v>
      </c>
      <c r="B82" s="33" t="s">
        <v>62</v>
      </c>
      <c r="C82" s="33" t="s">
        <v>102</v>
      </c>
      <c r="D82" s="49">
        <v>41227</v>
      </c>
      <c r="E82" s="34">
        <v>627.13</v>
      </c>
      <c r="F82" s="34">
        <f>4806+2.972</f>
        <v>4808.9719999999998</v>
      </c>
      <c r="G82" s="34"/>
      <c r="H82" s="34"/>
      <c r="I82" s="34"/>
      <c r="J82" s="46">
        <f t="shared" si="51"/>
        <v>4808.9719999999998</v>
      </c>
      <c r="K82" s="34"/>
      <c r="L82" s="60"/>
      <c r="M82" s="34"/>
      <c r="N82" s="34">
        <v>1000</v>
      </c>
      <c r="O82" s="61" t="s">
        <v>132</v>
      </c>
      <c r="P82" s="61" t="s">
        <v>132</v>
      </c>
      <c r="Q82" s="34"/>
      <c r="R82" s="32"/>
      <c r="S82" s="32"/>
      <c r="T82" s="33"/>
      <c r="U82" s="33"/>
      <c r="V82" s="46">
        <f t="shared" si="52"/>
        <v>3808.9719999999998</v>
      </c>
      <c r="W82" s="32">
        <f t="shared" si="53"/>
        <v>480.8972</v>
      </c>
      <c r="X82" s="46">
        <f t="shared" si="54"/>
        <v>3328.0747999999999</v>
      </c>
      <c r="Y82" s="32">
        <f t="shared" si="55"/>
        <v>0</v>
      </c>
      <c r="Z82" s="32">
        <v>10.23</v>
      </c>
      <c r="AA82" s="32" t="str">
        <f t="shared" si="56"/>
        <v>XX</v>
      </c>
      <c r="AB82" s="46" t="e">
        <f t="shared" si="57"/>
        <v>#VALUE!</v>
      </c>
      <c r="AC82" s="50"/>
      <c r="AD82" s="51"/>
      <c r="AE82" s="47">
        <f>+AC82+AD82-X82</f>
        <v>-3328.0747999999999</v>
      </c>
      <c r="AF82" s="35">
        <v>56708845834</v>
      </c>
      <c r="AG82" s="35"/>
      <c r="AI82" s="98" t="s">
        <v>282</v>
      </c>
      <c r="AJ82" s="97" t="s">
        <v>283</v>
      </c>
      <c r="AK82" s="34">
        <v>4808.9719999999998</v>
      </c>
      <c r="AL82" s="34"/>
      <c r="AM82" s="34">
        <v>1000</v>
      </c>
      <c r="AO82" s="100" t="s">
        <v>282</v>
      </c>
      <c r="AP82" s="99" t="s">
        <v>283</v>
      </c>
      <c r="AQ82" s="101">
        <v>5436.1</v>
      </c>
      <c r="AR82" s="61">
        <f t="shared" si="63"/>
        <v>266.36890000000005</v>
      </c>
      <c r="AS82" s="61">
        <f t="shared" si="64"/>
        <v>54.361000000000004</v>
      </c>
    </row>
    <row r="83" spans="1:45" s="18" customFormat="1">
      <c r="A83" s="33" t="s">
        <v>40</v>
      </c>
      <c r="B83" s="33" t="s">
        <v>129</v>
      </c>
      <c r="C83" s="33" t="s">
        <v>117</v>
      </c>
      <c r="D83" s="49">
        <v>42842</v>
      </c>
      <c r="E83" s="34">
        <v>618.45000000000005</v>
      </c>
      <c r="F83" s="34">
        <f>3643.411+5.571</f>
        <v>3648.982</v>
      </c>
      <c r="G83" s="34"/>
      <c r="H83" s="34"/>
      <c r="I83" s="34"/>
      <c r="J83" s="46">
        <f t="shared" si="51"/>
        <v>3648.982</v>
      </c>
      <c r="K83" s="34"/>
      <c r="L83" s="60"/>
      <c r="M83" s="34"/>
      <c r="N83" s="34"/>
      <c r="O83" s="61" t="s">
        <v>132</v>
      </c>
      <c r="P83" s="61" t="s">
        <v>132</v>
      </c>
      <c r="Q83" s="34"/>
      <c r="R83" s="32"/>
      <c r="S83" s="32"/>
      <c r="T83" s="33"/>
      <c r="U83" s="33"/>
      <c r="V83" s="46">
        <f t="shared" si="52"/>
        <v>3648.982</v>
      </c>
      <c r="W83" s="32"/>
      <c r="X83" s="46"/>
      <c r="Y83" s="32"/>
      <c r="Z83" s="32"/>
      <c r="AA83" s="32"/>
      <c r="AB83" s="46"/>
      <c r="AC83" s="50"/>
      <c r="AD83" s="51"/>
      <c r="AE83" s="47"/>
      <c r="AF83" s="35">
        <v>60590100738</v>
      </c>
      <c r="AG83" s="35"/>
      <c r="AI83" s="98" t="s">
        <v>284</v>
      </c>
      <c r="AJ83" s="97" t="s">
        <v>285</v>
      </c>
      <c r="AK83" s="34">
        <v>3648.982</v>
      </c>
      <c r="AL83" s="34"/>
      <c r="AM83" s="34"/>
      <c r="AO83" s="100" t="s">
        <v>284</v>
      </c>
      <c r="AP83" s="99" t="s">
        <v>285</v>
      </c>
      <c r="AQ83" s="101">
        <v>4267.5</v>
      </c>
      <c r="AR83" s="61">
        <f t="shared" si="63"/>
        <v>209.10750000000002</v>
      </c>
      <c r="AS83" s="61">
        <f t="shared" si="64"/>
        <v>42.675000000000004</v>
      </c>
    </row>
    <row r="84" spans="1:45" s="18" customFormat="1">
      <c r="A84" s="33" t="s">
        <v>38</v>
      </c>
      <c r="B84" s="33" t="s">
        <v>63</v>
      </c>
      <c r="C84" s="33" t="s">
        <v>41</v>
      </c>
      <c r="D84" s="49">
        <v>42319</v>
      </c>
      <c r="E84" s="34">
        <v>739.2</v>
      </c>
      <c r="F84" s="34">
        <f>3115.407+13.099</f>
        <v>3128.5060000000003</v>
      </c>
      <c r="G84" s="34"/>
      <c r="H84" s="34"/>
      <c r="I84" s="34"/>
      <c r="J84" s="46">
        <f t="shared" si="51"/>
        <v>3128.5060000000003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46">
        <f t="shared" si="52"/>
        <v>3128.5060000000003</v>
      </c>
      <c r="W84" s="32">
        <f t="shared" ref="W84:W114" si="65">IF(J84&gt;2250,J84*0.1,0)</f>
        <v>312.85060000000004</v>
      </c>
      <c r="X84" s="46">
        <f t="shared" ref="X84:X114" si="66">+V84-W84</f>
        <v>2815.6554000000001</v>
      </c>
      <c r="Y84" s="32">
        <f t="shared" ref="Y84:Y114" si="67">IF(J84&lt;2250,J84*0.1,0)</f>
        <v>0</v>
      </c>
      <c r="Z84" s="32">
        <v>19.23</v>
      </c>
      <c r="AA84" s="32">
        <f t="shared" ref="AA84:AA114" si="68">+O84</f>
        <v>0</v>
      </c>
      <c r="AB84" s="46">
        <f t="shared" ref="AB84:AB114" si="69">+J84+Y84+Z84+AA84</f>
        <v>3147.7360000000003</v>
      </c>
      <c r="AC84" s="50"/>
      <c r="AD84" s="51"/>
      <c r="AE84" s="47">
        <f>+AC84+AD84-X84</f>
        <v>-2815.6554000000001</v>
      </c>
      <c r="AF84" s="35">
        <v>56708881901</v>
      </c>
      <c r="AG84" s="35"/>
      <c r="AI84" s="98" t="s">
        <v>286</v>
      </c>
      <c r="AJ84" s="97" t="s">
        <v>287</v>
      </c>
      <c r="AK84" s="34">
        <v>3128.5060000000003</v>
      </c>
      <c r="AL84" s="34"/>
      <c r="AM84" s="34"/>
      <c r="AO84" s="100" t="s">
        <v>286</v>
      </c>
      <c r="AP84" s="99" t="s">
        <v>287</v>
      </c>
      <c r="AQ84" s="101">
        <v>3867.71</v>
      </c>
      <c r="AR84" s="61"/>
      <c r="AS84" s="61"/>
    </row>
    <row r="85" spans="1:45" s="18" customFormat="1">
      <c r="A85" s="33" t="s">
        <v>38</v>
      </c>
      <c r="B85" s="33" t="s">
        <v>133</v>
      </c>
      <c r="C85" s="33" t="s">
        <v>41</v>
      </c>
      <c r="D85" s="49">
        <v>42884</v>
      </c>
      <c r="E85" s="34">
        <v>739.27</v>
      </c>
      <c r="F85" s="34">
        <f>5687.369+7.428</f>
        <v>5694.7969999999996</v>
      </c>
      <c r="G85" s="34"/>
      <c r="H85" s="34"/>
      <c r="I85" s="34"/>
      <c r="J85" s="46">
        <f t="shared" si="51"/>
        <v>5694.7969999999996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46">
        <f t="shared" si="52"/>
        <v>5694.7969999999996</v>
      </c>
      <c r="W85" s="32"/>
      <c r="X85" s="46"/>
      <c r="Y85" s="32"/>
      <c r="Z85" s="32"/>
      <c r="AA85" s="32"/>
      <c r="AB85" s="46"/>
      <c r="AC85" s="50"/>
      <c r="AD85" s="51"/>
      <c r="AE85" s="47"/>
      <c r="AF85" s="35">
        <v>60592118015</v>
      </c>
      <c r="AG85" s="35"/>
      <c r="AI85" s="98" t="s">
        <v>288</v>
      </c>
      <c r="AJ85" s="97" t="s">
        <v>289</v>
      </c>
      <c r="AK85" s="34">
        <v>5694.7969999999996</v>
      </c>
      <c r="AL85" s="34"/>
      <c r="AM85" s="34"/>
      <c r="AO85" s="100" t="s">
        <v>288</v>
      </c>
      <c r="AP85" s="99" t="s">
        <v>289</v>
      </c>
      <c r="AQ85" s="101">
        <v>6434.07</v>
      </c>
      <c r="AR85" s="61"/>
      <c r="AS85" s="61"/>
    </row>
    <row r="86" spans="1:45" s="18" customFormat="1">
      <c r="A86" s="33" t="s">
        <v>40</v>
      </c>
      <c r="B86" s="33" t="s">
        <v>123</v>
      </c>
      <c r="C86" s="33" t="s">
        <v>98</v>
      </c>
      <c r="D86" s="49">
        <v>42807</v>
      </c>
      <c r="E86" s="34">
        <v>618.45000000000005</v>
      </c>
      <c r="F86" s="34">
        <v>1080.3699999999999</v>
      </c>
      <c r="G86" s="34"/>
      <c r="H86" s="34"/>
      <c r="I86" s="34"/>
      <c r="J86" s="46">
        <f t="shared" si="51"/>
        <v>1080.3699999999999</v>
      </c>
      <c r="K86" s="34"/>
      <c r="L86" s="60"/>
      <c r="M86" s="34"/>
      <c r="N86" s="34"/>
      <c r="O86" s="61" t="s">
        <v>132</v>
      </c>
      <c r="P86" s="61" t="s">
        <v>132</v>
      </c>
      <c r="Q86" s="34"/>
      <c r="R86" s="32"/>
      <c r="S86" s="32"/>
      <c r="T86" s="33"/>
      <c r="U86" s="33"/>
      <c r="V86" s="46">
        <f t="shared" si="52"/>
        <v>1080.3699999999999</v>
      </c>
      <c r="W86" s="32"/>
      <c r="X86" s="46"/>
      <c r="Y86" s="32"/>
      <c r="Z86" s="32"/>
      <c r="AA86" s="32"/>
      <c r="AB86" s="46"/>
      <c r="AC86" s="50"/>
      <c r="AD86" s="51"/>
      <c r="AE86" s="47"/>
      <c r="AF86" s="35" t="s">
        <v>146</v>
      </c>
      <c r="AG86" s="35"/>
      <c r="AI86" s="98" t="s">
        <v>290</v>
      </c>
      <c r="AJ86" s="97" t="s">
        <v>291</v>
      </c>
      <c r="AK86" s="34">
        <v>1080.3699999999999</v>
      </c>
      <c r="AL86" s="34"/>
      <c r="AM86" s="34"/>
      <c r="AO86" s="100" t="s">
        <v>290</v>
      </c>
      <c r="AP86" s="99" t="s">
        <v>291</v>
      </c>
      <c r="AQ86" s="101">
        <v>1698.89</v>
      </c>
      <c r="AR86" s="61">
        <f>+AQ86*4.9%</f>
        <v>83.245610000000013</v>
      </c>
      <c r="AS86" s="61">
        <f>+AQ86*1%</f>
        <v>16.988900000000001</v>
      </c>
    </row>
    <row r="87" spans="1:45" s="18" customFormat="1">
      <c r="A87" s="33" t="s">
        <v>38</v>
      </c>
      <c r="B87" s="33" t="s">
        <v>190</v>
      </c>
      <c r="C87" s="33" t="s">
        <v>191</v>
      </c>
      <c r="D87" s="49">
        <v>43070</v>
      </c>
      <c r="E87" s="34">
        <v>1199.94</v>
      </c>
      <c r="F87" s="34">
        <v>500</v>
      </c>
      <c r="G87" s="34"/>
      <c r="H87" s="34"/>
      <c r="I87" s="34"/>
      <c r="J87" s="46">
        <f t="shared" si="51"/>
        <v>500</v>
      </c>
      <c r="K87" s="34"/>
      <c r="L87" s="60"/>
      <c r="M87" s="34"/>
      <c r="N87" s="34"/>
      <c r="O87" s="61"/>
      <c r="P87" s="61"/>
      <c r="Q87" s="34"/>
      <c r="R87" s="32"/>
      <c r="S87" s="32"/>
      <c r="T87" s="33"/>
      <c r="U87" s="33">
        <v>597.25</v>
      </c>
      <c r="V87" s="46">
        <f t="shared" si="52"/>
        <v>-97.25</v>
      </c>
      <c r="W87" s="32"/>
      <c r="X87" s="46"/>
      <c r="Y87" s="32"/>
      <c r="Z87" s="32"/>
      <c r="AA87" s="32"/>
      <c r="AB87" s="46"/>
      <c r="AC87" s="50"/>
      <c r="AD87" s="51"/>
      <c r="AE87" s="47"/>
      <c r="AF87" s="35">
        <v>60597618992</v>
      </c>
      <c r="AG87" s="35"/>
      <c r="AI87" s="98" t="s">
        <v>422</v>
      </c>
      <c r="AJ87" s="97" t="s">
        <v>423</v>
      </c>
      <c r="AK87" s="34">
        <v>500</v>
      </c>
      <c r="AL87" s="34"/>
      <c r="AM87" s="34"/>
      <c r="AO87" s="100" t="s">
        <v>422</v>
      </c>
      <c r="AP87" s="99" t="s">
        <v>423</v>
      </c>
      <c r="AQ87" s="101">
        <v>1699.94</v>
      </c>
      <c r="AR87" s="61"/>
      <c r="AS87" s="61"/>
    </row>
    <row r="88" spans="1:45" s="18" customFormat="1">
      <c r="A88" s="33" t="s">
        <v>40</v>
      </c>
      <c r="B88" s="33" t="s">
        <v>49</v>
      </c>
      <c r="C88" s="33" t="s">
        <v>117</v>
      </c>
      <c r="D88" s="49">
        <v>41981</v>
      </c>
      <c r="E88" s="34">
        <v>618.45000000000005</v>
      </c>
      <c r="F88" s="34">
        <f>1502.705+5.571</f>
        <v>1508.2759999999998</v>
      </c>
      <c r="G88" s="34"/>
      <c r="H88" s="34"/>
      <c r="I88" s="34"/>
      <c r="J88" s="46">
        <f t="shared" si="51"/>
        <v>1508.2759999999998</v>
      </c>
      <c r="K88" s="34"/>
      <c r="L88" s="60"/>
      <c r="M88" s="34"/>
      <c r="N88" s="34">
        <v>300</v>
      </c>
      <c r="O88" s="61" t="s">
        <v>132</v>
      </c>
      <c r="P88" s="61" t="s">
        <v>132</v>
      </c>
      <c r="Q88" s="34"/>
      <c r="R88" s="32"/>
      <c r="S88" s="32"/>
      <c r="T88" s="33"/>
      <c r="U88" s="33"/>
      <c r="V88" s="46">
        <f t="shared" si="52"/>
        <v>1208.2759999999998</v>
      </c>
      <c r="W88" s="32">
        <f t="shared" si="65"/>
        <v>0</v>
      </c>
      <c r="X88" s="46">
        <f t="shared" si="66"/>
        <v>1208.2759999999998</v>
      </c>
      <c r="Y88" s="32">
        <f t="shared" si="67"/>
        <v>150.82759999999999</v>
      </c>
      <c r="Z88" s="32">
        <v>10.23</v>
      </c>
      <c r="AA88" s="32" t="str">
        <f t="shared" si="68"/>
        <v>XX</v>
      </c>
      <c r="AB88" s="46" t="e">
        <f t="shared" si="69"/>
        <v>#VALUE!</v>
      </c>
      <c r="AC88" s="50"/>
      <c r="AD88" s="51"/>
      <c r="AE88" s="47">
        <f t="shared" ref="AE88:AE114" si="70">+AC88+AD88-X88</f>
        <v>-1208.2759999999998</v>
      </c>
      <c r="AF88" s="35">
        <v>56708845851</v>
      </c>
      <c r="AG88" s="35"/>
      <c r="AI88" s="98" t="s">
        <v>294</v>
      </c>
      <c r="AJ88" s="97" t="s">
        <v>295</v>
      </c>
      <c r="AK88" s="34">
        <v>1508.2759999999998</v>
      </c>
      <c r="AL88" s="34"/>
      <c r="AM88" s="34">
        <v>300</v>
      </c>
      <c r="AO88" s="100" t="s">
        <v>294</v>
      </c>
      <c r="AP88" s="99" t="s">
        <v>295</v>
      </c>
      <c r="AQ88" s="101">
        <v>2126.8000000000002</v>
      </c>
      <c r="AR88" s="61">
        <f>+AQ88*4.9%</f>
        <v>104.21320000000001</v>
      </c>
      <c r="AS88" s="61">
        <f>+AQ88*1%</f>
        <v>21.268000000000001</v>
      </c>
    </row>
    <row r="89" spans="1:45" s="18" customFormat="1">
      <c r="A89" s="33" t="s">
        <v>38</v>
      </c>
      <c r="B89" s="33" t="s">
        <v>195</v>
      </c>
      <c r="C89" s="33" t="s">
        <v>180</v>
      </c>
      <c r="D89" s="49">
        <v>43075</v>
      </c>
      <c r="E89" s="34">
        <v>627.05999999999995</v>
      </c>
      <c r="F89" s="34">
        <f>1975.8+7.428</f>
        <v>1983.2280000000001</v>
      </c>
      <c r="G89" s="34"/>
      <c r="H89" s="34"/>
      <c r="I89" s="34"/>
      <c r="J89" s="46">
        <f t="shared" si="51"/>
        <v>1983.2280000000001</v>
      </c>
      <c r="K89" s="34"/>
      <c r="L89" s="60"/>
      <c r="M89" s="34"/>
      <c r="N89" s="34"/>
      <c r="O89" s="61"/>
      <c r="P89" s="61"/>
      <c r="Q89" s="34"/>
      <c r="R89" s="32"/>
      <c r="S89" s="32"/>
      <c r="T89" s="33"/>
      <c r="U89" s="33"/>
      <c r="V89" s="46">
        <f t="shared" si="52"/>
        <v>1983.2280000000001</v>
      </c>
      <c r="W89" s="32"/>
      <c r="X89" s="46"/>
      <c r="Y89" s="32"/>
      <c r="Z89" s="32"/>
      <c r="AA89" s="32"/>
      <c r="AB89" s="46"/>
      <c r="AC89" s="50"/>
      <c r="AD89" s="51"/>
      <c r="AE89" s="47"/>
      <c r="AF89" s="35">
        <v>60597668810</v>
      </c>
      <c r="AG89" s="35"/>
      <c r="AI89" s="98" t="s">
        <v>296</v>
      </c>
      <c r="AJ89" s="97" t="s">
        <v>297</v>
      </c>
      <c r="AK89" s="34">
        <v>1983.2280000000001</v>
      </c>
      <c r="AL89" s="34"/>
      <c r="AM89" s="34"/>
      <c r="AO89" s="100" t="s">
        <v>296</v>
      </c>
      <c r="AP89" s="99" t="s">
        <v>297</v>
      </c>
      <c r="AQ89" s="101">
        <v>2610.29</v>
      </c>
      <c r="AR89" s="61"/>
      <c r="AS89" s="61"/>
    </row>
    <row r="90" spans="1:45" s="18" customFormat="1">
      <c r="A90" s="33" t="s">
        <v>40</v>
      </c>
      <c r="B90" s="33" t="s">
        <v>71</v>
      </c>
      <c r="C90" s="33" t="s">
        <v>102</v>
      </c>
      <c r="D90" s="49">
        <v>41284</v>
      </c>
      <c r="E90" s="34">
        <v>627.13</v>
      </c>
      <c r="F90" s="34">
        <v>0</v>
      </c>
      <c r="G90" s="34"/>
      <c r="H90" s="34"/>
      <c r="I90" s="34">
        <v>3391.22</v>
      </c>
      <c r="J90" s="46">
        <f t="shared" si="51"/>
        <v>3391.22</v>
      </c>
      <c r="K90" s="34"/>
      <c r="L90" s="60"/>
      <c r="M90" s="34"/>
      <c r="N90" s="34"/>
      <c r="O90" s="61" t="s">
        <v>132</v>
      </c>
      <c r="P90" s="61" t="s">
        <v>132</v>
      </c>
      <c r="Q90" s="34"/>
      <c r="R90" s="32"/>
      <c r="S90" s="32"/>
      <c r="T90" s="33"/>
      <c r="U90" s="33"/>
      <c r="V90" s="46">
        <f t="shared" si="52"/>
        <v>3391.22</v>
      </c>
      <c r="W90" s="32">
        <f t="shared" si="65"/>
        <v>339.12200000000001</v>
      </c>
      <c r="X90" s="46">
        <f t="shared" si="66"/>
        <v>3052.098</v>
      </c>
      <c r="Y90" s="32">
        <f t="shared" si="67"/>
        <v>0</v>
      </c>
      <c r="Z90" s="32">
        <v>10.23</v>
      </c>
      <c r="AA90" s="32" t="str">
        <f t="shared" si="68"/>
        <v>XX</v>
      </c>
      <c r="AB90" s="46" t="e">
        <f t="shared" si="69"/>
        <v>#VALUE!</v>
      </c>
      <c r="AC90" s="50"/>
      <c r="AD90" s="51"/>
      <c r="AE90" s="47">
        <f t="shared" si="70"/>
        <v>-3052.098</v>
      </c>
      <c r="AF90" s="35">
        <v>56708881915</v>
      </c>
      <c r="AG90" s="35"/>
      <c r="AI90" s="98" t="s">
        <v>298</v>
      </c>
      <c r="AJ90" s="97" t="s">
        <v>299</v>
      </c>
      <c r="AK90" s="34">
        <v>0</v>
      </c>
      <c r="AL90" s="34"/>
      <c r="AM90" s="34"/>
      <c r="AO90" s="100" t="s">
        <v>298</v>
      </c>
      <c r="AP90" s="99" t="s">
        <v>299</v>
      </c>
      <c r="AQ90" s="101">
        <v>4018.35</v>
      </c>
      <c r="AR90" s="61">
        <f>+AQ90*4.9%</f>
        <v>196.89914999999999</v>
      </c>
      <c r="AS90" s="61">
        <f>+AQ90*1%</f>
        <v>40.183500000000002</v>
      </c>
    </row>
    <row r="91" spans="1:45" s="18" customFormat="1">
      <c r="A91" s="33" t="s">
        <v>38</v>
      </c>
      <c r="B91" s="33" t="s">
        <v>151</v>
      </c>
      <c r="C91" s="33" t="s">
        <v>41</v>
      </c>
      <c r="D91" s="49">
        <v>42823</v>
      </c>
      <c r="E91" s="34">
        <v>618.45000000000005</v>
      </c>
      <c r="F91" s="34">
        <f>5847.147+13.099</f>
        <v>5860.2460000000001</v>
      </c>
      <c r="G91" s="34"/>
      <c r="H91" s="34"/>
      <c r="I91" s="34"/>
      <c r="J91" s="46">
        <f t="shared" si="51"/>
        <v>5860.2460000000001</v>
      </c>
      <c r="K91" s="34"/>
      <c r="L91" s="60">
        <v>1</v>
      </c>
      <c r="M91" s="34"/>
      <c r="N91" s="34"/>
      <c r="O91" s="61"/>
      <c r="P91" s="61"/>
      <c r="Q91" s="34"/>
      <c r="R91" s="32"/>
      <c r="S91" s="32"/>
      <c r="T91" s="33"/>
      <c r="U91" s="33"/>
      <c r="V91" s="46">
        <f t="shared" si="52"/>
        <v>5859.2460000000001</v>
      </c>
      <c r="W91" s="32"/>
      <c r="X91" s="46"/>
      <c r="Y91" s="32"/>
      <c r="Z91" s="32"/>
      <c r="AA91" s="32"/>
      <c r="AB91" s="46"/>
      <c r="AC91" s="50"/>
      <c r="AD91" s="51"/>
      <c r="AE91" s="47"/>
      <c r="AF91" s="35">
        <v>60589704184</v>
      </c>
      <c r="AG91" s="35"/>
      <c r="AI91" s="98" t="s">
        <v>300</v>
      </c>
      <c r="AJ91" s="97" t="s">
        <v>301</v>
      </c>
      <c r="AK91" s="34">
        <v>5860.2460000000001</v>
      </c>
      <c r="AL91" s="34"/>
      <c r="AM91" s="34"/>
      <c r="AO91" s="100" t="s">
        <v>300</v>
      </c>
      <c r="AP91" s="99" t="s">
        <v>301</v>
      </c>
      <c r="AQ91" s="101">
        <v>6375.68</v>
      </c>
      <c r="AR91" s="61"/>
      <c r="AS91" s="61"/>
    </row>
    <row r="92" spans="1:45" s="18" customFormat="1">
      <c r="A92" s="33" t="s">
        <v>40</v>
      </c>
      <c r="B92" s="33" t="s">
        <v>51</v>
      </c>
      <c r="C92" s="33" t="s">
        <v>102</v>
      </c>
      <c r="D92" s="49">
        <v>41227</v>
      </c>
      <c r="E92" s="34">
        <v>627.13</v>
      </c>
      <c r="F92" s="34">
        <f>1942.692+2.972</f>
        <v>1945.664</v>
      </c>
      <c r="G92" s="34"/>
      <c r="H92" s="34"/>
      <c r="I92" s="34"/>
      <c r="J92" s="46">
        <f t="shared" si="51"/>
        <v>1945.664</v>
      </c>
      <c r="K92" s="34"/>
      <c r="L92" s="60"/>
      <c r="M92" s="34"/>
      <c r="N92" s="34"/>
      <c r="O92" s="61" t="s">
        <v>132</v>
      </c>
      <c r="P92" s="61" t="s">
        <v>132</v>
      </c>
      <c r="Q92" s="34"/>
      <c r="R92" s="32"/>
      <c r="S92" s="32"/>
      <c r="T92" s="33"/>
      <c r="U92" s="33"/>
      <c r="V92" s="46">
        <f t="shared" si="52"/>
        <v>1945.664</v>
      </c>
      <c r="W92" s="32">
        <f t="shared" si="65"/>
        <v>0</v>
      </c>
      <c r="X92" s="46">
        <f t="shared" si="66"/>
        <v>1945.664</v>
      </c>
      <c r="Y92" s="32">
        <f t="shared" si="67"/>
        <v>194.56640000000002</v>
      </c>
      <c r="Z92" s="32">
        <v>10.23</v>
      </c>
      <c r="AA92" s="32" t="str">
        <f t="shared" si="68"/>
        <v>XX</v>
      </c>
      <c r="AB92" s="46" t="e">
        <f t="shared" si="69"/>
        <v>#VALUE!</v>
      </c>
      <c r="AC92" s="50"/>
      <c r="AD92" s="51"/>
      <c r="AE92" s="47">
        <f t="shared" si="70"/>
        <v>-1945.664</v>
      </c>
      <c r="AF92" s="35">
        <v>56708845865</v>
      </c>
      <c r="AG92" s="35"/>
      <c r="AI92" s="98" t="s">
        <v>302</v>
      </c>
      <c r="AJ92" s="97" t="s">
        <v>303</v>
      </c>
      <c r="AK92" s="34">
        <v>1945.664</v>
      </c>
      <c r="AL92" s="34"/>
      <c r="AM92" s="34"/>
      <c r="AO92" s="100" t="s">
        <v>302</v>
      </c>
      <c r="AP92" s="99" t="s">
        <v>303</v>
      </c>
      <c r="AQ92" s="101">
        <v>2572.79</v>
      </c>
      <c r="AR92" s="61">
        <f>+AQ92*4.9%</f>
        <v>126.06671</v>
      </c>
      <c r="AS92" s="61">
        <f>+AQ92*1%</f>
        <v>25.727900000000002</v>
      </c>
    </row>
    <row r="93" spans="1:45" s="18" customFormat="1">
      <c r="A93" s="33" t="s">
        <v>38</v>
      </c>
      <c r="B93" s="33" t="s">
        <v>64</v>
      </c>
      <c r="C93" s="33" t="s">
        <v>41</v>
      </c>
      <c r="D93" s="49">
        <v>41493</v>
      </c>
      <c r="E93" s="34">
        <v>739.2</v>
      </c>
      <c r="F93" s="34">
        <f>4357.105+13.099</f>
        <v>4370.2039999999997</v>
      </c>
      <c r="G93" s="34"/>
      <c r="H93" s="34"/>
      <c r="I93" s="34"/>
      <c r="J93" s="46">
        <f t="shared" si="51"/>
        <v>4370.2039999999997</v>
      </c>
      <c r="K93" s="34"/>
      <c r="L93" s="60">
        <v>1</v>
      </c>
      <c r="M93" s="34"/>
      <c r="N93" s="34"/>
      <c r="O93" s="61"/>
      <c r="P93" s="61"/>
      <c r="Q93" s="34"/>
      <c r="R93" s="32"/>
      <c r="S93" s="32"/>
      <c r="T93" s="33"/>
      <c r="U93" s="33"/>
      <c r="V93" s="46">
        <f t="shared" si="52"/>
        <v>4369.2039999999997</v>
      </c>
      <c r="W93" s="32">
        <f t="shared" si="65"/>
        <v>437.0204</v>
      </c>
      <c r="X93" s="46">
        <f t="shared" si="66"/>
        <v>3932.1835999999998</v>
      </c>
      <c r="Y93" s="32">
        <f t="shared" si="67"/>
        <v>0</v>
      </c>
      <c r="Z93" s="32">
        <v>10.23</v>
      </c>
      <c r="AA93" s="32">
        <f t="shared" si="68"/>
        <v>0</v>
      </c>
      <c r="AB93" s="46">
        <f t="shared" si="69"/>
        <v>4380.4339999999993</v>
      </c>
      <c r="AC93" s="50"/>
      <c r="AD93" s="51"/>
      <c r="AE93" s="47">
        <f t="shared" si="70"/>
        <v>-3932.1835999999998</v>
      </c>
      <c r="AF93" s="35">
        <v>56708845879</v>
      </c>
      <c r="AG93" s="35"/>
      <c r="AI93" s="98" t="s">
        <v>304</v>
      </c>
      <c r="AJ93" s="97" t="s">
        <v>305</v>
      </c>
      <c r="AK93" s="34"/>
      <c r="AL93" s="34"/>
      <c r="AM93" s="34"/>
      <c r="AO93" s="100" t="s">
        <v>304</v>
      </c>
      <c r="AP93" s="99" t="s">
        <v>305</v>
      </c>
      <c r="AQ93" s="101">
        <v>4986.2</v>
      </c>
      <c r="AR93" s="61"/>
      <c r="AS93" s="61"/>
    </row>
    <row r="94" spans="1:45" s="18" customFormat="1">
      <c r="A94" s="33" t="s">
        <v>40</v>
      </c>
      <c r="B94" s="33" t="s">
        <v>94</v>
      </c>
      <c r="C94" s="33" t="s">
        <v>117</v>
      </c>
      <c r="D94" s="49">
        <v>42493</v>
      </c>
      <c r="E94" s="34">
        <v>618.45000000000005</v>
      </c>
      <c r="F94" s="34">
        <f>1507.628+5.571</f>
        <v>1513.1989999999998</v>
      </c>
      <c r="G94" s="34"/>
      <c r="H94" s="34"/>
      <c r="I94" s="34"/>
      <c r="J94" s="46">
        <f t="shared" si="51"/>
        <v>1513.1989999999998</v>
      </c>
      <c r="K94" s="34"/>
      <c r="L94" s="60"/>
      <c r="M94" s="34"/>
      <c r="N94" s="34"/>
      <c r="O94" s="61" t="s">
        <v>132</v>
      </c>
      <c r="P94" s="61" t="s">
        <v>132</v>
      </c>
      <c r="Q94" s="34"/>
      <c r="R94" s="32"/>
      <c r="S94" s="32"/>
      <c r="T94" s="33"/>
      <c r="U94" s="33"/>
      <c r="V94" s="46">
        <f t="shared" si="52"/>
        <v>1513.1989999999998</v>
      </c>
      <c r="W94" s="32">
        <f t="shared" si="65"/>
        <v>0</v>
      </c>
      <c r="X94" s="46">
        <f t="shared" si="66"/>
        <v>1513.1989999999998</v>
      </c>
      <c r="Y94" s="32">
        <f t="shared" si="67"/>
        <v>151.31989999999999</v>
      </c>
      <c r="Z94" s="32">
        <v>10.23</v>
      </c>
      <c r="AA94" s="32" t="str">
        <f t="shared" si="68"/>
        <v>XX</v>
      </c>
      <c r="AB94" s="46" t="e">
        <f t="shared" si="69"/>
        <v>#VALUE!</v>
      </c>
      <c r="AC94" s="50"/>
      <c r="AD94" s="51"/>
      <c r="AE94" s="47">
        <f t="shared" si="70"/>
        <v>-1513.1989999999998</v>
      </c>
      <c r="AF94" s="35">
        <v>56708845882</v>
      </c>
      <c r="AG94" s="35"/>
      <c r="AI94" s="98" t="s">
        <v>306</v>
      </c>
      <c r="AJ94" s="97" t="s">
        <v>307</v>
      </c>
      <c r="AK94" s="34">
        <v>1513.1989999999998</v>
      </c>
      <c r="AL94" s="34"/>
      <c r="AM94" s="34"/>
      <c r="AO94" s="100" t="s">
        <v>306</v>
      </c>
      <c r="AP94" s="99" t="s">
        <v>307</v>
      </c>
      <c r="AQ94" s="101">
        <v>2131.7199999999998</v>
      </c>
      <c r="AR94" s="61">
        <f>+AQ94*4.9%</f>
        <v>104.45428</v>
      </c>
      <c r="AS94" s="61">
        <f>+AQ94*1%</f>
        <v>21.3172</v>
      </c>
    </row>
    <row r="95" spans="1:45" s="18" customFormat="1">
      <c r="A95" s="33" t="s">
        <v>38</v>
      </c>
      <c r="B95" s="33" t="s">
        <v>147</v>
      </c>
      <c r="C95" s="33" t="s">
        <v>41</v>
      </c>
      <c r="D95" s="49">
        <v>42716</v>
      </c>
      <c r="E95" s="34">
        <v>1200.01</v>
      </c>
      <c r="F95" s="34">
        <f>5587.635+5.571-461.01</f>
        <v>5132.1959999999999</v>
      </c>
      <c r="G95" s="34"/>
      <c r="H95" s="34"/>
      <c r="I95" s="34"/>
      <c r="J95" s="46">
        <f t="shared" si="51"/>
        <v>5132.1959999999999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>
        <v>301.08999999999997</v>
      </c>
      <c r="V95" s="46">
        <f t="shared" si="52"/>
        <v>4831.1059999999998</v>
      </c>
      <c r="W95" s="32">
        <f t="shared" ref="W95" si="71">IF(J95&gt;2250,J95*0.1,0)</f>
        <v>513.21960000000001</v>
      </c>
      <c r="X95" s="46">
        <f t="shared" ref="X95" si="72">+V95-W95</f>
        <v>4317.8863999999994</v>
      </c>
      <c r="Y95" s="32"/>
      <c r="Z95" s="32"/>
      <c r="AA95" s="32">
        <f t="shared" si="68"/>
        <v>0</v>
      </c>
      <c r="AB95" s="46"/>
      <c r="AC95" s="50"/>
      <c r="AD95" s="51"/>
      <c r="AE95" s="47"/>
      <c r="AF95" s="35">
        <v>60589845501</v>
      </c>
      <c r="AG95" s="35"/>
      <c r="AI95" s="98" t="s">
        <v>308</v>
      </c>
      <c r="AJ95" s="97" t="s">
        <v>309</v>
      </c>
      <c r="AK95" s="34">
        <v>5132.1959999999999</v>
      </c>
      <c r="AL95" s="34"/>
      <c r="AM95" s="34"/>
      <c r="AO95" s="100" t="s">
        <v>308</v>
      </c>
      <c r="AP95" s="99" t="s">
        <v>309</v>
      </c>
      <c r="AQ95" s="101">
        <v>6332.21</v>
      </c>
      <c r="AR95" s="61"/>
      <c r="AS95" s="61"/>
    </row>
    <row r="96" spans="1:45" s="18" customFormat="1">
      <c r="A96" s="33" t="s">
        <v>38</v>
      </c>
      <c r="B96" s="33" t="s">
        <v>152</v>
      </c>
      <c r="C96" s="33" t="s">
        <v>41</v>
      </c>
      <c r="D96" s="49">
        <v>42909</v>
      </c>
      <c r="E96" s="34">
        <v>738.99</v>
      </c>
      <c r="F96" s="34">
        <f>4158.635+5.571</f>
        <v>4164.2060000000001</v>
      </c>
      <c r="G96" s="34"/>
      <c r="H96" s="34"/>
      <c r="I96" s="34"/>
      <c r="J96" s="46">
        <f t="shared" si="51"/>
        <v>4164.2060000000001</v>
      </c>
      <c r="K96" s="34"/>
      <c r="L96" s="60"/>
      <c r="M96" s="34"/>
      <c r="N96" s="34"/>
      <c r="O96" s="61"/>
      <c r="P96" s="61"/>
      <c r="Q96" s="34"/>
      <c r="R96" s="32"/>
      <c r="S96" s="32"/>
      <c r="T96" s="33"/>
      <c r="U96" s="58"/>
      <c r="V96" s="46">
        <f t="shared" si="52"/>
        <v>4164.2060000000001</v>
      </c>
      <c r="W96" s="32"/>
      <c r="X96" s="46"/>
      <c r="Y96" s="32"/>
      <c r="Z96" s="32"/>
      <c r="AA96" s="32"/>
      <c r="AB96" s="46"/>
      <c r="AC96" s="50"/>
      <c r="AD96" s="50"/>
      <c r="AE96" s="47"/>
      <c r="AF96" s="35">
        <v>60592420864</v>
      </c>
      <c r="AG96" s="35"/>
      <c r="AI96" s="98" t="s">
        <v>310</v>
      </c>
      <c r="AJ96" s="97" t="s">
        <v>311</v>
      </c>
      <c r="AK96" s="34">
        <v>4164.2060000000001</v>
      </c>
      <c r="AL96" s="34"/>
      <c r="AM96" s="34"/>
      <c r="AO96" s="100" t="s">
        <v>310</v>
      </c>
      <c r="AP96" s="99" t="s">
        <v>311</v>
      </c>
      <c r="AQ96" s="101">
        <v>4903.2</v>
      </c>
      <c r="AR96" s="61"/>
      <c r="AS96" s="61"/>
    </row>
    <row r="97" spans="1:45" s="18" customFormat="1">
      <c r="A97" s="33" t="s">
        <v>40</v>
      </c>
      <c r="B97" s="33" t="s">
        <v>56</v>
      </c>
      <c r="C97" s="33" t="s">
        <v>101</v>
      </c>
      <c r="D97" s="49">
        <v>36868</v>
      </c>
      <c r="E97" s="34">
        <v>627.13</v>
      </c>
      <c r="F97" s="34">
        <f>1729.785+7.428</f>
        <v>1737.2130000000002</v>
      </c>
      <c r="G97" s="34"/>
      <c r="H97" s="34"/>
      <c r="I97" s="34"/>
      <c r="J97" s="46">
        <f t="shared" si="51"/>
        <v>1737.2130000000002</v>
      </c>
      <c r="K97" s="34"/>
      <c r="L97" s="60"/>
      <c r="M97" s="34"/>
      <c r="N97" s="34"/>
      <c r="O97" s="61" t="s">
        <v>132</v>
      </c>
      <c r="P97" s="61" t="s">
        <v>132</v>
      </c>
      <c r="Q97" s="34"/>
      <c r="R97" s="32"/>
      <c r="S97" s="32"/>
      <c r="T97" s="33"/>
      <c r="U97" s="33"/>
      <c r="V97" s="46">
        <f t="shared" si="52"/>
        <v>1737.2130000000002</v>
      </c>
      <c r="W97" s="32">
        <f t="shared" si="65"/>
        <v>0</v>
      </c>
      <c r="X97" s="46">
        <f t="shared" si="66"/>
        <v>1737.2130000000002</v>
      </c>
      <c r="Y97" s="32">
        <f t="shared" si="67"/>
        <v>173.72130000000004</v>
      </c>
      <c r="Z97" s="32">
        <v>10.23</v>
      </c>
      <c r="AA97" s="32" t="str">
        <f t="shared" si="68"/>
        <v>XX</v>
      </c>
      <c r="AB97" s="46" t="e">
        <f t="shared" si="69"/>
        <v>#VALUE!</v>
      </c>
      <c r="AC97" s="50"/>
      <c r="AD97" s="50"/>
      <c r="AE97" s="47">
        <f t="shared" si="70"/>
        <v>-1737.2130000000002</v>
      </c>
      <c r="AF97" s="35">
        <v>56708845911</v>
      </c>
      <c r="AG97" s="35"/>
      <c r="AI97" s="98" t="s">
        <v>312</v>
      </c>
      <c r="AJ97" s="97" t="s">
        <v>313</v>
      </c>
      <c r="AK97" s="34">
        <v>1737.2130000000002</v>
      </c>
      <c r="AL97" s="34"/>
      <c r="AM97" s="34"/>
      <c r="AO97" s="100" t="s">
        <v>312</v>
      </c>
      <c r="AP97" s="99" t="s">
        <v>313</v>
      </c>
      <c r="AQ97" s="101">
        <v>2364.34</v>
      </c>
      <c r="AR97" s="61">
        <f t="shared" ref="AR97:AR98" si="73">+AQ97*4.9%</f>
        <v>115.85266000000001</v>
      </c>
      <c r="AS97" s="61">
        <f t="shared" ref="AS97:AS98" si="74">+AQ97*1%</f>
        <v>23.643400000000003</v>
      </c>
    </row>
    <row r="98" spans="1:45" s="18" customFormat="1">
      <c r="A98" s="33" t="s">
        <v>40</v>
      </c>
      <c r="B98" s="33" t="s">
        <v>54</v>
      </c>
      <c r="C98" s="33" t="s">
        <v>99</v>
      </c>
      <c r="D98" s="49">
        <v>41949</v>
      </c>
      <c r="E98" s="34">
        <v>618.45000000000005</v>
      </c>
      <c r="F98" s="34">
        <f>1121.4+5.571</f>
        <v>1126.971</v>
      </c>
      <c r="G98" s="34"/>
      <c r="H98" s="34"/>
      <c r="I98" s="34"/>
      <c r="J98" s="46">
        <f t="shared" si="51"/>
        <v>1126.971</v>
      </c>
      <c r="K98" s="34"/>
      <c r="L98" s="60"/>
      <c r="M98" s="34"/>
      <c r="N98" s="34">
        <v>500</v>
      </c>
      <c r="O98" s="61" t="s">
        <v>132</v>
      </c>
      <c r="P98" s="61" t="s">
        <v>132</v>
      </c>
      <c r="Q98" s="34"/>
      <c r="R98" s="32"/>
      <c r="S98" s="32"/>
      <c r="T98" s="33"/>
      <c r="U98" s="33"/>
      <c r="V98" s="46">
        <f t="shared" si="52"/>
        <v>626.971</v>
      </c>
      <c r="W98" s="32">
        <f t="shared" si="65"/>
        <v>0</v>
      </c>
      <c r="X98" s="46">
        <f t="shared" si="66"/>
        <v>626.971</v>
      </c>
      <c r="Y98" s="32">
        <f t="shared" si="67"/>
        <v>112.69710000000001</v>
      </c>
      <c r="Z98" s="32">
        <v>10.23</v>
      </c>
      <c r="AA98" s="32" t="str">
        <f t="shared" si="68"/>
        <v>XX</v>
      </c>
      <c r="AB98" s="46" t="e">
        <f t="shared" si="69"/>
        <v>#VALUE!</v>
      </c>
      <c r="AC98" s="50"/>
      <c r="AD98" s="51"/>
      <c r="AE98" s="47">
        <f t="shared" si="70"/>
        <v>-626.971</v>
      </c>
      <c r="AF98" s="35">
        <v>56708845925</v>
      </c>
      <c r="AG98" s="33"/>
      <c r="AI98" s="98" t="s">
        <v>314</v>
      </c>
      <c r="AJ98" s="97" t="s">
        <v>315</v>
      </c>
      <c r="AK98" s="34">
        <v>1126.971</v>
      </c>
      <c r="AL98" s="34"/>
      <c r="AM98" s="34">
        <v>500</v>
      </c>
      <c r="AO98" s="100" t="s">
        <v>314</v>
      </c>
      <c r="AP98" s="99" t="s">
        <v>315</v>
      </c>
      <c r="AQ98" s="101">
        <v>1745.49</v>
      </c>
      <c r="AR98" s="61">
        <f t="shared" si="73"/>
        <v>85.52901</v>
      </c>
      <c r="AS98" s="61">
        <f t="shared" si="74"/>
        <v>17.454900000000002</v>
      </c>
    </row>
    <row r="99" spans="1:45" s="18" customFormat="1">
      <c r="A99" s="33" t="s">
        <v>38</v>
      </c>
      <c r="B99" s="33" t="s">
        <v>34</v>
      </c>
      <c r="C99" s="33" t="s">
        <v>41</v>
      </c>
      <c r="D99" s="49">
        <v>42129</v>
      </c>
      <c r="E99" s="34">
        <v>739.2</v>
      </c>
      <c r="F99" s="34">
        <f>5041.96+13.099</f>
        <v>5055.0590000000002</v>
      </c>
      <c r="G99" s="34"/>
      <c r="H99" s="34"/>
      <c r="I99" s="34"/>
      <c r="J99" s="46">
        <f t="shared" si="51"/>
        <v>5055.0590000000002</v>
      </c>
      <c r="K99" s="34"/>
      <c r="L99" s="60"/>
      <c r="M99" s="34"/>
      <c r="N99" s="34"/>
      <c r="O99" s="61"/>
      <c r="P99" s="61"/>
      <c r="Q99" s="34"/>
      <c r="R99" s="32"/>
      <c r="S99" s="32"/>
      <c r="T99" s="33"/>
      <c r="U99" s="33">
        <v>1340.34</v>
      </c>
      <c r="V99" s="46">
        <f t="shared" si="52"/>
        <v>3714.7190000000001</v>
      </c>
      <c r="W99" s="32">
        <f t="shared" ref="W99" si="75">IF(J99&gt;2250,J99*0.1,0)</f>
        <v>505.50590000000005</v>
      </c>
      <c r="X99" s="46">
        <f t="shared" ref="X99" si="76">+V99-W99</f>
        <v>3209.2130999999999</v>
      </c>
      <c r="Y99" s="32">
        <f t="shared" si="67"/>
        <v>0</v>
      </c>
      <c r="Z99" s="32">
        <v>10.23</v>
      </c>
      <c r="AA99" s="32">
        <f t="shared" si="68"/>
        <v>0</v>
      </c>
      <c r="AB99" s="46">
        <f t="shared" si="69"/>
        <v>5065.2889999999998</v>
      </c>
      <c r="AC99" s="50"/>
      <c r="AD99" s="51"/>
      <c r="AE99" s="47">
        <f t="shared" si="70"/>
        <v>-3209.2130999999999</v>
      </c>
      <c r="AF99" s="35">
        <v>56708845939</v>
      </c>
      <c r="AG99" s="35"/>
      <c r="AI99" s="98" t="s">
        <v>316</v>
      </c>
      <c r="AJ99" s="97" t="s">
        <v>317</v>
      </c>
      <c r="AK99" s="34">
        <v>5055.0590000000002</v>
      </c>
      <c r="AL99" s="34"/>
      <c r="AM99" s="34"/>
      <c r="AO99" s="100" t="s">
        <v>316</v>
      </c>
      <c r="AP99" s="99" t="s">
        <v>317</v>
      </c>
      <c r="AQ99" s="101">
        <v>5794.26</v>
      </c>
      <c r="AR99" s="61"/>
      <c r="AS99" s="61"/>
    </row>
    <row r="100" spans="1:45" s="18" customFormat="1">
      <c r="A100" s="33" t="s">
        <v>40</v>
      </c>
      <c r="B100" s="33" t="s">
        <v>179</v>
      </c>
      <c r="C100" s="33" t="s">
        <v>180</v>
      </c>
      <c r="D100" s="49">
        <v>43033</v>
      </c>
      <c r="E100" s="34">
        <v>618.45000000000005</v>
      </c>
      <c r="F100" s="34">
        <v>282.89999999999998</v>
      </c>
      <c r="G100" s="34"/>
      <c r="H100" s="34"/>
      <c r="I100" s="34"/>
      <c r="J100" s="46">
        <f t="shared" si="51"/>
        <v>282.89999999999998</v>
      </c>
      <c r="K100" s="34"/>
      <c r="L100" s="60"/>
      <c r="M100" s="34"/>
      <c r="N100" s="34"/>
      <c r="O100" s="61" t="s">
        <v>132</v>
      </c>
      <c r="P100" s="61" t="s">
        <v>132</v>
      </c>
      <c r="Q100" s="34"/>
      <c r="R100" s="32"/>
      <c r="S100" s="32"/>
      <c r="T100" s="33"/>
      <c r="U100" s="33"/>
      <c r="V100" s="46">
        <f t="shared" si="52"/>
        <v>282.89999999999998</v>
      </c>
      <c r="W100" s="32"/>
      <c r="X100" s="46"/>
      <c r="Y100" s="32"/>
      <c r="Z100" s="32"/>
      <c r="AA100" s="32"/>
      <c r="AB100" s="46"/>
      <c r="AC100" s="50"/>
      <c r="AD100" s="51"/>
      <c r="AE100" s="47"/>
      <c r="AF100" s="35">
        <v>56727513569</v>
      </c>
      <c r="AG100" s="35"/>
      <c r="AI100" s="98" t="s">
        <v>318</v>
      </c>
      <c r="AJ100" s="97" t="s">
        <v>319</v>
      </c>
      <c r="AK100" s="34">
        <v>282.89999999999998</v>
      </c>
      <c r="AL100" s="34"/>
      <c r="AM100" s="34"/>
      <c r="AO100" s="100" t="s">
        <v>318</v>
      </c>
      <c r="AP100" s="99" t="s">
        <v>319</v>
      </c>
      <c r="AQ100" s="101">
        <v>901.42</v>
      </c>
      <c r="AR100" s="61">
        <f t="shared" ref="AR100:AR101" si="77">+AQ100*4.9%</f>
        <v>44.169579999999996</v>
      </c>
      <c r="AS100" s="61">
        <f t="shared" ref="AS100:AS101" si="78">+AQ100*1%</f>
        <v>9.0142000000000007</v>
      </c>
    </row>
    <row r="101" spans="1:45" s="18" customFormat="1">
      <c r="A101" s="33" t="s">
        <v>40</v>
      </c>
      <c r="B101" s="33" t="s">
        <v>139</v>
      </c>
      <c r="C101" s="33" t="s">
        <v>138</v>
      </c>
      <c r="D101" s="49">
        <v>42912</v>
      </c>
      <c r="E101" s="34">
        <v>627.05999999999995</v>
      </c>
      <c r="F101" s="34">
        <f>1964.973+5.571</f>
        <v>1970.5439999999999</v>
      </c>
      <c r="G101" s="34"/>
      <c r="H101" s="34"/>
      <c r="I101" s="34"/>
      <c r="J101" s="46">
        <f t="shared" si="51"/>
        <v>1970.5439999999999</v>
      </c>
      <c r="K101" s="34"/>
      <c r="L101" s="60"/>
      <c r="M101" s="34"/>
      <c r="N101" s="34"/>
      <c r="O101" s="61" t="s">
        <v>132</v>
      </c>
      <c r="P101" s="61" t="s">
        <v>132</v>
      </c>
      <c r="Q101" s="34"/>
      <c r="R101" s="32"/>
      <c r="S101" s="32"/>
      <c r="T101" s="33"/>
      <c r="U101" s="33"/>
      <c r="V101" s="46">
        <f t="shared" si="52"/>
        <v>1970.5439999999999</v>
      </c>
      <c r="W101" s="32"/>
      <c r="X101" s="46"/>
      <c r="Y101" s="32"/>
      <c r="Z101" s="32"/>
      <c r="AA101" s="32"/>
      <c r="AB101" s="46"/>
      <c r="AC101" s="50"/>
      <c r="AD101" s="51"/>
      <c r="AE101" s="47"/>
      <c r="AF101" s="35">
        <v>60592585699</v>
      </c>
      <c r="AG101" s="35"/>
      <c r="AI101" s="98" t="s">
        <v>320</v>
      </c>
      <c r="AJ101" s="97" t="s">
        <v>321</v>
      </c>
      <c r="AK101" s="34">
        <v>1970.5439999999999</v>
      </c>
      <c r="AL101" s="34"/>
      <c r="AM101" s="34"/>
      <c r="AO101" s="100" t="s">
        <v>320</v>
      </c>
      <c r="AP101" s="99" t="s">
        <v>321</v>
      </c>
      <c r="AQ101" s="101">
        <v>2597.6</v>
      </c>
      <c r="AR101" s="61">
        <f t="shared" si="77"/>
        <v>127.2824</v>
      </c>
      <c r="AS101" s="61">
        <f t="shared" si="78"/>
        <v>25.975999999999999</v>
      </c>
    </row>
    <row r="102" spans="1:45" s="18" customFormat="1">
      <c r="A102" s="33" t="s">
        <v>38</v>
      </c>
      <c r="B102" s="33" t="s">
        <v>73</v>
      </c>
      <c r="C102" s="33" t="s">
        <v>41</v>
      </c>
      <c r="D102" s="49">
        <v>42422</v>
      </c>
      <c r="E102" s="34">
        <v>739.2</v>
      </c>
      <c r="F102" s="34">
        <f>4780.04+13.099</f>
        <v>4793.1390000000001</v>
      </c>
      <c r="G102" s="34"/>
      <c r="H102" s="34"/>
      <c r="I102" s="34"/>
      <c r="J102" s="46">
        <f t="shared" si="51"/>
        <v>4793.1390000000001</v>
      </c>
      <c r="K102" s="34"/>
      <c r="L102" s="60"/>
      <c r="M102" s="34"/>
      <c r="N102" s="34"/>
      <c r="O102" s="61"/>
      <c r="P102" s="61"/>
      <c r="Q102" s="34"/>
      <c r="R102" s="32"/>
      <c r="S102" s="32"/>
      <c r="T102" s="33"/>
      <c r="U102" s="33"/>
      <c r="V102" s="46">
        <f t="shared" si="52"/>
        <v>4793.1390000000001</v>
      </c>
      <c r="W102" s="32">
        <f t="shared" ref="W102" si="79">IF(J102&gt;2250,J102*0.1,0)</f>
        <v>479.31390000000005</v>
      </c>
      <c r="X102" s="46">
        <f t="shared" ref="X102" si="80">+V102-W102</f>
        <v>4313.8251</v>
      </c>
      <c r="Y102" s="32">
        <f t="shared" si="67"/>
        <v>0</v>
      </c>
      <c r="Z102" s="32">
        <v>10.23</v>
      </c>
      <c r="AA102" s="32">
        <f t="shared" si="68"/>
        <v>0</v>
      </c>
      <c r="AB102" s="46">
        <f t="shared" si="69"/>
        <v>4803.3689999999997</v>
      </c>
      <c r="AC102" s="50"/>
      <c r="AD102" s="51"/>
      <c r="AE102" s="47">
        <f t="shared" si="70"/>
        <v>-4313.8251</v>
      </c>
      <c r="AF102" s="35">
        <v>56708845942</v>
      </c>
      <c r="AG102" s="35"/>
      <c r="AI102" s="98" t="s">
        <v>322</v>
      </c>
      <c r="AJ102" s="97" t="s">
        <v>323</v>
      </c>
      <c r="AK102" s="34">
        <v>4793.1390000000001</v>
      </c>
      <c r="AL102" s="34"/>
      <c r="AM102" s="34"/>
      <c r="AO102" s="100" t="s">
        <v>322</v>
      </c>
      <c r="AP102" s="99" t="s">
        <v>323</v>
      </c>
      <c r="AQ102" s="101">
        <v>5532.34</v>
      </c>
      <c r="AR102" s="61"/>
      <c r="AS102" s="61"/>
    </row>
    <row r="103" spans="1:45" s="18" customFormat="1">
      <c r="A103" s="33" t="s">
        <v>40</v>
      </c>
      <c r="B103" s="33" t="s">
        <v>80</v>
      </c>
      <c r="C103" s="33" t="s">
        <v>102</v>
      </c>
      <c r="D103" s="49">
        <v>41227</v>
      </c>
      <c r="E103" s="34">
        <v>627.13</v>
      </c>
      <c r="F103" s="34">
        <f>2819.25+5.571</f>
        <v>2824.8209999999999</v>
      </c>
      <c r="G103" s="34"/>
      <c r="H103" s="34"/>
      <c r="I103" s="34"/>
      <c r="J103" s="46">
        <f t="shared" si="51"/>
        <v>2824.8209999999999</v>
      </c>
      <c r="K103" s="34"/>
      <c r="L103" s="60"/>
      <c r="M103" s="34"/>
      <c r="N103" s="34">
        <v>200</v>
      </c>
      <c r="O103" s="61" t="s">
        <v>132</v>
      </c>
      <c r="P103" s="61" t="s">
        <v>132</v>
      </c>
      <c r="Q103" s="34"/>
      <c r="R103" s="32"/>
      <c r="S103" s="32"/>
      <c r="T103" s="33"/>
      <c r="U103" s="33">
        <v>1010.83</v>
      </c>
      <c r="V103" s="46">
        <f t="shared" si="52"/>
        <v>1613.991</v>
      </c>
      <c r="W103" s="32">
        <f t="shared" si="65"/>
        <v>282.4821</v>
      </c>
      <c r="X103" s="46">
        <f t="shared" si="66"/>
        <v>1331.5089</v>
      </c>
      <c r="Y103" s="32">
        <f t="shared" si="67"/>
        <v>0</v>
      </c>
      <c r="Z103" s="32">
        <v>10.23</v>
      </c>
      <c r="AA103" s="32" t="str">
        <f t="shared" si="68"/>
        <v>XX</v>
      </c>
      <c r="AB103" s="46" t="e">
        <f t="shared" si="69"/>
        <v>#VALUE!</v>
      </c>
      <c r="AC103" s="50"/>
      <c r="AD103" s="51"/>
      <c r="AE103" s="47">
        <f t="shared" si="70"/>
        <v>-1331.5089</v>
      </c>
      <c r="AF103" s="35">
        <v>56708881946</v>
      </c>
      <c r="AG103" s="35"/>
      <c r="AI103" s="98" t="s">
        <v>324</v>
      </c>
      <c r="AJ103" s="97" t="s">
        <v>325</v>
      </c>
      <c r="AK103" s="34">
        <v>2824.8209999999999</v>
      </c>
      <c r="AL103" s="34"/>
      <c r="AM103" s="34">
        <v>200</v>
      </c>
      <c r="AO103" s="100" t="s">
        <v>324</v>
      </c>
      <c r="AP103" s="99" t="s">
        <v>325</v>
      </c>
      <c r="AQ103" s="101">
        <v>3451.95</v>
      </c>
      <c r="AR103" s="61">
        <f>+AQ103*4.9%</f>
        <v>169.14554999999999</v>
      </c>
      <c r="AS103" s="61">
        <f>+AQ103*1%</f>
        <v>34.519500000000001</v>
      </c>
    </row>
    <row r="104" spans="1:45" s="18" customFormat="1">
      <c r="A104" s="33" t="s">
        <v>38</v>
      </c>
      <c r="B104" s="33" t="s">
        <v>169</v>
      </c>
      <c r="C104" s="33" t="s">
        <v>41</v>
      </c>
      <c r="D104" s="49">
        <v>42907</v>
      </c>
      <c r="E104" s="34">
        <v>738.99</v>
      </c>
      <c r="F104" s="34">
        <f>1611+5.571</f>
        <v>1616.5709999999999</v>
      </c>
      <c r="G104" s="34"/>
      <c r="H104" s="34"/>
      <c r="I104" s="34"/>
      <c r="J104" s="46">
        <f t="shared" si="51"/>
        <v>1616.5709999999999</v>
      </c>
      <c r="K104" s="34"/>
      <c r="L104" s="60"/>
      <c r="M104" s="34"/>
      <c r="N104" s="34"/>
      <c r="O104" s="61"/>
      <c r="P104" s="61"/>
      <c r="Q104" s="34"/>
      <c r="R104" s="32"/>
      <c r="S104" s="32"/>
      <c r="T104" s="33"/>
      <c r="U104" s="33"/>
      <c r="V104" s="46">
        <f t="shared" si="52"/>
        <v>1616.5709999999999</v>
      </c>
      <c r="W104" s="32"/>
      <c r="X104" s="46"/>
      <c r="Y104" s="32"/>
      <c r="Z104" s="32"/>
      <c r="AA104" s="32"/>
      <c r="AB104" s="46"/>
      <c r="AC104" s="50"/>
      <c r="AD104" s="51"/>
      <c r="AE104" s="47"/>
      <c r="AF104" s="35">
        <v>60592492890</v>
      </c>
      <c r="AG104" s="35"/>
      <c r="AI104" s="98" t="s">
        <v>326</v>
      </c>
      <c r="AJ104" s="97" t="s">
        <v>327</v>
      </c>
      <c r="AK104" s="34">
        <v>1616.5709999999999</v>
      </c>
      <c r="AL104" s="34"/>
      <c r="AM104" s="34"/>
      <c r="AO104" s="100" t="s">
        <v>326</v>
      </c>
      <c r="AP104" s="99" t="s">
        <v>327</v>
      </c>
      <c r="AQ104" s="101">
        <v>2355.56</v>
      </c>
      <c r="AR104" s="61"/>
      <c r="AS104" s="61"/>
    </row>
    <row r="105" spans="1:45" s="18" customFormat="1">
      <c r="A105" s="33" t="s">
        <v>40</v>
      </c>
      <c r="B105" s="33" t="s">
        <v>107</v>
      </c>
      <c r="C105" s="33" t="s">
        <v>162</v>
      </c>
      <c r="D105" s="49">
        <v>42635</v>
      </c>
      <c r="E105" s="34">
        <v>618.45000000000005</v>
      </c>
      <c r="F105" s="34">
        <v>2365.8519999999999</v>
      </c>
      <c r="G105" s="34"/>
      <c r="H105" s="34"/>
      <c r="I105" s="34"/>
      <c r="J105" s="46">
        <f t="shared" si="51"/>
        <v>2365.8519999999999</v>
      </c>
      <c r="K105" s="34"/>
      <c r="L105" s="60"/>
      <c r="M105" s="34"/>
      <c r="N105" s="34"/>
      <c r="O105" s="61" t="s">
        <v>132</v>
      </c>
      <c r="P105" s="61" t="s">
        <v>132</v>
      </c>
      <c r="Q105" s="34"/>
      <c r="R105" s="32"/>
      <c r="S105" s="32"/>
      <c r="T105" s="33"/>
      <c r="U105" s="33"/>
      <c r="V105" s="46">
        <f t="shared" si="52"/>
        <v>2365.8519999999999</v>
      </c>
      <c r="W105" s="32">
        <f t="shared" ref="W105" si="81">IF(J105&gt;2250,J105*0.1,0)</f>
        <v>236.58519999999999</v>
      </c>
      <c r="X105" s="46">
        <f t="shared" ref="X105" si="82">+V105-W105</f>
        <v>2129.2667999999999</v>
      </c>
      <c r="Y105" s="32"/>
      <c r="Z105" s="32"/>
      <c r="AA105" s="32"/>
      <c r="AB105" s="46"/>
      <c r="AC105" s="50"/>
      <c r="AD105" s="51"/>
      <c r="AE105" s="47"/>
      <c r="AF105" s="35">
        <v>56708881608</v>
      </c>
      <c r="AG105" s="35"/>
      <c r="AI105" s="98" t="s">
        <v>328</v>
      </c>
      <c r="AJ105" s="97" t="s">
        <v>329</v>
      </c>
      <c r="AK105" s="34">
        <v>2365.8519999999999</v>
      </c>
      <c r="AL105" s="34"/>
      <c r="AM105" s="34"/>
      <c r="AO105" s="100" t="s">
        <v>328</v>
      </c>
      <c r="AP105" s="99" t="s">
        <v>329</v>
      </c>
      <c r="AQ105" s="101">
        <v>2984.37</v>
      </c>
      <c r="AR105" s="61">
        <f t="shared" ref="AR105:AR108" si="83">+AQ105*4.9%</f>
        <v>146.23412999999999</v>
      </c>
      <c r="AS105" s="61">
        <f t="shared" ref="AS105:AS108" si="84">+AQ105*1%</f>
        <v>29.843699999999998</v>
      </c>
    </row>
    <row r="106" spans="1:45" s="18" customFormat="1">
      <c r="A106" s="33" t="s">
        <v>40</v>
      </c>
      <c r="B106" s="33" t="s">
        <v>81</v>
      </c>
      <c r="C106" s="33" t="s">
        <v>102</v>
      </c>
      <c r="D106" s="49">
        <v>41703</v>
      </c>
      <c r="E106" s="34">
        <v>623.35</v>
      </c>
      <c r="F106" s="34">
        <v>1638.6</v>
      </c>
      <c r="G106" s="34"/>
      <c r="H106" s="34"/>
      <c r="I106" s="34"/>
      <c r="J106" s="46">
        <f t="shared" si="51"/>
        <v>1638.6</v>
      </c>
      <c r="K106" s="34"/>
      <c r="L106" s="60"/>
      <c r="M106" s="34"/>
      <c r="N106" s="34"/>
      <c r="O106" s="61" t="s">
        <v>132</v>
      </c>
      <c r="P106" s="61" t="s">
        <v>132</v>
      </c>
      <c r="Q106" s="34"/>
      <c r="R106" s="32"/>
      <c r="S106" s="32"/>
      <c r="T106" s="33"/>
      <c r="U106" s="33"/>
      <c r="V106" s="46">
        <f t="shared" si="52"/>
        <v>1638.6</v>
      </c>
      <c r="W106" s="32">
        <f t="shared" si="65"/>
        <v>0</v>
      </c>
      <c r="X106" s="46">
        <f t="shared" si="66"/>
        <v>1638.6</v>
      </c>
      <c r="Y106" s="32">
        <f t="shared" si="67"/>
        <v>163.86</v>
      </c>
      <c r="Z106" s="32">
        <v>10.23</v>
      </c>
      <c r="AA106" s="32" t="str">
        <f t="shared" si="68"/>
        <v>XX</v>
      </c>
      <c r="AB106" s="46" t="e">
        <f t="shared" si="69"/>
        <v>#VALUE!</v>
      </c>
      <c r="AC106" s="50"/>
      <c r="AD106" s="51"/>
      <c r="AE106" s="47">
        <f t="shared" si="70"/>
        <v>-1638.6</v>
      </c>
      <c r="AF106" s="35">
        <v>56708845973</v>
      </c>
      <c r="AG106" s="35"/>
      <c r="AI106" s="98" t="s">
        <v>330</v>
      </c>
      <c r="AJ106" s="97" t="s">
        <v>331</v>
      </c>
      <c r="AK106" s="34">
        <v>1638.6</v>
      </c>
      <c r="AL106" s="34"/>
      <c r="AM106" s="34"/>
      <c r="AO106" s="100" t="s">
        <v>330</v>
      </c>
      <c r="AP106" s="99" t="s">
        <v>331</v>
      </c>
      <c r="AQ106" s="101">
        <v>2261.9499999999998</v>
      </c>
      <c r="AR106" s="61">
        <f t="shared" si="83"/>
        <v>110.83555</v>
      </c>
      <c r="AS106" s="61">
        <f t="shared" si="84"/>
        <v>22.619499999999999</v>
      </c>
    </row>
    <row r="107" spans="1:45" s="18" customFormat="1">
      <c r="A107" s="33" t="s">
        <v>40</v>
      </c>
      <c r="B107" s="33" t="s">
        <v>183</v>
      </c>
      <c r="C107" s="33" t="s">
        <v>182</v>
      </c>
      <c r="D107" s="49">
        <v>43040</v>
      </c>
      <c r="E107" s="34">
        <v>618.45000000000005</v>
      </c>
      <c r="F107" s="34">
        <v>423.6</v>
      </c>
      <c r="G107" s="34"/>
      <c r="H107" s="34"/>
      <c r="I107" s="34"/>
      <c r="J107" s="46">
        <f t="shared" si="51"/>
        <v>423.6</v>
      </c>
      <c r="K107" s="34"/>
      <c r="L107" s="60"/>
      <c r="M107" s="34"/>
      <c r="N107" s="34"/>
      <c r="O107" s="61" t="s">
        <v>132</v>
      </c>
      <c r="P107" s="61" t="s">
        <v>132</v>
      </c>
      <c r="Q107" s="34"/>
      <c r="R107" s="32"/>
      <c r="S107" s="32"/>
      <c r="T107" s="33"/>
      <c r="U107" s="33"/>
      <c r="V107" s="46">
        <f t="shared" si="52"/>
        <v>423.6</v>
      </c>
      <c r="W107" s="32"/>
      <c r="X107" s="46"/>
      <c r="Y107" s="32"/>
      <c r="Z107" s="32"/>
      <c r="AA107" s="32"/>
      <c r="AB107" s="46"/>
      <c r="AC107" s="50"/>
      <c r="AD107" s="51"/>
      <c r="AE107" s="47"/>
      <c r="AF107" s="35">
        <v>60596755422</v>
      </c>
      <c r="AG107" s="35"/>
      <c r="AI107" s="98" t="s">
        <v>332</v>
      </c>
      <c r="AJ107" s="97" t="s">
        <v>333</v>
      </c>
      <c r="AK107" s="34">
        <v>423.6</v>
      </c>
      <c r="AL107" s="34"/>
      <c r="AM107" s="34"/>
      <c r="AO107" s="100" t="s">
        <v>332</v>
      </c>
      <c r="AP107" s="99" t="s">
        <v>333</v>
      </c>
      <c r="AQ107" s="101">
        <v>1042.1199999999999</v>
      </c>
      <c r="AR107" s="61">
        <f t="shared" si="83"/>
        <v>51.063879999999997</v>
      </c>
      <c r="AS107" s="61">
        <f t="shared" si="84"/>
        <v>10.421199999999999</v>
      </c>
    </row>
    <row r="108" spans="1:45" s="18" customFormat="1">
      <c r="A108" s="33" t="s">
        <v>40</v>
      </c>
      <c r="B108" s="33" t="s">
        <v>50</v>
      </c>
      <c r="C108" s="33" t="s">
        <v>102</v>
      </c>
      <c r="D108" s="49">
        <v>41291</v>
      </c>
      <c r="E108" s="34">
        <v>627.13</v>
      </c>
      <c r="F108" s="34">
        <f>5138.643+2.599</f>
        <v>5141.2420000000002</v>
      </c>
      <c r="G108" s="34"/>
      <c r="H108" s="34"/>
      <c r="I108" s="34"/>
      <c r="J108" s="46">
        <f t="shared" si="51"/>
        <v>5141.2420000000002</v>
      </c>
      <c r="K108" s="34"/>
      <c r="L108" s="60"/>
      <c r="M108" s="34"/>
      <c r="N108" s="34">
        <v>200</v>
      </c>
      <c r="O108" s="61" t="s">
        <v>132</v>
      </c>
      <c r="P108" s="61" t="s">
        <v>132</v>
      </c>
      <c r="Q108" s="34"/>
      <c r="R108" s="32"/>
      <c r="S108" s="32"/>
      <c r="T108" s="33"/>
      <c r="U108" s="33"/>
      <c r="V108" s="46">
        <f t="shared" si="52"/>
        <v>4941.2420000000002</v>
      </c>
      <c r="W108" s="32">
        <f t="shared" si="65"/>
        <v>514.12420000000009</v>
      </c>
      <c r="X108" s="46">
        <f t="shared" si="66"/>
        <v>4427.1178</v>
      </c>
      <c r="Y108" s="32">
        <f t="shared" si="67"/>
        <v>0</v>
      </c>
      <c r="Z108" s="32">
        <v>10.23</v>
      </c>
      <c r="AA108" s="32" t="str">
        <f t="shared" si="68"/>
        <v>XX</v>
      </c>
      <c r="AB108" s="46" t="e">
        <f t="shared" si="69"/>
        <v>#VALUE!</v>
      </c>
      <c r="AC108" s="50"/>
      <c r="AD108" s="51"/>
      <c r="AE108" s="47">
        <f t="shared" si="70"/>
        <v>-4427.1178</v>
      </c>
      <c r="AF108" s="35">
        <v>56708881963</v>
      </c>
      <c r="AG108" s="35"/>
      <c r="AI108" s="98" t="s">
        <v>334</v>
      </c>
      <c r="AJ108" s="97" t="s">
        <v>335</v>
      </c>
      <c r="AK108" s="34">
        <v>5141.2420000000002</v>
      </c>
      <c r="AL108" s="34"/>
      <c r="AM108" s="34">
        <v>200</v>
      </c>
      <c r="AO108" s="100" t="s">
        <v>334</v>
      </c>
      <c r="AP108" s="99" t="s">
        <v>335</v>
      </c>
      <c r="AQ108" s="101">
        <v>5768.37</v>
      </c>
      <c r="AR108" s="61">
        <f t="shared" si="83"/>
        <v>282.65012999999999</v>
      </c>
      <c r="AS108" s="61">
        <f t="shared" si="84"/>
        <v>57.683700000000002</v>
      </c>
    </row>
    <row r="109" spans="1:45" s="18" customFormat="1">
      <c r="A109" s="33" t="s">
        <v>38</v>
      </c>
      <c r="B109" s="33" t="s">
        <v>58</v>
      </c>
      <c r="C109" s="33" t="s">
        <v>41</v>
      </c>
      <c r="D109" s="49">
        <v>41666</v>
      </c>
      <c r="E109" s="34">
        <v>739.2</v>
      </c>
      <c r="F109" s="34">
        <f>3898.2+7.428</f>
        <v>3905.6279999999997</v>
      </c>
      <c r="G109" s="34"/>
      <c r="H109" s="34"/>
      <c r="I109" s="34"/>
      <c r="J109" s="46">
        <f t="shared" si="51"/>
        <v>3905.6279999999997</v>
      </c>
      <c r="K109" s="34"/>
      <c r="L109" s="60"/>
      <c r="M109" s="34"/>
      <c r="N109" s="34">
        <v>200</v>
      </c>
      <c r="O109" s="61"/>
      <c r="P109" s="61"/>
      <c r="Q109" s="34"/>
      <c r="R109" s="32"/>
      <c r="S109" s="32"/>
      <c r="T109" s="33"/>
      <c r="U109" s="33">
        <v>405.84</v>
      </c>
      <c r="V109" s="46">
        <f t="shared" si="52"/>
        <v>3299.7879999999996</v>
      </c>
      <c r="W109" s="32">
        <f t="shared" si="65"/>
        <v>390.56279999999998</v>
      </c>
      <c r="X109" s="46">
        <f t="shared" si="66"/>
        <v>2909.2251999999994</v>
      </c>
      <c r="Y109" s="32">
        <f t="shared" si="67"/>
        <v>0</v>
      </c>
      <c r="Z109" s="32">
        <v>10.23</v>
      </c>
      <c r="AA109" s="32">
        <f t="shared" si="68"/>
        <v>0</v>
      </c>
      <c r="AB109" s="46">
        <f t="shared" si="69"/>
        <v>3915.8579999999997</v>
      </c>
      <c r="AC109" s="50"/>
      <c r="AD109" s="51"/>
      <c r="AE109" s="47">
        <f t="shared" si="70"/>
        <v>-2909.2251999999994</v>
      </c>
      <c r="AF109" s="35">
        <v>56708845990</v>
      </c>
      <c r="AG109" s="35"/>
      <c r="AI109" s="98" t="s">
        <v>336</v>
      </c>
      <c r="AJ109" s="97" t="s">
        <v>337</v>
      </c>
      <c r="AK109" s="34">
        <v>3905.6279999999997</v>
      </c>
      <c r="AL109" s="34"/>
      <c r="AM109" s="34">
        <v>200</v>
      </c>
      <c r="AO109" s="100" t="s">
        <v>336</v>
      </c>
      <c r="AP109" s="99" t="s">
        <v>337</v>
      </c>
      <c r="AQ109" s="101">
        <v>4644.83</v>
      </c>
      <c r="AR109" s="61"/>
      <c r="AS109" s="61"/>
    </row>
    <row r="110" spans="1:45" s="18" customFormat="1">
      <c r="A110" s="33" t="s">
        <v>38</v>
      </c>
      <c r="B110" s="33" t="s">
        <v>125</v>
      </c>
      <c r="C110" s="33" t="s">
        <v>41</v>
      </c>
      <c r="D110" s="49">
        <v>42809</v>
      </c>
      <c r="E110" s="34">
        <v>618.45000000000005</v>
      </c>
      <c r="F110" s="34">
        <f>5895.524+13.099</f>
        <v>5908.6230000000005</v>
      </c>
      <c r="G110" s="34"/>
      <c r="H110" s="34"/>
      <c r="I110" s="34"/>
      <c r="J110" s="46">
        <f t="shared" si="51"/>
        <v>5908.6230000000005</v>
      </c>
      <c r="K110" s="34"/>
      <c r="L110" s="60"/>
      <c r="M110" s="34"/>
      <c r="N110" s="34"/>
      <c r="O110" s="61"/>
      <c r="P110" s="61"/>
      <c r="Q110" s="34"/>
      <c r="R110" s="32"/>
      <c r="S110" s="32"/>
      <c r="T110" s="33"/>
      <c r="U110" s="33"/>
      <c r="V110" s="46">
        <f t="shared" si="52"/>
        <v>5908.6230000000005</v>
      </c>
      <c r="W110" s="32"/>
      <c r="X110" s="46"/>
      <c r="Y110" s="32"/>
      <c r="Z110" s="32"/>
      <c r="AA110" s="32"/>
      <c r="AB110" s="46"/>
      <c r="AC110" s="50"/>
      <c r="AD110" s="51"/>
      <c r="AE110" s="47"/>
      <c r="AF110" s="35">
        <v>60589597089</v>
      </c>
      <c r="AG110" s="35"/>
      <c r="AI110" s="98" t="s">
        <v>338</v>
      </c>
      <c r="AJ110" s="97" t="s">
        <v>339</v>
      </c>
      <c r="AK110" s="34">
        <v>5908.6230000000005</v>
      </c>
      <c r="AL110" s="34"/>
      <c r="AM110" s="34"/>
      <c r="AO110" s="100" t="s">
        <v>338</v>
      </c>
      <c r="AP110" s="99" t="s">
        <v>339</v>
      </c>
      <c r="AQ110" s="101">
        <v>6527.14</v>
      </c>
      <c r="AR110" s="61"/>
      <c r="AS110" s="61"/>
    </row>
    <row r="111" spans="1:45" s="18" customFormat="1">
      <c r="A111" s="33" t="s">
        <v>38</v>
      </c>
      <c r="B111" s="33" t="s">
        <v>175</v>
      </c>
      <c r="C111" s="33" t="s">
        <v>41</v>
      </c>
      <c r="D111" s="49">
        <v>43052</v>
      </c>
      <c r="E111" s="34">
        <v>638.96</v>
      </c>
      <c r="F111" s="34">
        <f>3694.035+13.099</f>
        <v>3707.134</v>
      </c>
      <c r="G111" s="34"/>
      <c r="H111" s="34"/>
      <c r="I111" s="34"/>
      <c r="J111" s="46">
        <f t="shared" si="51"/>
        <v>3707.134</v>
      </c>
      <c r="K111" s="34"/>
      <c r="L111" s="60"/>
      <c r="M111" s="34"/>
      <c r="N111" s="34"/>
      <c r="O111" s="61"/>
      <c r="P111" s="61"/>
      <c r="Q111" s="34"/>
      <c r="R111" s="32"/>
      <c r="S111" s="32"/>
      <c r="T111" s="33"/>
      <c r="U111" s="33"/>
      <c r="V111" s="46"/>
      <c r="W111" s="32"/>
      <c r="X111" s="46"/>
      <c r="Y111" s="32"/>
      <c r="Z111" s="32"/>
      <c r="AA111" s="32"/>
      <c r="AB111" s="46"/>
      <c r="AC111" s="50"/>
      <c r="AD111" s="51"/>
      <c r="AE111" s="47"/>
      <c r="AF111" s="35">
        <v>56714607256</v>
      </c>
      <c r="AG111" s="35"/>
      <c r="AI111" s="98" t="s">
        <v>340</v>
      </c>
      <c r="AJ111" s="97" t="s">
        <v>341</v>
      </c>
      <c r="AK111" s="34">
        <v>3707.134</v>
      </c>
      <c r="AL111" s="34"/>
      <c r="AM111" s="34"/>
      <c r="AO111" s="100" t="s">
        <v>340</v>
      </c>
      <c r="AP111" s="99" t="s">
        <v>341</v>
      </c>
      <c r="AQ111" s="101">
        <v>4346.09</v>
      </c>
      <c r="AR111" s="61"/>
      <c r="AS111" s="61"/>
    </row>
    <row r="112" spans="1:45" s="18" customFormat="1">
      <c r="A112" s="33" t="s">
        <v>40</v>
      </c>
      <c r="B112" s="33" t="s">
        <v>118</v>
      </c>
      <c r="C112" s="33" t="s">
        <v>98</v>
      </c>
      <c r="D112" s="49">
        <v>42752</v>
      </c>
      <c r="E112" s="34">
        <v>618.45000000000005</v>
      </c>
      <c r="F112" s="34">
        <v>487.2</v>
      </c>
      <c r="G112" s="34"/>
      <c r="H112" s="34"/>
      <c r="I112" s="34"/>
      <c r="J112" s="46">
        <f t="shared" si="51"/>
        <v>487.2</v>
      </c>
      <c r="K112" s="34"/>
      <c r="L112" s="60"/>
      <c r="M112" s="34"/>
      <c r="N112" s="34"/>
      <c r="O112" s="61" t="s">
        <v>132</v>
      </c>
      <c r="P112" s="61" t="s">
        <v>132</v>
      </c>
      <c r="Q112" s="34"/>
      <c r="R112" s="32"/>
      <c r="S112" s="32"/>
      <c r="T112" s="33"/>
      <c r="U112" s="33"/>
      <c r="V112" s="46">
        <f t="shared" si="52"/>
        <v>487.2</v>
      </c>
      <c r="W112" s="32">
        <f t="shared" ref="W112" si="85">IF(J112&gt;2250,J112*0.1,0)</f>
        <v>0</v>
      </c>
      <c r="X112" s="46">
        <f t="shared" ref="X112" si="86">+V112-W112</f>
        <v>487.2</v>
      </c>
      <c r="Y112" s="32"/>
      <c r="Z112" s="32"/>
      <c r="AA112" s="32"/>
      <c r="AB112" s="46"/>
      <c r="AC112" s="50"/>
      <c r="AD112" s="51"/>
      <c r="AE112" s="47"/>
      <c r="AF112" s="35">
        <v>60589634536</v>
      </c>
      <c r="AG112" s="35"/>
      <c r="AI112" s="98" t="s">
        <v>342</v>
      </c>
      <c r="AJ112" s="97" t="s">
        <v>343</v>
      </c>
      <c r="AK112" s="34">
        <v>487.2</v>
      </c>
      <c r="AL112" s="34"/>
      <c r="AM112" s="34"/>
      <c r="AO112" s="100" t="s">
        <v>342</v>
      </c>
      <c r="AP112" s="99" t="s">
        <v>343</v>
      </c>
      <c r="AQ112" s="101">
        <v>1105.72</v>
      </c>
      <c r="AR112" s="61">
        <f t="shared" ref="AR112:AR114" si="87">+AQ112*4.9%</f>
        <v>54.180280000000003</v>
      </c>
      <c r="AS112" s="61">
        <f t="shared" ref="AS112:AS114" si="88">+AQ112*1%</f>
        <v>11.0572</v>
      </c>
    </row>
    <row r="113" spans="1:174" s="18" customFormat="1">
      <c r="A113" s="33" t="s">
        <v>40</v>
      </c>
      <c r="B113" s="33" t="s">
        <v>181</v>
      </c>
      <c r="C113" s="33" t="s">
        <v>180</v>
      </c>
      <c r="D113" s="49">
        <v>43034</v>
      </c>
      <c r="E113" s="34">
        <v>618.45000000000005</v>
      </c>
      <c r="F113" s="34">
        <v>490.8</v>
      </c>
      <c r="G113" s="34"/>
      <c r="H113" s="34"/>
      <c r="I113" s="34"/>
      <c r="J113" s="46">
        <f t="shared" si="51"/>
        <v>490.8</v>
      </c>
      <c r="K113" s="34"/>
      <c r="L113" s="60"/>
      <c r="M113" s="34"/>
      <c r="N113" s="34"/>
      <c r="O113" s="61" t="s">
        <v>132</v>
      </c>
      <c r="P113" s="61" t="s">
        <v>132</v>
      </c>
      <c r="Q113" s="34"/>
      <c r="R113" s="32"/>
      <c r="S113" s="32"/>
      <c r="T113" s="33"/>
      <c r="U113" s="33"/>
      <c r="V113" s="46"/>
      <c r="W113" s="32"/>
      <c r="X113" s="46"/>
      <c r="Y113" s="32"/>
      <c r="Z113" s="32"/>
      <c r="AA113" s="32"/>
      <c r="AB113" s="46"/>
      <c r="AC113" s="50"/>
      <c r="AD113" s="51"/>
      <c r="AE113" s="47"/>
      <c r="AF113" s="35">
        <v>60596596065</v>
      </c>
      <c r="AG113" s="35"/>
      <c r="AI113" s="98" t="s">
        <v>344</v>
      </c>
      <c r="AJ113" s="97" t="s">
        <v>345</v>
      </c>
      <c r="AK113" s="34">
        <v>490.8</v>
      </c>
      <c r="AL113" s="34"/>
      <c r="AM113" s="34"/>
      <c r="AO113" s="100" t="s">
        <v>344</v>
      </c>
      <c r="AP113" s="99" t="s">
        <v>345</v>
      </c>
      <c r="AQ113" s="101">
        <v>1109.32</v>
      </c>
      <c r="AR113" s="61">
        <f t="shared" si="87"/>
        <v>54.356679999999997</v>
      </c>
      <c r="AS113" s="61">
        <f t="shared" si="88"/>
        <v>11.0932</v>
      </c>
    </row>
    <row r="114" spans="1:174" s="18" customFormat="1">
      <c r="A114" s="33" t="s">
        <v>40</v>
      </c>
      <c r="B114" s="33" t="s">
        <v>97</v>
      </c>
      <c r="C114" s="33" t="s">
        <v>101</v>
      </c>
      <c r="D114" s="49">
        <v>29733</v>
      </c>
      <c r="E114" s="34">
        <v>627.13</v>
      </c>
      <c r="F114" s="34">
        <f>3858.736+3.714</f>
        <v>3862.45</v>
      </c>
      <c r="G114" s="34"/>
      <c r="H114" s="34"/>
      <c r="I114" s="34"/>
      <c r="J114" s="46">
        <f t="shared" si="51"/>
        <v>3862.45</v>
      </c>
      <c r="K114" s="34"/>
      <c r="L114" s="60"/>
      <c r="M114" s="34"/>
      <c r="N114" s="34">
        <v>150</v>
      </c>
      <c r="O114" s="61" t="s">
        <v>132</v>
      </c>
      <c r="P114" s="61" t="s">
        <v>132</v>
      </c>
      <c r="Q114" s="34"/>
      <c r="R114" s="32"/>
      <c r="S114" s="32"/>
      <c r="T114" s="33"/>
      <c r="U114" s="33"/>
      <c r="V114" s="46">
        <f t="shared" si="52"/>
        <v>3712.45</v>
      </c>
      <c r="W114" s="32">
        <f t="shared" si="65"/>
        <v>386.245</v>
      </c>
      <c r="X114" s="46">
        <f t="shared" si="66"/>
        <v>3326.2049999999999</v>
      </c>
      <c r="Y114" s="32">
        <f t="shared" si="67"/>
        <v>0</v>
      </c>
      <c r="Z114" s="32">
        <v>10.23</v>
      </c>
      <c r="AA114" s="32" t="str">
        <f t="shared" si="68"/>
        <v>XX</v>
      </c>
      <c r="AB114" s="46" t="e">
        <f t="shared" si="69"/>
        <v>#VALUE!</v>
      </c>
      <c r="AC114" s="50"/>
      <c r="AD114" s="51"/>
      <c r="AE114" s="47">
        <f t="shared" si="70"/>
        <v>-3326.2049999999999</v>
      </c>
      <c r="AF114" s="35">
        <v>60589747903</v>
      </c>
      <c r="AG114" s="35"/>
      <c r="AI114" s="98" t="s">
        <v>346</v>
      </c>
      <c r="AJ114" s="97" t="s">
        <v>347</v>
      </c>
      <c r="AK114" s="34">
        <v>3862.45</v>
      </c>
      <c r="AL114" s="34"/>
      <c r="AM114" s="34">
        <v>150</v>
      </c>
      <c r="AO114" s="100" t="s">
        <v>346</v>
      </c>
      <c r="AP114" s="99" t="s">
        <v>347</v>
      </c>
      <c r="AQ114" s="101">
        <v>4489.58</v>
      </c>
      <c r="AR114" s="61">
        <f t="shared" si="87"/>
        <v>219.98942</v>
      </c>
      <c r="AS114" s="61">
        <f t="shared" si="88"/>
        <v>44.895800000000001</v>
      </c>
    </row>
    <row r="115" spans="1:174" s="18" customFormat="1">
      <c r="A115" s="33" t="s">
        <v>38</v>
      </c>
      <c r="B115" s="33" t="s">
        <v>171</v>
      </c>
      <c r="C115" s="33" t="s">
        <v>172</v>
      </c>
      <c r="D115" s="49">
        <v>43026</v>
      </c>
      <c r="E115" s="34">
        <v>638.96</v>
      </c>
      <c r="F115" s="34">
        <f>4579.798+7.428</f>
        <v>4587.2259999999997</v>
      </c>
      <c r="G115" s="34"/>
      <c r="H115" s="34"/>
      <c r="I115" s="34"/>
      <c r="J115" s="46">
        <f t="shared" si="51"/>
        <v>4587.2259999999997</v>
      </c>
      <c r="K115" s="34"/>
      <c r="L115" s="60">
        <v>1</v>
      </c>
      <c r="M115" s="34"/>
      <c r="N115" s="34"/>
      <c r="O115" s="61"/>
      <c r="P115" s="61"/>
      <c r="Q115" s="34"/>
      <c r="R115" s="32"/>
      <c r="S115" s="32"/>
      <c r="T115" s="33"/>
      <c r="U115" s="33">
        <v>467.16</v>
      </c>
      <c r="V115" s="46">
        <f t="shared" si="52"/>
        <v>4119.0659999999998</v>
      </c>
      <c r="W115" s="32"/>
      <c r="X115" s="46"/>
      <c r="Y115" s="32"/>
      <c r="Z115" s="32"/>
      <c r="AA115" s="32"/>
      <c r="AB115" s="46"/>
      <c r="AC115" s="50"/>
      <c r="AD115" s="51"/>
      <c r="AE115" s="47"/>
      <c r="AF115" s="35">
        <v>60578682154</v>
      </c>
      <c r="AG115" s="35"/>
      <c r="AI115" s="98" t="s">
        <v>348</v>
      </c>
      <c r="AJ115" s="97" t="s">
        <v>349</v>
      </c>
      <c r="AK115" s="34">
        <v>4587.2259999999997</v>
      </c>
      <c r="AL115" s="34"/>
      <c r="AM115" s="34"/>
      <c r="AO115" s="100" t="s">
        <v>348</v>
      </c>
      <c r="AP115" s="99" t="s">
        <v>349</v>
      </c>
      <c r="AQ115" s="101">
        <v>5119.7</v>
      </c>
      <c r="AR115" s="61"/>
      <c r="AS115" s="61"/>
    </row>
    <row r="116" spans="1:174" s="18" customFormat="1">
      <c r="A116" s="33" t="s">
        <v>38</v>
      </c>
      <c r="B116" s="33" t="s">
        <v>57</v>
      </c>
      <c r="C116" s="33" t="s">
        <v>41</v>
      </c>
      <c r="D116" s="49">
        <v>41549</v>
      </c>
      <c r="E116" s="34">
        <v>739.2</v>
      </c>
      <c r="F116" s="34">
        <f>6158.258+13.099</f>
        <v>6171.357</v>
      </c>
      <c r="G116" s="34"/>
      <c r="H116" s="34"/>
      <c r="I116" s="34"/>
      <c r="J116" s="46">
        <f t="shared" si="51"/>
        <v>6171.357</v>
      </c>
      <c r="K116" s="34"/>
      <c r="L116" s="60"/>
      <c r="M116" s="34"/>
      <c r="N116" s="34">
        <v>500</v>
      </c>
      <c r="O116" s="61"/>
      <c r="P116" s="61"/>
      <c r="Q116" s="34"/>
      <c r="R116" s="32"/>
      <c r="S116" s="32"/>
      <c r="T116" s="33"/>
      <c r="U116" s="33"/>
      <c r="V116" s="46">
        <f t="shared" si="52"/>
        <v>5671.357</v>
      </c>
      <c r="W116" s="32">
        <f>IF(J116&gt;2250,J116*0.1,0)</f>
        <v>617.13570000000004</v>
      </c>
      <c r="X116" s="46">
        <f>+V116-W116</f>
        <v>5054.2213000000002</v>
      </c>
      <c r="Y116" s="32">
        <f>IF(J116&lt;2250,J116*0.1,0)</f>
        <v>0</v>
      </c>
      <c r="Z116" s="32">
        <v>10.23</v>
      </c>
      <c r="AA116" s="32">
        <f>+O116</f>
        <v>0</v>
      </c>
      <c r="AB116" s="46">
        <f>+J116+Y116+Z116+AA116</f>
        <v>6181.5869999999995</v>
      </c>
      <c r="AC116" s="50"/>
      <c r="AD116" s="51"/>
      <c r="AE116" s="47">
        <f>+AC116+AD116-X116</f>
        <v>-5054.2213000000002</v>
      </c>
      <c r="AF116" s="35">
        <v>56708846050</v>
      </c>
      <c r="AG116" s="35"/>
      <c r="AI116" s="98" t="s">
        <v>350</v>
      </c>
      <c r="AJ116" s="97" t="s">
        <v>351</v>
      </c>
      <c r="AK116" s="34">
        <v>6171.357</v>
      </c>
      <c r="AL116" s="34"/>
      <c r="AM116" s="34">
        <v>500</v>
      </c>
      <c r="AO116" s="100" t="s">
        <v>350</v>
      </c>
      <c r="AP116" s="99" t="s">
        <v>351</v>
      </c>
      <c r="AQ116" s="101">
        <v>6910.56</v>
      </c>
      <c r="AR116" s="61"/>
      <c r="AS116" s="61"/>
    </row>
    <row r="117" spans="1:174" s="18" customFormat="1">
      <c r="A117" s="33" t="s">
        <v>38</v>
      </c>
      <c r="B117" s="33" t="s">
        <v>192</v>
      </c>
      <c r="C117" s="33" t="s">
        <v>191</v>
      </c>
      <c r="D117" s="49">
        <v>43069</v>
      </c>
      <c r="E117" s="34">
        <v>1199.94</v>
      </c>
      <c r="F117" s="34">
        <v>0</v>
      </c>
      <c r="G117" s="34"/>
      <c r="H117" s="34"/>
      <c r="I117" s="34"/>
      <c r="J117" s="46">
        <f t="shared" si="51"/>
        <v>0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/>
      <c r="V117" s="46">
        <f t="shared" si="52"/>
        <v>0</v>
      </c>
      <c r="W117" s="32"/>
      <c r="X117" s="46"/>
      <c r="Y117" s="32"/>
      <c r="Z117" s="32"/>
      <c r="AA117" s="32"/>
      <c r="AB117" s="46"/>
      <c r="AC117" s="50"/>
      <c r="AD117" s="51"/>
      <c r="AE117" s="47"/>
      <c r="AF117" s="35">
        <v>60597522863</v>
      </c>
      <c r="AG117" s="35"/>
      <c r="AI117" s="98" t="s">
        <v>424</v>
      </c>
      <c r="AJ117" s="97" t="s">
        <v>425</v>
      </c>
      <c r="AK117" s="34">
        <v>0</v>
      </c>
      <c r="AL117" s="34"/>
      <c r="AM117" s="34"/>
      <c r="AO117" s="100" t="s">
        <v>424</v>
      </c>
      <c r="AP117" s="99" t="s">
        <v>425</v>
      </c>
      <c r="AQ117" s="101">
        <v>1199.94</v>
      </c>
      <c r="AR117" s="61"/>
      <c r="AS117" s="61"/>
    </row>
    <row r="118" spans="1:174">
      <c r="A118" s="28"/>
      <c r="B118" s="33"/>
      <c r="C118" s="28"/>
      <c r="D118" s="59"/>
      <c r="E118" s="59"/>
      <c r="F118" s="30"/>
      <c r="G118" s="30"/>
      <c r="H118" s="30"/>
      <c r="I118" s="30"/>
      <c r="J118" s="46">
        <f t="shared" si="51"/>
        <v>0</v>
      </c>
      <c r="K118" s="34"/>
      <c r="L118" s="34"/>
      <c r="M118" s="34"/>
      <c r="N118" s="34"/>
      <c r="O118" s="34"/>
      <c r="P118" s="34"/>
      <c r="Q118" s="34"/>
      <c r="R118" s="32"/>
      <c r="S118" s="32"/>
      <c r="T118" s="32"/>
      <c r="U118" s="32"/>
      <c r="V118" s="46"/>
      <c r="W118" s="32"/>
      <c r="X118" s="46"/>
      <c r="Y118" s="54"/>
      <c r="Z118" s="54"/>
      <c r="AA118" s="54"/>
      <c r="AB118" s="53"/>
      <c r="AC118" s="44"/>
      <c r="AD118" s="44"/>
      <c r="AE118" s="39"/>
      <c r="AF118" s="28"/>
      <c r="AG118" s="28"/>
      <c r="AJ118" s="18"/>
      <c r="AK118" s="30"/>
      <c r="AL118" s="34"/>
      <c r="AM118" s="34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</row>
    <row r="119" spans="1:174">
      <c r="A119" s="28"/>
      <c r="B119" s="35" t="s">
        <v>121</v>
      </c>
      <c r="C119" s="28"/>
      <c r="D119" s="59"/>
      <c r="E119" s="38">
        <f t="shared" ref="E119:V119" si="89">SUM(E72:E117)</f>
        <v>31740.800000000014</v>
      </c>
      <c r="F119" s="38">
        <f t="shared" si="89"/>
        <v>130645.79800000001</v>
      </c>
      <c r="G119" s="38">
        <f t="shared" si="89"/>
        <v>0</v>
      </c>
      <c r="H119" s="38">
        <f t="shared" si="89"/>
        <v>1734.97</v>
      </c>
      <c r="I119" s="38">
        <f t="shared" si="89"/>
        <v>3391.22</v>
      </c>
      <c r="J119" s="38">
        <f t="shared" si="89"/>
        <v>135771.98799999998</v>
      </c>
      <c r="K119" s="38">
        <f t="shared" si="89"/>
        <v>187.5</v>
      </c>
      <c r="L119" s="38">
        <f t="shared" si="89"/>
        <v>3</v>
      </c>
      <c r="M119" s="38">
        <f t="shared" si="89"/>
        <v>0</v>
      </c>
      <c r="N119" s="38">
        <f t="shared" si="89"/>
        <v>4700</v>
      </c>
      <c r="O119" s="38">
        <f t="shared" si="89"/>
        <v>0</v>
      </c>
      <c r="P119" s="38">
        <f t="shared" si="89"/>
        <v>0</v>
      </c>
      <c r="Q119" s="38">
        <f t="shared" si="89"/>
        <v>0</v>
      </c>
      <c r="R119" s="38">
        <f t="shared" si="89"/>
        <v>0</v>
      </c>
      <c r="S119" s="38">
        <f t="shared" si="89"/>
        <v>0</v>
      </c>
      <c r="T119" s="38">
        <f t="shared" si="89"/>
        <v>0</v>
      </c>
      <c r="U119" s="38">
        <f t="shared" si="89"/>
        <v>4675.74</v>
      </c>
      <c r="V119" s="38">
        <f t="shared" si="89"/>
        <v>122007.81400000001</v>
      </c>
      <c r="W119" s="38">
        <f>SUM(W73:W116)</f>
        <v>7821.42245</v>
      </c>
      <c r="X119" s="38">
        <f>SUM(X73:X116)</f>
        <v>74725.175499999998</v>
      </c>
      <c r="Y119" s="54"/>
      <c r="Z119" s="54"/>
      <c r="AA119" s="54"/>
      <c r="AB119" s="53"/>
      <c r="AC119" s="44"/>
      <c r="AD119" s="44"/>
      <c r="AE119" s="39"/>
      <c r="AF119" s="28"/>
      <c r="AG119" s="28"/>
      <c r="AJ119" s="18"/>
      <c r="AK119" s="38">
        <v>126275.59400000001</v>
      </c>
      <c r="AL119" s="38">
        <v>187.5</v>
      </c>
      <c r="AM119" s="38">
        <v>4700</v>
      </c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</row>
    <row r="120" spans="1:174">
      <c r="B120" s="20"/>
      <c r="AB120" s="14" t="e">
        <f>+#REF!*0.16</f>
        <v>#REF!</v>
      </c>
      <c r="AJ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</row>
    <row r="121" spans="1:174">
      <c r="AJ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</row>
    <row r="122" spans="1:174">
      <c r="AJ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</row>
    <row r="123" spans="1:174">
      <c r="AJ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</row>
    <row r="124" spans="1:174" ht="23.25">
      <c r="A124" s="115" t="s">
        <v>25</v>
      </c>
      <c r="B124" s="115"/>
      <c r="AJ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</row>
    <row r="125" spans="1:174" s="18" customFormat="1" ht="15.75">
      <c r="A125" s="64" t="s">
        <v>39</v>
      </c>
      <c r="B125" s="64" t="s">
        <v>111</v>
      </c>
      <c r="C125" s="64" t="s">
        <v>43</v>
      </c>
      <c r="D125" s="49">
        <v>42199</v>
      </c>
      <c r="E125" s="34">
        <v>1633</v>
      </c>
      <c r="F125" s="34"/>
      <c r="G125" s="34"/>
      <c r="H125" s="34"/>
      <c r="I125" s="34"/>
      <c r="J125" s="46">
        <f t="shared" ref="J125:J129" si="90">SUM(F125:I125)</f>
        <v>0</v>
      </c>
      <c r="K125" s="34"/>
      <c r="L125" s="60"/>
      <c r="M125" s="34"/>
      <c r="N125" s="34">
        <v>150</v>
      </c>
      <c r="O125" s="61"/>
      <c r="P125" s="61"/>
      <c r="Q125" s="34"/>
      <c r="R125" s="32"/>
      <c r="S125" s="62"/>
      <c r="T125" s="33"/>
      <c r="U125" s="57"/>
      <c r="V125" s="46">
        <f t="shared" ref="V125:V129" si="91">+J125-SUM(K125:U125)</f>
        <v>-150</v>
      </c>
      <c r="W125" s="32">
        <v>0</v>
      </c>
      <c r="X125" s="46">
        <v>-150</v>
      </c>
      <c r="Y125" s="32"/>
      <c r="Z125" s="32"/>
      <c r="AA125" s="32"/>
      <c r="AB125" s="46"/>
      <c r="AC125" s="52"/>
      <c r="AD125" s="50"/>
      <c r="AE125" s="47"/>
      <c r="AF125" s="33">
        <v>60590405464</v>
      </c>
      <c r="AG125" s="65"/>
      <c r="AK125" s="34"/>
      <c r="AL125" s="34"/>
      <c r="AM125" s="34">
        <v>150</v>
      </c>
    </row>
    <row r="126" spans="1:174">
      <c r="A126" s="64" t="s">
        <v>37</v>
      </c>
      <c r="B126" s="64" t="s">
        <v>103</v>
      </c>
      <c r="C126" s="64" t="s">
        <v>43</v>
      </c>
      <c r="D126" s="49">
        <v>34275</v>
      </c>
      <c r="E126" s="34">
        <v>1633</v>
      </c>
      <c r="F126" s="34">
        <v>466.57</v>
      </c>
      <c r="G126" s="34"/>
      <c r="H126" s="34"/>
      <c r="I126" s="34"/>
      <c r="J126" s="46">
        <f t="shared" si="90"/>
        <v>466.57</v>
      </c>
      <c r="K126" s="34"/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46">
        <f t="shared" si="91"/>
        <v>466.57</v>
      </c>
      <c r="W126" s="32">
        <v>0</v>
      </c>
      <c r="X126" s="46">
        <v>0</v>
      </c>
      <c r="Y126" s="54"/>
      <c r="Z126" s="54"/>
      <c r="AA126" s="54"/>
      <c r="AB126" s="53"/>
      <c r="AC126" s="44"/>
      <c r="AD126" s="44"/>
      <c r="AE126" s="39"/>
      <c r="AF126" s="28">
        <v>60590317373</v>
      </c>
      <c r="AG126" s="65"/>
      <c r="AJ126" s="18"/>
      <c r="AK126" s="34">
        <v>466.57</v>
      </c>
      <c r="AL126" s="34"/>
      <c r="AM126" s="34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</row>
    <row r="127" spans="1:174">
      <c r="A127" s="64" t="s">
        <v>39</v>
      </c>
      <c r="B127" s="64" t="s">
        <v>119</v>
      </c>
      <c r="C127" s="64" t="s">
        <v>120</v>
      </c>
      <c r="D127" s="49">
        <v>38825</v>
      </c>
      <c r="E127" s="34">
        <v>2100</v>
      </c>
      <c r="F127" s="34"/>
      <c r="G127" s="34"/>
      <c r="H127" s="34"/>
      <c r="I127" s="34"/>
      <c r="J127" s="46">
        <f t="shared" si="90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46">
        <f t="shared" si="91"/>
        <v>0</v>
      </c>
      <c r="W127" s="32"/>
      <c r="X127" s="46"/>
      <c r="Y127" s="54"/>
      <c r="Z127" s="54"/>
      <c r="AA127" s="54"/>
      <c r="AB127" s="53"/>
      <c r="AC127" s="44"/>
      <c r="AD127" s="44"/>
      <c r="AE127" s="39"/>
      <c r="AF127" s="28">
        <v>56708845376</v>
      </c>
      <c r="AG127" s="65"/>
      <c r="AJ127" s="18"/>
      <c r="AK127" s="34"/>
      <c r="AL127" s="34"/>
      <c r="AM127" s="34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</row>
    <row r="128" spans="1:174">
      <c r="A128" s="64" t="s">
        <v>37</v>
      </c>
      <c r="B128" s="64" t="s">
        <v>105</v>
      </c>
      <c r="C128" s="64" t="s">
        <v>104</v>
      </c>
      <c r="D128" s="49">
        <v>42809</v>
      </c>
      <c r="E128" s="34">
        <v>937.5</v>
      </c>
      <c r="F128" s="34"/>
      <c r="G128" s="34"/>
      <c r="H128" s="34"/>
      <c r="I128" s="34"/>
      <c r="J128" s="46">
        <f t="shared" si="90"/>
        <v>0</v>
      </c>
      <c r="K128" s="34">
        <v>208.34</v>
      </c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46">
        <f t="shared" si="91"/>
        <v>-208.34</v>
      </c>
      <c r="W128" s="32"/>
      <c r="X128" s="46"/>
      <c r="Y128" s="54"/>
      <c r="Z128" s="54"/>
      <c r="AA128" s="54"/>
      <c r="AB128" s="53"/>
      <c r="AC128" s="44"/>
      <c r="AD128" s="44"/>
      <c r="AE128" s="39"/>
      <c r="AF128" s="28">
        <v>60590314454</v>
      </c>
      <c r="AG128" s="65" t="s">
        <v>358</v>
      </c>
      <c r="AJ128" s="18"/>
      <c r="AK128" s="34"/>
      <c r="AL128" s="34">
        <v>208.34</v>
      </c>
      <c r="AM128" s="34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</row>
    <row r="129" spans="1:174">
      <c r="A129" s="64" t="s">
        <v>39</v>
      </c>
      <c r="B129" s="64" t="s">
        <v>156</v>
      </c>
      <c r="C129" s="64" t="s">
        <v>157</v>
      </c>
      <c r="D129" s="49">
        <v>40147</v>
      </c>
      <c r="E129" s="34">
        <v>1900</v>
      </c>
      <c r="F129" s="34"/>
      <c r="G129" s="34"/>
      <c r="H129" s="34"/>
      <c r="I129" s="34"/>
      <c r="J129" s="46">
        <f t="shared" si="90"/>
        <v>0</v>
      </c>
      <c r="K129" s="34"/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46">
        <f t="shared" si="91"/>
        <v>0</v>
      </c>
      <c r="W129" s="32"/>
      <c r="X129" s="46"/>
      <c r="Y129" s="54"/>
      <c r="Z129" s="54"/>
      <c r="AA129" s="54"/>
      <c r="AB129" s="53"/>
      <c r="AC129" s="44"/>
      <c r="AD129" s="44"/>
      <c r="AE129" s="39"/>
      <c r="AF129" s="28">
        <v>60590324373</v>
      </c>
      <c r="AG129" s="65"/>
      <c r="AJ129" s="18"/>
      <c r="AK129" s="34"/>
      <c r="AL129" s="34"/>
      <c r="AM129" s="34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</row>
    <row r="130" spans="1:174">
      <c r="AJ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</row>
    <row r="131" spans="1:174">
      <c r="AJ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</row>
    <row r="132" spans="1:174">
      <c r="AJ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</row>
    <row r="133" spans="1:174">
      <c r="A133" s="19" t="s">
        <v>17</v>
      </c>
      <c r="B133" s="13"/>
      <c r="AJ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</row>
    <row r="134" spans="1:174">
      <c r="A134" s="19" t="s">
        <v>18</v>
      </c>
      <c r="B134" s="13"/>
      <c r="AJ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</row>
    <row r="135" spans="1:174">
      <c r="A135" s="19" t="s">
        <v>19</v>
      </c>
      <c r="B135" s="13"/>
      <c r="AJ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</row>
    <row r="136" spans="1:174">
      <c r="A136" s="19" t="s">
        <v>20</v>
      </c>
      <c r="B136" s="13"/>
      <c r="AJ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</row>
    <row r="137" spans="1:174">
      <c r="A137" s="19" t="s">
        <v>21</v>
      </c>
      <c r="B137" s="13"/>
      <c r="AJ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</row>
    <row r="138" spans="1:174">
      <c r="A138" s="19" t="s">
        <v>22</v>
      </c>
      <c r="B138" s="13"/>
      <c r="AJ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</row>
    <row r="139" spans="1:174">
      <c r="AJ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</row>
    <row r="140" spans="1:174">
      <c r="AJ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</row>
    <row r="142" spans="1:174">
      <c r="B142" s="17"/>
    </row>
    <row r="143" spans="1:174">
      <c r="B143" s="17"/>
    </row>
    <row r="144" spans="1:174">
      <c r="B144" s="17"/>
    </row>
  </sheetData>
  <sheetProtection selectLockedCells="1" selectUnlockedCells="1"/>
  <autoFilter ref="A5:AG65">
    <filterColumn colId="28" showButton="0"/>
    <sortState ref="A8:AH99">
      <sortCondition ref="B5:B99"/>
    </sortState>
  </autoFilter>
  <mergeCells count="36">
    <mergeCell ref="G5:G6"/>
    <mergeCell ref="A124:B124"/>
    <mergeCell ref="F5:F6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N5:N6"/>
    <mergeCell ref="L5:L6"/>
    <mergeCell ref="M5:M6"/>
    <mergeCell ref="P5:P6"/>
    <mergeCell ref="Q5:Q6"/>
    <mergeCell ref="R5:R6"/>
    <mergeCell ref="S5:S6"/>
    <mergeCell ref="T5:T6"/>
    <mergeCell ref="AK5:AK6"/>
    <mergeCell ref="AL5:AL6"/>
    <mergeCell ref="AM5:AM6"/>
    <mergeCell ref="AG5:AG6"/>
    <mergeCell ref="A71:B71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4"/>
  <sheetViews>
    <sheetView topLeftCell="A48" workbookViewId="0">
      <selection activeCell="C7" sqref="C7:E84"/>
    </sheetView>
  </sheetViews>
  <sheetFormatPr baseColWidth="10" defaultRowHeight="15"/>
  <cols>
    <col min="1" max="1" width="6.140625" style="18" bestFit="1" customWidth="1"/>
    <col min="2" max="2" width="27.140625" style="18" bestFit="1" customWidth="1"/>
    <col min="3" max="3" width="13.85546875" style="13" customWidth="1"/>
    <col min="4" max="4" width="13.5703125" style="13" customWidth="1"/>
    <col min="5" max="5" width="13.5703125" style="15" customWidth="1"/>
  </cols>
  <sheetData>
    <row r="1" spans="1:5">
      <c r="A1" s="6"/>
      <c r="B1" s="6"/>
      <c r="C1" s="4"/>
      <c r="D1" s="4"/>
      <c r="E1" s="4"/>
    </row>
    <row r="2" spans="1:5">
      <c r="A2" s="6"/>
      <c r="B2" s="6"/>
      <c r="C2" s="4"/>
      <c r="D2" s="4"/>
      <c r="E2" s="4"/>
    </row>
    <row r="3" spans="1:5">
      <c r="A3" s="6"/>
      <c r="B3" s="6"/>
      <c r="C3" s="4"/>
      <c r="D3" s="4"/>
      <c r="E3" s="4"/>
    </row>
    <row r="4" spans="1:5">
      <c r="A4" s="16"/>
      <c r="B4" s="16"/>
    </row>
    <row r="5" spans="1:5">
      <c r="A5" s="16"/>
      <c r="B5" s="16"/>
      <c r="C5" s="102" t="s">
        <v>32</v>
      </c>
      <c r="D5" s="104" t="s">
        <v>12</v>
      </c>
      <c r="E5" s="105" t="s">
        <v>46</v>
      </c>
    </row>
    <row r="6" spans="1:5">
      <c r="A6" s="69"/>
      <c r="B6" s="69"/>
      <c r="C6" s="103"/>
      <c r="D6" s="102"/>
      <c r="E6" s="106"/>
    </row>
    <row r="7" spans="1:5">
      <c r="A7" s="76" t="s">
        <v>196</v>
      </c>
      <c r="B7" s="75" t="s">
        <v>197</v>
      </c>
      <c r="C7" s="34">
        <v>61.5</v>
      </c>
      <c r="D7" s="34"/>
      <c r="E7" s="34"/>
    </row>
    <row r="8" spans="1:5">
      <c r="A8" s="76" t="s">
        <v>198</v>
      </c>
      <c r="B8" s="75" t="s">
        <v>199</v>
      </c>
      <c r="C8" s="34">
        <v>2922.68</v>
      </c>
      <c r="D8" s="34"/>
      <c r="E8" s="34"/>
    </row>
    <row r="9" spans="1:5">
      <c r="A9" s="76" t="s">
        <v>200</v>
      </c>
      <c r="B9" s="75" t="s">
        <v>201</v>
      </c>
      <c r="C9" s="34">
        <v>9215.69</v>
      </c>
      <c r="D9" s="34"/>
      <c r="E9" s="34"/>
    </row>
    <row r="10" spans="1:5">
      <c r="A10" s="76" t="s">
        <v>202</v>
      </c>
      <c r="B10" s="75" t="s">
        <v>203</v>
      </c>
      <c r="C10" s="34">
        <v>13011.36</v>
      </c>
      <c r="D10" s="34"/>
      <c r="E10" s="34"/>
    </row>
    <row r="11" spans="1:5">
      <c r="A11" s="76" t="s">
        <v>204</v>
      </c>
      <c r="B11" s="75" t="s">
        <v>205</v>
      </c>
      <c r="C11" s="34">
        <v>4473.09</v>
      </c>
      <c r="D11" s="34"/>
      <c r="E11" s="34"/>
    </row>
    <row r="12" spans="1:5">
      <c r="A12" s="76" t="s">
        <v>206</v>
      </c>
      <c r="B12" s="75" t="s">
        <v>207</v>
      </c>
      <c r="C12" s="34">
        <v>1350</v>
      </c>
      <c r="D12" s="34"/>
      <c r="E12" s="34"/>
    </row>
    <row r="13" spans="1:5">
      <c r="A13" s="76" t="s">
        <v>208</v>
      </c>
      <c r="B13" s="75" t="s">
        <v>209</v>
      </c>
      <c r="C13" s="34">
        <v>8645.61</v>
      </c>
      <c r="D13" s="34">
        <v>1250</v>
      </c>
      <c r="E13" s="34">
        <v>1000</v>
      </c>
    </row>
    <row r="14" spans="1:5">
      <c r="A14" s="76" t="s">
        <v>210</v>
      </c>
      <c r="B14" s="75" t="s">
        <v>211</v>
      </c>
      <c r="C14" s="34">
        <v>1527.62</v>
      </c>
      <c r="D14" s="34"/>
      <c r="E14" s="34"/>
    </row>
    <row r="15" spans="1:5">
      <c r="A15" s="76" t="s">
        <v>212</v>
      </c>
      <c r="B15" s="75" t="s">
        <v>213</v>
      </c>
      <c r="C15" s="34"/>
      <c r="D15" s="34"/>
      <c r="E15" s="34">
        <v>300</v>
      </c>
    </row>
    <row r="16" spans="1:5">
      <c r="A16" s="76" t="s">
        <v>214</v>
      </c>
      <c r="B16" s="75" t="s">
        <v>215</v>
      </c>
      <c r="C16" s="34">
        <v>8341.91</v>
      </c>
      <c r="D16" s="34"/>
      <c r="E16" s="34"/>
    </row>
    <row r="17" spans="1:5">
      <c r="A17" s="76" t="s">
        <v>216</v>
      </c>
      <c r="B17" s="75" t="s">
        <v>217</v>
      </c>
      <c r="C17" s="34">
        <v>8246.82</v>
      </c>
      <c r="D17" s="34"/>
      <c r="E17" s="34"/>
    </row>
    <row r="18" spans="1:5">
      <c r="A18" s="76" t="s">
        <v>218</v>
      </c>
      <c r="B18" s="75" t="s">
        <v>219</v>
      </c>
      <c r="C18" s="34">
        <v>8491.92</v>
      </c>
      <c r="D18" s="34"/>
      <c r="E18" s="34"/>
    </row>
    <row r="19" spans="1:5">
      <c r="A19" s="76" t="s">
        <v>220</v>
      </c>
      <c r="B19" s="75" t="s">
        <v>221</v>
      </c>
      <c r="C19" s="34">
        <v>3439.2</v>
      </c>
      <c r="D19" s="34"/>
      <c r="E19" s="34"/>
    </row>
    <row r="20" spans="1:5">
      <c r="A20" s="76" t="s">
        <v>222</v>
      </c>
      <c r="B20" s="75" t="s">
        <v>223</v>
      </c>
      <c r="C20" s="34">
        <v>21468.959999999999</v>
      </c>
      <c r="D20" s="34"/>
      <c r="E20" s="34"/>
    </row>
    <row r="21" spans="1:5">
      <c r="A21" s="76" t="s">
        <v>224</v>
      </c>
      <c r="B21" s="75" t="s">
        <v>225</v>
      </c>
      <c r="C21" s="34">
        <v>1425.81</v>
      </c>
      <c r="D21" s="34"/>
      <c r="E21" s="34"/>
    </row>
    <row r="22" spans="1:5">
      <c r="A22" s="76" t="s">
        <v>226</v>
      </c>
      <c r="B22" s="75" t="s">
        <v>227</v>
      </c>
      <c r="C22" s="34">
        <v>505.08</v>
      </c>
      <c r="D22" s="34"/>
      <c r="E22" s="34"/>
    </row>
    <row r="23" spans="1:5">
      <c r="A23" s="76" t="s">
        <v>228</v>
      </c>
      <c r="B23" s="75" t="s">
        <v>229</v>
      </c>
      <c r="C23" s="34">
        <v>7220.5</v>
      </c>
      <c r="D23" s="34"/>
      <c r="E23" s="34"/>
    </row>
    <row r="24" spans="1:5">
      <c r="A24" s="76" t="s">
        <v>230</v>
      </c>
      <c r="B24" s="75" t="s">
        <v>231</v>
      </c>
      <c r="C24" s="34"/>
      <c r="D24" s="34">
        <v>500</v>
      </c>
      <c r="E24" s="34"/>
    </row>
    <row r="25" spans="1:5">
      <c r="A25" s="76" t="s">
        <v>232</v>
      </c>
      <c r="B25" s="75" t="s">
        <v>233</v>
      </c>
      <c r="C25" s="34">
        <v>2076.0100000000002</v>
      </c>
      <c r="D25" s="34"/>
      <c r="E25" s="34"/>
    </row>
    <row r="26" spans="1:5">
      <c r="A26" s="76" t="s">
        <v>234</v>
      </c>
      <c r="B26" s="75" t="s">
        <v>235</v>
      </c>
      <c r="C26" s="34">
        <v>3268.31</v>
      </c>
      <c r="D26" s="34"/>
      <c r="E26" s="34"/>
    </row>
    <row r="27" spans="1:5">
      <c r="A27" s="76" t="s">
        <v>236</v>
      </c>
      <c r="B27" s="75" t="s">
        <v>237</v>
      </c>
      <c r="C27" s="34">
        <v>1173.79</v>
      </c>
      <c r="D27" s="34"/>
      <c r="E27" s="34"/>
    </row>
    <row r="28" spans="1:5">
      <c r="A28" s="76" t="s">
        <v>238</v>
      </c>
      <c r="B28" s="75" t="s">
        <v>239</v>
      </c>
      <c r="C28" s="34">
        <v>1731.86</v>
      </c>
      <c r="D28" s="34"/>
      <c r="E28" s="34"/>
    </row>
    <row r="29" spans="1:5">
      <c r="A29" s="76" t="s">
        <v>240</v>
      </c>
      <c r="B29" s="75" t="s">
        <v>241</v>
      </c>
      <c r="C29" s="34">
        <v>1343.36</v>
      </c>
      <c r="D29" s="34"/>
      <c r="E29" s="34"/>
    </row>
    <row r="30" spans="1:5">
      <c r="A30" s="76" t="s">
        <v>242</v>
      </c>
      <c r="B30" s="75" t="s">
        <v>243</v>
      </c>
      <c r="C30" s="34">
        <v>1071.77</v>
      </c>
      <c r="D30" s="34"/>
      <c r="E30" s="34"/>
    </row>
    <row r="31" spans="1:5">
      <c r="A31" s="76" t="s">
        <v>244</v>
      </c>
      <c r="B31" s="75" t="s">
        <v>245</v>
      </c>
      <c r="C31" s="34">
        <v>1434.61</v>
      </c>
      <c r="D31" s="34"/>
      <c r="E31" s="34"/>
    </row>
    <row r="32" spans="1:5">
      <c r="A32" s="76" t="s">
        <v>246</v>
      </c>
      <c r="B32" s="75" t="s">
        <v>247</v>
      </c>
      <c r="C32" s="34"/>
      <c r="D32" s="34">
        <v>187.5</v>
      </c>
      <c r="E32" s="34"/>
    </row>
    <row r="33" spans="1:5">
      <c r="A33" s="76" t="s">
        <v>248</v>
      </c>
      <c r="B33" s="75" t="s">
        <v>249</v>
      </c>
      <c r="C33" s="63"/>
      <c r="D33" s="34"/>
      <c r="E33" s="34"/>
    </row>
    <row r="34" spans="1:5">
      <c r="A34" s="76" t="s">
        <v>250</v>
      </c>
      <c r="B34" s="75" t="s">
        <v>251</v>
      </c>
      <c r="C34" s="34">
        <v>5237.55</v>
      </c>
      <c r="D34" s="34"/>
      <c r="E34" s="34"/>
    </row>
    <row r="35" spans="1:5">
      <c r="A35" s="76" t="s">
        <v>252</v>
      </c>
      <c r="B35" s="75" t="s">
        <v>253</v>
      </c>
      <c r="C35" s="34">
        <v>4.3099999999999996</v>
      </c>
      <c r="D35" s="34"/>
      <c r="E35" s="34"/>
    </row>
    <row r="36" spans="1:5">
      <c r="A36" s="76" t="s">
        <v>254</v>
      </c>
      <c r="B36" s="75" t="s">
        <v>255</v>
      </c>
      <c r="C36" s="34">
        <v>1290</v>
      </c>
      <c r="D36" s="34"/>
      <c r="E36" s="34"/>
    </row>
    <row r="37" spans="1:5">
      <c r="A37" s="76" t="s">
        <v>256</v>
      </c>
      <c r="B37" s="75" t="s">
        <v>257</v>
      </c>
      <c r="C37" s="34">
        <v>10971.82</v>
      </c>
      <c r="D37" s="34"/>
      <c r="E37" s="34"/>
    </row>
    <row r="38" spans="1:5">
      <c r="A38" s="76" t="s">
        <v>258</v>
      </c>
      <c r="B38" s="75" t="s">
        <v>259</v>
      </c>
      <c r="C38" s="34">
        <v>650</v>
      </c>
      <c r="D38" s="34">
        <v>300</v>
      </c>
      <c r="E38" s="34"/>
    </row>
    <row r="39" spans="1:5">
      <c r="A39" s="76" t="s">
        <v>260</v>
      </c>
      <c r="B39" s="75" t="s">
        <v>261</v>
      </c>
      <c r="C39" s="34">
        <v>2169.83</v>
      </c>
      <c r="D39" s="34"/>
      <c r="E39" s="34"/>
    </row>
    <row r="40" spans="1:5">
      <c r="A40" s="76" t="s">
        <v>262</v>
      </c>
      <c r="B40" s="75" t="s">
        <v>263</v>
      </c>
      <c r="C40" s="34">
        <v>3589.9630000000002</v>
      </c>
      <c r="D40" s="34"/>
      <c r="E40" s="34"/>
    </row>
    <row r="41" spans="1:5">
      <c r="A41" s="76" t="s">
        <v>264</v>
      </c>
      <c r="B41" s="75" t="s">
        <v>265</v>
      </c>
      <c r="C41" s="34">
        <v>2187.5810000000001</v>
      </c>
      <c r="D41" s="34"/>
      <c r="E41" s="34"/>
    </row>
    <row r="42" spans="1:5">
      <c r="A42" s="76" t="s">
        <v>266</v>
      </c>
      <c r="B42" s="75" t="s">
        <v>267</v>
      </c>
      <c r="C42" s="34">
        <v>5369.4670000000006</v>
      </c>
      <c r="D42" s="34"/>
      <c r="E42" s="34"/>
    </row>
    <row r="43" spans="1:5">
      <c r="A43" s="76" t="s">
        <v>268</v>
      </c>
      <c r="B43" s="75" t="s">
        <v>269</v>
      </c>
      <c r="C43" s="34">
        <v>2734.8739999999998</v>
      </c>
      <c r="D43" s="34"/>
      <c r="E43" s="32">
        <v>300</v>
      </c>
    </row>
    <row r="44" spans="1:5">
      <c r="A44" s="76" t="s">
        <v>270</v>
      </c>
      <c r="B44" s="75" t="s">
        <v>271</v>
      </c>
      <c r="C44" s="34">
        <v>635.79999999999995</v>
      </c>
      <c r="D44" s="34"/>
      <c r="E44" s="34"/>
    </row>
    <row r="45" spans="1:5">
      <c r="A45" s="76" t="s">
        <v>272</v>
      </c>
      <c r="B45" s="75" t="s">
        <v>273</v>
      </c>
      <c r="C45" s="34">
        <v>3418.0590000000002</v>
      </c>
      <c r="D45" s="34"/>
      <c r="E45" s="32">
        <v>700</v>
      </c>
    </row>
    <row r="46" spans="1:5">
      <c r="A46" s="76" t="s">
        <v>274</v>
      </c>
      <c r="B46" s="75" t="s">
        <v>275</v>
      </c>
      <c r="C46" s="34">
        <v>2564.1669999999999</v>
      </c>
      <c r="D46" s="34">
        <v>187.5</v>
      </c>
      <c r="E46" s="34"/>
    </row>
    <row r="47" spans="1:5">
      <c r="A47" s="76" t="s">
        <v>276</v>
      </c>
      <c r="B47" s="75" t="s">
        <v>277</v>
      </c>
      <c r="C47" s="34">
        <v>851.4</v>
      </c>
      <c r="D47" s="34"/>
      <c r="E47" s="34"/>
    </row>
    <row r="48" spans="1:5">
      <c r="A48" s="76" t="s">
        <v>278</v>
      </c>
      <c r="B48" s="75" t="s">
        <v>279</v>
      </c>
      <c r="C48" s="34">
        <v>3119.5889999999999</v>
      </c>
      <c r="D48" s="34"/>
      <c r="E48" s="34">
        <v>150</v>
      </c>
    </row>
    <row r="49" spans="1:5">
      <c r="A49" s="76" t="s">
        <v>280</v>
      </c>
      <c r="B49" s="75" t="s">
        <v>281</v>
      </c>
      <c r="C49" s="34">
        <v>2691.4209999999998</v>
      </c>
      <c r="D49" s="34"/>
      <c r="E49" s="32">
        <v>500</v>
      </c>
    </row>
    <row r="50" spans="1:5">
      <c r="A50" s="76" t="s">
        <v>282</v>
      </c>
      <c r="B50" s="75" t="s">
        <v>283</v>
      </c>
      <c r="C50" s="34">
        <v>5196.7629999999999</v>
      </c>
      <c r="D50" s="34"/>
      <c r="E50" s="34">
        <v>1000</v>
      </c>
    </row>
    <row r="51" spans="1:5">
      <c r="A51" s="76" t="s">
        <v>284</v>
      </c>
      <c r="B51" s="75" t="s">
        <v>285</v>
      </c>
      <c r="C51" s="34">
        <v>3803.9059999999999</v>
      </c>
      <c r="D51" s="34"/>
      <c r="E51" s="34"/>
    </row>
    <row r="52" spans="1:5">
      <c r="A52" s="76" t="s">
        <v>286</v>
      </c>
      <c r="B52" s="75" t="s">
        <v>287</v>
      </c>
      <c r="C52" s="34">
        <v>3494.415</v>
      </c>
      <c r="D52" s="34"/>
      <c r="E52" s="34"/>
    </row>
    <row r="53" spans="1:5">
      <c r="A53" s="76" t="s">
        <v>288</v>
      </c>
      <c r="B53" s="75" t="s">
        <v>289</v>
      </c>
      <c r="C53" s="34">
        <v>5153.4179999999997</v>
      </c>
      <c r="D53" s="34"/>
      <c r="E53" s="34"/>
    </row>
    <row r="54" spans="1:5">
      <c r="A54" s="76" t="s">
        <v>290</v>
      </c>
      <c r="B54" s="75" t="s">
        <v>291</v>
      </c>
      <c r="C54" s="34">
        <v>890</v>
      </c>
      <c r="D54" s="34"/>
      <c r="E54" s="34"/>
    </row>
    <row r="55" spans="1:5">
      <c r="A55" s="76" t="s">
        <v>292</v>
      </c>
      <c r="B55" s="75" t="s">
        <v>293</v>
      </c>
      <c r="C55" s="74">
        <v>65.697000000000003</v>
      </c>
      <c r="D55" s="34"/>
      <c r="E55" s="34"/>
    </row>
    <row r="56" spans="1:5">
      <c r="A56" s="76" t="s">
        <v>294</v>
      </c>
      <c r="B56" s="75" t="s">
        <v>295</v>
      </c>
      <c r="C56" s="34">
        <v>817.64600000000007</v>
      </c>
      <c r="D56" s="34">
        <v>200</v>
      </c>
      <c r="E56" s="34">
        <v>300</v>
      </c>
    </row>
    <row r="57" spans="1:5">
      <c r="A57" s="76" t="s">
        <v>296</v>
      </c>
      <c r="B57" s="75" t="s">
        <v>297</v>
      </c>
      <c r="C57" s="74">
        <v>858.35300000000007</v>
      </c>
      <c r="D57" s="34"/>
      <c r="E57" s="34"/>
    </row>
    <row r="58" spans="1:5">
      <c r="A58" s="76" t="s">
        <v>298</v>
      </c>
      <c r="B58" s="75" t="s">
        <v>299</v>
      </c>
      <c r="C58" s="34">
        <v>2168.2630000000004</v>
      </c>
      <c r="D58" s="34"/>
      <c r="E58" s="34"/>
    </row>
    <row r="59" spans="1:5">
      <c r="A59" s="76" t="s">
        <v>300</v>
      </c>
      <c r="B59" s="75" t="s">
        <v>301</v>
      </c>
      <c r="C59" s="34">
        <v>5293.2479999999996</v>
      </c>
      <c r="D59" s="34"/>
      <c r="E59" s="34"/>
    </row>
    <row r="60" spans="1:5">
      <c r="A60" s="76" t="s">
        <v>302</v>
      </c>
      <c r="B60" s="75" t="s">
        <v>303</v>
      </c>
      <c r="C60" s="34">
        <v>2304.4409999999998</v>
      </c>
      <c r="D60" s="34"/>
      <c r="E60" s="34"/>
    </row>
    <row r="61" spans="1:5">
      <c r="A61" s="76" t="s">
        <v>304</v>
      </c>
      <c r="B61" s="75" t="s">
        <v>305</v>
      </c>
      <c r="C61" s="34">
        <v>4966.4650000000001</v>
      </c>
      <c r="D61" s="34"/>
      <c r="E61" s="34"/>
    </row>
    <row r="62" spans="1:5">
      <c r="A62" s="76" t="s">
        <v>306</v>
      </c>
      <c r="B62" s="75" t="s">
        <v>307</v>
      </c>
      <c r="C62" s="34">
        <v>460.839</v>
      </c>
      <c r="D62" s="34"/>
      <c r="E62" s="34"/>
    </row>
    <row r="63" spans="1:5">
      <c r="A63" s="76" t="s">
        <v>308</v>
      </c>
      <c r="B63" s="75" t="s">
        <v>309</v>
      </c>
      <c r="C63" s="34">
        <v>4734.4399999999996</v>
      </c>
      <c r="D63" s="34"/>
      <c r="E63" s="34"/>
    </row>
    <row r="64" spans="1:5">
      <c r="A64" s="76" t="s">
        <v>310</v>
      </c>
      <c r="B64" s="75" t="s">
        <v>311</v>
      </c>
      <c r="C64" s="34">
        <v>3606.6480000000001</v>
      </c>
      <c r="D64" s="34"/>
      <c r="E64" s="34"/>
    </row>
    <row r="65" spans="1:5">
      <c r="A65" s="76" t="s">
        <v>312</v>
      </c>
      <c r="B65" s="75" t="s">
        <v>313</v>
      </c>
      <c r="C65" s="34">
        <v>1437.0709999999999</v>
      </c>
      <c r="D65" s="34"/>
      <c r="E65" s="34"/>
    </row>
    <row r="66" spans="1:5">
      <c r="A66" s="76" t="s">
        <v>314</v>
      </c>
      <c r="B66" s="75" t="s">
        <v>315</v>
      </c>
      <c r="C66" s="34">
        <v>3280.848</v>
      </c>
      <c r="D66" s="34"/>
      <c r="E66" s="34">
        <v>500</v>
      </c>
    </row>
    <row r="67" spans="1:5">
      <c r="A67" s="76" t="s">
        <v>316</v>
      </c>
      <c r="B67" s="75" t="s">
        <v>317</v>
      </c>
      <c r="C67" s="34">
        <v>6504.5339999999997</v>
      </c>
      <c r="D67" s="34"/>
      <c r="E67" s="34"/>
    </row>
    <row r="68" spans="1:5">
      <c r="A68" s="76" t="s">
        <v>318</v>
      </c>
      <c r="B68" s="75" t="s">
        <v>319</v>
      </c>
      <c r="C68" s="34">
        <v>207.4</v>
      </c>
      <c r="D68" s="34"/>
      <c r="E68" s="34"/>
    </row>
    <row r="69" spans="1:5">
      <c r="A69" s="76" t="s">
        <v>320</v>
      </c>
      <c r="B69" s="75" t="s">
        <v>321</v>
      </c>
      <c r="C69" s="34">
        <v>1815.7089999999998</v>
      </c>
      <c r="D69" s="34"/>
      <c r="E69" s="34"/>
    </row>
    <row r="70" spans="1:5">
      <c r="A70" s="76" t="s">
        <v>322</v>
      </c>
      <c r="B70" s="75" t="s">
        <v>323</v>
      </c>
      <c r="C70" s="34">
        <v>6364.5389999999998</v>
      </c>
      <c r="D70" s="34"/>
      <c r="E70" s="34"/>
    </row>
    <row r="71" spans="1:5">
      <c r="A71" s="76" t="s">
        <v>324</v>
      </c>
      <c r="B71" s="75" t="s">
        <v>325</v>
      </c>
      <c r="C71" s="34">
        <v>3208.9370000000004</v>
      </c>
      <c r="D71" s="34"/>
      <c r="E71" s="34">
        <v>200</v>
      </c>
    </row>
    <row r="72" spans="1:5">
      <c r="A72" s="76" t="s">
        <v>326</v>
      </c>
      <c r="B72" s="75" t="s">
        <v>327</v>
      </c>
      <c r="C72" s="34">
        <v>1727.462</v>
      </c>
      <c r="D72" s="34"/>
      <c r="E72" s="34"/>
    </row>
    <row r="73" spans="1:5">
      <c r="A73" s="76" t="s">
        <v>328</v>
      </c>
      <c r="B73" s="75" t="s">
        <v>329</v>
      </c>
      <c r="C73" s="34">
        <v>2025.6980000000001</v>
      </c>
      <c r="D73" s="34"/>
      <c r="E73" s="34"/>
    </row>
    <row r="74" spans="1:5">
      <c r="A74" s="76" t="s">
        <v>330</v>
      </c>
      <c r="B74" s="75" t="s">
        <v>331</v>
      </c>
      <c r="C74" s="34">
        <v>1136.5</v>
      </c>
      <c r="D74" s="34"/>
      <c r="E74" s="34"/>
    </row>
    <row r="75" spans="1:5">
      <c r="A75" s="76" t="s">
        <v>332</v>
      </c>
      <c r="B75" s="75" t="s">
        <v>333</v>
      </c>
      <c r="C75" s="34">
        <v>344.9</v>
      </c>
      <c r="D75" s="34"/>
      <c r="E75" s="34"/>
    </row>
    <row r="76" spans="1:5">
      <c r="A76" s="76" t="s">
        <v>334</v>
      </c>
      <c r="B76" s="75" t="s">
        <v>335</v>
      </c>
      <c r="C76" s="34">
        <v>4789.9539999999997</v>
      </c>
      <c r="D76" s="34"/>
      <c r="E76" s="34">
        <v>200</v>
      </c>
    </row>
    <row r="77" spans="1:5">
      <c r="A77" s="76" t="s">
        <v>336</v>
      </c>
      <c r="B77" s="75" t="s">
        <v>337</v>
      </c>
      <c r="C77" s="34">
        <v>4364.4470000000001</v>
      </c>
      <c r="D77" s="34"/>
      <c r="E77" s="34">
        <v>200</v>
      </c>
    </row>
    <row r="78" spans="1:5">
      <c r="A78" s="76" t="s">
        <v>338</v>
      </c>
      <c r="B78" s="75" t="s">
        <v>339</v>
      </c>
      <c r="C78" s="34">
        <v>4264.4250000000002</v>
      </c>
      <c r="D78" s="34"/>
      <c r="E78" s="34"/>
    </row>
    <row r="79" spans="1:5">
      <c r="A79" s="76" t="s">
        <v>340</v>
      </c>
      <c r="B79" s="75" t="s">
        <v>341</v>
      </c>
      <c r="C79" s="34">
        <v>3797.7309999999998</v>
      </c>
      <c r="D79" s="34"/>
      <c r="E79" s="34"/>
    </row>
    <row r="80" spans="1:5">
      <c r="A80" s="76" t="s">
        <v>342</v>
      </c>
      <c r="B80" s="75" t="s">
        <v>343</v>
      </c>
      <c r="C80" s="34">
        <v>739.5</v>
      </c>
      <c r="D80" s="34"/>
      <c r="E80" s="34"/>
    </row>
    <row r="81" spans="1:5">
      <c r="A81" s="76" t="s">
        <v>344</v>
      </c>
      <c r="B81" s="75" t="s">
        <v>345</v>
      </c>
      <c r="C81" s="34">
        <v>419.38900000000001</v>
      </c>
      <c r="D81" s="34"/>
      <c r="E81" s="34"/>
    </row>
    <row r="82" spans="1:5">
      <c r="A82" s="76" t="s">
        <v>346</v>
      </c>
      <c r="B82" s="75" t="s">
        <v>347</v>
      </c>
      <c r="C82" s="34">
        <v>5420.8739999999998</v>
      </c>
      <c r="D82" s="34"/>
      <c r="E82" s="34">
        <v>150</v>
      </c>
    </row>
    <row r="83" spans="1:5">
      <c r="A83" s="76" t="s">
        <v>348</v>
      </c>
      <c r="B83" s="75" t="s">
        <v>349</v>
      </c>
      <c r="C83" s="34">
        <v>5404.2640000000001</v>
      </c>
      <c r="D83" s="34"/>
      <c r="E83" s="34"/>
    </row>
    <row r="84" spans="1:5">
      <c r="A84" s="76" t="s">
        <v>350</v>
      </c>
      <c r="B84" s="75" t="s">
        <v>351</v>
      </c>
      <c r="C84" s="34">
        <v>6305.2039999999997</v>
      </c>
      <c r="D84" s="34"/>
      <c r="E84" s="34">
        <v>500</v>
      </c>
    </row>
  </sheetData>
  <mergeCells count="3">
    <mergeCell ref="C5:C6"/>
    <mergeCell ref="D5:D6"/>
    <mergeCell ref="E5:E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30" sqref="E30"/>
    </sheetView>
  </sheetViews>
  <sheetFormatPr baseColWidth="10" defaultRowHeight="12.75"/>
  <cols>
    <col min="1" max="1" width="6" bestFit="1" customWidth="1"/>
    <col min="2" max="2" width="25.140625" bestFit="1" customWidth="1"/>
    <col min="3" max="3" width="7.85546875" bestFit="1" customWidth="1"/>
  </cols>
  <sheetData>
    <row r="1" spans="1:5" ht="15">
      <c r="A1" s="78" t="s">
        <v>264</v>
      </c>
      <c r="B1" s="77" t="s">
        <v>265</v>
      </c>
      <c r="C1" s="79">
        <v>2855.45</v>
      </c>
      <c r="D1" s="61">
        <v>139.91704999999999</v>
      </c>
      <c r="E1" s="61">
        <v>28.554499999999997</v>
      </c>
    </row>
    <row r="2" spans="1:5" ht="15">
      <c r="A2" s="78" t="s">
        <v>266</v>
      </c>
      <c r="B2" s="77" t="s">
        <v>267</v>
      </c>
      <c r="C2" s="79">
        <v>5996.6</v>
      </c>
      <c r="D2" s="61">
        <v>293.83340000000004</v>
      </c>
      <c r="E2" s="61">
        <v>59.966000000000008</v>
      </c>
    </row>
    <row r="3" spans="1:5" ht="15">
      <c r="A3" s="78" t="s">
        <v>268</v>
      </c>
      <c r="B3" s="77" t="s">
        <v>269</v>
      </c>
      <c r="C3" s="79">
        <v>3362</v>
      </c>
      <c r="D3" s="61">
        <v>164.738</v>
      </c>
      <c r="E3" s="61">
        <v>33.619999999999997</v>
      </c>
    </row>
    <row r="4" spans="1:5" ht="15">
      <c r="A4" s="78" t="s">
        <v>270</v>
      </c>
      <c r="B4" s="77" t="s">
        <v>271</v>
      </c>
      <c r="C4" s="79">
        <v>1254.32</v>
      </c>
      <c r="D4" s="61">
        <v>61.461680000000001</v>
      </c>
      <c r="E4" s="61">
        <v>12.543199999999999</v>
      </c>
    </row>
    <row r="5" spans="1:5" ht="15">
      <c r="A5" s="78" t="s">
        <v>272</v>
      </c>
      <c r="B5" s="77" t="s">
        <v>273</v>
      </c>
      <c r="C5" s="79">
        <v>4036.58</v>
      </c>
      <c r="D5" s="61">
        <v>197.79241999999999</v>
      </c>
      <c r="E5" s="61">
        <v>40.3658</v>
      </c>
    </row>
    <row r="6" spans="1:5" ht="15">
      <c r="A6" s="78" t="s">
        <v>276</v>
      </c>
      <c r="B6" s="77" t="s">
        <v>277</v>
      </c>
      <c r="C6" s="79">
        <v>1469.92</v>
      </c>
      <c r="D6" s="61">
        <v>72.026080000000007</v>
      </c>
      <c r="E6" s="61">
        <v>14.699200000000001</v>
      </c>
    </row>
    <row r="7" spans="1:5" ht="15">
      <c r="A7" s="78" t="s">
        <v>280</v>
      </c>
      <c r="B7" s="77" t="s">
        <v>281</v>
      </c>
      <c r="C7" s="79">
        <v>3214.03</v>
      </c>
      <c r="D7" s="61">
        <v>157.48747</v>
      </c>
      <c r="E7" s="61">
        <v>32.140300000000003</v>
      </c>
    </row>
    <row r="8" spans="1:5" ht="15">
      <c r="A8" s="78" t="s">
        <v>282</v>
      </c>
      <c r="B8" s="77" t="s">
        <v>283</v>
      </c>
      <c r="C8" s="79">
        <v>5823.89</v>
      </c>
      <c r="D8" s="61">
        <v>285.37061</v>
      </c>
      <c r="E8" s="61">
        <v>58.238900000000001</v>
      </c>
    </row>
    <row r="9" spans="1:5" ht="15">
      <c r="A9" s="78" t="s">
        <v>284</v>
      </c>
      <c r="B9" s="77" t="s">
        <v>285</v>
      </c>
      <c r="C9" s="79">
        <v>4422.43</v>
      </c>
      <c r="D9" s="61">
        <v>216.69907000000003</v>
      </c>
      <c r="E9" s="61">
        <v>44.224300000000007</v>
      </c>
    </row>
    <row r="10" spans="1:5" ht="15">
      <c r="A10" s="78" t="s">
        <v>290</v>
      </c>
      <c r="B10" s="77" t="s">
        <v>291</v>
      </c>
      <c r="C10" s="79">
        <v>1508.52</v>
      </c>
      <c r="D10" s="61">
        <v>73.917479999999998</v>
      </c>
      <c r="E10" s="61">
        <v>15.0852</v>
      </c>
    </row>
    <row r="11" spans="1:5" ht="15">
      <c r="A11" s="78" t="s">
        <v>294</v>
      </c>
      <c r="B11" s="77" t="s">
        <v>295</v>
      </c>
      <c r="C11" s="79">
        <v>1436.17</v>
      </c>
      <c r="D11" s="61">
        <v>70.372330000000005</v>
      </c>
      <c r="E11" s="61">
        <v>14.361700000000001</v>
      </c>
    </row>
    <row r="12" spans="1:5" ht="15">
      <c r="A12" s="78" t="s">
        <v>298</v>
      </c>
      <c r="B12" s="77" t="s">
        <v>299</v>
      </c>
      <c r="C12" s="79">
        <v>2795.39</v>
      </c>
      <c r="D12" s="61">
        <v>136.97411</v>
      </c>
      <c r="E12" s="61">
        <v>27.953900000000001</v>
      </c>
    </row>
    <row r="13" spans="1:5" ht="15">
      <c r="A13" s="78" t="s">
        <v>302</v>
      </c>
      <c r="B13" s="77" t="s">
        <v>303</v>
      </c>
      <c r="C13" s="79">
        <v>2931.57</v>
      </c>
      <c r="D13" s="61">
        <v>143.64693000000003</v>
      </c>
      <c r="E13" s="61">
        <v>29.315700000000003</v>
      </c>
    </row>
    <row r="14" spans="1:5" ht="15">
      <c r="A14" s="78" t="s">
        <v>306</v>
      </c>
      <c r="B14" s="77" t="s">
        <v>307</v>
      </c>
      <c r="C14" s="79">
        <v>1079.3599999999999</v>
      </c>
      <c r="D14" s="61">
        <v>52.888639999999995</v>
      </c>
      <c r="E14" s="61">
        <v>10.7936</v>
      </c>
    </row>
    <row r="15" spans="1:5" ht="15">
      <c r="A15" s="78" t="s">
        <v>312</v>
      </c>
      <c r="B15" s="77" t="s">
        <v>313</v>
      </c>
      <c r="C15" s="79">
        <v>2064.1999999999998</v>
      </c>
      <c r="D15" s="61">
        <v>101.14579999999999</v>
      </c>
      <c r="E15" s="61">
        <v>20.641999999999999</v>
      </c>
    </row>
    <row r="16" spans="1:5" ht="15">
      <c r="A16" s="78" t="s">
        <v>314</v>
      </c>
      <c r="B16" s="77" t="s">
        <v>315</v>
      </c>
      <c r="C16" s="79">
        <v>3899.37</v>
      </c>
      <c r="D16" s="61">
        <v>191.06913</v>
      </c>
      <c r="E16" s="61">
        <v>38.993699999999997</v>
      </c>
    </row>
    <row r="17" spans="1:5" ht="15">
      <c r="A17" s="78" t="s">
        <v>318</v>
      </c>
      <c r="B17" s="77" t="s">
        <v>319</v>
      </c>
      <c r="C17" s="79">
        <v>825.92</v>
      </c>
      <c r="D17" s="61">
        <v>40.470080000000003</v>
      </c>
      <c r="E17" s="61">
        <v>8.2591999999999999</v>
      </c>
    </row>
    <row r="18" spans="1:5" ht="15">
      <c r="A18" s="78" t="s">
        <v>320</v>
      </c>
      <c r="B18" s="77" t="s">
        <v>321</v>
      </c>
      <c r="C18" s="79">
        <v>2442.77</v>
      </c>
      <c r="D18" s="61">
        <v>119.69573</v>
      </c>
      <c r="E18" s="61">
        <v>24.427700000000002</v>
      </c>
    </row>
    <row r="19" spans="1:5" ht="15">
      <c r="A19" s="78" t="s">
        <v>324</v>
      </c>
      <c r="B19" s="77" t="s">
        <v>325</v>
      </c>
      <c r="C19" s="79">
        <v>3836.07</v>
      </c>
      <c r="D19" s="61">
        <v>187.96743000000001</v>
      </c>
      <c r="E19" s="61">
        <v>38.360700000000001</v>
      </c>
    </row>
    <row r="20" spans="1:5" ht="15">
      <c r="A20" s="78" t="s">
        <v>328</v>
      </c>
      <c r="B20" s="77" t="s">
        <v>329</v>
      </c>
      <c r="C20" s="79">
        <v>2644.22</v>
      </c>
      <c r="D20" s="61">
        <v>129.56677999999999</v>
      </c>
      <c r="E20" s="61">
        <v>26.4422</v>
      </c>
    </row>
    <row r="21" spans="1:5" ht="15">
      <c r="A21" s="78" t="s">
        <v>330</v>
      </c>
      <c r="B21" s="77" t="s">
        <v>331</v>
      </c>
      <c r="C21" s="79">
        <v>1759.85</v>
      </c>
      <c r="D21" s="61">
        <v>86.232649999999992</v>
      </c>
      <c r="E21" s="61">
        <v>17.598499999999998</v>
      </c>
    </row>
    <row r="22" spans="1:5" ht="15">
      <c r="A22" s="78" t="s">
        <v>332</v>
      </c>
      <c r="B22" s="77" t="s">
        <v>333</v>
      </c>
      <c r="C22" s="79">
        <v>757.25</v>
      </c>
      <c r="D22" s="61">
        <v>37.105249999999998</v>
      </c>
      <c r="E22" s="61">
        <v>7.5724999999999998</v>
      </c>
    </row>
    <row r="23" spans="1:5" ht="15">
      <c r="A23" s="78" t="s">
        <v>334</v>
      </c>
      <c r="B23" s="77" t="s">
        <v>335</v>
      </c>
      <c r="C23" s="79">
        <v>5417.08</v>
      </c>
      <c r="D23" s="61">
        <v>265.43691999999999</v>
      </c>
      <c r="E23" s="61">
        <v>54.1708</v>
      </c>
    </row>
    <row r="24" spans="1:5" ht="15">
      <c r="A24" s="78" t="s">
        <v>342</v>
      </c>
      <c r="B24" s="77" t="s">
        <v>343</v>
      </c>
      <c r="C24" s="79">
        <v>1358.02</v>
      </c>
      <c r="D24" s="61">
        <v>66.54298</v>
      </c>
      <c r="E24" s="61">
        <v>13.5802</v>
      </c>
    </row>
    <row r="25" spans="1:5" ht="15">
      <c r="A25" s="78" t="s">
        <v>344</v>
      </c>
      <c r="B25" s="77" t="s">
        <v>345</v>
      </c>
      <c r="C25" s="79">
        <v>934.82</v>
      </c>
      <c r="D25" s="61">
        <v>45.806180000000005</v>
      </c>
      <c r="E25" s="61">
        <v>9.3482000000000003</v>
      </c>
    </row>
    <row r="26" spans="1:5" ht="15">
      <c r="A26" s="78" t="s">
        <v>346</v>
      </c>
      <c r="B26" s="77" t="s">
        <v>347</v>
      </c>
      <c r="C26" s="79">
        <v>6048</v>
      </c>
      <c r="D26" s="61">
        <v>296.35200000000003</v>
      </c>
      <c r="E26" s="61">
        <v>60.480000000000004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8"/>
  <sheetViews>
    <sheetView topLeftCell="A52" workbookViewId="0">
      <selection activeCell="C7" sqref="C7:E87"/>
    </sheetView>
  </sheetViews>
  <sheetFormatPr baseColWidth="10" defaultRowHeight="15"/>
  <cols>
    <col min="1" max="1" width="11.5703125" style="18"/>
    <col min="2" max="2" width="28.140625" style="19" bestFit="1" customWidth="1"/>
    <col min="3" max="3" width="13.85546875" style="13" customWidth="1"/>
    <col min="4" max="4" width="13.5703125" style="13" customWidth="1"/>
    <col min="5" max="5" width="13.5703125" style="15" customWidth="1"/>
  </cols>
  <sheetData>
    <row r="1" spans="1:5">
      <c r="A1" s="6"/>
      <c r="B1" s="7"/>
      <c r="C1" s="4"/>
      <c r="D1" s="4"/>
      <c r="E1" s="4"/>
    </row>
    <row r="2" spans="1:5">
      <c r="A2" s="6"/>
      <c r="B2" s="7"/>
      <c r="C2" s="4"/>
      <c r="D2" s="4"/>
      <c r="E2" s="4"/>
    </row>
    <row r="3" spans="1:5">
      <c r="A3" s="6"/>
      <c r="B3" s="7"/>
      <c r="C3" s="4"/>
      <c r="D3" s="4"/>
      <c r="E3" s="4"/>
    </row>
    <row r="4" spans="1:5">
      <c r="A4" s="16"/>
      <c r="B4" s="12"/>
    </row>
    <row r="5" spans="1:5">
      <c r="A5" s="16"/>
      <c r="B5" s="12"/>
      <c r="C5" s="102" t="s">
        <v>32</v>
      </c>
      <c r="D5" s="104" t="s">
        <v>12</v>
      </c>
      <c r="E5" s="105" t="s">
        <v>46</v>
      </c>
    </row>
    <row r="6" spans="1:5">
      <c r="A6" s="69"/>
      <c r="B6" s="70"/>
      <c r="C6" s="103"/>
      <c r="D6" s="102"/>
      <c r="E6" s="106"/>
    </row>
    <row r="7" spans="1:5">
      <c r="A7" s="98" t="s">
        <v>196</v>
      </c>
      <c r="B7" s="97" t="s">
        <v>197</v>
      </c>
      <c r="C7" s="34">
        <v>9260.36</v>
      </c>
      <c r="D7" s="34"/>
      <c r="E7" s="34"/>
    </row>
    <row r="8" spans="1:5">
      <c r="A8" s="98" t="s">
        <v>198</v>
      </c>
      <c r="B8" s="97" t="s">
        <v>199</v>
      </c>
      <c r="C8" s="34">
        <v>1439.42</v>
      </c>
      <c r="D8" s="34"/>
      <c r="E8" s="34"/>
    </row>
    <row r="9" spans="1:5">
      <c r="A9" s="98" t="s">
        <v>200</v>
      </c>
      <c r="B9" s="97" t="s">
        <v>201</v>
      </c>
      <c r="C9" s="34">
        <v>27952.41</v>
      </c>
      <c r="D9" s="34"/>
      <c r="E9" s="34"/>
    </row>
    <row r="10" spans="1:5">
      <c r="A10" s="98" t="s">
        <v>370</v>
      </c>
      <c r="B10" s="97" t="s">
        <v>371</v>
      </c>
      <c r="C10" s="34">
        <v>3828.28</v>
      </c>
      <c r="D10" s="34"/>
      <c r="E10" s="34"/>
    </row>
    <row r="11" spans="1:5">
      <c r="A11" s="98" t="s">
        <v>202</v>
      </c>
      <c r="B11" s="97" t="s">
        <v>203</v>
      </c>
      <c r="C11" s="34">
        <v>5249.86</v>
      </c>
      <c r="D11" s="34"/>
      <c r="E11" s="34"/>
    </row>
    <row r="12" spans="1:5">
      <c r="A12" s="98" t="s">
        <v>204</v>
      </c>
      <c r="B12" s="97" t="s">
        <v>205</v>
      </c>
      <c r="C12" s="34">
        <v>4782.6099999999997</v>
      </c>
      <c r="D12" s="34"/>
      <c r="E12" s="34"/>
    </row>
    <row r="13" spans="1:5">
      <c r="A13" s="98" t="s">
        <v>206</v>
      </c>
      <c r="B13" s="97" t="s">
        <v>207</v>
      </c>
      <c r="C13" s="34">
        <v>2310</v>
      </c>
      <c r="D13" s="34"/>
      <c r="E13" s="34"/>
    </row>
    <row r="14" spans="1:5">
      <c r="A14" s="98" t="s">
        <v>208</v>
      </c>
      <c r="B14" s="97" t="s">
        <v>209</v>
      </c>
      <c r="C14" s="34">
        <v>50459</v>
      </c>
      <c r="D14" s="34">
        <v>1250</v>
      </c>
      <c r="E14" s="34">
        <v>1000</v>
      </c>
    </row>
    <row r="15" spans="1:5">
      <c r="A15" s="98" t="s">
        <v>210</v>
      </c>
      <c r="B15" s="97" t="s">
        <v>211</v>
      </c>
      <c r="C15" s="34">
        <v>3870.54</v>
      </c>
      <c r="D15" s="34"/>
      <c r="E15" s="34"/>
    </row>
    <row r="16" spans="1:5">
      <c r="A16" s="98" t="s">
        <v>212</v>
      </c>
      <c r="B16" s="97" t="s">
        <v>213</v>
      </c>
      <c r="C16" s="34"/>
      <c r="D16" s="34"/>
      <c r="E16" s="34">
        <v>300</v>
      </c>
    </row>
    <row r="17" spans="1:5">
      <c r="A17" s="98" t="s">
        <v>214</v>
      </c>
      <c r="B17" s="97" t="s">
        <v>215</v>
      </c>
      <c r="C17" s="34">
        <v>8406.2800000000007</v>
      </c>
      <c r="D17" s="34"/>
      <c r="E17" s="34"/>
    </row>
    <row r="18" spans="1:5">
      <c r="A18" s="98" t="s">
        <v>216</v>
      </c>
      <c r="B18" s="97" t="s">
        <v>217</v>
      </c>
      <c r="C18" s="34">
        <v>38853.15</v>
      </c>
      <c r="D18" s="34"/>
      <c r="E18" s="34"/>
    </row>
    <row r="19" spans="1:5">
      <c r="A19" s="98" t="s">
        <v>218</v>
      </c>
      <c r="B19" s="97" t="s">
        <v>219</v>
      </c>
      <c r="C19" s="34">
        <v>2554.17</v>
      </c>
      <c r="D19" s="34"/>
      <c r="E19" s="34"/>
    </row>
    <row r="20" spans="1:5">
      <c r="A20" s="98" t="s">
        <v>390</v>
      </c>
      <c r="B20" s="97" t="s">
        <v>391</v>
      </c>
      <c r="C20" s="34">
        <v>10128.11</v>
      </c>
      <c r="D20" s="34"/>
      <c r="E20" s="34"/>
    </row>
    <row r="21" spans="1:5">
      <c r="A21" s="98" t="s">
        <v>392</v>
      </c>
      <c r="B21" s="97" t="s">
        <v>393</v>
      </c>
      <c r="C21" s="34">
        <v>1709.16</v>
      </c>
      <c r="D21" s="34"/>
      <c r="E21" s="34"/>
    </row>
    <row r="22" spans="1:5">
      <c r="A22" s="98" t="s">
        <v>394</v>
      </c>
      <c r="B22" s="97" t="s">
        <v>395</v>
      </c>
      <c r="C22" s="34">
        <v>2798.59</v>
      </c>
      <c r="D22" s="34"/>
      <c r="E22" s="34"/>
    </row>
    <row r="23" spans="1:5">
      <c r="A23" s="98" t="s">
        <v>220</v>
      </c>
      <c r="B23" s="97" t="s">
        <v>221</v>
      </c>
      <c r="C23" s="34">
        <v>2856.88</v>
      </c>
      <c r="D23" s="34"/>
      <c r="E23" s="34"/>
    </row>
    <row r="24" spans="1:5">
      <c r="A24" s="98" t="s">
        <v>222</v>
      </c>
      <c r="B24" s="97" t="s">
        <v>223</v>
      </c>
      <c r="C24" s="34">
        <v>2500</v>
      </c>
      <c r="D24" s="34"/>
      <c r="E24" s="34"/>
    </row>
    <row r="25" spans="1:5">
      <c r="A25" s="98" t="s">
        <v>398</v>
      </c>
      <c r="B25" s="97" t="s">
        <v>399</v>
      </c>
      <c r="C25" s="34">
        <v>3453.52</v>
      </c>
      <c r="D25" s="34"/>
      <c r="E25" s="34"/>
    </row>
    <row r="26" spans="1:5">
      <c r="A26" s="98" t="s">
        <v>224</v>
      </c>
      <c r="B26" s="97" t="s">
        <v>225</v>
      </c>
      <c r="C26" s="34">
        <v>2150.16</v>
      </c>
      <c r="D26" s="34"/>
      <c r="E26" s="34"/>
    </row>
    <row r="27" spans="1:5">
      <c r="A27" s="98" t="s">
        <v>404</v>
      </c>
      <c r="B27" s="97" t="s">
        <v>405</v>
      </c>
      <c r="C27" s="34">
        <v>5350</v>
      </c>
      <c r="D27" s="34"/>
      <c r="E27" s="34"/>
    </row>
    <row r="28" spans="1:5">
      <c r="A28" s="98" t="s">
        <v>226</v>
      </c>
      <c r="B28" s="97" t="s">
        <v>227</v>
      </c>
      <c r="C28" s="34">
        <v>11271.9</v>
      </c>
      <c r="D28" s="34"/>
      <c r="E28" s="34"/>
    </row>
    <row r="29" spans="1:5">
      <c r="A29" s="98" t="s">
        <v>228</v>
      </c>
      <c r="B29" s="97" t="s">
        <v>229</v>
      </c>
      <c r="C29" s="34">
        <v>7305.25</v>
      </c>
      <c r="D29" s="34"/>
      <c r="E29" s="34"/>
    </row>
    <row r="30" spans="1:5">
      <c r="A30" s="98" t="s">
        <v>230</v>
      </c>
      <c r="B30" s="97" t="s">
        <v>231</v>
      </c>
      <c r="C30" s="34">
        <v>8731.07</v>
      </c>
      <c r="D30" s="34">
        <v>500</v>
      </c>
      <c r="E30" s="34"/>
    </row>
    <row r="31" spans="1:5">
      <c r="A31" s="98" t="s">
        <v>232</v>
      </c>
      <c r="B31" s="97" t="s">
        <v>233</v>
      </c>
      <c r="C31" s="34">
        <v>2392.98</v>
      </c>
      <c r="D31" s="34"/>
      <c r="E31" s="34"/>
    </row>
    <row r="32" spans="1:5">
      <c r="A32" s="98" t="s">
        <v>234</v>
      </c>
      <c r="B32" s="97" t="s">
        <v>235</v>
      </c>
      <c r="C32" s="34">
        <v>11173.02</v>
      </c>
      <c r="D32" s="34"/>
      <c r="E32" s="34"/>
    </row>
    <row r="33" spans="1:5">
      <c r="A33" s="98" t="s">
        <v>236</v>
      </c>
      <c r="B33" s="97" t="s">
        <v>237</v>
      </c>
      <c r="C33" s="34">
        <v>2006.19</v>
      </c>
      <c r="D33" s="34"/>
      <c r="E33" s="34"/>
    </row>
    <row r="34" spans="1:5">
      <c r="A34" s="98" t="s">
        <v>238</v>
      </c>
      <c r="B34" s="97" t="s">
        <v>239</v>
      </c>
      <c r="C34" s="34">
        <v>2242.63</v>
      </c>
      <c r="D34" s="34"/>
      <c r="E34" s="34"/>
    </row>
    <row r="35" spans="1:5">
      <c r="A35" s="98" t="s">
        <v>240</v>
      </c>
      <c r="B35" s="97" t="s">
        <v>241</v>
      </c>
      <c r="C35" s="34">
        <v>1628.32</v>
      </c>
      <c r="D35" s="34"/>
      <c r="E35" s="34"/>
    </row>
    <row r="36" spans="1:5">
      <c r="A36" s="98" t="s">
        <v>242</v>
      </c>
      <c r="B36" s="97" t="s">
        <v>243</v>
      </c>
      <c r="C36" s="34">
        <v>1950.98</v>
      </c>
      <c r="D36" s="34"/>
      <c r="E36" s="34"/>
    </row>
    <row r="37" spans="1:5">
      <c r="A37" s="98" t="s">
        <v>244</v>
      </c>
      <c r="B37" s="97" t="s">
        <v>245</v>
      </c>
      <c r="C37" s="34">
        <v>2546.19</v>
      </c>
      <c r="D37" s="34"/>
      <c r="E37" s="34"/>
    </row>
    <row r="38" spans="1:5">
      <c r="A38" s="98" t="s">
        <v>246</v>
      </c>
      <c r="B38" s="97" t="s">
        <v>247</v>
      </c>
      <c r="C38" s="34"/>
      <c r="D38" s="34">
        <v>187.5</v>
      </c>
      <c r="E38" s="34"/>
    </row>
    <row r="39" spans="1:5">
      <c r="A39" s="98" t="s">
        <v>250</v>
      </c>
      <c r="B39" s="97" t="s">
        <v>251</v>
      </c>
      <c r="C39" s="34">
        <v>9197.09</v>
      </c>
      <c r="D39" s="34"/>
      <c r="E39" s="34"/>
    </row>
    <row r="40" spans="1:5">
      <c r="A40" s="98" t="s">
        <v>252</v>
      </c>
      <c r="B40" s="97" t="s">
        <v>253</v>
      </c>
      <c r="C40" s="34">
        <v>1512.73</v>
      </c>
      <c r="D40" s="34"/>
      <c r="E40" s="34"/>
    </row>
    <row r="41" spans="1:5">
      <c r="A41" s="98" t="s">
        <v>254</v>
      </c>
      <c r="B41" s="97" t="s">
        <v>255</v>
      </c>
      <c r="C41" s="34">
        <v>2610</v>
      </c>
      <c r="D41" s="34"/>
      <c r="E41" s="34"/>
    </row>
    <row r="42" spans="1:5">
      <c r="A42" s="98" t="s">
        <v>256</v>
      </c>
      <c r="B42" s="97" t="s">
        <v>257</v>
      </c>
      <c r="C42" s="34">
        <v>3076.54</v>
      </c>
      <c r="D42" s="34"/>
      <c r="E42" s="34"/>
    </row>
    <row r="43" spans="1:5">
      <c r="A43" s="98" t="s">
        <v>418</v>
      </c>
      <c r="B43" s="97" t="s">
        <v>419</v>
      </c>
      <c r="C43" s="34">
        <v>14887.93</v>
      </c>
      <c r="D43" s="34"/>
      <c r="E43" s="34"/>
    </row>
    <row r="44" spans="1:5">
      <c r="A44" s="98" t="s">
        <v>260</v>
      </c>
      <c r="B44" s="97" t="s">
        <v>261</v>
      </c>
      <c r="C44" s="34">
        <v>5621.04</v>
      </c>
      <c r="D44" s="34"/>
      <c r="E44" s="34"/>
    </row>
    <row r="45" spans="1:5">
      <c r="A45" s="98" t="s">
        <v>262</v>
      </c>
      <c r="B45" s="97" t="s">
        <v>263</v>
      </c>
      <c r="C45" s="34">
        <v>2337.9850000000001</v>
      </c>
      <c r="D45" s="34"/>
      <c r="E45" s="34"/>
    </row>
    <row r="46" spans="1:5">
      <c r="A46" s="98" t="s">
        <v>264</v>
      </c>
      <c r="B46" s="97" t="s">
        <v>265</v>
      </c>
      <c r="C46" s="34">
        <v>1050.4390000000001</v>
      </c>
      <c r="D46" s="34"/>
      <c r="E46" s="34"/>
    </row>
    <row r="47" spans="1:5">
      <c r="A47" s="98" t="s">
        <v>266</v>
      </c>
      <c r="B47" s="97" t="s">
        <v>267</v>
      </c>
      <c r="C47" s="34">
        <v>8930.5110000000004</v>
      </c>
      <c r="D47" s="34"/>
      <c r="E47" s="34"/>
    </row>
    <row r="48" spans="1:5">
      <c r="A48" s="98" t="s">
        <v>268</v>
      </c>
      <c r="B48" s="97" t="s">
        <v>269</v>
      </c>
      <c r="C48" s="34">
        <v>1744.1089999999999</v>
      </c>
      <c r="D48" s="34"/>
      <c r="E48" s="32">
        <v>300</v>
      </c>
    </row>
    <row r="49" spans="1:5">
      <c r="A49" s="98" t="s">
        <v>270</v>
      </c>
      <c r="B49" s="97" t="s">
        <v>271</v>
      </c>
      <c r="C49" s="34">
        <v>80.2</v>
      </c>
      <c r="D49" s="34"/>
      <c r="E49" s="34"/>
    </row>
    <row r="50" spans="1:5">
      <c r="A50" s="98" t="s">
        <v>272</v>
      </c>
      <c r="B50" s="97" t="s">
        <v>273</v>
      </c>
      <c r="C50" s="34">
        <v>3483.5390000000002</v>
      </c>
      <c r="D50" s="34"/>
      <c r="E50" s="32">
        <v>700</v>
      </c>
    </row>
    <row r="51" spans="1:5">
      <c r="A51" s="98" t="s">
        <v>274</v>
      </c>
      <c r="B51" s="97" t="s">
        <v>275</v>
      </c>
      <c r="C51" s="34">
        <v>2570.6279999999997</v>
      </c>
      <c r="D51" s="34">
        <v>187.5</v>
      </c>
      <c r="E51" s="34"/>
    </row>
    <row r="52" spans="1:5">
      <c r="A52" s="98" t="s">
        <v>276</v>
      </c>
      <c r="B52" s="97" t="s">
        <v>277</v>
      </c>
      <c r="C52" s="34">
        <v>993.9</v>
      </c>
      <c r="D52" s="34"/>
      <c r="E52" s="34"/>
    </row>
    <row r="53" spans="1:5">
      <c r="A53" s="98" t="s">
        <v>278</v>
      </c>
      <c r="B53" s="97" t="s">
        <v>279</v>
      </c>
      <c r="C53" s="34">
        <v>3156.1390000000001</v>
      </c>
      <c r="D53" s="34"/>
      <c r="E53" s="34">
        <v>150</v>
      </c>
    </row>
    <row r="54" spans="1:5">
      <c r="A54" s="98" t="s">
        <v>280</v>
      </c>
      <c r="B54" s="97" t="s">
        <v>281</v>
      </c>
      <c r="C54" s="34">
        <v>2862.5720000000001</v>
      </c>
      <c r="D54" s="34"/>
      <c r="E54" s="32">
        <v>500</v>
      </c>
    </row>
    <row r="55" spans="1:5">
      <c r="A55" s="98" t="s">
        <v>282</v>
      </c>
      <c r="B55" s="97" t="s">
        <v>283</v>
      </c>
      <c r="C55" s="34">
        <v>4808.9719999999998</v>
      </c>
      <c r="D55" s="34"/>
      <c r="E55" s="34">
        <v>1000</v>
      </c>
    </row>
    <row r="56" spans="1:5">
      <c r="A56" s="98" t="s">
        <v>284</v>
      </c>
      <c r="B56" s="97" t="s">
        <v>285</v>
      </c>
      <c r="C56" s="34">
        <v>3648.982</v>
      </c>
      <c r="D56" s="34"/>
      <c r="E56" s="34"/>
    </row>
    <row r="57" spans="1:5">
      <c r="A57" s="98" t="s">
        <v>286</v>
      </c>
      <c r="B57" s="97" t="s">
        <v>287</v>
      </c>
      <c r="C57" s="34">
        <v>3128.5060000000003</v>
      </c>
      <c r="D57" s="34"/>
      <c r="E57" s="34"/>
    </row>
    <row r="58" spans="1:5">
      <c r="A58" s="98" t="s">
        <v>288</v>
      </c>
      <c r="B58" s="97" t="s">
        <v>289</v>
      </c>
      <c r="C58" s="34">
        <v>5694.7969999999996</v>
      </c>
      <c r="D58" s="34"/>
      <c r="E58" s="34"/>
    </row>
    <row r="59" spans="1:5">
      <c r="A59" s="98" t="s">
        <v>290</v>
      </c>
      <c r="B59" s="97" t="s">
        <v>291</v>
      </c>
      <c r="C59" s="34">
        <v>1080.3699999999999</v>
      </c>
      <c r="D59" s="34"/>
      <c r="E59" s="34"/>
    </row>
    <row r="60" spans="1:5">
      <c r="A60" s="98" t="s">
        <v>422</v>
      </c>
      <c r="B60" s="97" t="s">
        <v>423</v>
      </c>
      <c r="C60" s="34">
        <v>500</v>
      </c>
      <c r="D60" s="34"/>
      <c r="E60" s="34"/>
    </row>
    <row r="61" spans="1:5">
      <c r="A61" s="98" t="s">
        <v>294</v>
      </c>
      <c r="B61" s="97" t="s">
        <v>295</v>
      </c>
      <c r="C61" s="34">
        <v>1508.2759999999998</v>
      </c>
      <c r="D61" s="34"/>
      <c r="E61" s="34">
        <v>300</v>
      </c>
    </row>
    <row r="62" spans="1:5">
      <c r="A62" s="98" t="s">
        <v>296</v>
      </c>
      <c r="B62" s="97" t="s">
        <v>297</v>
      </c>
      <c r="C62" s="34">
        <v>1983.2280000000001</v>
      </c>
      <c r="D62" s="34"/>
      <c r="E62" s="34"/>
    </row>
    <row r="63" spans="1:5">
      <c r="A63" s="98" t="s">
        <v>300</v>
      </c>
      <c r="B63" s="97" t="s">
        <v>301</v>
      </c>
      <c r="C63" s="34">
        <v>5860.2460000000001</v>
      </c>
      <c r="D63" s="34"/>
      <c r="E63" s="34"/>
    </row>
    <row r="64" spans="1:5">
      <c r="A64" s="98" t="s">
        <v>302</v>
      </c>
      <c r="B64" s="97" t="s">
        <v>303</v>
      </c>
      <c r="C64" s="34">
        <v>1945.664</v>
      </c>
      <c r="D64" s="34"/>
      <c r="E64" s="34"/>
    </row>
    <row r="65" spans="1:5">
      <c r="A65" s="98" t="s">
        <v>306</v>
      </c>
      <c r="B65" s="97" t="s">
        <v>307</v>
      </c>
      <c r="C65" s="34">
        <v>1513.1989999999998</v>
      </c>
      <c r="D65" s="34"/>
      <c r="E65" s="34"/>
    </row>
    <row r="66" spans="1:5">
      <c r="A66" s="98" t="s">
        <v>308</v>
      </c>
      <c r="B66" s="97" t="s">
        <v>309</v>
      </c>
      <c r="C66" s="34">
        <v>5132.1959999999999</v>
      </c>
      <c r="D66" s="34"/>
      <c r="E66" s="34"/>
    </row>
    <row r="67" spans="1:5">
      <c r="A67" s="98" t="s">
        <v>310</v>
      </c>
      <c r="B67" s="97" t="s">
        <v>311</v>
      </c>
      <c r="C67" s="34">
        <v>4164.2060000000001</v>
      </c>
      <c r="D67" s="34"/>
      <c r="E67" s="34"/>
    </row>
    <row r="68" spans="1:5">
      <c r="A68" s="98" t="s">
        <v>312</v>
      </c>
      <c r="B68" s="97" t="s">
        <v>313</v>
      </c>
      <c r="C68" s="34">
        <v>1737.2130000000002</v>
      </c>
      <c r="D68" s="34"/>
      <c r="E68" s="34"/>
    </row>
    <row r="69" spans="1:5">
      <c r="A69" s="98" t="s">
        <v>314</v>
      </c>
      <c r="B69" s="97" t="s">
        <v>315</v>
      </c>
      <c r="C69" s="34">
        <v>1126.971</v>
      </c>
      <c r="D69" s="34"/>
      <c r="E69" s="34">
        <v>500</v>
      </c>
    </row>
    <row r="70" spans="1:5">
      <c r="A70" s="98" t="s">
        <v>316</v>
      </c>
      <c r="B70" s="97" t="s">
        <v>317</v>
      </c>
      <c r="C70" s="34">
        <v>5055.0590000000002</v>
      </c>
      <c r="D70" s="34"/>
      <c r="E70" s="34"/>
    </row>
    <row r="71" spans="1:5">
      <c r="A71" s="98" t="s">
        <v>318</v>
      </c>
      <c r="B71" s="97" t="s">
        <v>319</v>
      </c>
      <c r="C71" s="34">
        <v>282.89999999999998</v>
      </c>
      <c r="D71" s="34"/>
      <c r="E71" s="34"/>
    </row>
    <row r="72" spans="1:5">
      <c r="A72" s="98" t="s">
        <v>320</v>
      </c>
      <c r="B72" s="97" t="s">
        <v>321</v>
      </c>
      <c r="C72" s="34">
        <v>1970.5439999999999</v>
      </c>
      <c r="D72" s="34"/>
      <c r="E72" s="34"/>
    </row>
    <row r="73" spans="1:5">
      <c r="A73" s="98" t="s">
        <v>322</v>
      </c>
      <c r="B73" s="97" t="s">
        <v>323</v>
      </c>
      <c r="C73" s="34">
        <v>4793.1390000000001</v>
      </c>
      <c r="D73" s="34"/>
      <c r="E73" s="34"/>
    </row>
    <row r="74" spans="1:5">
      <c r="A74" s="98" t="s">
        <v>324</v>
      </c>
      <c r="B74" s="97" t="s">
        <v>325</v>
      </c>
      <c r="C74" s="34">
        <v>2824.8209999999999</v>
      </c>
      <c r="D74" s="34"/>
      <c r="E74" s="34">
        <v>200</v>
      </c>
    </row>
    <row r="75" spans="1:5">
      <c r="A75" s="98" t="s">
        <v>326</v>
      </c>
      <c r="B75" s="97" t="s">
        <v>327</v>
      </c>
      <c r="C75" s="34">
        <v>1616.5709999999999</v>
      </c>
      <c r="D75" s="34"/>
      <c r="E75" s="34"/>
    </row>
    <row r="76" spans="1:5">
      <c r="A76" s="98" t="s">
        <v>328</v>
      </c>
      <c r="B76" s="97" t="s">
        <v>329</v>
      </c>
      <c r="C76" s="34">
        <v>2365.8519999999999</v>
      </c>
      <c r="D76" s="34"/>
      <c r="E76" s="34"/>
    </row>
    <row r="77" spans="1:5">
      <c r="A77" s="98" t="s">
        <v>330</v>
      </c>
      <c r="B77" s="97" t="s">
        <v>331</v>
      </c>
      <c r="C77" s="34">
        <v>1638.6</v>
      </c>
      <c r="D77" s="34"/>
      <c r="E77" s="34"/>
    </row>
    <row r="78" spans="1:5">
      <c r="A78" s="98" t="s">
        <v>332</v>
      </c>
      <c r="B78" s="97" t="s">
        <v>333</v>
      </c>
      <c r="C78" s="34">
        <v>423.6</v>
      </c>
      <c r="D78" s="34"/>
      <c r="E78" s="34"/>
    </row>
    <row r="79" spans="1:5">
      <c r="A79" s="98" t="s">
        <v>334</v>
      </c>
      <c r="B79" s="97" t="s">
        <v>335</v>
      </c>
      <c r="C79" s="34">
        <v>5141.2420000000002</v>
      </c>
      <c r="D79" s="34"/>
      <c r="E79" s="34">
        <v>200</v>
      </c>
    </row>
    <row r="80" spans="1:5">
      <c r="A80" s="98" t="s">
        <v>336</v>
      </c>
      <c r="B80" s="97" t="s">
        <v>337</v>
      </c>
      <c r="C80" s="34">
        <v>3905.6279999999997</v>
      </c>
      <c r="D80" s="34"/>
      <c r="E80" s="34">
        <v>200</v>
      </c>
    </row>
    <row r="81" spans="1:5">
      <c r="A81" s="98" t="s">
        <v>338</v>
      </c>
      <c r="B81" s="97" t="s">
        <v>339</v>
      </c>
      <c r="C81" s="34">
        <v>5908.6230000000005</v>
      </c>
      <c r="D81" s="34"/>
      <c r="E81" s="34"/>
    </row>
    <row r="82" spans="1:5">
      <c r="A82" s="98" t="s">
        <v>340</v>
      </c>
      <c r="B82" s="97" t="s">
        <v>341</v>
      </c>
      <c r="C82" s="34">
        <v>3707.134</v>
      </c>
      <c r="D82" s="34"/>
      <c r="E82" s="34"/>
    </row>
    <row r="83" spans="1:5">
      <c r="A83" s="98" t="s">
        <v>342</v>
      </c>
      <c r="B83" s="97" t="s">
        <v>343</v>
      </c>
      <c r="C83" s="34">
        <v>487.2</v>
      </c>
      <c r="D83" s="34"/>
      <c r="E83" s="34"/>
    </row>
    <row r="84" spans="1:5">
      <c r="A84" s="98" t="s">
        <v>344</v>
      </c>
      <c r="B84" s="97" t="s">
        <v>345</v>
      </c>
      <c r="C84" s="34">
        <v>490.8</v>
      </c>
      <c r="D84" s="34"/>
      <c r="E84" s="34"/>
    </row>
    <row r="85" spans="1:5">
      <c r="A85" s="98" t="s">
        <v>346</v>
      </c>
      <c r="B85" s="97" t="s">
        <v>347</v>
      </c>
      <c r="C85" s="34">
        <v>3862.45</v>
      </c>
      <c r="D85" s="34"/>
      <c r="E85" s="34">
        <v>150</v>
      </c>
    </row>
    <row r="86" spans="1:5">
      <c r="A86" s="98" t="s">
        <v>348</v>
      </c>
      <c r="B86" s="97" t="s">
        <v>349</v>
      </c>
      <c r="C86" s="34">
        <v>4587.2259999999997</v>
      </c>
      <c r="D86" s="34"/>
      <c r="E86" s="34"/>
    </row>
    <row r="87" spans="1:5">
      <c r="A87" s="98" t="s">
        <v>350</v>
      </c>
      <c r="B87" s="97" t="s">
        <v>351</v>
      </c>
      <c r="C87" s="34">
        <v>6171.357</v>
      </c>
      <c r="D87" s="34"/>
      <c r="E87" s="34">
        <v>500</v>
      </c>
    </row>
    <row r="88" spans="1:5">
      <c r="B88" s="18"/>
    </row>
    <row r="89" spans="1:5">
      <c r="B89" s="18"/>
    </row>
    <row r="90" spans="1:5">
      <c r="B90" s="18"/>
    </row>
    <row r="91" spans="1:5">
      <c r="B91" s="18"/>
    </row>
    <row r="92" spans="1:5">
      <c r="B92" s="18"/>
    </row>
    <row r="93" spans="1:5">
      <c r="B93" s="18"/>
    </row>
    <row r="94" spans="1:5">
      <c r="B94" s="18"/>
    </row>
    <row r="95" spans="1:5">
      <c r="B95" s="18"/>
    </row>
    <row r="96" spans="1:5">
      <c r="B96" s="18"/>
    </row>
    <row r="97" spans="2:2">
      <c r="B97" s="18"/>
    </row>
    <row r="98" spans="2:2">
      <c r="B98" s="18"/>
    </row>
  </sheetData>
  <mergeCells count="3">
    <mergeCell ref="C5:C6"/>
    <mergeCell ref="D5:D6"/>
    <mergeCell ref="E5:E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" sqref="C1:D26"/>
    </sheetView>
  </sheetViews>
  <sheetFormatPr baseColWidth="10" defaultRowHeight="12.75"/>
  <cols>
    <col min="2" max="2" width="25.140625" bestFit="1" customWidth="1"/>
  </cols>
  <sheetData>
    <row r="1" spans="1:4" ht="15">
      <c r="A1" s="100" t="s">
        <v>264</v>
      </c>
      <c r="B1" s="99" t="s">
        <v>265</v>
      </c>
      <c r="C1" s="61">
        <v>84.197190000000006</v>
      </c>
      <c r="D1" s="61">
        <v>17.1831</v>
      </c>
    </row>
    <row r="2" spans="1:4" ht="15">
      <c r="A2" s="100" t="s">
        <v>266</v>
      </c>
      <c r="B2" s="99" t="s">
        <v>267</v>
      </c>
      <c r="C2" s="61">
        <v>468.32436000000001</v>
      </c>
      <c r="D2" s="61">
        <v>95.576399999999992</v>
      </c>
    </row>
    <row r="3" spans="1:4" ht="15">
      <c r="A3" s="100" t="s">
        <v>268</v>
      </c>
      <c r="B3" s="99" t="s">
        <v>269</v>
      </c>
      <c r="C3" s="61">
        <v>116.19076</v>
      </c>
      <c r="D3" s="61">
        <v>23.712399999999999</v>
      </c>
    </row>
    <row r="4" spans="1:4" ht="15">
      <c r="A4" s="100" t="s">
        <v>270</v>
      </c>
      <c r="B4" s="99" t="s">
        <v>271</v>
      </c>
      <c r="C4" s="61">
        <v>8.2594399999999997</v>
      </c>
      <c r="D4" s="61">
        <v>1.6856</v>
      </c>
    </row>
    <row r="5" spans="1:4" ht="15">
      <c r="A5" s="100" t="s">
        <v>272</v>
      </c>
      <c r="B5" s="99" t="s">
        <v>273</v>
      </c>
      <c r="C5" s="61">
        <v>201.00094000000001</v>
      </c>
      <c r="D5" s="61">
        <v>41.020600000000002</v>
      </c>
    </row>
    <row r="6" spans="1:4" ht="15">
      <c r="A6" s="100" t="s">
        <v>276</v>
      </c>
      <c r="B6" s="99" t="s">
        <v>277</v>
      </c>
      <c r="C6" s="61">
        <v>79.008580000000009</v>
      </c>
      <c r="D6" s="61">
        <v>16.124200000000002</v>
      </c>
    </row>
    <row r="7" spans="1:4" ht="15">
      <c r="A7" s="100" t="s">
        <v>280</v>
      </c>
      <c r="B7" s="99" t="s">
        <v>281</v>
      </c>
      <c r="C7" s="61">
        <v>256.00882999999999</v>
      </c>
      <c r="D7" s="61">
        <v>52.246700000000004</v>
      </c>
    </row>
    <row r="8" spans="1:4" ht="15">
      <c r="A8" s="100" t="s">
        <v>282</v>
      </c>
      <c r="B8" s="99" t="s">
        <v>283</v>
      </c>
      <c r="C8" s="61">
        <v>266.36890000000005</v>
      </c>
      <c r="D8" s="61">
        <v>54.361000000000004</v>
      </c>
    </row>
    <row r="9" spans="1:4" ht="15">
      <c r="A9" s="100" t="s">
        <v>284</v>
      </c>
      <c r="B9" s="99" t="s">
        <v>285</v>
      </c>
      <c r="C9" s="61">
        <v>209.10750000000002</v>
      </c>
      <c r="D9" s="61">
        <v>42.675000000000004</v>
      </c>
    </row>
    <row r="10" spans="1:4" ht="15">
      <c r="A10" s="100" t="s">
        <v>290</v>
      </c>
      <c r="B10" s="99" t="s">
        <v>291</v>
      </c>
      <c r="C10" s="61">
        <v>83.245610000000013</v>
      </c>
      <c r="D10" s="61">
        <v>16.988900000000001</v>
      </c>
    </row>
    <row r="11" spans="1:4" ht="15">
      <c r="A11" s="100" t="s">
        <v>294</v>
      </c>
      <c r="B11" s="99" t="s">
        <v>295</v>
      </c>
      <c r="C11" s="61">
        <v>104.21320000000001</v>
      </c>
      <c r="D11" s="61">
        <v>21.268000000000001</v>
      </c>
    </row>
    <row r="12" spans="1:4" ht="15">
      <c r="A12" s="100" t="s">
        <v>298</v>
      </c>
      <c r="B12" s="99" t="s">
        <v>299</v>
      </c>
      <c r="C12" s="61">
        <v>196.89914999999999</v>
      </c>
      <c r="D12" s="61">
        <v>40.183500000000002</v>
      </c>
    </row>
    <row r="13" spans="1:4" ht="15">
      <c r="A13" s="100" t="s">
        <v>302</v>
      </c>
      <c r="B13" s="99" t="s">
        <v>303</v>
      </c>
      <c r="C13" s="61">
        <v>126.06671</v>
      </c>
      <c r="D13" s="61">
        <v>25.727900000000002</v>
      </c>
    </row>
    <row r="14" spans="1:4" ht="15">
      <c r="A14" s="100" t="s">
        <v>306</v>
      </c>
      <c r="B14" s="99" t="s">
        <v>307</v>
      </c>
      <c r="C14" s="61">
        <v>104.45428</v>
      </c>
      <c r="D14" s="61">
        <v>21.3172</v>
      </c>
    </row>
    <row r="15" spans="1:4" ht="15">
      <c r="A15" s="100" t="s">
        <v>312</v>
      </c>
      <c r="B15" s="99" t="s">
        <v>313</v>
      </c>
      <c r="C15" s="61">
        <v>115.85266000000001</v>
      </c>
      <c r="D15" s="61">
        <v>23.643400000000003</v>
      </c>
    </row>
    <row r="16" spans="1:4" ht="15">
      <c r="A16" s="100" t="s">
        <v>314</v>
      </c>
      <c r="B16" s="99" t="s">
        <v>315</v>
      </c>
      <c r="C16" s="61">
        <v>85.52901</v>
      </c>
      <c r="D16" s="61">
        <v>17.454900000000002</v>
      </c>
    </row>
    <row r="17" spans="1:4" ht="15">
      <c r="A17" s="100" t="s">
        <v>318</v>
      </c>
      <c r="B17" s="99" t="s">
        <v>319</v>
      </c>
      <c r="C17" s="61">
        <v>44.169579999999996</v>
      </c>
      <c r="D17" s="61">
        <v>9.0142000000000007</v>
      </c>
    </row>
    <row r="18" spans="1:4" ht="15">
      <c r="A18" s="100" t="s">
        <v>320</v>
      </c>
      <c r="B18" s="99" t="s">
        <v>321</v>
      </c>
      <c r="C18" s="61">
        <v>127.2824</v>
      </c>
      <c r="D18" s="61">
        <v>25.975999999999999</v>
      </c>
    </row>
    <row r="19" spans="1:4" ht="15">
      <c r="A19" s="100" t="s">
        <v>324</v>
      </c>
      <c r="B19" s="99" t="s">
        <v>325</v>
      </c>
      <c r="C19" s="61">
        <v>169.14554999999999</v>
      </c>
      <c r="D19" s="61">
        <v>34.519500000000001</v>
      </c>
    </row>
    <row r="20" spans="1:4" ht="15">
      <c r="A20" s="100" t="s">
        <v>328</v>
      </c>
      <c r="B20" s="99" t="s">
        <v>329</v>
      </c>
      <c r="C20" s="61">
        <v>146.23412999999999</v>
      </c>
      <c r="D20" s="61">
        <v>29.843699999999998</v>
      </c>
    </row>
    <row r="21" spans="1:4" ht="15">
      <c r="A21" s="100" t="s">
        <v>330</v>
      </c>
      <c r="B21" s="99" t="s">
        <v>331</v>
      </c>
      <c r="C21" s="61">
        <v>110.83555</v>
      </c>
      <c r="D21" s="61">
        <v>22.619499999999999</v>
      </c>
    </row>
    <row r="22" spans="1:4" ht="15">
      <c r="A22" s="100" t="s">
        <v>332</v>
      </c>
      <c r="B22" s="99" t="s">
        <v>333</v>
      </c>
      <c r="C22" s="61">
        <v>51.063879999999997</v>
      </c>
      <c r="D22" s="61">
        <v>10.421199999999999</v>
      </c>
    </row>
    <row r="23" spans="1:4" ht="15">
      <c r="A23" s="100" t="s">
        <v>334</v>
      </c>
      <c r="B23" s="99" t="s">
        <v>335</v>
      </c>
      <c r="C23" s="61">
        <v>282.65012999999999</v>
      </c>
      <c r="D23" s="61">
        <v>57.683700000000002</v>
      </c>
    </row>
    <row r="24" spans="1:4" ht="15">
      <c r="A24" s="100" t="s">
        <v>342</v>
      </c>
      <c r="B24" s="99" t="s">
        <v>343</v>
      </c>
      <c r="C24" s="61">
        <v>54.180280000000003</v>
      </c>
      <c r="D24" s="61">
        <v>11.0572</v>
      </c>
    </row>
    <row r="25" spans="1:4" ht="15">
      <c r="A25" s="100" t="s">
        <v>344</v>
      </c>
      <c r="B25" s="99" t="s">
        <v>345</v>
      </c>
      <c r="C25" s="61">
        <v>54.356679999999997</v>
      </c>
      <c r="D25" s="61">
        <v>11.0932</v>
      </c>
    </row>
    <row r="26" spans="1:4" ht="15">
      <c r="A26" s="100" t="s">
        <v>346</v>
      </c>
      <c r="B26" s="99" t="s">
        <v>347</v>
      </c>
      <c r="C26" s="61">
        <v>219.98942</v>
      </c>
      <c r="D26" s="61">
        <v>44.895800000000001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2017-12-29T20:15:44Z</dcterms:modified>
</cp:coreProperties>
</file>