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200" windowHeight="11595"/>
  </bookViews>
  <sheets>
    <sheet name="FORMATO NOMINA" sheetId="4" r:id="rId1"/>
    <sheet name="Hoja1" sheetId="5" r:id="rId2"/>
    <sheet name="Hoja2" sheetId="6" r:id="rId3"/>
  </sheets>
  <definedNames>
    <definedName name="_xlnm._FilterDatabase" localSheetId="0" hidden="1">'FORMATO NOMINA'!$A$5:$AG$66</definedName>
  </definedNames>
  <calcPr calcId="144525"/>
</workbook>
</file>

<file path=xl/calcChain.xml><?xml version="1.0" encoding="utf-8"?>
<calcChain xmlns="http://schemas.openxmlformats.org/spreadsheetml/2006/main">
  <c r="F89" i="4" l="1"/>
  <c r="J89" i="4" s="1"/>
  <c r="V89" i="4" s="1"/>
  <c r="F91" i="4"/>
  <c r="J91" i="4" s="1"/>
  <c r="V91" i="4" s="1"/>
  <c r="F95" i="4"/>
  <c r="F76" i="4"/>
  <c r="F101" i="4"/>
  <c r="F104" i="4"/>
  <c r="F79" i="4"/>
  <c r="F93" i="4"/>
  <c r="F118" i="4"/>
  <c r="F111" i="4"/>
  <c r="F112" i="4"/>
  <c r="F82" i="4"/>
  <c r="F85" i="4"/>
  <c r="F81" i="4"/>
  <c r="F105" i="4"/>
  <c r="F83" i="4"/>
  <c r="F100" i="4"/>
  <c r="F78" i="4"/>
  <c r="F116" i="4"/>
  <c r="F96" i="4"/>
  <c r="F99" i="4"/>
  <c r="F75" i="4"/>
  <c r="F113" i="4"/>
  <c r="F117" i="4"/>
  <c r="F94" i="4"/>
  <c r="F103" i="4"/>
  <c r="F98" i="4"/>
  <c r="F106" i="4"/>
  <c r="F110" i="4"/>
  <c r="F86" i="4"/>
  <c r="F97" i="4"/>
  <c r="F84" i="4"/>
  <c r="F90" i="4"/>
  <c r="F92" i="4"/>
  <c r="F74" i="4"/>
  <c r="F12" i="4"/>
  <c r="K121" i="4" l="1"/>
  <c r="L121" i="4"/>
  <c r="M121" i="4"/>
  <c r="N121" i="4"/>
  <c r="O121" i="4"/>
  <c r="P121" i="4"/>
  <c r="Q121" i="4"/>
  <c r="R121" i="4"/>
  <c r="S121" i="4"/>
  <c r="T121" i="4"/>
  <c r="U121" i="4"/>
  <c r="G121" i="4"/>
  <c r="H121" i="4"/>
  <c r="I121" i="4"/>
  <c r="E121" i="4"/>
  <c r="J67" i="4" l="1"/>
  <c r="J52" i="4"/>
  <c r="V52" i="4" s="1"/>
  <c r="J119" i="4"/>
  <c r="V119" i="4" s="1"/>
  <c r="J88" i="4"/>
  <c r="V88" i="4" s="1"/>
  <c r="F121" i="4" l="1"/>
  <c r="J15" i="4"/>
  <c r="J14" i="4"/>
  <c r="J40" i="4"/>
  <c r="V40" i="4" s="1"/>
  <c r="J34" i="4" l="1"/>
  <c r="V34" i="4" s="1"/>
  <c r="J9" i="4"/>
  <c r="V9" i="4" s="1"/>
  <c r="J21" i="4" l="1"/>
  <c r="J22" i="4"/>
  <c r="J109" i="4"/>
  <c r="V109" i="4" s="1"/>
  <c r="J110" i="4"/>
  <c r="U70" i="4" l="1"/>
  <c r="F70" i="4" l="1"/>
  <c r="J116" i="4" l="1"/>
  <c r="J115" i="4"/>
  <c r="J114" i="4"/>
  <c r="J113" i="4"/>
  <c r="J102" i="4"/>
  <c r="V102" i="4" s="1"/>
  <c r="J57" i="4"/>
  <c r="J38" i="4"/>
  <c r="J68" i="4"/>
  <c r="J73" i="4"/>
  <c r="G70" i="4"/>
  <c r="H70" i="4"/>
  <c r="I70" i="4"/>
  <c r="K70" i="4"/>
  <c r="L70" i="4"/>
  <c r="M70" i="4"/>
  <c r="N70" i="4"/>
  <c r="O70" i="4"/>
  <c r="P70" i="4"/>
  <c r="Q70" i="4"/>
  <c r="R70" i="4"/>
  <c r="S70" i="4"/>
  <c r="T70" i="4"/>
  <c r="E70" i="4"/>
  <c r="V73" i="4" l="1"/>
  <c r="J117" i="4"/>
  <c r="V117" i="4" s="1"/>
  <c r="J7" i="4"/>
  <c r="V7" i="4" l="1"/>
  <c r="J87" i="4"/>
  <c r="V87" i="4" s="1"/>
  <c r="J11" i="4" l="1"/>
  <c r="J27" i="4"/>
  <c r="V27" i="4" s="1"/>
  <c r="J51" i="4"/>
  <c r="V51" i="4" s="1"/>
  <c r="J13" i="4" l="1"/>
  <c r="J46" i="4"/>
  <c r="J131" i="4"/>
  <c r="V131" i="4" s="1"/>
  <c r="J18" i="4" l="1"/>
  <c r="V18" i="4" s="1"/>
  <c r="J19" i="4"/>
  <c r="J23" i="4"/>
  <c r="J24" i="4"/>
  <c r="J39" i="4"/>
  <c r="V39" i="4" s="1"/>
  <c r="J47" i="4" l="1"/>
  <c r="V47" i="4" s="1"/>
  <c r="J76" i="4" l="1"/>
  <c r="J10" i="4" l="1"/>
  <c r="J12" i="4"/>
  <c r="J16" i="4"/>
  <c r="J17" i="4"/>
  <c r="V23" i="4"/>
  <c r="V24" i="4"/>
  <c r="J25" i="4"/>
  <c r="V25" i="4" s="1"/>
  <c r="J26" i="4"/>
  <c r="J28" i="4"/>
  <c r="J29" i="4"/>
  <c r="J30" i="4"/>
  <c r="V30" i="4" s="1"/>
  <c r="J31" i="4"/>
  <c r="V31" i="4" s="1"/>
  <c r="J32" i="4"/>
  <c r="J33" i="4"/>
  <c r="J35" i="4"/>
  <c r="J36" i="4"/>
  <c r="J37" i="4"/>
  <c r="V37" i="4" s="1"/>
  <c r="J41" i="4"/>
  <c r="V41" i="4" s="1"/>
  <c r="J42" i="4"/>
  <c r="J43" i="4"/>
  <c r="J44" i="4"/>
  <c r="J45" i="4"/>
  <c r="V45" i="4" s="1"/>
  <c r="J48" i="4"/>
  <c r="V48" i="4" s="1"/>
  <c r="J49" i="4"/>
  <c r="J50" i="4"/>
  <c r="J53" i="4"/>
  <c r="J54" i="4"/>
  <c r="J55" i="4"/>
  <c r="J56" i="4"/>
  <c r="J58" i="4"/>
  <c r="J59" i="4"/>
  <c r="J60" i="4"/>
  <c r="J61" i="4"/>
  <c r="J62" i="4"/>
  <c r="J63" i="4"/>
  <c r="V63" i="4" s="1"/>
  <c r="J64" i="4"/>
  <c r="J65" i="4"/>
  <c r="J66" i="4"/>
  <c r="J8" i="4"/>
  <c r="J70" i="4" l="1"/>
  <c r="J103" i="4" l="1"/>
  <c r="V103" i="4" s="1"/>
  <c r="J104" i="4"/>
  <c r="V104" i="4" s="1"/>
  <c r="J105" i="4"/>
  <c r="J96" i="4"/>
  <c r="V96" i="4" s="1"/>
  <c r="J97" i="4"/>
  <c r="V97" i="4" s="1"/>
  <c r="J98" i="4"/>
  <c r="V98" i="4" s="1"/>
  <c r="V49" i="4" l="1"/>
  <c r="V50" i="4"/>
  <c r="V53" i="4"/>
  <c r="V54" i="4"/>
  <c r="V17" i="4"/>
  <c r="V19" i="4"/>
  <c r="V22" i="4"/>
  <c r="V26" i="4"/>
  <c r="V28" i="4"/>
  <c r="V29" i="4"/>
  <c r="V32" i="4"/>
  <c r="J99" i="4"/>
  <c r="V99" i="4" s="1"/>
  <c r="J100" i="4"/>
  <c r="V100" i="4" s="1"/>
  <c r="J101" i="4"/>
  <c r="V101" i="4" s="1"/>
  <c r="J106" i="4"/>
  <c r="V106" i="4" s="1"/>
  <c r="J107" i="4"/>
  <c r="V107" i="4" s="1"/>
  <c r="J108" i="4"/>
  <c r="V108" i="4" s="1"/>
  <c r="V110" i="4"/>
  <c r="J78" i="4"/>
  <c r="V78" i="4" s="1"/>
  <c r="J79" i="4"/>
  <c r="V79" i="4" s="1"/>
  <c r="J80" i="4"/>
  <c r="V80" i="4" s="1"/>
  <c r="J81" i="4"/>
  <c r="V81" i="4" s="1"/>
  <c r="J82" i="4"/>
  <c r="V82" i="4" s="1"/>
  <c r="V16" i="4" l="1"/>
  <c r="J86" i="4"/>
  <c r="V86" i="4" s="1"/>
  <c r="J95" i="4" l="1"/>
  <c r="V95" i="4" s="1"/>
  <c r="J93" i="4"/>
  <c r="V93" i="4" s="1"/>
  <c r="J94" i="4" l="1"/>
  <c r="V94" i="4" s="1"/>
  <c r="J90" i="4"/>
  <c r="V90" i="4" s="1"/>
  <c r="J92" i="4"/>
  <c r="V92" i="4" s="1"/>
  <c r="AA97" i="4" l="1"/>
  <c r="Y30" i="4"/>
  <c r="W30" i="4" l="1"/>
  <c r="V44" i="4" l="1"/>
  <c r="V61" i="4" l="1"/>
  <c r="J84" i="4" l="1"/>
  <c r="V84" i="4" s="1"/>
  <c r="J130" i="4" l="1"/>
  <c r="V130" i="4" s="1"/>
  <c r="J127" i="4"/>
  <c r="V127" i="4" s="1"/>
  <c r="J128" i="4"/>
  <c r="V128" i="4" s="1"/>
  <c r="J129" i="4"/>
  <c r="V129" i="4" s="1"/>
  <c r="J75" i="4"/>
  <c r="V76" i="4"/>
  <c r="J77" i="4"/>
  <c r="V77" i="4" s="1"/>
  <c r="J83" i="4"/>
  <c r="V83" i="4" s="1"/>
  <c r="J85" i="4"/>
  <c r="V85" i="4" s="1"/>
  <c r="V43" i="4"/>
  <c r="J111" i="4"/>
  <c r="V111" i="4" s="1"/>
  <c r="J112" i="4"/>
  <c r="V112" i="4" s="1"/>
  <c r="V114" i="4"/>
  <c r="V116" i="4"/>
  <c r="J118" i="4"/>
  <c r="V118" i="4" s="1"/>
  <c r="J120" i="4"/>
  <c r="V33" i="4"/>
  <c r="V75" i="4" l="1"/>
  <c r="V105" i="4"/>
  <c r="W101" i="4" l="1"/>
  <c r="X43" i="4"/>
  <c r="Y43" i="4"/>
  <c r="AB43" i="4" s="1"/>
  <c r="W43" i="4"/>
  <c r="X101" i="4" l="1"/>
  <c r="W114" i="4"/>
  <c r="X114" i="4" l="1"/>
  <c r="W97" i="4" l="1"/>
  <c r="X97" i="4" l="1"/>
  <c r="W66" i="4" l="1"/>
  <c r="V66" i="4" l="1"/>
  <c r="X66" i="4" s="1"/>
  <c r="W45" i="4"/>
  <c r="X45" i="4" l="1"/>
  <c r="W32" i="4" l="1"/>
  <c r="X32" i="4" l="1"/>
  <c r="W81" i="4" l="1"/>
  <c r="X81" i="4" s="1"/>
  <c r="W26" i="4" l="1"/>
  <c r="X26" i="4" l="1"/>
  <c r="W54" i="4"/>
  <c r="X54" i="4" l="1"/>
  <c r="W107" i="4"/>
  <c r="X107" i="4" l="1"/>
  <c r="V58" i="4" l="1"/>
  <c r="W58" i="4" l="1"/>
  <c r="X58" i="4" s="1"/>
  <c r="Y58" i="4"/>
  <c r="W65" i="4" l="1"/>
  <c r="V65" i="4" l="1"/>
  <c r="X65" i="4" s="1"/>
  <c r="Y41" i="4" l="1"/>
  <c r="AA41" i="4"/>
  <c r="V62" i="4"/>
  <c r="AA62" i="4"/>
  <c r="AB41" i="4" l="1"/>
  <c r="W41" i="4"/>
  <c r="Y62" i="4"/>
  <c r="AB62" i="4" s="1"/>
  <c r="W62" i="4"/>
  <c r="X62" i="4" s="1"/>
  <c r="X41" i="4" l="1"/>
  <c r="AA28" i="4" l="1"/>
  <c r="AA29" i="4"/>
  <c r="AA85" i="4"/>
  <c r="AA33" i="4"/>
  <c r="AA35" i="4"/>
  <c r="Y35" i="4" l="1"/>
  <c r="AB35" i="4" s="1"/>
  <c r="V35" i="4"/>
  <c r="W35" i="4"/>
  <c r="X35" i="4" l="1"/>
  <c r="W85" i="4" l="1"/>
  <c r="Y85" i="4"/>
  <c r="AB85" i="4" s="1"/>
  <c r="X85" i="4" l="1"/>
  <c r="AA64" i="4" l="1"/>
  <c r="AA50" i="4"/>
  <c r="Y29" i="4" l="1"/>
  <c r="AB29" i="4" s="1"/>
  <c r="W29" i="4"/>
  <c r="V64" i="4"/>
  <c r="Y64" i="4"/>
  <c r="AB64" i="4" s="1"/>
  <c r="W50" i="4"/>
  <c r="Y50" i="4"/>
  <c r="AB50" i="4" s="1"/>
  <c r="W64" i="4"/>
  <c r="AA53" i="4"/>
  <c r="Y53" i="4"/>
  <c r="X29" i="4" l="1"/>
  <c r="AE29" i="4" s="1"/>
  <c r="X64" i="4"/>
  <c r="X50" i="4"/>
  <c r="AB53" i="4"/>
  <c r="W53" i="4"/>
  <c r="X53" i="4" l="1"/>
  <c r="AE64" i="4" l="1"/>
  <c r="AE50" i="4" l="1"/>
  <c r="AA59" i="4"/>
  <c r="W96" i="4" l="1"/>
  <c r="Y96" i="4"/>
  <c r="AA96" i="4"/>
  <c r="AB96" i="4" l="1"/>
  <c r="X96" i="4"/>
  <c r="AE96" i="4" s="1"/>
  <c r="AA23" i="4" l="1"/>
  <c r="W23" i="4" l="1"/>
  <c r="Y23" i="4"/>
  <c r="AB23" i="4" s="1"/>
  <c r="X23" i="4" l="1"/>
  <c r="AE23" i="4" l="1"/>
  <c r="AA60" i="4" l="1"/>
  <c r="Y60" i="4" l="1"/>
  <c r="W60" i="4" l="1"/>
  <c r="V60" i="4"/>
  <c r="AB60" i="4"/>
  <c r="X60" i="4" l="1"/>
  <c r="AE60" i="4" s="1"/>
  <c r="W105" i="4" l="1"/>
  <c r="Y105" i="4"/>
  <c r="AA118" i="4"/>
  <c r="AA111" i="4"/>
  <c r="AA56" i="4"/>
  <c r="AA55" i="4"/>
  <c r="AA104" i="4"/>
  <c r="AA101" i="4"/>
  <c r="AA42" i="4"/>
  <c r="AA95" i="4"/>
  <c r="AA36" i="4"/>
  <c r="AA22" i="4"/>
  <c r="AA79" i="4"/>
  <c r="AA19" i="4"/>
  <c r="AA12" i="4"/>
  <c r="AA10" i="4"/>
  <c r="AA8" i="4"/>
  <c r="AA105" i="4" l="1"/>
  <c r="AB105" i="4" l="1"/>
  <c r="X105" i="4"/>
  <c r="AE105" i="4" s="1"/>
  <c r="W104" i="4" l="1"/>
  <c r="Y104" i="4"/>
  <c r="AB104" i="4" s="1"/>
  <c r="Z70" i="4"/>
  <c r="J74" i="4"/>
  <c r="J121" i="4" s="1"/>
  <c r="AD70" i="4"/>
  <c r="AC70" i="4"/>
  <c r="Y59" i="4"/>
  <c r="X104" i="4" l="1"/>
  <c r="AE104" i="4" s="1"/>
  <c r="W33" i="4"/>
  <c r="Y33" i="4"/>
  <c r="AB33" i="4" s="1"/>
  <c r="W36" i="4"/>
  <c r="Y36" i="4"/>
  <c r="W42" i="4"/>
  <c r="Y42" i="4"/>
  <c r="W10" i="4"/>
  <c r="Y10" i="4"/>
  <c r="AB10" i="4" s="1"/>
  <c r="W19" i="4"/>
  <c r="Y19" i="4"/>
  <c r="AB19" i="4" s="1"/>
  <c r="W76" i="4"/>
  <c r="Y76" i="4"/>
  <c r="Y101" i="4"/>
  <c r="AB101" i="4" s="1"/>
  <c r="W79" i="4"/>
  <c r="Y79" i="4"/>
  <c r="AB79" i="4" s="1"/>
  <c r="W78" i="4"/>
  <c r="Y78" i="4"/>
  <c r="W99" i="4"/>
  <c r="Y99" i="4"/>
  <c r="W75" i="4"/>
  <c r="Y75" i="4"/>
  <c r="W90" i="4"/>
  <c r="Y90" i="4"/>
  <c r="W82" i="4"/>
  <c r="Y82" i="4"/>
  <c r="W95" i="4"/>
  <c r="Y95" i="4"/>
  <c r="AB95" i="4" s="1"/>
  <c r="W56" i="4"/>
  <c r="Y56" i="4"/>
  <c r="W116" i="4"/>
  <c r="Y116" i="4"/>
  <c r="W111" i="4"/>
  <c r="Y111" i="4"/>
  <c r="AB111" i="4" s="1"/>
  <c r="W118" i="4"/>
  <c r="Y118" i="4"/>
  <c r="AB118" i="4" s="1"/>
  <c r="W55" i="4"/>
  <c r="Y55" i="4"/>
  <c r="AB55" i="4" s="1"/>
  <c r="W110" i="4"/>
  <c r="Y110" i="4"/>
  <c r="W108" i="4"/>
  <c r="Y108" i="4"/>
  <c r="W100" i="4"/>
  <c r="Y100" i="4"/>
  <c r="W94" i="4"/>
  <c r="Y94" i="4"/>
  <c r="W92" i="4"/>
  <c r="Y92" i="4"/>
  <c r="W83" i="4"/>
  <c r="Y83" i="4"/>
  <c r="W59" i="4"/>
  <c r="AA92" i="4"/>
  <c r="AB59" i="4"/>
  <c r="AA82" i="4"/>
  <c r="AA78" i="4"/>
  <c r="V10" i="4"/>
  <c r="AA94" i="4"/>
  <c r="AA90" i="4"/>
  <c r="AA76" i="4"/>
  <c r="AA83" i="4"/>
  <c r="AA75" i="4"/>
  <c r="AE53" i="4"/>
  <c r="AA99" i="4"/>
  <c r="AA100" i="4"/>
  <c r="AA116" i="4"/>
  <c r="V55" i="4"/>
  <c r="AA108" i="4"/>
  <c r="AA110" i="4"/>
  <c r="V59" i="4"/>
  <c r="Y28" i="4" l="1"/>
  <c r="AB28" i="4" s="1"/>
  <c r="W28" i="4"/>
  <c r="X33" i="4"/>
  <c r="X118" i="4"/>
  <c r="AE118" i="4" s="1"/>
  <c r="X95" i="4"/>
  <c r="AE95" i="4" s="1"/>
  <c r="W22" i="4"/>
  <c r="Y22" i="4"/>
  <c r="AB22" i="4" s="1"/>
  <c r="Y12" i="4"/>
  <c r="AB12" i="4" s="1"/>
  <c r="W8" i="4"/>
  <c r="Y8" i="4"/>
  <c r="AB8" i="4" s="1"/>
  <c r="V74" i="4"/>
  <c r="V121" i="4" s="1"/>
  <c r="V12" i="4"/>
  <c r="W12" i="4"/>
  <c r="AE85" i="4"/>
  <c r="X19" i="4"/>
  <c r="AE19" i="4" s="1"/>
  <c r="AE101" i="4"/>
  <c r="X79" i="4"/>
  <c r="AE79" i="4" s="1"/>
  <c r="X111" i="4"/>
  <c r="AE111" i="4" s="1"/>
  <c r="X55" i="4"/>
  <c r="AE55" i="4" s="1"/>
  <c r="X10" i="4"/>
  <c r="AE10" i="4" s="1"/>
  <c r="X59" i="4"/>
  <c r="AE59" i="4" s="1"/>
  <c r="AB83" i="4"/>
  <c r="AB116" i="4"/>
  <c r="AB110" i="4"/>
  <c r="AB92" i="4"/>
  <c r="AB90" i="4"/>
  <c r="AB94" i="4"/>
  <c r="AB78" i="4"/>
  <c r="AB75" i="4"/>
  <c r="AB99" i="4"/>
  <c r="AB82" i="4"/>
  <c r="AB76" i="4"/>
  <c r="AB100" i="4"/>
  <c r="AB108" i="4"/>
  <c r="AA70" i="4"/>
  <c r="X92" i="4"/>
  <c r="AE92" i="4" s="1"/>
  <c r="X94" i="4"/>
  <c r="AE94" i="4" s="1"/>
  <c r="X110" i="4"/>
  <c r="AE110" i="4" s="1"/>
  <c r="X82" i="4"/>
  <c r="AE82" i="4" s="1"/>
  <c r="V36" i="4"/>
  <c r="AB36" i="4"/>
  <c r="AB56" i="4"/>
  <c r="V42" i="4"/>
  <c r="AB42" i="4"/>
  <c r="X78" i="4"/>
  <c r="AE78" i="4" s="1"/>
  <c r="X99" i="4"/>
  <c r="AE99" i="4" s="1"/>
  <c r="X100" i="4"/>
  <c r="AE100" i="4" s="1"/>
  <c r="X90" i="4"/>
  <c r="AE90" i="4" s="1"/>
  <c r="X83" i="4"/>
  <c r="AE83" i="4" s="1"/>
  <c r="X76" i="4"/>
  <c r="AE76" i="4" s="1"/>
  <c r="X116" i="4"/>
  <c r="AE116" i="4" s="1"/>
  <c r="V8" i="4"/>
  <c r="V56" i="4"/>
  <c r="X75" i="4"/>
  <c r="AE75" i="4" s="1"/>
  <c r="X108" i="4"/>
  <c r="AE108" i="4" s="1"/>
  <c r="W74" i="4" l="1"/>
  <c r="W121" i="4" s="1"/>
  <c r="X28" i="4"/>
  <c r="AE28" i="4" s="1"/>
  <c r="X22" i="4"/>
  <c r="AE22" i="4" s="1"/>
  <c r="X74" i="4"/>
  <c r="X121" i="4" s="1"/>
  <c r="Y74" i="4"/>
  <c r="AB74" i="4" s="1"/>
  <c r="AB122" i="4" s="1"/>
  <c r="X12" i="4"/>
  <c r="AE12" i="4" s="1"/>
  <c r="AE33" i="4"/>
  <c r="X36" i="4"/>
  <c r="AE36" i="4" s="1"/>
  <c r="X56" i="4"/>
  <c r="AE56" i="4" s="1"/>
  <c r="X42" i="4"/>
  <c r="AE42" i="4" s="1"/>
  <c r="X8" i="4"/>
  <c r="AE8" i="4" s="1"/>
  <c r="Y70" i="4" l="1"/>
  <c r="W70" i="4"/>
  <c r="V70" i="4" l="1"/>
  <c r="AB70" i="4"/>
  <c r="X70" i="4" l="1"/>
  <c r="AE70" i="4"/>
  <c r="AB71" i="4"/>
  <c r="AB72" i="4" s="1"/>
</calcChain>
</file>

<file path=xl/comments1.xml><?xml version="1.0" encoding="utf-8"?>
<comments xmlns="http://schemas.openxmlformats.org/spreadsheetml/2006/main">
  <authors>
    <author>usuario</author>
  </authors>
  <commentList>
    <comment ref="N76" authorId="0">
      <text>
        <r>
          <rPr>
            <b/>
            <sz val="8"/>
            <color indexed="81"/>
            <rFont val="Tahoma"/>
            <family val="2"/>
          </rPr>
          <t>usuario:</t>
        </r>
        <r>
          <rPr>
            <sz val="8"/>
            <color indexed="81"/>
            <rFont val="Tahoma"/>
            <family val="2"/>
          </rPr>
          <t xml:space="preserve">
300</t>
        </r>
      </text>
    </comment>
    <comment ref="N82" authorId="0">
      <text>
        <r>
          <rPr>
            <b/>
            <sz val="8"/>
            <color indexed="81"/>
            <rFont val="Tahoma"/>
            <family val="2"/>
          </rPr>
          <t>usuario:</t>
        </r>
        <r>
          <rPr>
            <sz val="8"/>
            <color indexed="81"/>
            <rFont val="Tahoma"/>
            <family val="2"/>
          </rPr>
          <t xml:space="preserve">
500 A LA SEMANA PERO ESTA DE INCAPACIDAD</t>
        </r>
      </text>
    </comment>
  </commentList>
</comments>
</file>

<file path=xl/comments2.xml><?xml version="1.0" encoding="utf-8"?>
<comments xmlns="http://schemas.openxmlformats.org/spreadsheetml/2006/main">
  <authors>
    <author>usuario</author>
  </authors>
  <commentList>
    <comment ref="E43" authorId="0">
      <text>
        <r>
          <rPr>
            <b/>
            <sz val="8"/>
            <color indexed="81"/>
            <rFont val="Tahoma"/>
            <family val="2"/>
          </rPr>
          <t>usuario:</t>
        </r>
        <r>
          <rPr>
            <sz val="8"/>
            <color indexed="81"/>
            <rFont val="Tahoma"/>
            <family val="2"/>
          </rPr>
          <t xml:space="preserve">
300</t>
        </r>
      </text>
    </comment>
    <comment ref="E49" authorId="0">
      <text>
        <r>
          <rPr>
            <b/>
            <sz val="8"/>
            <color indexed="81"/>
            <rFont val="Tahoma"/>
            <family val="2"/>
          </rPr>
          <t>usuario:</t>
        </r>
        <r>
          <rPr>
            <sz val="8"/>
            <color indexed="81"/>
            <rFont val="Tahoma"/>
            <family val="2"/>
          </rPr>
          <t xml:space="preserve">
500 A LA SEMANA PERO ESTA DE INCAPACIDAD</t>
        </r>
      </text>
    </comment>
  </commentList>
</comments>
</file>

<file path=xl/sharedStrings.xml><?xml version="1.0" encoding="utf-8"?>
<sst xmlns="http://schemas.openxmlformats.org/spreadsheetml/2006/main" count="673" uniqueCount="368">
  <si>
    <t>Puesto</t>
  </si>
  <si>
    <t>TOTAL NOMINA</t>
  </si>
  <si>
    <t>Comision subsidiada</t>
  </si>
  <si>
    <t>Comision empleado</t>
  </si>
  <si>
    <t>Impto Nomina</t>
  </si>
  <si>
    <t>Factura</t>
  </si>
  <si>
    <t>Fonacot</t>
  </si>
  <si>
    <t>Neto a Recibir</t>
  </si>
  <si>
    <t>Infonavit</t>
  </si>
  <si>
    <t>Prima Vacacional</t>
  </si>
  <si>
    <t>Dias de Vacaciones</t>
  </si>
  <si>
    <t>Total Percepciones</t>
  </si>
  <si>
    <t>Descuentos Cta 254</t>
  </si>
  <si>
    <t>Area</t>
  </si>
  <si>
    <t>Nombre</t>
  </si>
  <si>
    <t>SEG GTS MED MAY</t>
  </si>
  <si>
    <t>Pension</t>
  </si>
  <si>
    <t>700-070 VENTAS</t>
  </si>
  <si>
    <t>701-070 USADOS</t>
  </si>
  <si>
    <t>703-070 ADMON</t>
  </si>
  <si>
    <t>704-070 REFACC</t>
  </si>
  <si>
    <t>705-001-070 SERV</t>
  </si>
  <si>
    <t>683-001-001 COSTO</t>
  </si>
  <si>
    <t>Total Deduciones</t>
  </si>
  <si>
    <t>CONSULTORES</t>
  </si>
  <si>
    <t>SINDICATO</t>
  </si>
  <si>
    <t>ADMON SERVICIO</t>
  </si>
  <si>
    <t>SEMINUEVOS</t>
  </si>
  <si>
    <t>VENTAS</t>
  </si>
  <si>
    <t>ASESOR DE SERVICIO</t>
  </si>
  <si>
    <t>ASESOR DE VENTAS</t>
  </si>
  <si>
    <t>COACH DE VENTAS</t>
  </si>
  <si>
    <t>COMISION</t>
  </si>
  <si>
    <t>Servicios Prestados a : QUERETARO MOTORS, SA</t>
  </si>
  <si>
    <t>PEREZ PEREZ ISMAEL</t>
  </si>
  <si>
    <t>ARENAS VARGAS MOISES</t>
  </si>
  <si>
    <t>RUIZ RODRIGUEZ OMAR</t>
  </si>
  <si>
    <t>SERVICIO</t>
  </si>
  <si>
    <t>HOJALATERIA</t>
  </si>
  <si>
    <t>ADMINISTRACION</t>
  </si>
  <si>
    <t>COSTO</t>
  </si>
  <si>
    <t>HOJALATERO</t>
  </si>
  <si>
    <t>TELEMARKETING</t>
  </si>
  <si>
    <t>VIGILANTE</t>
  </si>
  <si>
    <t>ASESOR DE VENTAS SEM</t>
  </si>
  <si>
    <t>ESTETICAS</t>
  </si>
  <si>
    <t>AHORRO CTM</t>
  </si>
  <si>
    <t>PRESTAMO CTM</t>
  </si>
  <si>
    <t>DIFERENCIA</t>
  </si>
  <si>
    <t>MARTINEZ ALVARADO ADRIAN</t>
  </si>
  <si>
    <t>SANCHEZ HURTADO CARLOS</t>
  </si>
  <si>
    <t>MARTINEZ GUERRERO LEONEL</t>
  </si>
  <si>
    <t>ALAVEZ LOPEZ INOCENCIO</t>
  </si>
  <si>
    <t>CANCINO RODRIGUEZ GREGORIO</t>
  </si>
  <si>
    <t>OLVERA SOTO LUIS ANGEL</t>
  </si>
  <si>
    <t>DE JESUS CRUZ JUAN CARLOS</t>
  </si>
  <si>
    <t>OLVERA HERNANDEZ JOSE TOMAS</t>
  </si>
  <si>
    <t>VIGUERAS MARTINEZ JUAN CARLOS</t>
  </si>
  <si>
    <t>SANCHEZ RODRIGUEZ FREDY</t>
  </si>
  <si>
    <t>CUOTA SINDICAL 1%</t>
  </si>
  <si>
    <t>FONDO DE AHORRO 4.9%</t>
  </si>
  <si>
    <t>ARROYO ZARAZUA GILBERTO</t>
  </si>
  <si>
    <t>FONSECA GUILLEN JOSE FELIPE</t>
  </si>
  <si>
    <t>HERNANDEZ SILVA EDGAR SAMUEL</t>
  </si>
  <si>
    <t>MARTINEZ LORENZO LUIS ALEJANDRO</t>
  </si>
  <si>
    <t>AGUILAR BRAVO CRISTIAN SAUL</t>
  </si>
  <si>
    <t>RIVERA AGUILAR GABRIEL</t>
  </si>
  <si>
    <t>FECHA DE INICIO</t>
  </si>
  <si>
    <t>ADMON VENTAS</t>
  </si>
  <si>
    <t>CUENTA</t>
  </si>
  <si>
    <t>OBSERVACIONES</t>
  </si>
  <si>
    <t>MARTINEZ GALLEGOS LUIS FERNANDO</t>
  </si>
  <si>
    <t>CARRASCO TOVAR ARTURO</t>
  </si>
  <si>
    <t>RESENDIZ CAMPUZANO ISRAEL</t>
  </si>
  <si>
    <t>UNIFORMES</t>
  </si>
  <si>
    <t>ESPECIALES</t>
  </si>
  <si>
    <t>MORALES SANCHEZ ANGEL</t>
  </si>
  <si>
    <t>SERENO CUELLAR JUVENAL</t>
  </si>
  <si>
    <t>DISPERSION</t>
  </si>
  <si>
    <t>CORTEZ OVANDO FAUSTINO ALI</t>
  </si>
  <si>
    <t>RESENDIZ ECHEVERRIA MARIO ALBERTO</t>
  </si>
  <si>
    <t>SALDAÑA GARCIA MARCO ANTONIO</t>
  </si>
  <si>
    <t>ARVIZU RODRIGUEZ ALEJANDRO URIEL</t>
  </si>
  <si>
    <t>JIMENEZ HERNANDEZ JULIO CESAR</t>
  </si>
  <si>
    <t>GRANADOS PEREZ BRENDA LAURA</t>
  </si>
  <si>
    <t>DOMINGUEZ ALCANTARA MIGUEL ANGEL</t>
  </si>
  <si>
    <t>MELENDEZ PADILLA CLAUDIA CRISTINA</t>
  </si>
  <si>
    <t>ENRIQUEZ RUBIO FERNANDO</t>
  </si>
  <si>
    <t>TRONCOSO PEÑA GERARDO</t>
  </si>
  <si>
    <t>PATIÑO NAVARRO OSCAR MARTIN</t>
  </si>
  <si>
    <t>HERNANDEZ ARREOLA RODOLFO MAYOLO</t>
  </si>
  <si>
    <t>JEFE DE TALLER</t>
  </si>
  <si>
    <t>FALTAS</t>
  </si>
  <si>
    <t>SOLORZANO LUNA MARIANA</t>
  </si>
  <si>
    <t>MATILDE SANTIAGO URIEL</t>
  </si>
  <si>
    <t>LUPERCIO ESPINO ALAN JAIRO</t>
  </si>
  <si>
    <t>SIFONTES SARDUA DAYAN JESUS</t>
  </si>
  <si>
    <t>VALDEZ MARTINEZ MARTIN</t>
  </si>
  <si>
    <t>AYUDANTE</t>
  </si>
  <si>
    <t>ESTETICAS AYUDANTE</t>
  </si>
  <si>
    <t>MANTENIMIENTO</t>
  </si>
  <si>
    <t>TECNICO A</t>
  </si>
  <si>
    <t>TECNICO B</t>
  </si>
  <si>
    <t>SANCHEZ DE SANTIAGO RICARDO</t>
  </si>
  <si>
    <t>WEB MASTER</t>
  </si>
  <si>
    <t>GUZMAN NAVARRO EDUARDO</t>
  </si>
  <si>
    <t>SALDAÑA SANCHEZ JULIO CESAR</t>
  </si>
  <si>
    <t>SALAS MARTINEZ OSCAR JESUS</t>
  </si>
  <si>
    <t>RODRIGUEZ PINACHO CESAR OCTAVIO</t>
  </si>
  <si>
    <t>GALLEGOS ROMERO CRISTIAN</t>
  </si>
  <si>
    <t>COACH BDC</t>
  </si>
  <si>
    <t>GAYTAN MARTINEZ RAUL</t>
  </si>
  <si>
    <t>DOMINGUEZ GUDIÑO OMAR</t>
  </si>
  <si>
    <t>HERNANDEZ SANCHEZ RODRIGO</t>
  </si>
  <si>
    <t>NAVARRO ARENAS ANDREA ARELI</t>
  </si>
  <si>
    <t>VARGAS GOMEZ RAUL ARMANDO</t>
  </si>
  <si>
    <t>Ingenieria Fiscal Laboral S.C.</t>
  </si>
  <si>
    <t>TECNICO</t>
  </si>
  <si>
    <t>VALDEZ BERNAL JUAN PABLO</t>
  </si>
  <si>
    <t>FERRER GONZALEZ MARIA ELENA</t>
  </si>
  <si>
    <t>AUX. ADMON.</t>
  </si>
  <si>
    <t>TOTAL DE LA NOMINA</t>
  </si>
  <si>
    <t>VALDEZ HERNANDEZ ELDA NELLY</t>
  </si>
  <si>
    <t>BAUTISTA RAMIREZ MARIO ALEXIS</t>
  </si>
  <si>
    <t>JUAREZ URIBE MICHEL</t>
  </si>
  <si>
    <t>DE JESUS PADILLA ALFREDO</t>
  </si>
  <si>
    <t>SAUCEDO MAGAÑA VICTOR HUGO</t>
  </si>
  <si>
    <t>BANCOMER</t>
  </si>
  <si>
    <t>HERNANDEZ MATA AURELIANO</t>
  </si>
  <si>
    <t>HURTADO PAJARO JOSE EDUARDO</t>
  </si>
  <si>
    <t>GUTIERREZ LARA GEOVANNI</t>
  </si>
  <si>
    <t>SOLANO PEREZ JOSE ANTONIO</t>
  </si>
  <si>
    <t>HERNANDEZ SOLIS GUMECINDO</t>
  </si>
  <si>
    <t>XX</t>
  </si>
  <si>
    <t>JUAREZ MARTINEZ LUIS MIGUEL</t>
  </si>
  <si>
    <t>BERDEJA LEON FRANCISCO GERARDO</t>
  </si>
  <si>
    <t>PADILLA RUIZ JOSE ANTONIO</t>
  </si>
  <si>
    <t>FLORES VENTURA PAULINA SOLEDAD</t>
  </si>
  <si>
    <t>COACH DE VENTAS SEM</t>
  </si>
  <si>
    <t>BOCANEGRA PEGUERO MARIA GUADALUPE</t>
  </si>
  <si>
    <t>MECANICO NOCTURNO</t>
  </si>
  <si>
    <t>RAMIREZ MONTES MISSAEL GUILLERMO</t>
  </si>
  <si>
    <t>HERNANDEZ RAMOS LUIS FELIPE</t>
  </si>
  <si>
    <t>DURAN GUERRA VICTOR MANUEL</t>
  </si>
  <si>
    <t>LANDAVERDE GARCIA JUAN</t>
  </si>
  <si>
    <t>MORENO VALERA NORMA</t>
  </si>
  <si>
    <t>ONTIVEROS PLIEGO LUIS GERARDO</t>
  </si>
  <si>
    <t>SUEDO BASE</t>
  </si>
  <si>
    <t>EFECTIVO</t>
  </si>
  <si>
    <t>NAVA RUBIO JAVIER (-$461.01)</t>
  </si>
  <si>
    <t>RODRIGUEZ RODRIGUEZ RODOLFO ANUAR</t>
  </si>
  <si>
    <t>TORRES IBARRA LUIS GERARDO</t>
  </si>
  <si>
    <t>AGUILAR PEREZ MARCOS ARTEMIO</t>
  </si>
  <si>
    <t>MARTINEZ GARCIA JOSE JUAN</t>
  </si>
  <si>
    <t>NIETO GONZALEZ ANGEL RICARDO</t>
  </si>
  <si>
    <t>OLIVAS MANCILLA JESUS SADIEL</t>
  </si>
  <si>
    <t>LOYOLA SANDOVAL JOSE ANDRES</t>
  </si>
  <si>
    <t>CARDENAS CASAS MARIA DEL ROCIO</t>
  </si>
  <si>
    <t>BECERRA JIMENEZ ALEJANDRO BONIFACIO</t>
  </si>
  <si>
    <t>JARDINERO</t>
  </si>
  <si>
    <t>DESCUENTO POR PRESTAMO</t>
  </si>
  <si>
    <t>OCHOA PALACIOS RAUL ALEJANDRO</t>
  </si>
  <si>
    <t>ARTEAGA SILVA ALFREDO</t>
  </si>
  <si>
    <t>PEREZ LOPEZ JIMMY FLORENTINO</t>
  </si>
  <si>
    <t>CUATZON APARICIO GELASIO</t>
  </si>
  <si>
    <t>LAVADOR HYP</t>
  </si>
  <si>
    <t>AYUDANTE MECANICO HYP</t>
  </si>
  <si>
    <t>ASESOR DE VENTA SEM</t>
  </si>
  <si>
    <t>0462465140</t>
  </si>
  <si>
    <t>GARCIA TORRES JUAN MANUEL</t>
  </si>
  <si>
    <t>1543342964</t>
  </si>
  <si>
    <t>ARIAS GONZALEZ LUIS IGNACIO</t>
  </si>
  <si>
    <t>COMPENSACION</t>
  </si>
  <si>
    <t>ROCHA MORENO HUGO AMADO</t>
  </si>
  <si>
    <t>ACOSTA MORENO EDGAR ARMANDO</t>
  </si>
  <si>
    <t>VIDAL REYES EDGAR OMAR</t>
  </si>
  <si>
    <t>PINTOR</t>
  </si>
  <si>
    <t>ABOYTES MAQUEDA FRANCISCO</t>
  </si>
  <si>
    <t>AYUDANTE HYP</t>
  </si>
  <si>
    <t>SIMBRON CRUZ DANIEL</t>
  </si>
  <si>
    <t>SAENZ JUAREZ JOSUE</t>
  </si>
  <si>
    <t>CONTACT CENTER</t>
  </si>
  <si>
    <t>LOPEZ PEDROZA MIROSLAVA</t>
  </si>
  <si>
    <t>PEREZ TORRES VICENTE DANIEL</t>
  </si>
  <si>
    <t>MECANICO</t>
  </si>
  <si>
    <t>VALDEZ ESPINO JOSE JACOB</t>
  </si>
  <si>
    <t>AYUDANTE DE MECANICO</t>
  </si>
  <si>
    <t>SANCHEZ CABRERA ANGEL DAVID</t>
  </si>
  <si>
    <t>ANAYA OCHOA LEON FELIPE</t>
  </si>
  <si>
    <t>HURRLE SALZMANN CARLOS ABELARDO</t>
  </si>
  <si>
    <t>CASTRUITA AGUILAR DAVID ARTURO</t>
  </si>
  <si>
    <t>LOZANO PEREZ JOSE ENRIQUE</t>
  </si>
  <si>
    <t>TECNICO MANTENIMIENTO</t>
  </si>
  <si>
    <t>AVILES PALAZUELOS ALFREDO</t>
  </si>
  <si>
    <t>DESC CTA 254 5/8 CONCEPTO CELULAR</t>
  </si>
  <si>
    <t>LEON LUNA ARTURO</t>
  </si>
  <si>
    <t>AYUDANTE GENERAL</t>
  </si>
  <si>
    <t>VILLEGAS CRUZ ANDRES</t>
  </si>
  <si>
    <t>RAMOS GARDUÑO KRISTAL</t>
  </si>
  <si>
    <t>VILLARREAL LOPEZ CARLOS ALBERTO</t>
  </si>
  <si>
    <t>Periodo Semana 50</t>
  </si>
  <si>
    <t>06/12/17 AL 12/12/17</t>
  </si>
  <si>
    <t>DESC CTA 254 5/12 PRESTAMO</t>
  </si>
  <si>
    <t>DESC CTA 254 5/8 OPTICA</t>
  </si>
  <si>
    <t>DESC CTA 254 5/16 PRESTAMO</t>
  </si>
  <si>
    <t>PAGO DE 12 HRS EXTRAS</t>
  </si>
  <si>
    <t>PAGO DE 15 HRS EXTRAS</t>
  </si>
  <si>
    <t>MARTINEZ FLORES FRANCISCO</t>
  </si>
  <si>
    <t>LOPEZ CARRILLO EVER FERNANDO</t>
  </si>
  <si>
    <t>PULIDOR</t>
  </si>
  <si>
    <t>AMA11</t>
  </si>
  <si>
    <t>Acosta Moreno Edgar Armando</t>
  </si>
  <si>
    <t>0AB27</t>
  </si>
  <si>
    <t>Aguilar Bravo Cristian Saul</t>
  </si>
  <si>
    <t>00016</t>
  </si>
  <si>
    <t>Arenas Vargas Moises</t>
  </si>
  <si>
    <t>0AZ14</t>
  </si>
  <si>
    <t>Arroyo Zarazua Gilberto</t>
  </si>
  <si>
    <t>BL011</t>
  </si>
  <si>
    <t>Berdeja Leon Francisco Gerardo</t>
  </si>
  <si>
    <t>CCM30</t>
  </si>
  <si>
    <t>Cardenas Casas Maria Del Rocio</t>
  </si>
  <si>
    <t>00018</t>
  </si>
  <si>
    <t>Carrasco Tovar Arturo</t>
  </si>
  <si>
    <t>CAG27</t>
  </si>
  <si>
    <t>Cuatzon Aparicio Gelasio</t>
  </si>
  <si>
    <t>0DC20</t>
  </si>
  <si>
    <t>De Jesus Cruz Juan Carlos</t>
  </si>
  <si>
    <t>DGV17</t>
  </si>
  <si>
    <t>Duran Guerra Victor Manuel</t>
  </si>
  <si>
    <t>GAR10</t>
  </si>
  <si>
    <t>Gallegos Romero Cristian</t>
  </si>
  <si>
    <t>GTJ04</t>
  </si>
  <si>
    <t>Garcia Torres Juan Manuel</t>
  </si>
  <si>
    <t>0HP16</t>
  </si>
  <si>
    <t>Hurtado Pajaro Jose Eduardo</t>
  </si>
  <si>
    <t>0JH19</t>
  </si>
  <si>
    <t>Jimenez Hernandez Julio Cesar</t>
  </si>
  <si>
    <t>LSJ31</t>
  </si>
  <si>
    <t>Loyola Sandoval Jose Andres</t>
  </si>
  <si>
    <t>00030</t>
  </si>
  <si>
    <t>Melendez Padilla Claudia Cristina</t>
  </si>
  <si>
    <t>MVN27</t>
  </si>
  <si>
    <t>Moreno Valera Norma</t>
  </si>
  <si>
    <t>NAA16</t>
  </si>
  <si>
    <t>Navarro Arenas Andrea Areli</t>
  </si>
  <si>
    <t>OPR13</t>
  </si>
  <si>
    <t>Ochoa Palacios Raul Alejandro</t>
  </si>
  <si>
    <t>OPG05</t>
  </si>
  <si>
    <t>Ontiveros Pliego Luis Gerardo</t>
  </si>
  <si>
    <t>PNO16</t>
  </si>
  <si>
    <t>Patiño Navarro Oscar Martin</t>
  </si>
  <si>
    <t>PLJ01</t>
  </si>
  <si>
    <t>Perez Lopez Jimmy Florentino</t>
  </si>
  <si>
    <t>ROP30</t>
  </si>
  <si>
    <t>Rodriguez Pinacho Cesar Octavio</t>
  </si>
  <si>
    <t>0RR02</t>
  </si>
  <si>
    <t>Rodriguez Rodriguez Rodolfo Anuar</t>
  </si>
  <si>
    <t>0RR05</t>
  </si>
  <si>
    <t>Ruiz Rodriguez Omar</t>
  </si>
  <si>
    <t>0SS25</t>
  </si>
  <si>
    <t>Saldaña Sanchez Julio Cesar</t>
  </si>
  <si>
    <t>0SC25</t>
  </si>
  <si>
    <t>Sereno Cuellar Juvenal</t>
  </si>
  <si>
    <t>SSD30</t>
  </si>
  <si>
    <t>Sifontes Sardua Dayan Jesus</t>
  </si>
  <si>
    <t>SPJ24</t>
  </si>
  <si>
    <t>Solano Perez Jose Antonio</t>
  </si>
  <si>
    <t>SLM15</t>
  </si>
  <si>
    <t>Solorzano Luna Mariana</t>
  </si>
  <si>
    <t>TIL17</t>
  </si>
  <si>
    <t>Torres Ibarra Luis Gerardo</t>
  </si>
  <si>
    <t>VH015</t>
  </si>
  <si>
    <t>Valdez Hernandez Elda Nelly</t>
  </si>
  <si>
    <t>VGR22</t>
  </si>
  <si>
    <t>Vargas Gomez Raul Armando</t>
  </si>
  <si>
    <t>AMF30</t>
  </si>
  <si>
    <t>Aboytes Maqueda Francisco</t>
  </si>
  <si>
    <t>0AP14</t>
  </si>
  <si>
    <t>Aguilar Perez Marcos Artemio</t>
  </si>
  <si>
    <t>0AL17</t>
  </si>
  <si>
    <t>Alavez Lopez Inocencio</t>
  </si>
  <si>
    <t>AR001</t>
  </si>
  <si>
    <t>Arvizu Rodriguez Alejandro Uriel</t>
  </si>
  <si>
    <t>BRM13</t>
  </si>
  <si>
    <t>Bautista Ramirez Mario Alexis</t>
  </si>
  <si>
    <t>0CR14</t>
  </si>
  <si>
    <t>Cancino Rodriguez Gregorio</t>
  </si>
  <si>
    <t>0CO02</t>
  </si>
  <si>
    <t>Cortez Ovando Faustino Ali</t>
  </si>
  <si>
    <t>DPA13</t>
  </si>
  <si>
    <t>De Jesus Padilla Alfredo</t>
  </si>
  <si>
    <t>DGP07</t>
  </si>
  <si>
    <t>Dominguez Gudiño Omar</t>
  </si>
  <si>
    <t>0ER14</t>
  </si>
  <si>
    <t>Enriquez Rubio Fernando</t>
  </si>
  <si>
    <t>0FG14</t>
  </si>
  <si>
    <t>Fonseca Guillen Jose Felipe</t>
  </si>
  <si>
    <t>GLG17</t>
  </si>
  <si>
    <t>Gutierrez Lara Geovanni</t>
  </si>
  <si>
    <t>0HS11</t>
  </si>
  <si>
    <t>Hernandez Silva Edgar Samuel</t>
  </si>
  <si>
    <t>JML29</t>
  </si>
  <si>
    <t>Juarez Martinez Luis Miguel</t>
  </si>
  <si>
    <t>JUM13</t>
  </si>
  <si>
    <t>Juarez Uribe Michel</t>
  </si>
  <si>
    <t>LCE08</t>
  </si>
  <si>
    <t>Lopez Carrillo Ever Fernando</t>
  </si>
  <si>
    <t>0MA08</t>
  </si>
  <si>
    <t>Martinez Alvarado Adrian</t>
  </si>
  <si>
    <t>MFF06</t>
  </si>
  <si>
    <t>Martinez Flores Francisco</t>
  </si>
  <si>
    <t>000MG</t>
  </si>
  <si>
    <t>Martinez Gallegos Luis Fernando</t>
  </si>
  <si>
    <t>MGJ29</t>
  </si>
  <si>
    <t>Martinez Garcia Jose Juan</t>
  </si>
  <si>
    <t>0MG14</t>
  </si>
  <si>
    <t>Martinez Guerrero Leonel</t>
  </si>
  <si>
    <t>0ML23</t>
  </si>
  <si>
    <t>Martinez Lorenzo Luis Alejandro</t>
  </si>
  <si>
    <t>SMU03</t>
  </si>
  <si>
    <t>Matilde Santiago Uriel</t>
  </si>
  <si>
    <t>NRJ12</t>
  </si>
  <si>
    <t>Nava Rubio Javier</t>
  </si>
  <si>
    <t>NGA23</t>
  </si>
  <si>
    <t>Nieto Gonzalez Angel Ricardo</t>
  </si>
  <si>
    <t>0OH11</t>
  </si>
  <si>
    <t>Olvera Hernandez Jose Tomas</t>
  </si>
  <si>
    <t>0OS06</t>
  </si>
  <si>
    <t>Olvera Soto Luis Angel</t>
  </si>
  <si>
    <t>0PP05</t>
  </si>
  <si>
    <t>Perez Perez Ismael</t>
  </si>
  <si>
    <t>PTV25</t>
  </si>
  <si>
    <t>Perez Torres Vicente Daniel</t>
  </si>
  <si>
    <t>RMM26</t>
  </si>
  <si>
    <t>Ramirez Montes Missael Guillermo</t>
  </si>
  <si>
    <t>RCI22</t>
  </si>
  <si>
    <t>Resendiz Campuzano Israel</t>
  </si>
  <si>
    <t>0RE14</t>
  </si>
  <si>
    <t>Resendiz Echeverria Mario Alberto</t>
  </si>
  <si>
    <t>RMH21</t>
  </si>
  <si>
    <t>Rocha Moreno Hugo Amado</t>
  </si>
  <si>
    <t>SMO22</t>
  </si>
  <si>
    <t>Salas Martinez Oscar Jesus</t>
  </si>
  <si>
    <t>SG005</t>
  </si>
  <si>
    <t>Saldaña Garcia Marco Antonio</t>
  </si>
  <si>
    <t>SCA01</t>
  </si>
  <si>
    <t>Sanchez Cabrera Angel David</t>
  </si>
  <si>
    <t>0SH17</t>
  </si>
  <si>
    <t>Sanchez Hurtado Carlos</t>
  </si>
  <si>
    <t>SR027</t>
  </si>
  <si>
    <t>Sanchez Rodriguez Fredy</t>
  </si>
  <si>
    <t>SMV15</t>
  </si>
  <si>
    <t>Saucedo Magaña Victor Hugo</t>
  </si>
  <si>
    <t>SCD31</t>
  </si>
  <si>
    <t>Simbron Cruz Daniel</t>
  </si>
  <si>
    <t>VBJ17</t>
  </si>
  <si>
    <t>Valdez Bernal Juan Pablo</t>
  </si>
  <si>
    <t>VEJ26</t>
  </si>
  <si>
    <t>Valdez Espino Jose Jacob</t>
  </si>
  <si>
    <t>0VM14</t>
  </si>
  <si>
    <t>Valdez Martinez Martin</t>
  </si>
  <si>
    <t>VRE18</t>
  </si>
  <si>
    <t>Vidal Reyes Edgar Omar</t>
  </si>
  <si>
    <t>0VM21</t>
  </si>
  <si>
    <t>Vigueras Martinez Juan Carlos</t>
  </si>
  <si>
    <t>ZERMEÑO  ALEX JOHNATHAN</t>
  </si>
  <si>
    <t>AVALOS RUDAMAS MARTHA KATHERINE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</si>
</sst>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dd/mm/yy"/>
    <numFmt numFmtId="165" formatCode="&quot;$&quot;#,##0.00"/>
  </numFmts>
  <fonts count="20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Verdana"/>
      <family val="2"/>
    </font>
    <font>
      <sz val="10"/>
      <name val="Arial"/>
      <family val="2"/>
      <charset val="1"/>
    </font>
    <font>
      <b/>
      <sz val="11"/>
      <color indexed="6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48"/>
      <name val="Calibri"/>
      <family val="2"/>
      <scheme val="minor"/>
    </font>
    <font>
      <b/>
      <sz val="11"/>
      <color rgb="FF00B0F0"/>
      <name val="Calibri"/>
      <family val="2"/>
      <scheme val="minor"/>
    </font>
    <font>
      <sz val="10"/>
      <name val="Calibri   "/>
    </font>
    <font>
      <sz val="11"/>
      <name val="Calibri   "/>
    </font>
    <font>
      <sz val="11"/>
      <name val="Calibri  "/>
    </font>
    <font>
      <sz val="11"/>
      <color rgb="FF000000"/>
      <name val="Calibri  "/>
    </font>
    <font>
      <b/>
      <sz val="12"/>
      <name val="Calibri"/>
      <family val="2"/>
      <scheme val="minor"/>
    </font>
    <font>
      <sz val="11"/>
      <color rgb="FFFF00FF"/>
      <name val="Calibri"/>
      <family val="2"/>
      <scheme val="minor"/>
    </font>
    <font>
      <b/>
      <sz val="18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color theme="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33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/>
      <bottom style="thin">
        <color indexed="64"/>
      </bottom>
      <diagonal/>
    </border>
  </borders>
  <cellStyleXfs count="6">
    <xf numFmtId="0" fontId="0" fillId="0" borderId="0"/>
    <xf numFmtId="0" fontId="4" fillId="0" borderId="0"/>
    <xf numFmtId="43" fontId="2" fillId="0" borderId="0" applyFill="0" applyBorder="0" applyAlignment="0" applyProtection="0"/>
    <xf numFmtId="0" fontId="3" fillId="0" borderId="0"/>
    <xf numFmtId="0" fontId="2" fillId="0" borderId="0"/>
    <xf numFmtId="0" fontId="1" fillId="0" borderId="0"/>
  </cellStyleXfs>
  <cellXfs count="114">
    <xf numFmtId="0" fontId="0" fillId="0" borderId="0" xfId="0"/>
    <xf numFmtId="43" fontId="2" fillId="0" borderId="0" xfId="2"/>
    <xf numFmtId="0" fontId="5" fillId="0" borderId="0" xfId="3" applyFont="1" applyFill="1" applyAlignment="1" applyProtection="1">
      <alignment horizontal="left"/>
    </xf>
    <xf numFmtId="0" fontId="5" fillId="0" borderId="0" xfId="3" applyFont="1" applyFill="1" applyAlignment="1" applyProtection="1">
      <alignment horizontal="center"/>
    </xf>
    <xf numFmtId="43" fontId="6" fillId="0" borderId="0" xfId="2" applyFont="1" applyFill="1" applyAlignment="1" applyProtection="1">
      <alignment horizontal="center"/>
    </xf>
    <xf numFmtId="43" fontId="7" fillId="0" borderId="0" xfId="2" applyFont="1" applyFill="1" applyAlignment="1" applyProtection="1">
      <alignment horizontal="center"/>
    </xf>
    <xf numFmtId="0" fontId="6" fillId="0" borderId="0" xfId="0" applyFont="1" applyFill="1" applyProtection="1"/>
    <xf numFmtId="0" fontId="6" fillId="0" borderId="0" xfId="0" applyFont="1" applyProtection="1"/>
    <xf numFmtId="0" fontId="8" fillId="0" borderId="0" xfId="3" applyFont="1" applyFill="1" applyAlignment="1" applyProtection="1">
      <alignment horizontal="left"/>
    </xf>
    <xf numFmtId="0" fontId="8" fillId="0" borderId="0" xfId="3" applyFont="1" applyFill="1" applyAlignment="1" applyProtection="1">
      <alignment horizontal="center"/>
    </xf>
    <xf numFmtId="15" fontId="5" fillId="0" borderId="0" xfId="3" applyNumberFormat="1" applyFont="1" applyFill="1" applyAlignment="1" applyProtection="1">
      <alignment horizontal="left"/>
    </xf>
    <xf numFmtId="15" fontId="5" fillId="0" borderId="0" xfId="3" applyNumberFormat="1" applyFont="1" applyFill="1" applyAlignment="1" applyProtection="1">
      <alignment horizontal="center"/>
    </xf>
    <xf numFmtId="0" fontId="7" fillId="0" borderId="0" xfId="0" applyFont="1"/>
    <xf numFmtId="43" fontId="6" fillId="0" borderId="0" xfId="2" applyFont="1"/>
    <xf numFmtId="43" fontId="7" fillId="0" borderId="0" xfId="2" applyFont="1"/>
    <xf numFmtId="43" fontId="6" fillId="0" borderId="0" xfId="2" applyFont="1" applyFill="1"/>
    <xf numFmtId="0" fontId="7" fillId="0" borderId="0" xfId="0" applyFont="1" applyFill="1"/>
    <xf numFmtId="0" fontId="6" fillId="0" borderId="1" xfId="0" applyFont="1" applyBorder="1"/>
    <xf numFmtId="0" fontId="6" fillId="0" borderId="0" xfId="0" applyFont="1" applyFill="1"/>
    <xf numFmtId="0" fontId="6" fillId="0" borderId="0" xfId="0" applyFont="1"/>
    <xf numFmtId="0" fontId="9" fillId="0" borderId="0" xfId="0" applyFont="1"/>
    <xf numFmtId="43" fontId="2" fillId="0" borderId="0" xfId="2" applyProtection="1"/>
    <xf numFmtId="43" fontId="2" fillId="0" borderId="0" xfId="2" applyFill="1"/>
    <xf numFmtId="43" fontId="7" fillId="5" borderId="1" xfId="2" applyFont="1" applyFill="1" applyBorder="1" applyAlignment="1">
      <alignment horizontal="center" wrapText="1"/>
    </xf>
    <xf numFmtId="0" fontId="7" fillId="0" borderId="6" xfId="0" applyFont="1" applyFill="1" applyBorder="1"/>
    <xf numFmtId="0" fontId="6" fillId="0" borderId="8" xfId="0" applyFont="1" applyFill="1" applyBorder="1"/>
    <xf numFmtId="43" fontId="6" fillId="0" borderId="8" xfId="2" applyFont="1" applyFill="1" applyBorder="1"/>
    <xf numFmtId="43" fontId="7" fillId="0" borderId="8" xfId="2" applyFont="1" applyFill="1" applyBorder="1"/>
    <xf numFmtId="0" fontId="6" fillId="0" borderId="7" xfId="0" applyFont="1" applyBorder="1"/>
    <xf numFmtId="0" fontId="6" fillId="2" borderId="7" xfId="0" applyFont="1" applyFill="1" applyBorder="1"/>
    <xf numFmtId="43" fontId="6" fillId="0" borderId="7" xfId="2" applyFont="1" applyBorder="1"/>
    <xf numFmtId="43" fontId="6" fillId="2" borderId="7" xfId="2" applyFont="1" applyFill="1" applyBorder="1"/>
    <xf numFmtId="43" fontId="6" fillId="0" borderId="7" xfId="2" applyFont="1" applyFill="1" applyBorder="1" applyAlignment="1">
      <alignment horizontal="center"/>
    </xf>
    <xf numFmtId="0" fontId="6" fillId="0" borderId="7" xfId="0" applyFont="1" applyFill="1" applyBorder="1"/>
    <xf numFmtId="43" fontId="6" fillId="0" borderId="7" xfId="2" applyFont="1" applyFill="1" applyBorder="1"/>
    <xf numFmtId="0" fontId="7" fillId="0" borderId="7" xfId="0" applyFont="1" applyFill="1" applyBorder="1"/>
    <xf numFmtId="43" fontId="6" fillId="0" borderId="8" xfId="2" applyFont="1" applyFill="1" applyBorder="1" applyAlignment="1">
      <alignment horizontal="center"/>
    </xf>
    <xf numFmtId="0" fontId="7" fillId="0" borderId="7" xfId="0" applyFont="1" applyBorder="1"/>
    <xf numFmtId="43" fontId="7" fillId="0" borderId="7" xfId="2" applyFont="1" applyBorder="1"/>
    <xf numFmtId="43" fontId="2" fillId="0" borderId="7" xfId="2" applyBorder="1"/>
    <xf numFmtId="43" fontId="2" fillId="3" borderId="7" xfId="2" applyFill="1" applyBorder="1"/>
    <xf numFmtId="43" fontId="11" fillId="0" borderId="0" xfId="2" applyFont="1" applyProtection="1"/>
    <xf numFmtId="43" fontId="11" fillId="0" borderId="0" xfId="2" applyFont="1"/>
    <xf numFmtId="43" fontId="11" fillId="0" borderId="0" xfId="2" applyFont="1" applyFill="1"/>
    <xf numFmtId="43" fontId="11" fillId="0" borderId="7" xfId="2" applyFont="1" applyBorder="1"/>
    <xf numFmtId="43" fontId="11" fillId="3" borderId="7" xfId="2" applyFont="1" applyFill="1" applyBorder="1"/>
    <xf numFmtId="43" fontId="7" fillId="0" borderId="7" xfId="2" applyFont="1" applyFill="1" applyBorder="1"/>
    <xf numFmtId="43" fontId="12" fillId="0" borderId="7" xfId="2" applyFont="1" applyFill="1" applyBorder="1"/>
    <xf numFmtId="2" fontId="6" fillId="0" borderId="7" xfId="0" applyNumberFormat="1" applyFont="1" applyFill="1" applyBorder="1"/>
    <xf numFmtId="164" fontId="12" fillId="0" borderId="7" xfId="0" applyNumberFormat="1" applyFont="1" applyFill="1" applyBorder="1"/>
    <xf numFmtId="0" fontId="12" fillId="0" borderId="7" xfId="0" applyFont="1" applyFill="1" applyBorder="1" applyAlignment="1">
      <alignment wrapText="1"/>
    </xf>
    <xf numFmtId="4" fontId="12" fillId="0" borderId="7" xfId="0" applyNumberFormat="1" applyFont="1" applyFill="1" applyBorder="1" applyAlignment="1">
      <alignment wrapText="1"/>
    </xf>
    <xf numFmtId="0" fontId="13" fillId="0" borderId="7" xfId="0" applyFont="1" applyFill="1" applyBorder="1"/>
    <xf numFmtId="43" fontId="7" fillId="7" borderId="7" xfId="2" applyFont="1" applyFill="1" applyBorder="1"/>
    <xf numFmtId="43" fontId="6" fillId="7" borderId="7" xfId="2" applyFont="1" applyFill="1" applyBorder="1" applyAlignment="1">
      <alignment horizontal="center"/>
    </xf>
    <xf numFmtId="0" fontId="12" fillId="0" borderId="7" xfId="0" applyFont="1" applyFill="1" applyBorder="1"/>
    <xf numFmtId="4" fontId="12" fillId="0" borderId="7" xfId="0" applyNumberFormat="1" applyFont="1" applyFill="1" applyBorder="1"/>
    <xf numFmtId="4" fontId="6" fillId="0" borderId="7" xfId="0" applyNumberFormat="1" applyFont="1" applyFill="1" applyBorder="1"/>
    <xf numFmtId="43" fontId="6" fillId="0" borderId="7" xfId="0" applyNumberFormat="1" applyFont="1" applyFill="1" applyBorder="1"/>
    <xf numFmtId="14" fontId="6" fillId="0" borderId="7" xfId="0" applyNumberFormat="1" applyFont="1" applyBorder="1"/>
    <xf numFmtId="0" fontId="7" fillId="0" borderId="7" xfId="2" applyNumberFormat="1" applyFont="1" applyFill="1" applyBorder="1" applyAlignment="1">
      <alignment horizontal="center"/>
    </xf>
    <xf numFmtId="43" fontId="7" fillId="0" borderId="7" xfId="2" applyFont="1" applyFill="1" applyBorder="1" applyAlignment="1">
      <alignment horizontal="center"/>
    </xf>
    <xf numFmtId="43" fontId="14" fillId="0" borderId="7" xfId="2" applyFont="1" applyFill="1" applyBorder="1" applyAlignment="1">
      <alignment horizontal="center"/>
    </xf>
    <xf numFmtId="43" fontId="15" fillId="0" borderId="7" xfId="2" applyFont="1" applyFill="1" applyBorder="1"/>
    <xf numFmtId="0" fontId="6" fillId="7" borderId="7" xfId="0" applyFont="1" applyFill="1" applyBorder="1"/>
    <xf numFmtId="0" fontId="7" fillId="7" borderId="7" xfId="0" applyFont="1" applyFill="1" applyBorder="1" applyAlignment="1">
      <alignment wrapText="1"/>
    </xf>
    <xf numFmtId="9" fontId="14" fillId="0" borderId="7" xfId="2" applyNumberFormat="1" applyFont="1" applyFill="1" applyBorder="1" applyAlignment="1">
      <alignment horizontal="center"/>
    </xf>
    <xf numFmtId="43" fontId="7" fillId="5" borderId="2" xfId="2" applyFont="1" applyFill="1" applyBorder="1" applyAlignment="1">
      <alignment horizontal="center" wrapText="1"/>
    </xf>
    <xf numFmtId="43" fontId="10" fillId="5" borderId="2" xfId="2" applyFont="1" applyFill="1" applyBorder="1" applyAlignment="1">
      <alignment horizontal="center" wrapText="1"/>
    </xf>
    <xf numFmtId="0" fontId="7" fillId="0" borderId="0" xfId="0" applyFont="1" applyFill="1" applyAlignment="1">
      <alignment horizontal="center" wrapText="1"/>
    </xf>
    <xf numFmtId="0" fontId="7" fillId="0" borderId="0" xfId="0" applyFont="1" applyAlignment="1">
      <alignment horizontal="center" wrapText="1"/>
    </xf>
    <xf numFmtId="0" fontId="6" fillId="8" borderId="7" xfId="0" applyFont="1" applyFill="1" applyBorder="1"/>
    <xf numFmtId="0" fontId="6" fillId="0" borderId="7" xfId="0" applyFont="1" applyFill="1" applyBorder="1" applyAlignment="1">
      <alignment horizontal="center"/>
    </xf>
    <xf numFmtId="0" fontId="7" fillId="0" borderId="7" xfId="0" applyFont="1" applyFill="1" applyBorder="1" applyAlignment="1">
      <alignment horizontal="right"/>
    </xf>
    <xf numFmtId="0" fontId="6" fillId="9" borderId="7" xfId="0" applyFont="1" applyFill="1" applyBorder="1"/>
    <xf numFmtId="164" fontId="12" fillId="9" borderId="7" xfId="0" applyNumberFormat="1" applyFont="1" applyFill="1" applyBorder="1"/>
    <xf numFmtId="43" fontId="6" fillId="9" borderId="7" xfId="2" applyFont="1" applyFill="1" applyBorder="1"/>
    <xf numFmtId="43" fontId="7" fillId="9" borderId="7" xfId="2" applyFont="1" applyFill="1" applyBorder="1"/>
    <xf numFmtId="0" fontId="7" fillId="9" borderId="7" xfId="2" applyNumberFormat="1" applyFont="1" applyFill="1" applyBorder="1" applyAlignment="1">
      <alignment horizontal="center"/>
    </xf>
    <xf numFmtId="43" fontId="7" fillId="9" borderId="7" xfId="2" applyFont="1" applyFill="1" applyBorder="1" applyAlignment="1">
      <alignment horizontal="center"/>
    </xf>
    <xf numFmtId="43" fontId="6" fillId="9" borderId="7" xfId="2" applyFont="1" applyFill="1" applyBorder="1" applyAlignment="1">
      <alignment horizontal="center"/>
    </xf>
    <xf numFmtId="0" fontId="12" fillId="9" borderId="7" xfId="0" applyFont="1" applyFill="1" applyBorder="1" applyAlignment="1">
      <alignment wrapText="1"/>
    </xf>
    <xf numFmtId="4" fontId="12" fillId="9" borderId="7" xfId="0" applyNumberFormat="1" applyFont="1" applyFill="1" applyBorder="1" applyAlignment="1">
      <alignment wrapText="1"/>
    </xf>
    <xf numFmtId="43" fontId="12" fillId="9" borderId="7" xfId="2" applyFont="1" applyFill="1" applyBorder="1"/>
    <xf numFmtId="0" fontId="7" fillId="9" borderId="7" xfId="0" applyFont="1" applyFill="1" applyBorder="1"/>
    <xf numFmtId="0" fontId="6" fillId="9" borderId="0" xfId="0" applyFont="1" applyFill="1"/>
    <xf numFmtId="0" fontId="6" fillId="9" borderId="7" xfId="0" applyFont="1" applyFill="1" applyBorder="1" applyAlignment="1">
      <alignment horizontal="center"/>
    </xf>
    <xf numFmtId="0" fontId="6" fillId="10" borderId="7" xfId="0" applyFont="1" applyFill="1" applyBorder="1"/>
    <xf numFmtId="164" fontId="12" fillId="10" borderId="7" xfId="0" applyNumberFormat="1" applyFont="1" applyFill="1" applyBorder="1"/>
    <xf numFmtId="43" fontId="6" fillId="10" borderId="7" xfId="2" applyFont="1" applyFill="1" applyBorder="1"/>
    <xf numFmtId="0" fontId="7" fillId="10" borderId="7" xfId="0" applyFont="1" applyFill="1" applyBorder="1"/>
    <xf numFmtId="0" fontId="19" fillId="0" borderId="0" xfId="5" applyFont="1"/>
    <xf numFmtId="49" fontId="19" fillId="0" borderId="0" xfId="5" applyNumberFormat="1" applyFont="1"/>
    <xf numFmtId="0" fontId="19" fillId="0" borderId="0" xfId="5" applyFont="1"/>
    <xf numFmtId="49" fontId="19" fillId="0" borderId="0" xfId="5" applyNumberFormat="1" applyFont="1"/>
    <xf numFmtId="165" fontId="19" fillId="0" borderId="0" xfId="5" applyNumberFormat="1" applyFont="1"/>
    <xf numFmtId="0" fontId="7" fillId="4" borderId="5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/>
    </xf>
    <xf numFmtId="43" fontId="7" fillId="5" borderId="1" xfId="2" applyFont="1" applyFill="1" applyBorder="1" applyAlignment="1">
      <alignment horizontal="center" wrapText="1"/>
    </xf>
    <xf numFmtId="43" fontId="7" fillId="5" borderId="2" xfId="2" applyFont="1" applyFill="1" applyBorder="1" applyAlignment="1">
      <alignment horizontal="center" wrapText="1"/>
    </xf>
    <xf numFmtId="43" fontId="10" fillId="5" borderId="3" xfId="2" applyFont="1" applyFill="1" applyBorder="1" applyAlignment="1">
      <alignment horizontal="center" wrapText="1"/>
    </xf>
    <xf numFmtId="43" fontId="10" fillId="5" borderId="4" xfId="2" applyFont="1" applyFill="1" applyBorder="1" applyAlignment="1">
      <alignment horizontal="center" wrapText="1"/>
    </xf>
    <xf numFmtId="43" fontId="2" fillId="4" borderId="5" xfId="2" applyFill="1" applyBorder="1" applyAlignment="1">
      <alignment horizontal="center"/>
    </xf>
    <xf numFmtId="43" fontId="7" fillId="5" borderId="1" xfId="2" applyFont="1" applyFill="1" applyBorder="1" applyAlignment="1">
      <alignment horizontal="center" vertical="center" wrapText="1"/>
    </xf>
    <xf numFmtId="43" fontId="7" fillId="5" borderId="2" xfId="2" applyFont="1" applyFill="1" applyBorder="1" applyAlignment="1">
      <alignment horizontal="center" vertical="center" wrapText="1"/>
    </xf>
    <xf numFmtId="0" fontId="7" fillId="6" borderId="2" xfId="0" applyFont="1" applyFill="1" applyBorder="1" applyAlignment="1">
      <alignment horizontal="center" vertical="center" wrapText="1"/>
    </xf>
    <xf numFmtId="0" fontId="7" fillId="6" borderId="8" xfId="0" applyFont="1" applyFill="1" applyBorder="1" applyAlignment="1">
      <alignment horizontal="center" vertical="center" wrapText="1"/>
    </xf>
    <xf numFmtId="43" fontId="7" fillId="5" borderId="9" xfId="2" applyFont="1" applyFill="1" applyBorder="1" applyAlignment="1">
      <alignment horizontal="center" vertical="center" wrapText="1"/>
    </xf>
    <xf numFmtId="0" fontId="16" fillId="0" borderId="7" xfId="0" applyFont="1" applyBorder="1" applyAlignment="1">
      <alignment horizontal="center"/>
    </xf>
    <xf numFmtId="43" fontId="7" fillId="5" borderId="8" xfId="2" applyFont="1" applyFill="1" applyBorder="1" applyAlignment="1">
      <alignment horizontal="center" vertical="center" wrapText="1"/>
    </xf>
    <xf numFmtId="3" fontId="7" fillId="5" borderId="2" xfId="0" applyNumberFormat="1" applyFont="1" applyFill="1" applyBorder="1" applyAlignment="1">
      <alignment horizontal="center" vertical="center"/>
    </xf>
    <xf numFmtId="3" fontId="7" fillId="5" borderId="9" xfId="0" applyNumberFormat="1" applyFont="1" applyFill="1" applyBorder="1" applyAlignment="1">
      <alignment horizontal="center" vertical="center"/>
    </xf>
    <xf numFmtId="3" fontId="7" fillId="5" borderId="2" xfId="0" applyNumberFormat="1" applyFont="1" applyFill="1" applyBorder="1" applyAlignment="1">
      <alignment horizontal="center" vertical="center" wrapText="1"/>
    </xf>
    <xf numFmtId="3" fontId="7" fillId="5" borderId="9" xfId="0" applyNumberFormat="1" applyFont="1" applyFill="1" applyBorder="1" applyAlignment="1">
      <alignment horizontal="center" vertical="center" wrapText="1"/>
    </xf>
  </cellXfs>
  <cellStyles count="6">
    <cellStyle name="Excel Built-in Normal" xfId="1"/>
    <cellStyle name="Millares" xfId="2" builtinId="3"/>
    <cellStyle name="Normal" xfId="0" builtinId="0"/>
    <cellStyle name="Normal 2" xfId="5"/>
    <cellStyle name="Normal 4" xfId="4"/>
    <cellStyle name="Normal_Hoja1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66CCFF"/>
      <color rgb="FF33CCFF"/>
      <color rgb="FFFF00FF"/>
      <color rgb="FFFFFF66"/>
      <color rgb="FFF4B082"/>
      <color rgb="FF9999FF"/>
      <color rgb="FFBCD6EE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S146"/>
  <sheetViews>
    <sheetView tabSelected="1" zoomScale="110" zoomScaleNormal="110" workbookViewId="0">
      <pane xSplit="2" ySplit="6" topLeftCell="C60" activePane="bottomRight" state="frozen"/>
      <selection pane="topRight" activeCell="C1" sqref="C1"/>
      <selection pane="bottomLeft" activeCell="A7" sqref="A7"/>
      <selection pane="bottomRight" activeCell="H60" sqref="H60"/>
    </sheetView>
  </sheetViews>
  <sheetFormatPr baseColWidth="10" defaultColWidth="11.5703125" defaultRowHeight="15"/>
  <cols>
    <col min="1" max="1" width="17.140625" style="19" customWidth="1"/>
    <col min="2" max="2" width="40" style="19" customWidth="1"/>
    <col min="3" max="3" width="22.42578125" style="19" bestFit="1" customWidth="1"/>
    <col min="4" max="5" width="13.28515625" style="19" customWidth="1"/>
    <col min="6" max="6" width="13.85546875" style="13" customWidth="1"/>
    <col min="7" max="7" width="15.85546875" style="13" bestFit="1" customWidth="1"/>
    <col min="8" max="9" width="13.5703125" style="13" customWidth="1"/>
    <col min="10" max="10" width="17" style="14" customWidth="1"/>
    <col min="11" max="13" width="13.5703125" style="13" customWidth="1"/>
    <col min="14" max="14" width="13.5703125" style="15" customWidth="1"/>
    <col min="15" max="15" width="19.28515625" style="15" customWidth="1"/>
    <col min="16" max="16" width="16.85546875" style="15" customWidth="1"/>
    <col min="17" max="17" width="16.140625" style="15" customWidth="1"/>
    <col min="18" max="21" width="13.5703125" style="13" customWidth="1"/>
    <col min="22" max="22" width="16.7109375" style="14" customWidth="1"/>
    <col min="23" max="23" width="16.7109375" style="13" hidden="1" customWidth="1"/>
    <col min="24" max="24" width="15.42578125" style="14" hidden="1" customWidth="1"/>
    <col min="25" max="27" width="13.5703125" style="13" hidden="1" customWidth="1"/>
    <col min="28" max="28" width="15.42578125" style="14" hidden="1" customWidth="1"/>
    <col min="29" max="29" width="15.28515625" style="42" hidden="1" customWidth="1"/>
    <col min="30" max="30" width="12.7109375" style="42" hidden="1" customWidth="1"/>
    <col min="31" max="31" width="11.5703125" style="1" hidden="1" customWidth="1"/>
    <col min="32" max="32" width="19.28515625" style="19" bestFit="1" customWidth="1"/>
    <col min="33" max="33" width="35" style="19" bestFit="1" customWidth="1"/>
    <col min="34" max="34" width="11.85546875" style="18" bestFit="1" customWidth="1"/>
    <col min="35" max="35" width="11.5703125" style="18"/>
    <col min="36" max="16384" width="11.5703125" style="19"/>
  </cols>
  <sheetData>
    <row r="1" spans="1:35" s="7" customFormat="1">
      <c r="A1" s="2" t="s">
        <v>116</v>
      </c>
      <c r="B1" s="2"/>
      <c r="C1" s="3"/>
      <c r="D1" s="3"/>
      <c r="E1" s="3"/>
      <c r="F1" s="4"/>
      <c r="G1" s="4"/>
      <c r="H1" s="4"/>
      <c r="I1" s="4"/>
      <c r="J1" s="5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5"/>
      <c r="W1" s="4"/>
      <c r="X1" s="5"/>
      <c r="Y1" s="4"/>
      <c r="Z1" s="4"/>
      <c r="AA1" s="4"/>
      <c r="AB1" s="5"/>
      <c r="AC1" s="41"/>
      <c r="AD1" s="41"/>
      <c r="AE1" s="21"/>
      <c r="AH1" s="6"/>
      <c r="AI1" s="6"/>
    </row>
    <row r="2" spans="1:35" s="7" customFormat="1">
      <c r="A2" s="8" t="s">
        <v>33</v>
      </c>
      <c r="B2" s="8"/>
      <c r="C2" s="9"/>
      <c r="D2" s="9"/>
      <c r="E2" s="9"/>
      <c r="F2" s="4"/>
      <c r="G2" s="4"/>
      <c r="H2" s="4"/>
      <c r="I2" s="4"/>
      <c r="J2" s="5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5"/>
      <c r="W2" s="4"/>
      <c r="X2" s="5"/>
      <c r="Y2" s="4"/>
      <c r="Z2" s="4"/>
      <c r="AA2" s="4"/>
      <c r="AB2" s="5"/>
      <c r="AC2" s="41"/>
      <c r="AD2" s="41"/>
      <c r="AE2" s="21"/>
      <c r="AH2" s="6"/>
      <c r="AI2" s="6"/>
    </row>
    <row r="3" spans="1:35" s="7" customFormat="1">
      <c r="A3" s="10" t="s">
        <v>200</v>
      </c>
      <c r="B3" s="10"/>
      <c r="C3" s="11"/>
      <c r="D3" s="11"/>
      <c r="E3" s="11"/>
      <c r="F3" s="4"/>
      <c r="G3" s="4"/>
      <c r="H3" s="4"/>
      <c r="I3" s="4"/>
      <c r="J3" s="5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5"/>
      <c r="W3" s="4"/>
      <c r="X3" s="5"/>
      <c r="Y3" s="4"/>
      <c r="Z3" s="4"/>
      <c r="AA3" s="4"/>
      <c r="AB3" s="5"/>
      <c r="AC3" s="41"/>
      <c r="AD3" s="41"/>
      <c r="AE3" s="21"/>
      <c r="AH3" s="6"/>
      <c r="AI3" s="6"/>
    </row>
    <row r="4" spans="1:35" s="12" customFormat="1">
      <c r="A4" s="12" t="s">
        <v>201</v>
      </c>
      <c r="F4" s="13"/>
      <c r="G4" s="13"/>
      <c r="H4" s="13"/>
      <c r="I4" s="13"/>
      <c r="J4" s="14"/>
      <c r="K4" s="13"/>
      <c r="L4" s="13"/>
      <c r="M4" s="13"/>
      <c r="N4" s="15"/>
      <c r="O4" s="15"/>
      <c r="P4" s="15"/>
      <c r="Q4" s="15"/>
      <c r="R4" s="13"/>
      <c r="S4" s="13"/>
      <c r="T4" s="13"/>
      <c r="U4" s="13"/>
      <c r="V4" s="14"/>
      <c r="W4" s="13"/>
      <c r="X4" s="14"/>
      <c r="Y4" s="13"/>
      <c r="Z4" s="13"/>
      <c r="AA4" s="13"/>
      <c r="AB4" s="14"/>
      <c r="AC4" s="42"/>
      <c r="AD4" s="42"/>
      <c r="AE4" s="1"/>
      <c r="AH4" s="16"/>
      <c r="AI4" s="16"/>
    </row>
    <row r="5" spans="1:35" s="12" customFormat="1" ht="28.5" customHeight="1">
      <c r="A5" s="110" t="s">
        <v>13</v>
      </c>
      <c r="B5" s="110" t="s">
        <v>14</v>
      </c>
      <c r="C5" s="110" t="s">
        <v>0</v>
      </c>
      <c r="D5" s="112" t="s">
        <v>67</v>
      </c>
      <c r="E5" s="112" t="s">
        <v>147</v>
      </c>
      <c r="F5" s="104" t="s">
        <v>32</v>
      </c>
      <c r="G5" s="104" t="s">
        <v>172</v>
      </c>
      <c r="H5" s="103" t="s">
        <v>9</v>
      </c>
      <c r="I5" s="103" t="s">
        <v>10</v>
      </c>
      <c r="J5" s="103" t="s">
        <v>11</v>
      </c>
      <c r="K5" s="103" t="s">
        <v>12</v>
      </c>
      <c r="L5" s="104" t="s">
        <v>92</v>
      </c>
      <c r="M5" s="104" t="s">
        <v>74</v>
      </c>
      <c r="N5" s="105" t="s">
        <v>46</v>
      </c>
      <c r="O5" s="105" t="s">
        <v>60</v>
      </c>
      <c r="P5" s="105" t="s">
        <v>59</v>
      </c>
      <c r="Q5" s="105" t="s">
        <v>47</v>
      </c>
      <c r="R5" s="103" t="s">
        <v>6</v>
      </c>
      <c r="S5" s="103" t="s">
        <v>16</v>
      </c>
      <c r="T5" s="103" t="s">
        <v>15</v>
      </c>
      <c r="U5" s="103" t="s">
        <v>8</v>
      </c>
      <c r="V5" s="103" t="s">
        <v>23</v>
      </c>
      <c r="W5" s="98" t="s">
        <v>3</v>
      </c>
      <c r="X5" s="98" t="s">
        <v>7</v>
      </c>
      <c r="Y5" s="98" t="s">
        <v>2</v>
      </c>
      <c r="Z5" s="98" t="s">
        <v>4</v>
      </c>
      <c r="AA5" s="23"/>
      <c r="AB5" s="98" t="s">
        <v>5</v>
      </c>
      <c r="AC5" s="100" t="s">
        <v>78</v>
      </c>
      <c r="AD5" s="101"/>
      <c r="AE5" s="102" t="s">
        <v>48</v>
      </c>
      <c r="AF5" s="96" t="s">
        <v>69</v>
      </c>
      <c r="AG5" s="96" t="s">
        <v>70</v>
      </c>
      <c r="AH5" s="16"/>
      <c r="AI5" s="16"/>
    </row>
    <row r="6" spans="1:35" s="70" customFormat="1" ht="39" customHeight="1">
      <c r="A6" s="111"/>
      <c r="B6" s="111"/>
      <c r="C6" s="111"/>
      <c r="D6" s="113"/>
      <c r="E6" s="113"/>
      <c r="F6" s="109"/>
      <c r="G6" s="107"/>
      <c r="H6" s="104"/>
      <c r="I6" s="104"/>
      <c r="J6" s="104"/>
      <c r="K6" s="104"/>
      <c r="L6" s="107"/>
      <c r="M6" s="107"/>
      <c r="N6" s="106"/>
      <c r="O6" s="106"/>
      <c r="P6" s="106"/>
      <c r="Q6" s="106"/>
      <c r="R6" s="104"/>
      <c r="S6" s="104"/>
      <c r="T6" s="104"/>
      <c r="U6" s="104"/>
      <c r="V6" s="104"/>
      <c r="W6" s="99"/>
      <c r="X6" s="99"/>
      <c r="Y6" s="99"/>
      <c r="Z6" s="99"/>
      <c r="AA6" s="67"/>
      <c r="AB6" s="99"/>
      <c r="AC6" s="68" t="s">
        <v>24</v>
      </c>
      <c r="AD6" s="68" t="s">
        <v>25</v>
      </c>
      <c r="AE6" s="102"/>
      <c r="AF6" s="96"/>
      <c r="AG6" s="96"/>
      <c r="AH6" s="69"/>
      <c r="AI6" s="69"/>
    </row>
    <row r="7" spans="1:35" s="18" customFormat="1">
      <c r="A7" s="71" t="s">
        <v>28</v>
      </c>
      <c r="B7" s="33" t="s">
        <v>174</v>
      </c>
      <c r="C7" s="33" t="s">
        <v>30</v>
      </c>
      <c r="D7" s="49">
        <v>42685</v>
      </c>
      <c r="E7" s="34">
        <v>1026.69</v>
      </c>
      <c r="F7" s="34">
        <v>61.5</v>
      </c>
      <c r="G7" s="34"/>
      <c r="H7" s="34"/>
      <c r="I7" s="34"/>
      <c r="J7" s="46">
        <f t="shared" ref="J7:J22" si="0">SUM(F7:I7)</f>
        <v>61.5</v>
      </c>
      <c r="K7" s="34"/>
      <c r="L7" s="60"/>
      <c r="M7" s="34"/>
      <c r="N7" s="34"/>
      <c r="O7" s="61"/>
      <c r="P7" s="61"/>
      <c r="Q7" s="34"/>
      <c r="R7" s="32"/>
      <c r="S7" s="32"/>
      <c r="T7" s="33"/>
      <c r="U7" s="33"/>
      <c r="V7" s="46">
        <f t="shared" ref="V7:V34" si="1">+J7-SUM(K7:U7)</f>
        <v>61.5</v>
      </c>
      <c r="W7" s="32"/>
      <c r="X7" s="46"/>
      <c r="Y7" s="32"/>
      <c r="Z7" s="32"/>
      <c r="AA7" s="32"/>
      <c r="AB7" s="46"/>
      <c r="AC7" s="50"/>
      <c r="AD7" s="51"/>
      <c r="AE7" s="47"/>
      <c r="AF7" s="35">
        <v>56710784500</v>
      </c>
      <c r="AG7" s="33"/>
    </row>
    <row r="8" spans="1:35" s="18" customFormat="1">
      <c r="A8" s="71" t="s">
        <v>37</v>
      </c>
      <c r="B8" s="33" t="s">
        <v>65</v>
      </c>
      <c r="C8" s="33" t="s">
        <v>29</v>
      </c>
      <c r="D8" s="49">
        <v>42062</v>
      </c>
      <c r="E8" s="34">
        <v>1166.27</v>
      </c>
      <c r="F8" s="34">
        <v>2922.68</v>
      </c>
      <c r="G8" s="34"/>
      <c r="H8" s="34"/>
      <c r="I8" s="34"/>
      <c r="J8" s="46">
        <f t="shared" si="0"/>
        <v>2922.68</v>
      </c>
      <c r="K8" s="34"/>
      <c r="L8" s="60"/>
      <c r="M8" s="34"/>
      <c r="N8" s="34"/>
      <c r="O8" s="61"/>
      <c r="P8" s="61"/>
      <c r="Q8" s="34"/>
      <c r="R8" s="32"/>
      <c r="S8" s="32"/>
      <c r="T8" s="33"/>
      <c r="U8" s="33"/>
      <c r="V8" s="46">
        <f t="shared" si="1"/>
        <v>2922.68</v>
      </c>
      <c r="W8" s="32">
        <f t="shared" ref="W8:W28" si="2">IF(J8&gt;2250,J8*0.1,0)</f>
        <v>292.26799999999997</v>
      </c>
      <c r="X8" s="46">
        <f t="shared" ref="X8:X28" si="3">+V8-W8</f>
        <v>2630.4119999999998</v>
      </c>
      <c r="Y8" s="32">
        <f t="shared" ref="Y8:Y28" si="4">IF(J8&lt;2250,J8*0.1,0)</f>
        <v>0</v>
      </c>
      <c r="Z8" s="32">
        <v>10.23</v>
      </c>
      <c r="AA8" s="32">
        <f t="shared" ref="AA8:AA28" si="5">+O8</f>
        <v>0</v>
      </c>
      <c r="AB8" s="46">
        <f t="shared" ref="AB8:AB28" si="6">+J8+Y8+Z8+AA8</f>
        <v>2932.91</v>
      </c>
      <c r="AC8" s="50"/>
      <c r="AD8" s="51"/>
      <c r="AE8" s="47">
        <f t="shared" ref="AE8:AE12" si="7">+AC8+AD8-X8</f>
        <v>-2630.4119999999998</v>
      </c>
      <c r="AF8" s="35">
        <v>56708844887</v>
      </c>
      <c r="AG8" s="33"/>
    </row>
    <row r="9" spans="1:35" s="18" customFormat="1">
      <c r="A9" s="71" t="s">
        <v>28</v>
      </c>
      <c r="B9" s="33" t="s">
        <v>188</v>
      </c>
      <c r="C9" s="33" t="s">
        <v>30</v>
      </c>
      <c r="D9" s="49">
        <v>43052</v>
      </c>
      <c r="E9" s="34">
        <v>1026.69</v>
      </c>
      <c r="F9" s="34"/>
      <c r="G9" s="34"/>
      <c r="H9" s="34"/>
      <c r="I9" s="34"/>
      <c r="J9" s="46">
        <f t="shared" si="0"/>
        <v>0</v>
      </c>
      <c r="K9" s="34"/>
      <c r="L9" s="60">
        <v>1</v>
      </c>
      <c r="M9" s="34"/>
      <c r="N9" s="34"/>
      <c r="O9" s="61"/>
      <c r="P9" s="61"/>
      <c r="Q9" s="34"/>
      <c r="R9" s="32"/>
      <c r="S9" s="32"/>
      <c r="T9" s="33"/>
      <c r="U9" s="33"/>
      <c r="V9" s="46">
        <f t="shared" si="1"/>
        <v>-1</v>
      </c>
      <c r="W9" s="32"/>
      <c r="X9" s="46"/>
      <c r="Y9" s="32"/>
      <c r="Z9" s="32"/>
      <c r="AA9" s="32"/>
      <c r="AB9" s="46"/>
      <c r="AC9" s="50"/>
      <c r="AD9" s="51"/>
      <c r="AE9" s="47"/>
      <c r="AF9" s="35">
        <v>60597137212</v>
      </c>
      <c r="AG9" s="33"/>
    </row>
    <row r="10" spans="1:35" s="18" customFormat="1">
      <c r="A10" s="71" t="s">
        <v>28</v>
      </c>
      <c r="B10" s="33" t="s">
        <v>35</v>
      </c>
      <c r="C10" s="33" t="s">
        <v>31</v>
      </c>
      <c r="D10" s="49">
        <v>39508</v>
      </c>
      <c r="E10" s="34">
        <v>4666.6899999999996</v>
      </c>
      <c r="F10" s="34">
        <v>9215.69</v>
      </c>
      <c r="G10" s="34"/>
      <c r="H10" s="34"/>
      <c r="I10" s="34"/>
      <c r="J10" s="46">
        <f t="shared" si="0"/>
        <v>9215.69</v>
      </c>
      <c r="K10" s="34"/>
      <c r="L10" s="60"/>
      <c r="M10" s="34"/>
      <c r="N10" s="34"/>
      <c r="O10" s="61"/>
      <c r="P10" s="61"/>
      <c r="Q10" s="34"/>
      <c r="R10" s="32"/>
      <c r="S10" s="32"/>
      <c r="T10" s="33"/>
      <c r="U10" s="33">
        <v>193.42</v>
      </c>
      <c r="V10" s="46">
        <f t="shared" si="1"/>
        <v>9022.27</v>
      </c>
      <c r="W10" s="32">
        <f t="shared" si="2"/>
        <v>921.56900000000007</v>
      </c>
      <c r="X10" s="46">
        <f t="shared" si="3"/>
        <v>8100.701</v>
      </c>
      <c r="Y10" s="32">
        <f t="shared" si="4"/>
        <v>0</v>
      </c>
      <c r="Z10" s="32">
        <v>10.23</v>
      </c>
      <c r="AA10" s="32">
        <f t="shared" si="5"/>
        <v>0</v>
      </c>
      <c r="AB10" s="46">
        <f t="shared" si="6"/>
        <v>9225.92</v>
      </c>
      <c r="AC10" s="50"/>
      <c r="AD10" s="51"/>
      <c r="AE10" s="47">
        <f t="shared" si="7"/>
        <v>-8100.701</v>
      </c>
      <c r="AF10" s="35">
        <v>56708881292</v>
      </c>
      <c r="AG10" s="33"/>
    </row>
    <row r="11" spans="1:35" s="18" customFormat="1">
      <c r="A11" s="71" t="s">
        <v>27</v>
      </c>
      <c r="B11" s="33" t="s">
        <v>171</v>
      </c>
      <c r="C11" s="33" t="s">
        <v>44</v>
      </c>
      <c r="D11" s="49">
        <v>43017</v>
      </c>
      <c r="E11" s="34">
        <v>1026.69</v>
      </c>
      <c r="F11" s="34"/>
      <c r="G11" s="34"/>
      <c r="H11" s="34"/>
      <c r="I11" s="34"/>
      <c r="J11" s="46">
        <f t="shared" si="0"/>
        <v>0</v>
      </c>
      <c r="K11" s="34"/>
      <c r="L11" s="60"/>
      <c r="M11" s="34"/>
      <c r="N11" s="34"/>
      <c r="O11" s="61"/>
      <c r="P11" s="61"/>
      <c r="Q11" s="34"/>
      <c r="R11" s="32"/>
      <c r="S11" s="32"/>
      <c r="T11" s="33"/>
      <c r="U11" s="72"/>
      <c r="V11" s="46"/>
      <c r="W11" s="32"/>
      <c r="X11" s="46"/>
      <c r="Y11" s="32"/>
      <c r="Z11" s="32"/>
      <c r="AA11" s="32"/>
      <c r="AB11" s="46"/>
      <c r="AC11" s="50"/>
      <c r="AD11" s="51"/>
      <c r="AE11" s="47"/>
      <c r="AF11" s="73" t="s">
        <v>170</v>
      </c>
      <c r="AG11" s="35"/>
    </row>
    <row r="12" spans="1:35" s="18" customFormat="1">
      <c r="A12" s="71" t="s">
        <v>28</v>
      </c>
      <c r="B12" s="33" t="s">
        <v>61</v>
      </c>
      <c r="C12" s="33" t="s">
        <v>30</v>
      </c>
      <c r="D12" s="49">
        <v>42383</v>
      </c>
      <c r="E12" s="34">
        <v>1026.69</v>
      </c>
      <c r="F12" s="34">
        <f>11881.36+1130</f>
        <v>13011.36</v>
      </c>
      <c r="G12" s="34"/>
      <c r="H12" s="34"/>
      <c r="I12" s="34"/>
      <c r="J12" s="46">
        <f t="shared" si="0"/>
        <v>13011.36</v>
      </c>
      <c r="K12" s="34"/>
      <c r="L12" s="60"/>
      <c r="M12" s="34"/>
      <c r="N12" s="34"/>
      <c r="O12" s="61"/>
      <c r="P12" s="61"/>
      <c r="Q12" s="34"/>
      <c r="R12" s="32">
        <v>770.97</v>
      </c>
      <c r="S12" s="32"/>
      <c r="T12" s="33"/>
      <c r="U12" s="33">
        <v>358.34</v>
      </c>
      <c r="V12" s="46">
        <f t="shared" si="1"/>
        <v>11882.050000000001</v>
      </c>
      <c r="W12" s="32">
        <f t="shared" si="2"/>
        <v>1301.1360000000002</v>
      </c>
      <c r="X12" s="46">
        <f t="shared" si="3"/>
        <v>10580.914000000001</v>
      </c>
      <c r="Y12" s="32">
        <f t="shared" si="4"/>
        <v>0</v>
      </c>
      <c r="Z12" s="32">
        <v>10.23</v>
      </c>
      <c r="AA12" s="32">
        <f t="shared" si="5"/>
        <v>0</v>
      </c>
      <c r="AB12" s="46">
        <f t="shared" si="6"/>
        <v>13021.59</v>
      </c>
      <c r="AC12" s="50"/>
      <c r="AD12" s="51"/>
      <c r="AE12" s="47">
        <f t="shared" si="7"/>
        <v>-10580.914000000001</v>
      </c>
      <c r="AF12" s="35">
        <v>56708881304</v>
      </c>
      <c r="AG12" s="33"/>
    </row>
    <row r="13" spans="1:35" s="85" customFormat="1">
      <c r="A13" s="74" t="s">
        <v>27</v>
      </c>
      <c r="B13" s="74" t="s">
        <v>162</v>
      </c>
      <c r="C13" s="74" t="s">
        <v>30</v>
      </c>
      <c r="D13" s="75">
        <v>42991</v>
      </c>
      <c r="E13" s="76">
        <v>1026.69</v>
      </c>
      <c r="F13" s="76"/>
      <c r="G13" s="76"/>
      <c r="H13" s="76"/>
      <c r="I13" s="76"/>
      <c r="J13" s="77">
        <f t="shared" si="0"/>
        <v>0</v>
      </c>
      <c r="K13" s="76"/>
      <c r="L13" s="78"/>
      <c r="M13" s="76"/>
      <c r="N13" s="76"/>
      <c r="O13" s="79"/>
      <c r="P13" s="79"/>
      <c r="Q13" s="76"/>
      <c r="R13" s="80"/>
      <c r="S13" s="80"/>
      <c r="T13" s="74"/>
      <c r="U13" s="86" t="s">
        <v>133</v>
      </c>
      <c r="V13" s="77"/>
      <c r="W13" s="80"/>
      <c r="X13" s="77"/>
      <c r="Y13" s="80"/>
      <c r="Z13" s="80"/>
      <c r="AA13" s="80"/>
      <c r="AB13" s="77"/>
      <c r="AC13" s="81"/>
      <c r="AD13" s="82"/>
      <c r="AE13" s="83"/>
      <c r="AF13" s="84">
        <v>56708881318</v>
      </c>
      <c r="AG13" s="74"/>
    </row>
    <row r="14" spans="1:35" s="18" customFormat="1">
      <c r="A14" s="71" t="s">
        <v>37</v>
      </c>
      <c r="B14" s="33" t="s">
        <v>367</v>
      </c>
      <c r="C14" s="33" t="s">
        <v>181</v>
      </c>
      <c r="D14" s="49">
        <v>43054</v>
      </c>
      <c r="E14" s="34">
        <v>1400</v>
      </c>
      <c r="F14" s="34"/>
      <c r="G14" s="34"/>
      <c r="H14" s="34"/>
      <c r="I14" s="34"/>
      <c r="J14" s="46">
        <f t="shared" si="0"/>
        <v>0</v>
      </c>
      <c r="K14" s="34"/>
      <c r="L14" s="60"/>
      <c r="M14" s="34"/>
      <c r="N14" s="34"/>
      <c r="O14" s="61"/>
      <c r="P14" s="61"/>
      <c r="Q14" s="34"/>
      <c r="R14" s="32"/>
      <c r="S14" s="32"/>
      <c r="T14" s="33"/>
      <c r="U14" s="72"/>
      <c r="V14" s="46"/>
      <c r="W14" s="32"/>
      <c r="X14" s="46"/>
      <c r="Y14" s="32"/>
      <c r="Z14" s="32"/>
      <c r="AA14" s="32"/>
      <c r="AB14" s="46"/>
      <c r="AC14" s="50"/>
      <c r="AD14" s="51"/>
      <c r="AE14" s="47"/>
      <c r="AF14" s="35">
        <v>60597130077</v>
      </c>
      <c r="AG14" s="33"/>
    </row>
    <row r="15" spans="1:35" s="18" customFormat="1">
      <c r="A15" s="71" t="s">
        <v>28</v>
      </c>
      <c r="B15" s="33" t="s">
        <v>193</v>
      </c>
      <c r="C15" s="33" t="s">
        <v>30</v>
      </c>
      <c r="D15" s="49">
        <v>43062</v>
      </c>
      <c r="E15" s="34">
        <v>1026.69</v>
      </c>
      <c r="F15" s="34"/>
      <c r="G15" s="34"/>
      <c r="H15" s="34"/>
      <c r="I15" s="34"/>
      <c r="J15" s="46">
        <f t="shared" si="0"/>
        <v>0</v>
      </c>
      <c r="K15" s="34"/>
      <c r="L15" s="60"/>
      <c r="M15" s="34"/>
      <c r="N15" s="34"/>
      <c r="O15" s="61"/>
      <c r="P15" s="61"/>
      <c r="Q15" s="34"/>
      <c r="R15" s="32"/>
      <c r="S15" s="32"/>
      <c r="T15" s="33"/>
      <c r="U15" s="33"/>
      <c r="V15" s="46"/>
      <c r="W15" s="32"/>
      <c r="X15" s="46"/>
      <c r="Y15" s="32"/>
      <c r="Z15" s="32"/>
      <c r="AA15" s="32"/>
      <c r="AB15" s="46"/>
      <c r="AC15" s="50"/>
      <c r="AD15" s="51"/>
      <c r="AE15" s="47"/>
      <c r="AF15" s="35">
        <v>1522786230</v>
      </c>
      <c r="AG15" s="33"/>
      <c r="AH15" s="18" t="s">
        <v>127</v>
      </c>
    </row>
    <row r="16" spans="1:35" s="18" customFormat="1" ht="15.75">
      <c r="A16" s="71" t="s">
        <v>28</v>
      </c>
      <c r="B16" s="33" t="s">
        <v>135</v>
      </c>
      <c r="C16" s="33" t="s">
        <v>30</v>
      </c>
      <c r="D16" s="49">
        <v>42878</v>
      </c>
      <c r="E16" s="34">
        <v>1026.69</v>
      </c>
      <c r="F16" s="34">
        <v>4473.09</v>
      </c>
      <c r="G16" s="34"/>
      <c r="H16" s="34"/>
      <c r="I16" s="34"/>
      <c r="J16" s="46">
        <f t="shared" si="0"/>
        <v>4473.09</v>
      </c>
      <c r="K16" s="34"/>
      <c r="L16" s="60"/>
      <c r="M16" s="34"/>
      <c r="N16" s="34"/>
      <c r="O16" s="61"/>
      <c r="P16" s="61"/>
      <c r="Q16" s="34"/>
      <c r="R16" s="32"/>
      <c r="S16" s="66">
        <v>0.3</v>
      </c>
      <c r="T16" s="33"/>
      <c r="U16" s="33">
        <v>2000</v>
      </c>
      <c r="V16" s="46">
        <f t="shared" si="1"/>
        <v>2472.79</v>
      </c>
      <c r="W16" s="32"/>
      <c r="X16" s="46"/>
      <c r="Y16" s="32"/>
      <c r="Z16" s="32"/>
      <c r="AA16" s="32"/>
      <c r="AB16" s="46"/>
      <c r="AC16" s="50"/>
      <c r="AD16" s="51"/>
      <c r="AE16" s="47"/>
      <c r="AF16" s="35">
        <v>53917427816</v>
      </c>
      <c r="AG16" s="33"/>
    </row>
    <row r="17" spans="1:34" s="18" customFormat="1">
      <c r="A17" s="71" t="s">
        <v>27</v>
      </c>
      <c r="B17" s="33" t="s">
        <v>139</v>
      </c>
      <c r="C17" s="33" t="s">
        <v>167</v>
      </c>
      <c r="D17" s="49">
        <v>42908</v>
      </c>
      <c r="E17" s="34">
        <v>1499.96</v>
      </c>
      <c r="F17" s="34"/>
      <c r="G17" s="34"/>
      <c r="H17" s="34"/>
      <c r="I17" s="34"/>
      <c r="J17" s="46">
        <f t="shared" si="0"/>
        <v>0</v>
      </c>
      <c r="K17" s="34"/>
      <c r="L17" s="60"/>
      <c r="M17" s="34"/>
      <c r="N17" s="34"/>
      <c r="O17" s="61"/>
      <c r="P17" s="61"/>
      <c r="Q17" s="34"/>
      <c r="R17" s="32"/>
      <c r="S17" s="32"/>
      <c r="T17" s="33"/>
      <c r="U17" s="33"/>
      <c r="V17" s="46">
        <f t="shared" si="1"/>
        <v>0</v>
      </c>
      <c r="W17" s="32"/>
      <c r="X17" s="46"/>
      <c r="Y17" s="32"/>
      <c r="Z17" s="32"/>
      <c r="AA17" s="32"/>
      <c r="AB17" s="46"/>
      <c r="AC17" s="50"/>
      <c r="AD17" s="51"/>
      <c r="AE17" s="47"/>
      <c r="AF17" s="35">
        <v>60592545278</v>
      </c>
      <c r="AG17" s="33"/>
    </row>
    <row r="18" spans="1:34" s="18" customFormat="1">
      <c r="A18" s="71" t="s">
        <v>37</v>
      </c>
      <c r="B18" s="33" t="s">
        <v>157</v>
      </c>
      <c r="C18" s="33" t="s">
        <v>42</v>
      </c>
      <c r="D18" s="49">
        <v>42977</v>
      </c>
      <c r="E18" s="34">
        <v>933.31</v>
      </c>
      <c r="F18" s="34">
        <v>1350</v>
      </c>
      <c r="G18" s="34"/>
      <c r="H18" s="34"/>
      <c r="I18" s="34"/>
      <c r="J18" s="46">
        <f t="shared" si="0"/>
        <v>1350</v>
      </c>
      <c r="K18" s="34"/>
      <c r="L18" s="60"/>
      <c r="M18" s="34"/>
      <c r="N18" s="34"/>
      <c r="O18" s="61"/>
      <c r="P18" s="61"/>
      <c r="Q18" s="34"/>
      <c r="R18" s="32"/>
      <c r="S18" s="32"/>
      <c r="T18" s="33"/>
      <c r="U18" s="33"/>
      <c r="V18" s="46">
        <f t="shared" si="1"/>
        <v>1350</v>
      </c>
      <c r="W18" s="32"/>
      <c r="X18" s="46"/>
      <c r="Y18" s="32"/>
      <c r="Z18" s="32"/>
      <c r="AA18" s="32"/>
      <c r="AB18" s="46"/>
      <c r="AC18" s="50"/>
      <c r="AD18" s="51"/>
      <c r="AE18" s="47"/>
      <c r="AF18" s="35">
        <v>60594701908</v>
      </c>
      <c r="AG18" s="33"/>
    </row>
    <row r="19" spans="1:34" s="18" customFormat="1">
      <c r="A19" s="71" t="s">
        <v>28</v>
      </c>
      <c r="B19" s="33" t="s">
        <v>72</v>
      </c>
      <c r="C19" s="33" t="s">
        <v>31</v>
      </c>
      <c r="D19" s="49">
        <v>39699</v>
      </c>
      <c r="E19" s="34">
        <v>4666.6899999999996</v>
      </c>
      <c r="F19" s="34">
        <v>8645.61</v>
      </c>
      <c r="G19" s="34"/>
      <c r="H19" s="34"/>
      <c r="I19" s="34"/>
      <c r="J19" s="46">
        <f t="shared" si="0"/>
        <v>8645.61</v>
      </c>
      <c r="K19" s="34">
        <v>1250</v>
      </c>
      <c r="L19" s="60"/>
      <c r="M19" s="34"/>
      <c r="N19" s="34">
        <v>1000</v>
      </c>
      <c r="O19" s="61"/>
      <c r="P19" s="61"/>
      <c r="Q19" s="34"/>
      <c r="R19" s="32">
        <v>2000</v>
      </c>
      <c r="S19" s="32"/>
      <c r="T19" s="33"/>
      <c r="U19" s="33"/>
      <c r="V19" s="46">
        <f t="shared" si="1"/>
        <v>4395.6100000000006</v>
      </c>
      <c r="W19" s="32">
        <f t="shared" si="2"/>
        <v>864.56100000000015</v>
      </c>
      <c r="X19" s="46">
        <f t="shared" si="3"/>
        <v>3531.0490000000004</v>
      </c>
      <c r="Y19" s="32">
        <f t="shared" si="4"/>
        <v>0</v>
      </c>
      <c r="Z19" s="32">
        <v>10.23</v>
      </c>
      <c r="AA19" s="32">
        <f t="shared" si="5"/>
        <v>0</v>
      </c>
      <c r="AB19" s="46">
        <f t="shared" si="6"/>
        <v>8655.84</v>
      </c>
      <c r="AC19" s="50"/>
      <c r="AD19" s="51"/>
      <c r="AE19" s="47">
        <f t="shared" ref="AE19" si="8">+AC19+AD19-X19</f>
        <v>-3531.0490000000004</v>
      </c>
      <c r="AF19" s="35">
        <v>56708881349</v>
      </c>
      <c r="AG19" s="35" t="s">
        <v>204</v>
      </c>
    </row>
    <row r="20" spans="1:34" s="18" customFormat="1">
      <c r="A20" s="71" t="s">
        <v>28</v>
      </c>
      <c r="B20" s="33" t="s">
        <v>190</v>
      </c>
      <c r="C20" s="33" t="s">
        <v>30</v>
      </c>
      <c r="D20" s="49">
        <v>43055</v>
      </c>
      <c r="E20" s="34">
        <v>1026.69</v>
      </c>
      <c r="F20" s="34"/>
      <c r="G20" s="34"/>
      <c r="H20" s="34"/>
      <c r="I20" s="34"/>
      <c r="J20" s="46"/>
      <c r="K20" s="34"/>
      <c r="L20" s="60"/>
      <c r="M20" s="34"/>
      <c r="N20" s="34"/>
      <c r="O20" s="61"/>
      <c r="P20" s="61"/>
      <c r="Q20" s="34"/>
      <c r="R20" s="32"/>
      <c r="S20" s="32"/>
      <c r="T20" s="33"/>
      <c r="U20" s="33"/>
      <c r="V20" s="46"/>
      <c r="W20" s="32"/>
      <c r="X20" s="46"/>
      <c r="Y20" s="32"/>
      <c r="Z20" s="32"/>
      <c r="AA20" s="32"/>
      <c r="AB20" s="46"/>
      <c r="AC20" s="50"/>
      <c r="AD20" s="51"/>
      <c r="AE20" s="47"/>
      <c r="AF20" s="35">
        <v>60597155367</v>
      </c>
      <c r="AG20" s="33"/>
    </row>
    <row r="21" spans="1:34" s="18" customFormat="1" ht="15.75">
      <c r="A21" s="71" t="s">
        <v>27</v>
      </c>
      <c r="B21" s="33" t="s">
        <v>164</v>
      </c>
      <c r="C21" s="33" t="s">
        <v>30</v>
      </c>
      <c r="D21" s="49">
        <v>43005</v>
      </c>
      <c r="E21" s="34">
        <v>1026.69</v>
      </c>
      <c r="F21" s="34">
        <v>1527.62</v>
      </c>
      <c r="G21" s="34"/>
      <c r="H21" s="34"/>
      <c r="I21" s="34"/>
      <c r="J21" s="46">
        <f t="shared" si="0"/>
        <v>1527.62</v>
      </c>
      <c r="K21" s="34"/>
      <c r="L21" s="60"/>
      <c r="M21" s="34"/>
      <c r="N21" s="34"/>
      <c r="O21" s="61"/>
      <c r="P21" s="61"/>
      <c r="Q21" s="34"/>
      <c r="R21" s="32">
        <v>318.17</v>
      </c>
      <c r="S21" s="66"/>
      <c r="T21" s="33"/>
      <c r="U21" s="33">
        <v>302.99</v>
      </c>
      <c r="V21" s="46"/>
      <c r="W21" s="32"/>
      <c r="X21" s="46"/>
      <c r="Y21" s="32"/>
      <c r="Z21" s="32"/>
      <c r="AA21" s="32"/>
      <c r="AB21" s="46"/>
      <c r="AC21" s="50"/>
      <c r="AD21" s="51"/>
      <c r="AE21" s="47"/>
      <c r="AF21" s="35">
        <v>60595911850</v>
      </c>
      <c r="AG21" s="33"/>
    </row>
    <row r="22" spans="1:34" s="18" customFormat="1" ht="15.75">
      <c r="A22" s="71" t="s">
        <v>68</v>
      </c>
      <c r="B22" s="33" t="s">
        <v>55</v>
      </c>
      <c r="C22" s="33" t="s">
        <v>43</v>
      </c>
      <c r="D22" s="49">
        <v>42205</v>
      </c>
      <c r="E22" s="34">
        <v>1869</v>
      </c>
      <c r="F22" s="34"/>
      <c r="G22" s="34"/>
      <c r="H22" s="34"/>
      <c r="I22" s="34"/>
      <c r="J22" s="46">
        <f t="shared" si="0"/>
        <v>0</v>
      </c>
      <c r="K22" s="34"/>
      <c r="L22" s="60"/>
      <c r="M22" s="34"/>
      <c r="N22" s="34">
        <v>300</v>
      </c>
      <c r="O22" s="61"/>
      <c r="P22" s="61"/>
      <c r="Q22" s="34"/>
      <c r="R22" s="32"/>
      <c r="S22" s="66">
        <v>0.3</v>
      </c>
      <c r="T22" s="33"/>
      <c r="U22" s="33"/>
      <c r="V22" s="46">
        <f t="shared" si="1"/>
        <v>-300.3</v>
      </c>
      <c r="W22" s="32">
        <f t="shared" si="2"/>
        <v>0</v>
      </c>
      <c r="X22" s="46">
        <f t="shared" si="3"/>
        <v>-300.3</v>
      </c>
      <c r="Y22" s="32">
        <f t="shared" si="4"/>
        <v>0</v>
      </c>
      <c r="Z22" s="32">
        <v>10.23</v>
      </c>
      <c r="AA22" s="32">
        <f t="shared" si="5"/>
        <v>0</v>
      </c>
      <c r="AB22" s="46">
        <f t="shared" si="6"/>
        <v>10.23</v>
      </c>
      <c r="AC22" s="50"/>
      <c r="AD22" s="51"/>
      <c r="AE22" s="47">
        <f t="shared" ref="AE22" si="9">+AC22+AD22-X22</f>
        <v>300.3</v>
      </c>
      <c r="AF22" s="35">
        <v>56708844950</v>
      </c>
      <c r="AG22" s="35"/>
    </row>
    <row r="23" spans="1:34" s="18" customFormat="1" ht="15.75">
      <c r="A23" s="71" t="s">
        <v>68</v>
      </c>
      <c r="B23" s="33" t="s">
        <v>85</v>
      </c>
      <c r="C23" s="33" t="s">
        <v>43</v>
      </c>
      <c r="D23" s="49">
        <v>42476</v>
      </c>
      <c r="E23" s="34">
        <v>1869</v>
      </c>
      <c r="F23" s="34"/>
      <c r="G23" s="34"/>
      <c r="H23" s="34"/>
      <c r="I23" s="34"/>
      <c r="J23" s="46">
        <f t="shared" ref="J23:J68" si="10">SUM(F23:I23)</f>
        <v>0</v>
      </c>
      <c r="K23" s="34"/>
      <c r="L23" s="60"/>
      <c r="M23" s="34"/>
      <c r="N23" s="34"/>
      <c r="O23" s="61"/>
      <c r="P23" s="61"/>
      <c r="Q23" s="34"/>
      <c r="R23" s="32"/>
      <c r="S23" s="66"/>
      <c r="T23" s="33"/>
      <c r="U23" s="33"/>
      <c r="V23" s="46">
        <f t="shared" si="1"/>
        <v>0</v>
      </c>
      <c r="W23" s="32">
        <f t="shared" ref="W23" si="11">IF(J23&gt;2250,J23*0.1,0)</f>
        <v>0</v>
      </c>
      <c r="X23" s="46">
        <f t="shared" ref="X23" si="12">+V23-W23</f>
        <v>0</v>
      </c>
      <c r="Y23" s="32">
        <f t="shared" si="4"/>
        <v>0</v>
      </c>
      <c r="Z23" s="32">
        <v>10.23</v>
      </c>
      <c r="AA23" s="32">
        <f t="shared" si="5"/>
        <v>0</v>
      </c>
      <c r="AB23" s="46">
        <f t="shared" si="6"/>
        <v>10.23</v>
      </c>
      <c r="AC23" s="50"/>
      <c r="AD23" s="51"/>
      <c r="AE23" s="47" t="e">
        <f>+AC23+AD23-#REF!</f>
        <v>#REF!</v>
      </c>
      <c r="AF23" s="35">
        <v>56708844964</v>
      </c>
      <c r="AG23" s="35" t="s">
        <v>206</v>
      </c>
    </row>
    <row r="24" spans="1:34" s="18" customFormat="1" ht="15.75">
      <c r="A24" s="71" t="s">
        <v>28</v>
      </c>
      <c r="B24" s="33" t="s">
        <v>143</v>
      </c>
      <c r="C24" s="33" t="s">
        <v>30</v>
      </c>
      <c r="D24" s="49">
        <v>42916</v>
      </c>
      <c r="E24" s="34">
        <v>1026.69</v>
      </c>
      <c r="F24" s="34">
        <v>8341.91</v>
      </c>
      <c r="G24" s="34"/>
      <c r="H24" s="34"/>
      <c r="I24" s="34"/>
      <c r="J24" s="46">
        <f t="shared" si="10"/>
        <v>8341.91</v>
      </c>
      <c r="K24" s="34"/>
      <c r="L24" s="60"/>
      <c r="M24" s="34"/>
      <c r="N24" s="34"/>
      <c r="O24" s="61"/>
      <c r="P24" s="61"/>
      <c r="Q24" s="34"/>
      <c r="R24" s="32"/>
      <c r="S24" s="66"/>
      <c r="T24" s="33"/>
      <c r="U24" s="33">
        <v>470.86</v>
      </c>
      <c r="V24" s="46">
        <f t="shared" si="1"/>
        <v>7871.05</v>
      </c>
      <c r="W24" s="32"/>
      <c r="X24" s="46"/>
      <c r="Y24" s="32"/>
      <c r="Z24" s="32"/>
      <c r="AA24" s="32"/>
      <c r="AB24" s="46"/>
      <c r="AC24" s="50"/>
      <c r="AD24" s="51"/>
      <c r="AE24" s="47"/>
      <c r="AF24" s="35">
        <v>60592609882</v>
      </c>
      <c r="AG24" s="33"/>
    </row>
    <row r="25" spans="1:34" s="18" customFormat="1" ht="15.75">
      <c r="A25" s="71" t="s">
        <v>28</v>
      </c>
      <c r="B25" s="33" t="s">
        <v>137</v>
      </c>
      <c r="C25" s="33" t="s">
        <v>30</v>
      </c>
      <c r="D25" s="49">
        <v>42899</v>
      </c>
      <c r="E25" s="34">
        <v>1026.69</v>
      </c>
      <c r="F25" s="34"/>
      <c r="G25" s="34"/>
      <c r="H25" s="34"/>
      <c r="I25" s="34"/>
      <c r="J25" s="46">
        <f t="shared" si="10"/>
        <v>0</v>
      </c>
      <c r="K25" s="34"/>
      <c r="L25" s="60"/>
      <c r="M25" s="34"/>
      <c r="N25" s="34"/>
      <c r="O25" s="61"/>
      <c r="P25" s="61"/>
      <c r="Q25" s="34"/>
      <c r="R25" s="32"/>
      <c r="S25" s="66"/>
      <c r="T25" s="33"/>
      <c r="U25" s="33"/>
      <c r="V25" s="46">
        <f t="shared" si="1"/>
        <v>0</v>
      </c>
      <c r="W25" s="32"/>
      <c r="X25" s="46"/>
      <c r="Y25" s="32"/>
      <c r="Z25" s="32"/>
      <c r="AA25" s="32"/>
      <c r="AB25" s="46"/>
      <c r="AC25" s="50"/>
      <c r="AD25" s="51"/>
      <c r="AE25" s="47"/>
      <c r="AF25" s="35">
        <v>60592030048</v>
      </c>
      <c r="AG25" s="33"/>
    </row>
    <row r="26" spans="1:34" s="18" customFormat="1" ht="15.75">
      <c r="A26" s="71" t="s">
        <v>28</v>
      </c>
      <c r="B26" s="33" t="s">
        <v>109</v>
      </c>
      <c r="C26" s="33" t="s">
        <v>110</v>
      </c>
      <c r="D26" s="49">
        <v>41359</v>
      </c>
      <c r="E26" s="34">
        <v>4666.6899999999996</v>
      </c>
      <c r="F26" s="34">
        <v>8246.82</v>
      </c>
      <c r="G26" s="34"/>
      <c r="H26" s="34"/>
      <c r="I26" s="34"/>
      <c r="J26" s="46">
        <f t="shared" si="10"/>
        <v>8246.82</v>
      </c>
      <c r="K26" s="34"/>
      <c r="L26" s="60"/>
      <c r="M26" s="34"/>
      <c r="N26" s="34"/>
      <c r="O26" s="61"/>
      <c r="P26" s="61"/>
      <c r="Q26" s="34"/>
      <c r="R26" s="32"/>
      <c r="S26" s="66"/>
      <c r="T26" s="33"/>
      <c r="U26" s="33"/>
      <c r="V26" s="46">
        <f t="shared" si="1"/>
        <v>8246.82</v>
      </c>
      <c r="W26" s="32">
        <f t="shared" ref="W26" si="13">IF(J26&gt;2250,J26*0.1,0)</f>
        <v>824.68200000000002</v>
      </c>
      <c r="X26" s="46">
        <f t="shared" ref="X26" si="14">+V26-W26</f>
        <v>7422.1379999999999</v>
      </c>
      <c r="Y26" s="32"/>
      <c r="Z26" s="32"/>
      <c r="AA26" s="32"/>
      <c r="AB26" s="46"/>
      <c r="AC26" s="50"/>
      <c r="AD26" s="51"/>
      <c r="AE26" s="47"/>
      <c r="AF26" s="35">
        <v>56708881383</v>
      </c>
      <c r="AG26" s="33"/>
    </row>
    <row r="27" spans="1:34" s="18" customFormat="1">
      <c r="A27" s="71" t="s">
        <v>28</v>
      </c>
      <c r="B27" s="33" t="s">
        <v>169</v>
      </c>
      <c r="C27" s="33" t="s">
        <v>30</v>
      </c>
      <c r="D27" s="49">
        <v>43012</v>
      </c>
      <c r="E27" s="34">
        <v>1026.69</v>
      </c>
      <c r="F27" s="34">
        <v>8491.92</v>
      </c>
      <c r="G27" s="34"/>
      <c r="H27" s="34"/>
      <c r="I27" s="34"/>
      <c r="J27" s="46">
        <f t="shared" si="10"/>
        <v>8491.92</v>
      </c>
      <c r="K27" s="34"/>
      <c r="L27" s="60"/>
      <c r="M27" s="34"/>
      <c r="N27" s="34"/>
      <c r="O27" s="61"/>
      <c r="P27" s="61"/>
      <c r="Q27" s="34"/>
      <c r="R27" s="32"/>
      <c r="S27" s="32"/>
      <c r="T27" s="33"/>
      <c r="U27" s="72"/>
      <c r="V27" s="46">
        <f t="shared" si="1"/>
        <v>8491.92</v>
      </c>
      <c r="W27" s="32"/>
      <c r="X27" s="46"/>
      <c r="Y27" s="32"/>
      <c r="Z27" s="32"/>
      <c r="AA27" s="32"/>
      <c r="AB27" s="46"/>
      <c r="AC27" s="50"/>
      <c r="AD27" s="51"/>
      <c r="AE27" s="47"/>
      <c r="AF27" s="73" t="s">
        <v>168</v>
      </c>
      <c r="AG27" s="35"/>
      <c r="AH27" s="18" t="s">
        <v>127</v>
      </c>
    </row>
    <row r="28" spans="1:34" s="18" customFormat="1" ht="15.75">
      <c r="A28" s="71" t="s">
        <v>28</v>
      </c>
      <c r="B28" s="33" t="s">
        <v>84</v>
      </c>
      <c r="C28" s="33" t="s">
        <v>30</v>
      </c>
      <c r="D28" s="49">
        <v>42413</v>
      </c>
      <c r="E28" s="34">
        <v>1026.69</v>
      </c>
      <c r="F28" s="34"/>
      <c r="G28" s="34"/>
      <c r="H28" s="34"/>
      <c r="I28" s="34"/>
      <c r="J28" s="46">
        <f t="shared" si="10"/>
        <v>0</v>
      </c>
      <c r="K28" s="34"/>
      <c r="L28" s="60"/>
      <c r="M28" s="34"/>
      <c r="N28" s="34"/>
      <c r="O28" s="61"/>
      <c r="P28" s="61"/>
      <c r="Q28" s="34"/>
      <c r="R28" s="32"/>
      <c r="S28" s="66"/>
      <c r="T28" s="33"/>
      <c r="U28" s="33"/>
      <c r="V28" s="46">
        <f t="shared" si="1"/>
        <v>0</v>
      </c>
      <c r="W28" s="32">
        <f t="shared" si="2"/>
        <v>0</v>
      </c>
      <c r="X28" s="46">
        <f t="shared" si="3"/>
        <v>0</v>
      </c>
      <c r="Y28" s="32">
        <f t="shared" si="4"/>
        <v>0</v>
      </c>
      <c r="Z28" s="32">
        <v>13.23</v>
      </c>
      <c r="AA28" s="32">
        <f t="shared" si="5"/>
        <v>0</v>
      </c>
      <c r="AB28" s="46">
        <f t="shared" si="6"/>
        <v>13.23</v>
      </c>
      <c r="AC28" s="50"/>
      <c r="AD28" s="51"/>
      <c r="AE28" s="47">
        <f>+AC28+AD28-X28</f>
        <v>0</v>
      </c>
      <c r="AF28" s="35">
        <v>60590329504</v>
      </c>
      <c r="AG28" s="33"/>
    </row>
    <row r="29" spans="1:34" s="18" customFormat="1" ht="15.75">
      <c r="A29" s="71" t="s">
        <v>28</v>
      </c>
      <c r="B29" s="33" t="s">
        <v>90</v>
      </c>
      <c r="C29" s="33" t="s">
        <v>100</v>
      </c>
      <c r="D29" s="49">
        <v>42480</v>
      </c>
      <c r="E29" s="34">
        <v>2800</v>
      </c>
      <c r="F29" s="34"/>
      <c r="G29" s="34"/>
      <c r="H29" s="34"/>
      <c r="I29" s="34"/>
      <c r="J29" s="46">
        <f t="shared" si="10"/>
        <v>0</v>
      </c>
      <c r="K29" s="34"/>
      <c r="L29" s="60"/>
      <c r="M29" s="34"/>
      <c r="N29" s="34"/>
      <c r="O29" s="61"/>
      <c r="P29" s="61"/>
      <c r="Q29" s="34"/>
      <c r="R29" s="32"/>
      <c r="S29" s="66"/>
      <c r="T29" s="33"/>
      <c r="U29" s="33"/>
      <c r="V29" s="46">
        <f t="shared" si="1"/>
        <v>0</v>
      </c>
      <c r="W29" s="32">
        <f t="shared" ref="W29:W50" si="15">IF(J29&gt;2250,J29*0.1,0)</f>
        <v>0</v>
      </c>
      <c r="X29" s="46">
        <f t="shared" ref="X29:X50" si="16">+V29-W29</f>
        <v>0</v>
      </c>
      <c r="Y29" s="32">
        <f t="shared" ref="Y29:Y50" si="17">IF(J29&lt;2250,J29*0.1,0)</f>
        <v>0</v>
      </c>
      <c r="Z29" s="32">
        <v>17.23</v>
      </c>
      <c r="AA29" s="32">
        <f t="shared" ref="AA29:AA50" si="18">+O29</f>
        <v>0</v>
      </c>
      <c r="AB29" s="46">
        <f t="shared" ref="AB29:AB50" si="19">+J29+Y29+Z29+AA29</f>
        <v>17.23</v>
      </c>
      <c r="AC29" s="50"/>
      <c r="AD29" s="51"/>
      <c r="AE29" s="47">
        <f>+AC29+AD29-X29</f>
        <v>0</v>
      </c>
      <c r="AF29" s="35">
        <v>56708845010</v>
      </c>
      <c r="AG29" s="33"/>
    </row>
    <row r="30" spans="1:34" s="18" customFormat="1" ht="15.75">
      <c r="A30" s="71" t="s">
        <v>39</v>
      </c>
      <c r="B30" s="33" t="s">
        <v>128</v>
      </c>
      <c r="C30" s="33" t="s">
        <v>43</v>
      </c>
      <c r="D30" s="49">
        <v>42826</v>
      </c>
      <c r="E30" s="34">
        <v>1633.31</v>
      </c>
      <c r="F30" s="34"/>
      <c r="G30" s="34"/>
      <c r="H30" s="34"/>
      <c r="I30" s="34"/>
      <c r="J30" s="46">
        <f t="shared" si="10"/>
        <v>0</v>
      </c>
      <c r="K30" s="34"/>
      <c r="L30" s="60"/>
      <c r="M30" s="34"/>
      <c r="N30" s="34"/>
      <c r="O30" s="61"/>
      <c r="P30" s="61"/>
      <c r="Q30" s="34"/>
      <c r="R30" s="32"/>
      <c r="S30" s="66"/>
      <c r="T30" s="33"/>
      <c r="U30" s="33"/>
      <c r="V30" s="46">
        <f t="shared" si="1"/>
        <v>0</v>
      </c>
      <c r="W30" s="32">
        <f t="shared" si="15"/>
        <v>0</v>
      </c>
      <c r="X30" s="46"/>
      <c r="Y30" s="32">
        <f t="shared" si="17"/>
        <v>0</v>
      </c>
      <c r="Z30" s="32"/>
      <c r="AA30" s="32"/>
      <c r="AB30" s="46"/>
      <c r="AC30" s="50"/>
      <c r="AD30" s="51"/>
      <c r="AE30" s="47"/>
      <c r="AF30" s="35">
        <v>60590035118</v>
      </c>
      <c r="AG30" s="35" t="s">
        <v>205</v>
      </c>
    </row>
    <row r="31" spans="1:34" s="18" customFormat="1" ht="15.75">
      <c r="A31" s="71" t="s">
        <v>27</v>
      </c>
      <c r="B31" s="33" t="s">
        <v>142</v>
      </c>
      <c r="C31" s="33" t="s">
        <v>44</v>
      </c>
      <c r="D31" s="49">
        <v>42916</v>
      </c>
      <c r="E31" s="34">
        <v>1026.69</v>
      </c>
      <c r="F31" s="34"/>
      <c r="G31" s="34"/>
      <c r="H31" s="34"/>
      <c r="I31" s="34"/>
      <c r="J31" s="46">
        <f t="shared" si="10"/>
        <v>0</v>
      </c>
      <c r="K31" s="34"/>
      <c r="L31" s="60"/>
      <c r="M31" s="34"/>
      <c r="N31" s="34"/>
      <c r="O31" s="61"/>
      <c r="P31" s="61"/>
      <c r="Q31" s="34"/>
      <c r="R31" s="32"/>
      <c r="S31" s="66"/>
      <c r="T31" s="33"/>
      <c r="U31" s="33">
        <v>649.46</v>
      </c>
      <c r="V31" s="46">
        <f t="shared" si="1"/>
        <v>-649.46</v>
      </c>
      <c r="W31" s="32"/>
      <c r="X31" s="46"/>
      <c r="Y31" s="32"/>
      <c r="Z31" s="32"/>
      <c r="AA31" s="32"/>
      <c r="AB31" s="46"/>
      <c r="AC31" s="50"/>
      <c r="AD31" s="51"/>
      <c r="AE31" s="47"/>
      <c r="AF31" s="35">
        <v>60584074827</v>
      </c>
      <c r="AG31" s="33"/>
    </row>
    <row r="32" spans="1:34" s="18" customFormat="1" ht="15.75">
      <c r="A32" s="71" t="s">
        <v>28</v>
      </c>
      <c r="B32" s="33" t="s">
        <v>113</v>
      </c>
      <c r="C32" s="33" t="s">
        <v>30</v>
      </c>
      <c r="D32" s="49">
        <v>42415</v>
      </c>
      <c r="E32" s="34">
        <v>1026.69</v>
      </c>
      <c r="F32" s="34"/>
      <c r="G32" s="34"/>
      <c r="H32" s="34"/>
      <c r="I32" s="34"/>
      <c r="J32" s="46">
        <f t="shared" si="10"/>
        <v>0</v>
      </c>
      <c r="K32" s="34"/>
      <c r="L32" s="60"/>
      <c r="M32" s="34"/>
      <c r="N32" s="34"/>
      <c r="O32" s="61"/>
      <c r="P32" s="61"/>
      <c r="Q32" s="34"/>
      <c r="R32" s="32"/>
      <c r="S32" s="66"/>
      <c r="T32" s="33"/>
      <c r="U32" s="33"/>
      <c r="V32" s="46">
        <f t="shared" si="1"/>
        <v>0</v>
      </c>
      <c r="W32" s="32">
        <f t="shared" ref="W32" si="20">IF(J32&gt;2250,J32*0.1,0)</f>
        <v>0</v>
      </c>
      <c r="X32" s="46">
        <f t="shared" ref="X32" si="21">+V32-W32</f>
        <v>0</v>
      </c>
      <c r="Y32" s="32"/>
      <c r="Z32" s="32"/>
      <c r="AA32" s="32"/>
      <c r="AB32" s="46"/>
      <c r="AC32" s="50"/>
      <c r="AD32" s="51"/>
      <c r="AE32" s="47"/>
      <c r="AF32" s="35">
        <v>56708881656</v>
      </c>
      <c r="AG32" s="33"/>
    </row>
    <row r="33" spans="1:34" s="18" customFormat="1" ht="15.75">
      <c r="A33" s="71" t="s">
        <v>28</v>
      </c>
      <c r="B33" s="33" t="s">
        <v>132</v>
      </c>
      <c r="C33" s="33" t="s">
        <v>30</v>
      </c>
      <c r="D33" s="49">
        <v>41463</v>
      </c>
      <c r="E33" s="34">
        <v>1026.69</v>
      </c>
      <c r="F33" s="34"/>
      <c r="G33" s="34"/>
      <c r="H33" s="34"/>
      <c r="I33" s="34"/>
      <c r="J33" s="46">
        <f t="shared" si="10"/>
        <v>0</v>
      </c>
      <c r="K33" s="34"/>
      <c r="L33" s="60">
        <v>1</v>
      </c>
      <c r="M33" s="34"/>
      <c r="N33" s="34"/>
      <c r="O33" s="61"/>
      <c r="P33" s="61"/>
      <c r="Q33" s="34"/>
      <c r="R33" s="32"/>
      <c r="S33" s="66"/>
      <c r="T33" s="33"/>
      <c r="U33" s="33"/>
      <c r="V33" s="46">
        <f t="shared" si="1"/>
        <v>-1</v>
      </c>
      <c r="W33" s="32">
        <f t="shared" si="15"/>
        <v>0</v>
      </c>
      <c r="X33" s="46">
        <f t="shared" si="16"/>
        <v>-1</v>
      </c>
      <c r="Y33" s="32">
        <f t="shared" si="17"/>
        <v>0</v>
      </c>
      <c r="Z33" s="32">
        <v>20.23</v>
      </c>
      <c r="AA33" s="32">
        <f t="shared" si="18"/>
        <v>0</v>
      </c>
      <c r="AB33" s="46">
        <f t="shared" si="19"/>
        <v>20.23</v>
      </c>
      <c r="AC33" s="50"/>
      <c r="AD33" s="51"/>
      <c r="AE33" s="47">
        <f>+AC33+AD33-X33</f>
        <v>1</v>
      </c>
      <c r="AF33" s="35">
        <v>56708881457</v>
      </c>
      <c r="AG33" s="33"/>
    </row>
    <row r="34" spans="1:34" s="18" customFormat="1" ht="15.75">
      <c r="A34" s="71" t="s">
        <v>28</v>
      </c>
      <c r="B34" s="33" t="s">
        <v>189</v>
      </c>
      <c r="C34" s="33" t="s">
        <v>30</v>
      </c>
      <c r="D34" s="49">
        <v>43052</v>
      </c>
      <c r="E34" s="34">
        <v>1026.69</v>
      </c>
      <c r="F34" s="34"/>
      <c r="G34" s="34"/>
      <c r="H34" s="34"/>
      <c r="I34" s="34"/>
      <c r="J34" s="46">
        <f t="shared" si="10"/>
        <v>0</v>
      </c>
      <c r="K34" s="34"/>
      <c r="L34" s="60"/>
      <c r="M34" s="34"/>
      <c r="N34" s="34"/>
      <c r="O34" s="61"/>
      <c r="P34" s="61"/>
      <c r="Q34" s="34"/>
      <c r="R34" s="32"/>
      <c r="S34" s="66"/>
      <c r="T34" s="33"/>
      <c r="U34" s="33"/>
      <c r="V34" s="46">
        <f t="shared" si="1"/>
        <v>0</v>
      </c>
      <c r="W34" s="32"/>
      <c r="X34" s="46"/>
      <c r="Y34" s="32"/>
      <c r="Z34" s="32"/>
      <c r="AA34" s="32"/>
      <c r="AB34" s="46"/>
      <c r="AC34" s="50"/>
      <c r="AD34" s="51"/>
      <c r="AE34" s="47"/>
      <c r="AF34" s="35">
        <v>60597082882</v>
      </c>
      <c r="AG34" s="33"/>
    </row>
    <row r="35" spans="1:34" s="18" customFormat="1" ht="15.75">
      <c r="A35" s="71" t="s">
        <v>26</v>
      </c>
      <c r="B35" s="33" t="s">
        <v>129</v>
      </c>
      <c r="C35" s="33" t="s">
        <v>91</v>
      </c>
      <c r="D35" s="49">
        <v>40618</v>
      </c>
      <c r="E35" s="34">
        <v>1633.31</v>
      </c>
      <c r="F35" s="34">
        <v>3439.2</v>
      </c>
      <c r="G35" s="34"/>
      <c r="H35" s="34"/>
      <c r="I35" s="34"/>
      <c r="J35" s="46">
        <f t="shared" si="10"/>
        <v>3439.2</v>
      </c>
      <c r="K35" s="34"/>
      <c r="L35" s="60"/>
      <c r="M35" s="34"/>
      <c r="N35" s="34"/>
      <c r="O35" s="61"/>
      <c r="P35" s="61"/>
      <c r="Q35" s="34"/>
      <c r="R35" s="32"/>
      <c r="S35" s="66"/>
      <c r="T35" s="33"/>
      <c r="U35" s="33"/>
      <c r="V35" s="46">
        <f t="shared" ref="V35:V42" si="22">+J35-SUM(K35:U35)</f>
        <v>3439.2</v>
      </c>
      <c r="W35" s="32">
        <f t="shared" si="15"/>
        <v>343.92</v>
      </c>
      <c r="X35" s="46">
        <f t="shared" si="16"/>
        <v>3095.2799999999997</v>
      </c>
      <c r="Y35" s="32">
        <f t="shared" si="17"/>
        <v>0</v>
      </c>
      <c r="Z35" s="32">
        <v>21.23</v>
      </c>
      <c r="AA35" s="32">
        <f t="shared" si="18"/>
        <v>0</v>
      </c>
      <c r="AB35" s="46">
        <f t="shared" si="19"/>
        <v>3460.43</v>
      </c>
      <c r="AC35" s="50"/>
      <c r="AD35" s="51"/>
      <c r="AE35" s="47"/>
      <c r="AF35" s="35">
        <v>56708845038</v>
      </c>
      <c r="AG35" s="33"/>
    </row>
    <row r="36" spans="1:34" s="18" customFormat="1" ht="15.75">
      <c r="A36" s="71" t="s">
        <v>28</v>
      </c>
      <c r="B36" s="33" t="s">
        <v>83</v>
      </c>
      <c r="C36" s="33" t="s">
        <v>30</v>
      </c>
      <c r="D36" s="49">
        <v>42296</v>
      </c>
      <c r="E36" s="34">
        <v>1026.69</v>
      </c>
      <c r="F36" s="34">
        <v>21468.959999999999</v>
      </c>
      <c r="G36" s="34"/>
      <c r="H36" s="34"/>
      <c r="I36" s="34"/>
      <c r="J36" s="46">
        <f t="shared" si="10"/>
        <v>21468.959999999999</v>
      </c>
      <c r="K36" s="34"/>
      <c r="L36" s="60"/>
      <c r="M36" s="34"/>
      <c r="N36" s="34"/>
      <c r="O36" s="61"/>
      <c r="P36" s="61"/>
      <c r="Q36" s="34"/>
      <c r="R36" s="32">
        <v>7381</v>
      </c>
      <c r="S36" s="66"/>
      <c r="T36" s="33"/>
      <c r="U36" s="33">
        <v>802.69</v>
      </c>
      <c r="V36" s="46">
        <f t="shared" si="22"/>
        <v>13285.269999999999</v>
      </c>
      <c r="W36" s="32">
        <f t="shared" si="15"/>
        <v>2146.8960000000002</v>
      </c>
      <c r="X36" s="46">
        <f t="shared" si="16"/>
        <v>11138.373999999998</v>
      </c>
      <c r="Y36" s="32">
        <f t="shared" si="17"/>
        <v>0</v>
      </c>
      <c r="Z36" s="32">
        <v>10.23</v>
      </c>
      <c r="AA36" s="32">
        <f t="shared" si="18"/>
        <v>0</v>
      </c>
      <c r="AB36" s="46">
        <f t="shared" si="19"/>
        <v>21479.19</v>
      </c>
      <c r="AC36" s="50"/>
      <c r="AD36" s="51"/>
      <c r="AE36" s="47">
        <f>+AC36+AD36-X36</f>
        <v>-11138.373999999998</v>
      </c>
      <c r="AF36" s="35">
        <v>56708881460</v>
      </c>
      <c r="AG36" s="33"/>
    </row>
    <row r="37" spans="1:34" s="18" customFormat="1" ht="15.75">
      <c r="A37" s="71" t="s">
        <v>27</v>
      </c>
      <c r="B37" s="33" t="s">
        <v>144</v>
      </c>
      <c r="C37" s="33" t="s">
        <v>44</v>
      </c>
      <c r="D37" s="49">
        <v>42916</v>
      </c>
      <c r="E37" s="34">
        <v>1026.69</v>
      </c>
      <c r="F37" s="34"/>
      <c r="G37" s="34"/>
      <c r="H37" s="34"/>
      <c r="I37" s="34"/>
      <c r="J37" s="46">
        <f t="shared" si="10"/>
        <v>0</v>
      </c>
      <c r="K37" s="34"/>
      <c r="L37" s="60"/>
      <c r="M37" s="34"/>
      <c r="N37" s="34"/>
      <c r="O37" s="61"/>
      <c r="P37" s="61"/>
      <c r="Q37" s="34"/>
      <c r="R37" s="32"/>
      <c r="S37" s="66"/>
      <c r="T37" s="33"/>
      <c r="U37" s="33"/>
      <c r="V37" s="46">
        <f t="shared" si="22"/>
        <v>0</v>
      </c>
      <c r="W37" s="32"/>
      <c r="X37" s="46"/>
      <c r="Y37" s="32"/>
      <c r="Z37" s="32"/>
      <c r="AA37" s="32"/>
      <c r="AB37" s="46"/>
      <c r="AC37" s="50"/>
      <c r="AD37" s="51"/>
      <c r="AE37" s="47"/>
      <c r="AF37" s="35">
        <v>60592636121</v>
      </c>
      <c r="AG37" s="33"/>
    </row>
    <row r="38" spans="1:34" s="18" customFormat="1" ht="15.75">
      <c r="A38" s="71" t="s">
        <v>28</v>
      </c>
      <c r="B38" s="33" t="s">
        <v>182</v>
      </c>
      <c r="C38" s="33" t="s">
        <v>181</v>
      </c>
      <c r="D38" s="49">
        <v>43035</v>
      </c>
      <c r="E38" s="34">
        <v>1400</v>
      </c>
      <c r="F38" s="34"/>
      <c r="G38" s="34"/>
      <c r="H38" s="34"/>
      <c r="I38" s="34"/>
      <c r="J38" s="46">
        <f>SUM(F38:I38)</f>
        <v>0</v>
      </c>
      <c r="K38" s="34"/>
      <c r="L38" s="60">
        <v>1</v>
      </c>
      <c r="M38" s="34"/>
      <c r="N38" s="34"/>
      <c r="O38" s="61"/>
      <c r="P38" s="61"/>
      <c r="Q38" s="34"/>
      <c r="R38" s="32"/>
      <c r="S38" s="66"/>
      <c r="T38" s="33"/>
      <c r="U38" s="33"/>
      <c r="V38" s="46"/>
      <c r="W38" s="32"/>
      <c r="X38" s="46"/>
      <c r="Y38" s="32"/>
      <c r="Z38" s="32"/>
      <c r="AA38" s="32"/>
      <c r="AB38" s="46"/>
      <c r="AC38" s="50"/>
      <c r="AD38" s="51"/>
      <c r="AE38" s="47"/>
      <c r="AF38" s="35">
        <v>60596635649</v>
      </c>
      <c r="AG38" s="33"/>
    </row>
    <row r="39" spans="1:34" s="18" customFormat="1" ht="15.75">
      <c r="A39" s="71" t="s">
        <v>37</v>
      </c>
      <c r="B39" s="33" t="s">
        <v>156</v>
      </c>
      <c r="C39" s="33" t="s">
        <v>29</v>
      </c>
      <c r="D39" s="49">
        <v>42978</v>
      </c>
      <c r="E39" s="34">
        <v>1166.6199999999999</v>
      </c>
      <c r="F39" s="34">
        <v>1425.81</v>
      </c>
      <c r="G39" s="34"/>
      <c r="H39" s="34"/>
      <c r="I39" s="34"/>
      <c r="J39" s="46">
        <f t="shared" si="10"/>
        <v>1425.81</v>
      </c>
      <c r="K39" s="34"/>
      <c r="L39" s="60"/>
      <c r="M39" s="34"/>
      <c r="N39" s="34"/>
      <c r="O39" s="61"/>
      <c r="P39" s="61"/>
      <c r="Q39" s="34"/>
      <c r="R39" s="32"/>
      <c r="S39" s="66"/>
      <c r="T39" s="33"/>
      <c r="U39" s="33"/>
      <c r="V39" s="46">
        <f t="shared" si="22"/>
        <v>1425.81</v>
      </c>
      <c r="W39" s="32"/>
      <c r="X39" s="46"/>
      <c r="Y39" s="32"/>
      <c r="Z39" s="32"/>
      <c r="AA39" s="32"/>
      <c r="AB39" s="46"/>
      <c r="AC39" s="50"/>
      <c r="AD39" s="51"/>
      <c r="AE39" s="47"/>
      <c r="AF39" s="35">
        <v>60594750506</v>
      </c>
      <c r="AG39" s="33"/>
    </row>
    <row r="40" spans="1:34" s="18" customFormat="1" ht="15.75">
      <c r="A40" s="71" t="s">
        <v>28</v>
      </c>
      <c r="B40" s="33" t="s">
        <v>191</v>
      </c>
      <c r="C40" s="33" t="s">
        <v>192</v>
      </c>
      <c r="D40" s="49">
        <v>43063</v>
      </c>
      <c r="E40" s="34">
        <v>2333.31</v>
      </c>
      <c r="F40" s="34"/>
      <c r="G40" s="34"/>
      <c r="H40" s="34"/>
      <c r="I40" s="34"/>
      <c r="J40" s="46">
        <f t="shared" si="10"/>
        <v>0</v>
      </c>
      <c r="K40" s="34"/>
      <c r="L40" s="60"/>
      <c r="M40" s="34"/>
      <c r="N40" s="34"/>
      <c r="O40" s="61"/>
      <c r="P40" s="61"/>
      <c r="Q40" s="34"/>
      <c r="R40" s="32"/>
      <c r="S40" s="66"/>
      <c r="T40" s="33"/>
      <c r="U40" s="33"/>
      <c r="V40" s="46">
        <f t="shared" si="22"/>
        <v>0</v>
      </c>
      <c r="W40" s="32"/>
      <c r="X40" s="46"/>
      <c r="Y40" s="32"/>
      <c r="Z40" s="32"/>
      <c r="AA40" s="32"/>
      <c r="AB40" s="46"/>
      <c r="AC40" s="50"/>
      <c r="AD40" s="51"/>
      <c r="AE40" s="47"/>
      <c r="AF40" s="35">
        <v>56701660014</v>
      </c>
      <c r="AG40" s="33"/>
    </row>
    <row r="41" spans="1:34" s="18" customFormat="1">
      <c r="A41" s="71" t="s">
        <v>27</v>
      </c>
      <c r="B41" s="33" t="s">
        <v>95</v>
      </c>
      <c r="C41" s="33" t="s">
        <v>44</v>
      </c>
      <c r="D41" s="49">
        <v>42576</v>
      </c>
      <c r="E41" s="34">
        <v>1026.69</v>
      </c>
      <c r="F41" s="34"/>
      <c r="G41" s="34"/>
      <c r="H41" s="34"/>
      <c r="I41" s="34"/>
      <c r="J41" s="46">
        <f t="shared" si="10"/>
        <v>0</v>
      </c>
      <c r="K41" s="34"/>
      <c r="L41" s="60">
        <v>1</v>
      </c>
      <c r="M41" s="34"/>
      <c r="N41" s="34"/>
      <c r="O41" s="61"/>
      <c r="P41" s="61"/>
      <c r="Q41" s="34"/>
      <c r="R41" s="32"/>
      <c r="S41" s="32"/>
      <c r="T41" s="33"/>
      <c r="U41" s="33"/>
      <c r="V41" s="46">
        <f t="shared" si="22"/>
        <v>-1</v>
      </c>
      <c r="W41" s="33">
        <f t="shared" si="15"/>
        <v>0</v>
      </c>
      <c r="X41" s="33">
        <f t="shared" si="16"/>
        <v>-1</v>
      </c>
      <c r="Y41" s="32">
        <f t="shared" si="17"/>
        <v>0</v>
      </c>
      <c r="Z41" s="32">
        <v>11.23</v>
      </c>
      <c r="AA41" s="32">
        <f t="shared" si="18"/>
        <v>0</v>
      </c>
      <c r="AB41" s="46">
        <f t="shared" si="19"/>
        <v>11.23</v>
      </c>
      <c r="AC41" s="50"/>
      <c r="AD41" s="50"/>
      <c r="AE41" s="47"/>
      <c r="AF41" s="35">
        <v>56708845072</v>
      </c>
      <c r="AG41" s="35"/>
    </row>
    <row r="42" spans="1:34" s="18" customFormat="1">
      <c r="A42" s="71" t="s">
        <v>28</v>
      </c>
      <c r="B42" s="33" t="s">
        <v>86</v>
      </c>
      <c r="C42" s="33" t="s">
        <v>30</v>
      </c>
      <c r="D42" s="49">
        <v>37834</v>
      </c>
      <c r="E42" s="34">
        <v>1026.69</v>
      </c>
      <c r="F42" s="34">
        <v>505.08</v>
      </c>
      <c r="G42" s="34"/>
      <c r="H42" s="34"/>
      <c r="I42" s="34"/>
      <c r="J42" s="46">
        <f t="shared" si="10"/>
        <v>505.08</v>
      </c>
      <c r="K42" s="34"/>
      <c r="L42" s="60"/>
      <c r="M42" s="34"/>
      <c r="N42" s="34"/>
      <c r="O42" s="61"/>
      <c r="P42" s="61"/>
      <c r="Q42" s="34"/>
      <c r="R42" s="32"/>
      <c r="S42" s="32"/>
      <c r="T42" s="33"/>
      <c r="U42" s="33"/>
      <c r="V42" s="46">
        <f t="shared" si="22"/>
        <v>505.08</v>
      </c>
      <c r="W42" s="32">
        <f t="shared" si="15"/>
        <v>0</v>
      </c>
      <c r="X42" s="46">
        <f t="shared" si="16"/>
        <v>505.08</v>
      </c>
      <c r="Y42" s="32">
        <f t="shared" si="17"/>
        <v>50.508000000000003</v>
      </c>
      <c r="Z42" s="32">
        <v>10.23</v>
      </c>
      <c r="AA42" s="32">
        <f t="shared" si="18"/>
        <v>0</v>
      </c>
      <c r="AB42" s="46">
        <f t="shared" si="19"/>
        <v>565.81799999999998</v>
      </c>
      <c r="AC42" s="50"/>
      <c r="AD42" s="51"/>
      <c r="AE42" s="47">
        <f t="shared" ref="AE42" si="23">+AC42+AD42-X42</f>
        <v>-505.08</v>
      </c>
      <c r="AF42" s="35">
        <v>56708881503</v>
      </c>
      <c r="AG42" s="35"/>
    </row>
    <row r="43" spans="1:34" s="18" customFormat="1">
      <c r="A43" s="71" t="s">
        <v>28</v>
      </c>
      <c r="B43" s="33" t="s">
        <v>76</v>
      </c>
      <c r="C43" s="33" t="s">
        <v>43</v>
      </c>
      <c r="D43" s="49">
        <v>40813</v>
      </c>
      <c r="E43" s="34">
        <v>1869</v>
      </c>
      <c r="F43" s="63"/>
      <c r="G43" s="63"/>
      <c r="H43" s="34"/>
      <c r="I43" s="34"/>
      <c r="J43" s="46">
        <f t="shared" si="10"/>
        <v>0</v>
      </c>
      <c r="K43" s="34"/>
      <c r="L43" s="60"/>
      <c r="M43" s="34"/>
      <c r="N43" s="34"/>
      <c r="O43" s="61"/>
      <c r="P43" s="61"/>
      <c r="Q43" s="34"/>
      <c r="R43" s="32"/>
      <c r="S43" s="32"/>
      <c r="T43" s="48"/>
      <c r="U43" s="48"/>
      <c r="V43" s="46">
        <f t="shared" ref="V43:V54" si="24">+J43-SUM(K43:U43)</f>
        <v>0</v>
      </c>
      <c r="W43" s="32">
        <f t="shared" ref="W43" si="25">+V43*0.05</f>
        <v>0</v>
      </c>
      <c r="X43" s="46">
        <f t="shared" ref="X43" si="26">+V43-R43-U43</f>
        <v>0</v>
      </c>
      <c r="Y43" s="32">
        <f t="shared" ref="Y43" si="27">IF(V43&lt;3000,V43*0.1,0)</f>
        <v>0</v>
      </c>
      <c r="Z43" s="32"/>
      <c r="AA43" s="32"/>
      <c r="AB43" s="46">
        <f t="shared" ref="AB43" si="28">+V43+Y43+Z43</f>
        <v>0</v>
      </c>
      <c r="AC43" s="50"/>
      <c r="AD43" s="51"/>
      <c r="AE43" s="47"/>
      <c r="AF43" s="35">
        <v>60589552237</v>
      </c>
      <c r="AG43" s="35" t="s">
        <v>205</v>
      </c>
    </row>
    <row r="44" spans="1:34" s="18" customFormat="1">
      <c r="A44" s="71" t="s">
        <v>27</v>
      </c>
      <c r="B44" s="33" t="s">
        <v>145</v>
      </c>
      <c r="C44" s="33" t="s">
        <v>30</v>
      </c>
      <c r="D44" s="49">
        <v>42852</v>
      </c>
      <c r="E44" s="34">
        <v>1026.69</v>
      </c>
      <c r="F44" s="34">
        <v>7220.5</v>
      </c>
      <c r="G44" s="34"/>
      <c r="H44" s="34"/>
      <c r="I44" s="34"/>
      <c r="J44" s="46">
        <f t="shared" si="10"/>
        <v>7220.5</v>
      </c>
      <c r="K44" s="34"/>
      <c r="L44" s="60"/>
      <c r="M44" s="34"/>
      <c r="N44" s="34"/>
      <c r="O44" s="61"/>
      <c r="P44" s="61"/>
      <c r="Q44" s="34"/>
      <c r="R44" s="32"/>
      <c r="S44" s="32"/>
      <c r="T44" s="48"/>
      <c r="U44" s="48"/>
      <c r="V44" s="46">
        <f t="shared" si="24"/>
        <v>7220.5</v>
      </c>
      <c r="W44" s="32"/>
      <c r="X44" s="46"/>
      <c r="Y44" s="32"/>
      <c r="Z44" s="32"/>
      <c r="AA44" s="32"/>
      <c r="AB44" s="46"/>
      <c r="AC44" s="50"/>
      <c r="AD44" s="51"/>
      <c r="AE44" s="47"/>
      <c r="AF44" s="35">
        <v>60590678030</v>
      </c>
      <c r="AG44" s="35"/>
    </row>
    <row r="45" spans="1:34" s="18" customFormat="1">
      <c r="A45" s="71" t="s">
        <v>27</v>
      </c>
      <c r="B45" s="33" t="s">
        <v>114</v>
      </c>
      <c r="C45" s="33" t="s">
        <v>138</v>
      </c>
      <c r="D45" s="49">
        <v>42644</v>
      </c>
      <c r="E45" s="34">
        <v>1633.38</v>
      </c>
      <c r="F45" s="34"/>
      <c r="G45" s="34"/>
      <c r="H45" s="34"/>
      <c r="I45" s="34"/>
      <c r="J45" s="46">
        <f t="shared" si="10"/>
        <v>0</v>
      </c>
      <c r="K45" s="34">
        <v>500</v>
      </c>
      <c r="L45" s="60"/>
      <c r="M45" s="34"/>
      <c r="N45" s="34"/>
      <c r="O45" s="61"/>
      <c r="P45" s="61"/>
      <c r="Q45" s="34"/>
      <c r="R45" s="32">
        <v>845.43</v>
      </c>
      <c r="S45" s="32"/>
      <c r="T45" s="48"/>
      <c r="U45" s="48"/>
      <c r="V45" s="46">
        <f t="shared" si="24"/>
        <v>-1345.4299999999998</v>
      </c>
      <c r="W45" s="32">
        <f t="shared" ref="W45" si="29">IF(J45&gt;2250,J45*0.1,0)</f>
        <v>0</v>
      </c>
      <c r="X45" s="46">
        <f t="shared" ref="X45" si="30">+V45-W45</f>
        <v>-1345.4299999999998</v>
      </c>
      <c r="Y45" s="32"/>
      <c r="Z45" s="32"/>
      <c r="AA45" s="32"/>
      <c r="AB45" s="46"/>
      <c r="AC45" s="50"/>
      <c r="AD45" s="51"/>
      <c r="AE45" s="47"/>
      <c r="AF45" s="35">
        <v>56708845530</v>
      </c>
      <c r="AG45" s="35" t="s">
        <v>194</v>
      </c>
    </row>
    <row r="46" spans="1:34" s="18" customFormat="1">
      <c r="A46" s="71" t="s">
        <v>26</v>
      </c>
      <c r="B46" s="33" t="s">
        <v>161</v>
      </c>
      <c r="C46" s="33" t="s">
        <v>29</v>
      </c>
      <c r="D46" s="49">
        <v>42991</v>
      </c>
      <c r="E46" s="34">
        <v>1166.6199999999999</v>
      </c>
      <c r="F46" s="34">
        <v>2076.0100000000002</v>
      </c>
      <c r="G46" s="34"/>
      <c r="H46" s="34"/>
      <c r="I46" s="34"/>
      <c r="J46" s="46">
        <f t="shared" si="10"/>
        <v>2076.0100000000002</v>
      </c>
      <c r="K46" s="34"/>
      <c r="L46" s="60"/>
      <c r="M46" s="34"/>
      <c r="N46" s="34"/>
      <c r="O46" s="61"/>
      <c r="P46" s="61"/>
      <c r="Q46" s="34"/>
      <c r="R46" s="32"/>
      <c r="S46" s="32"/>
      <c r="T46" s="33"/>
      <c r="U46" s="33"/>
      <c r="V46" s="46"/>
      <c r="W46" s="32"/>
      <c r="X46" s="46"/>
      <c r="Y46" s="32"/>
      <c r="Z46" s="32"/>
      <c r="AA46" s="32"/>
      <c r="AB46" s="46"/>
      <c r="AC46" s="50"/>
      <c r="AD46" s="51"/>
      <c r="AE46" s="47"/>
      <c r="AF46" s="35">
        <v>1168500843</v>
      </c>
      <c r="AG46" s="33"/>
      <c r="AH46" s="18" t="s">
        <v>127</v>
      </c>
    </row>
    <row r="47" spans="1:34" s="18" customFormat="1">
      <c r="A47" s="71" t="s">
        <v>28</v>
      </c>
      <c r="B47" s="33" t="s">
        <v>155</v>
      </c>
      <c r="C47" s="33" t="s">
        <v>30</v>
      </c>
      <c r="D47" s="49">
        <v>42961</v>
      </c>
      <c r="E47" s="34">
        <v>1022.56</v>
      </c>
      <c r="F47" s="34"/>
      <c r="G47" s="34"/>
      <c r="H47" s="34"/>
      <c r="I47" s="34"/>
      <c r="J47" s="46">
        <f t="shared" si="10"/>
        <v>0</v>
      </c>
      <c r="K47" s="34"/>
      <c r="L47" s="60"/>
      <c r="M47" s="34"/>
      <c r="N47" s="34"/>
      <c r="O47" s="61"/>
      <c r="P47" s="61"/>
      <c r="Q47" s="34"/>
      <c r="R47" s="32"/>
      <c r="S47" s="32"/>
      <c r="T47" s="48"/>
      <c r="U47" s="48"/>
      <c r="V47" s="46">
        <f t="shared" si="24"/>
        <v>0</v>
      </c>
      <c r="W47" s="32"/>
      <c r="X47" s="46"/>
      <c r="Y47" s="32"/>
      <c r="Z47" s="32"/>
      <c r="AA47" s="32"/>
      <c r="AB47" s="46"/>
      <c r="AC47" s="50"/>
      <c r="AD47" s="51"/>
      <c r="AE47" s="47"/>
      <c r="AF47" s="35">
        <v>60589665774</v>
      </c>
      <c r="AG47" s="35"/>
    </row>
    <row r="48" spans="1:34" s="18" customFormat="1">
      <c r="A48" s="71" t="s">
        <v>28</v>
      </c>
      <c r="B48" s="33" t="s">
        <v>146</v>
      </c>
      <c r="C48" s="33" t="s">
        <v>30</v>
      </c>
      <c r="D48" s="49">
        <v>42380</v>
      </c>
      <c r="E48" s="34">
        <v>1022.56</v>
      </c>
      <c r="F48" s="34">
        <v>3268.31</v>
      </c>
      <c r="G48" s="34"/>
      <c r="H48" s="34"/>
      <c r="I48" s="34"/>
      <c r="J48" s="46">
        <f t="shared" si="10"/>
        <v>3268.31</v>
      </c>
      <c r="K48" s="34"/>
      <c r="L48" s="60">
        <v>1</v>
      </c>
      <c r="M48" s="34"/>
      <c r="N48" s="34"/>
      <c r="O48" s="61"/>
      <c r="P48" s="61"/>
      <c r="Q48" s="34"/>
      <c r="R48" s="32">
        <v>260</v>
      </c>
      <c r="S48" s="32"/>
      <c r="T48" s="33"/>
      <c r="U48" s="33"/>
      <c r="V48" s="46">
        <f t="shared" si="24"/>
        <v>3007.31</v>
      </c>
      <c r="W48" s="32"/>
      <c r="X48" s="46"/>
      <c r="Y48" s="32"/>
      <c r="Z48" s="32"/>
      <c r="AA48" s="32"/>
      <c r="AB48" s="46"/>
      <c r="AC48" s="50"/>
      <c r="AD48" s="51"/>
      <c r="AE48" s="47"/>
      <c r="AF48" s="35">
        <v>56708881702</v>
      </c>
      <c r="AG48" s="33"/>
    </row>
    <row r="49" spans="1:34" s="18" customFormat="1">
      <c r="A49" s="71" t="s">
        <v>39</v>
      </c>
      <c r="B49" s="33" t="s">
        <v>136</v>
      </c>
      <c r="C49" s="33" t="s">
        <v>43</v>
      </c>
      <c r="D49" s="49">
        <v>42891</v>
      </c>
      <c r="E49" s="34">
        <v>1633.31</v>
      </c>
      <c r="F49" s="34"/>
      <c r="G49" s="34"/>
      <c r="H49" s="34"/>
      <c r="I49" s="34"/>
      <c r="J49" s="46">
        <f t="shared" si="10"/>
        <v>0</v>
      </c>
      <c r="K49" s="34"/>
      <c r="L49" s="60"/>
      <c r="M49" s="34"/>
      <c r="N49" s="34"/>
      <c r="O49" s="61"/>
      <c r="P49" s="61"/>
      <c r="Q49" s="34"/>
      <c r="R49" s="32"/>
      <c r="S49" s="32"/>
      <c r="T49" s="33"/>
      <c r="U49" s="33"/>
      <c r="V49" s="46">
        <f t="shared" si="24"/>
        <v>0</v>
      </c>
      <c r="W49" s="32"/>
      <c r="X49" s="46"/>
      <c r="Y49" s="32"/>
      <c r="Z49" s="32"/>
      <c r="AA49" s="32"/>
      <c r="AB49" s="46"/>
      <c r="AC49" s="50"/>
      <c r="AD49" s="51"/>
      <c r="AE49" s="47"/>
      <c r="AF49" s="35">
        <v>60590340221</v>
      </c>
      <c r="AG49" s="35"/>
    </row>
    <row r="50" spans="1:34" s="18" customFormat="1">
      <c r="A50" s="71" t="s">
        <v>37</v>
      </c>
      <c r="B50" s="33" t="s">
        <v>89</v>
      </c>
      <c r="C50" s="33" t="s">
        <v>29</v>
      </c>
      <c r="D50" s="49">
        <v>42506</v>
      </c>
      <c r="E50" s="34">
        <v>1166.27</v>
      </c>
      <c r="F50" s="34">
        <v>1173.79</v>
      </c>
      <c r="G50" s="34"/>
      <c r="H50" s="34"/>
      <c r="I50" s="34"/>
      <c r="J50" s="46">
        <f t="shared" si="10"/>
        <v>1173.79</v>
      </c>
      <c r="K50" s="34"/>
      <c r="L50" s="60"/>
      <c r="M50" s="34"/>
      <c r="N50" s="34"/>
      <c r="O50" s="61"/>
      <c r="P50" s="61"/>
      <c r="Q50" s="34"/>
      <c r="R50" s="32"/>
      <c r="S50" s="32"/>
      <c r="T50" s="33"/>
      <c r="U50" s="33"/>
      <c r="V50" s="46">
        <f t="shared" si="24"/>
        <v>1173.79</v>
      </c>
      <c r="W50" s="32">
        <f t="shared" si="15"/>
        <v>0</v>
      </c>
      <c r="X50" s="46">
        <f t="shared" si="16"/>
        <v>1173.79</v>
      </c>
      <c r="Y50" s="32">
        <f t="shared" si="17"/>
        <v>117.379</v>
      </c>
      <c r="Z50" s="32">
        <v>10.23</v>
      </c>
      <c r="AA50" s="32">
        <f t="shared" si="18"/>
        <v>0</v>
      </c>
      <c r="AB50" s="46">
        <f t="shared" si="19"/>
        <v>1301.3989999999999</v>
      </c>
      <c r="AC50" s="50"/>
      <c r="AD50" s="50"/>
      <c r="AE50" s="47">
        <f t="shared" ref="AE50" si="31">+AC50+AD50-X50</f>
        <v>-1173.79</v>
      </c>
      <c r="AF50" s="35">
        <v>56708881551</v>
      </c>
      <c r="AG50" s="35"/>
    </row>
    <row r="51" spans="1:34" s="18" customFormat="1" ht="15.75">
      <c r="A51" s="71" t="s">
        <v>37</v>
      </c>
      <c r="B51" s="33" t="s">
        <v>163</v>
      </c>
      <c r="C51" s="33" t="s">
        <v>29</v>
      </c>
      <c r="D51" s="49">
        <v>43006</v>
      </c>
      <c r="E51" s="34">
        <v>1166.6199999999999</v>
      </c>
      <c r="F51" s="34">
        <v>1731.86</v>
      </c>
      <c r="G51" s="34"/>
      <c r="H51" s="34"/>
      <c r="I51" s="34"/>
      <c r="J51" s="46">
        <f t="shared" si="10"/>
        <v>1731.86</v>
      </c>
      <c r="K51" s="34"/>
      <c r="L51" s="60"/>
      <c r="M51" s="34"/>
      <c r="N51" s="34"/>
      <c r="O51" s="61"/>
      <c r="P51" s="61"/>
      <c r="Q51" s="34"/>
      <c r="R51" s="32"/>
      <c r="S51" s="66"/>
      <c r="T51" s="33"/>
      <c r="U51" s="33"/>
      <c r="V51" s="46">
        <f t="shared" si="24"/>
        <v>1731.86</v>
      </c>
      <c r="W51" s="32"/>
      <c r="X51" s="46"/>
      <c r="Y51" s="32"/>
      <c r="Z51" s="32"/>
      <c r="AA51" s="32"/>
      <c r="AB51" s="46"/>
      <c r="AC51" s="50"/>
      <c r="AD51" s="51"/>
      <c r="AE51" s="47"/>
      <c r="AF51" s="35">
        <v>60595911850</v>
      </c>
      <c r="AG51" s="33"/>
    </row>
    <row r="52" spans="1:34" s="18" customFormat="1" ht="15.75">
      <c r="A52" s="71" t="s">
        <v>28</v>
      </c>
      <c r="B52" s="33" t="s">
        <v>198</v>
      </c>
      <c r="C52" s="33" t="s">
        <v>181</v>
      </c>
      <c r="D52" s="49">
        <v>43074</v>
      </c>
      <c r="E52" s="34">
        <v>1400</v>
      </c>
      <c r="F52" s="34"/>
      <c r="G52" s="34"/>
      <c r="H52" s="34"/>
      <c r="I52" s="34"/>
      <c r="J52" s="46">
        <f t="shared" si="10"/>
        <v>0</v>
      </c>
      <c r="K52" s="34"/>
      <c r="L52" s="60"/>
      <c r="M52" s="34"/>
      <c r="N52" s="34"/>
      <c r="O52" s="61"/>
      <c r="P52" s="61"/>
      <c r="Q52" s="34"/>
      <c r="R52" s="32"/>
      <c r="S52" s="66"/>
      <c r="T52" s="33"/>
      <c r="U52" s="33"/>
      <c r="V52" s="46">
        <f t="shared" si="24"/>
        <v>0</v>
      </c>
      <c r="W52" s="32"/>
      <c r="X52" s="46"/>
      <c r="Y52" s="32"/>
      <c r="Z52" s="32"/>
      <c r="AA52" s="32"/>
      <c r="AB52" s="46"/>
      <c r="AC52" s="50"/>
      <c r="AD52" s="51"/>
      <c r="AE52" s="47"/>
      <c r="AF52" s="35">
        <v>60568120718</v>
      </c>
      <c r="AG52" s="33"/>
    </row>
    <row r="53" spans="1:34" s="18" customFormat="1">
      <c r="A53" s="71" t="s">
        <v>37</v>
      </c>
      <c r="B53" s="33" t="s">
        <v>66</v>
      </c>
      <c r="C53" s="33" t="s">
        <v>43</v>
      </c>
      <c r="D53" s="49">
        <v>42321</v>
      </c>
      <c r="E53" s="34">
        <v>1869</v>
      </c>
      <c r="F53" s="63"/>
      <c r="G53" s="63"/>
      <c r="H53" s="34"/>
      <c r="I53" s="34"/>
      <c r="J53" s="46">
        <f t="shared" si="10"/>
        <v>0</v>
      </c>
      <c r="K53" s="34"/>
      <c r="L53" s="60"/>
      <c r="M53" s="34"/>
      <c r="N53" s="34"/>
      <c r="O53" s="61"/>
      <c r="P53" s="61"/>
      <c r="Q53" s="34"/>
      <c r="R53" s="32"/>
      <c r="S53" s="32"/>
      <c r="T53" s="33"/>
      <c r="U53" s="33"/>
      <c r="V53" s="46">
        <f t="shared" si="24"/>
        <v>0</v>
      </c>
      <c r="W53" s="32">
        <f t="shared" ref="W53:W56" si="32">IF(J53&gt;2250,J53*0.1,0)</f>
        <v>0</v>
      </c>
      <c r="X53" s="46">
        <f t="shared" ref="X53:X65" si="33">+V53-W53</f>
        <v>0</v>
      </c>
      <c r="Y53" s="32">
        <f t="shared" ref="Y53:Y64" si="34">IF(J53&lt;2250,J53*0.1,0)</f>
        <v>0</v>
      </c>
      <c r="Z53" s="32">
        <v>10.23</v>
      </c>
      <c r="AA53" s="32">
        <f t="shared" ref="AA53:AA64" si="35">+O53</f>
        <v>0</v>
      </c>
      <c r="AB53" s="46">
        <f t="shared" ref="AB53:AB64" si="36">+J53+Y53+Z53+AA53</f>
        <v>10.23</v>
      </c>
      <c r="AC53" s="50"/>
      <c r="AD53" s="51"/>
      <c r="AE53" s="47">
        <f t="shared" ref="AE53:AE56" si="37">+AC53+AD53-X53</f>
        <v>0</v>
      </c>
      <c r="AF53" s="35">
        <v>56708845240</v>
      </c>
      <c r="AG53" s="35" t="s">
        <v>205</v>
      </c>
    </row>
    <row r="54" spans="1:34" s="18" customFormat="1">
      <c r="A54" s="71" t="s">
        <v>37</v>
      </c>
      <c r="B54" s="33" t="s">
        <v>108</v>
      </c>
      <c r="C54" s="33" t="s">
        <v>91</v>
      </c>
      <c r="D54" s="49">
        <v>42646</v>
      </c>
      <c r="E54" s="34">
        <v>1166.27</v>
      </c>
      <c r="F54" s="34">
        <v>1343.36</v>
      </c>
      <c r="G54" s="34"/>
      <c r="H54" s="34"/>
      <c r="I54" s="34"/>
      <c r="J54" s="46">
        <f t="shared" si="10"/>
        <v>1343.36</v>
      </c>
      <c r="K54" s="34"/>
      <c r="L54" s="60"/>
      <c r="M54" s="34"/>
      <c r="N54" s="34"/>
      <c r="O54" s="61"/>
      <c r="P54" s="61"/>
      <c r="Q54" s="34"/>
      <c r="R54" s="32"/>
      <c r="S54" s="32"/>
      <c r="T54" s="33"/>
      <c r="U54" s="33"/>
      <c r="V54" s="46">
        <f t="shared" si="24"/>
        <v>1343.36</v>
      </c>
      <c r="W54" s="32">
        <f t="shared" ref="W54" si="38">IF(J54&gt;2250,J54*0.1,0)</f>
        <v>0</v>
      </c>
      <c r="X54" s="46">
        <f t="shared" ref="X54" si="39">+V54-W54</f>
        <v>1343.36</v>
      </c>
      <c r="Y54" s="32"/>
      <c r="Z54" s="32"/>
      <c r="AA54" s="32"/>
      <c r="AB54" s="46"/>
      <c r="AC54" s="50"/>
      <c r="AD54" s="51"/>
      <c r="AE54" s="47"/>
      <c r="AF54" s="35">
        <v>56708881582</v>
      </c>
      <c r="AG54" s="35"/>
    </row>
    <row r="55" spans="1:34" s="18" customFormat="1">
      <c r="A55" s="71" t="s">
        <v>37</v>
      </c>
      <c r="B55" s="33" t="s">
        <v>150</v>
      </c>
      <c r="C55" s="33" t="s">
        <v>29</v>
      </c>
      <c r="D55" s="49">
        <v>42065</v>
      </c>
      <c r="E55" s="34">
        <v>1166.27</v>
      </c>
      <c r="F55" s="34">
        <v>1071.77</v>
      </c>
      <c r="G55" s="34"/>
      <c r="H55" s="34"/>
      <c r="I55" s="34"/>
      <c r="J55" s="46">
        <f t="shared" si="10"/>
        <v>1071.77</v>
      </c>
      <c r="K55" s="34"/>
      <c r="L55" s="60"/>
      <c r="M55" s="34"/>
      <c r="N55" s="34"/>
      <c r="O55" s="61"/>
      <c r="P55" s="61"/>
      <c r="Q55" s="34"/>
      <c r="R55" s="32"/>
      <c r="S55" s="32"/>
      <c r="T55" s="33"/>
      <c r="U55" s="33"/>
      <c r="V55" s="46">
        <f t="shared" ref="V55:V65" si="40">+J55-SUM(K55:U55)</f>
        <v>1071.77</v>
      </c>
      <c r="W55" s="32">
        <f t="shared" si="32"/>
        <v>0</v>
      </c>
      <c r="X55" s="46">
        <f t="shared" si="33"/>
        <v>1071.77</v>
      </c>
      <c r="Y55" s="32">
        <f t="shared" si="34"/>
        <v>107.17700000000001</v>
      </c>
      <c r="Z55" s="32">
        <v>10.23</v>
      </c>
      <c r="AA55" s="32">
        <f t="shared" si="35"/>
        <v>0</v>
      </c>
      <c r="AB55" s="46">
        <f t="shared" si="36"/>
        <v>1189.1769999999999</v>
      </c>
      <c r="AC55" s="50"/>
      <c r="AD55" s="51"/>
      <c r="AE55" s="47">
        <f t="shared" si="37"/>
        <v>-1071.77</v>
      </c>
      <c r="AF55" s="35">
        <v>56708845254</v>
      </c>
      <c r="AG55" s="35"/>
    </row>
    <row r="56" spans="1:34" s="18" customFormat="1">
      <c r="A56" s="71" t="s">
        <v>28</v>
      </c>
      <c r="B56" s="33" t="s">
        <v>36</v>
      </c>
      <c r="C56" s="33" t="s">
        <v>30</v>
      </c>
      <c r="D56" s="49">
        <v>41218</v>
      </c>
      <c r="E56" s="34">
        <v>1026.69</v>
      </c>
      <c r="F56" s="34">
        <v>1434.61</v>
      </c>
      <c r="G56" s="34"/>
      <c r="H56" s="34"/>
      <c r="I56" s="34"/>
      <c r="J56" s="46">
        <f t="shared" si="10"/>
        <v>1434.61</v>
      </c>
      <c r="K56" s="34"/>
      <c r="L56" s="60">
        <v>1</v>
      </c>
      <c r="M56" s="34"/>
      <c r="N56" s="34"/>
      <c r="O56" s="61"/>
      <c r="P56" s="61"/>
      <c r="Q56" s="34"/>
      <c r="R56" s="32">
        <v>1424.86</v>
      </c>
      <c r="S56" s="32"/>
      <c r="T56" s="33"/>
      <c r="U56" s="72">
        <v>469.13</v>
      </c>
      <c r="V56" s="46">
        <f t="shared" si="40"/>
        <v>-460.37999999999988</v>
      </c>
      <c r="W56" s="32">
        <f t="shared" si="32"/>
        <v>0</v>
      </c>
      <c r="X56" s="46">
        <f t="shared" si="33"/>
        <v>-460.37999999999988</v>
      </c>
      <c r="Y56" s="32">
        <f t="shared" si="34"/>
        <v>143.46099999999998</v>
      </c>
      <c r="Z56" s="32">
        <v>10.23</v>
      </c>
      <c r="AA56" s="32">
        <f t="shared" si="35"/>
        <v>0</v>
      </c>
      <c r="AB56" s="46">
        <f t="shared" si="36"/>
        <v>1588.3009999999999</v>
      </c>
      <c r="AC56" s="50"/>
      <c r="AD56" s="51"/>
      <c r="AE56" s="47">
        <f t="shared" si="37"/>
        <v>460.37999999999988</v>
      </c>
      <c r="AF56" s="35">
        <v>56708881596</v>
      </c>
      <c r="AG56" s="33"/>
    </row>
    <row r="57" spans="1:34" s="18" customFormat="1">
      <c r="A57" s="71" t="s">
        <v>28</v>
      </c>
      <c r="B57" s="33" t="s">
        <v>180</v>
      </c>
      <c r="C57" s="33" t="s">
        <v>181</v>
      </c>
      <c r="D57" s="49">
        <v>43038</v>
      </c>
      <c r="E57" s="34">
        <v>1400</v>
      </c>
      <c r="F57" s="34"/>
      <c r="G57" s="34"/>
      <c r="H57" s="34"/>
      <c r="I57" s="34"/>
      <c r="J57" s="46">
        <f t="shared" si="10"/>
        <v>0</v>
      </c>
      <c r="K57" s="34"/>
      <c r="L57" s="60">
        <v>1</v>
      </c>
      <c r="M57" s="34"/>
      <c r="N57" s="34"/>
      <c r="O57" s="61"/>
      <c r="P57" s="61"/>
      <c r="Q57" s="34"/>
      <c r="R57" s="32"/>
      <c r="S57" s="32"/>
      <c r="T57" s="33"/>
      <c r="U57" s="72"/>
      <c r="V57" s="46"/>
      <c r="W57" s="32"/>
      <c r="X57" s="46"/>
      <c r="Y57" s="32"/>
      <c r="Z57" s="32"/>
      <c r="AA57" s="32"/>
      <c r="AB57" s="46"/>
      <c r="AC57" s="50"/>
      <c r="AD57" s="51"/>
      <c r="AE57" s="47"/>
      <c r="AF57" s="35">
        <v>1539992200</v>
      </c>
      <c r="AG57" s="33"/>
      <c r="AH57" s="18" t="s">
        <v>127</v>
      </c>
    </row>
    <row r="58" spans="1:34" s="18" customFormat="1">
      <c r="A58" s="71" t="s">
        <v>26</v>
      </c>
      <c r="B58" s="33" t="s">
        <v>106</v>
      </c>
      <c r="C58" s="33" t="s">
        <v>104</v>
      </c>
      <c r="D58" s="49">
        <v>42241</v>
      </c>
      <c r="E58" s="34">
        <v>1250.02</v>
      </c>
      <c r="F58" s="34"/>
      <c r="G58" s="34"/>
      <c r="H58" s="34"/>
      <c r="I58" s="34"/>
      <c r="J58" s="46">
        <f t="shared" si="10"/>
        <v>0</v>
      </c>
      <c r="K58" s="34">
        <v>187.5</v>
      </c>
      <c r="L58" s="60">
        <v>1</v>
      </c>
      <c r="M58" s="34"/>
      <c r="N58" s="34"/>
      <c r="O58" s="61"/>
      <c r="P58" s="61"/>
      <c r="Q58" s="34"/>
      <c r="R58" s="32"/>
      <c r="S58" s="32"/>
      <c r="T58" s="33"/>
      <c r="U58" s="33"/>
      <c r="V58" s="46">
        <f t="shared" ref="V58" si="41">+J58-SUM(K58:U58)</f>
        <v>-188.5</v>
      </c>
      <c r="W58" s="32">
        <f t="shared" ref="W58" si="42">IF(J58&gt;2250,J58*0.1,0)</f>
        <v>0</v>
      </c>
      <c r="X58" s="46">
        <f t="shared" ref="X58" si="43">+V58-W58</f>
        <v>-188.5</v>
      </c>
      <c r="Y58" s="32">
        <f t="shared" si="34"/>
        <v>0</v>
      </c>
      <c r="Z58" s="32"/>
      <c r="AA58" s="32"/>
      <c r="AB58" s="46"/>
      <c r="AC58" s="50"/>
      <c r="AD58" s="51"/>
      <c r="AE58" s="47"/>
      <c r="AF58" s="35">
        <v>56708845268</v>
      </c>
      <c r="AG58" s="35" t="s">
        <v>203</v>
      </c>
    </row>
    <row r="59" spans="1:34" s="18" customFormat="1">
      <c r="A59" s="71" t="s">
        <v>39</v>
      </c>
      <c r="B59" s="33" t="s">
        <v>77</v>
      </c>
      <c r="C59" s="33" t="s">
        <v>43</v>
      </c>
      <c r="D59" s="49">
        <v>42333</v>
      </c>
      <c r="E59" s="34">
        <v>1869</v>
      </c>
      <c r="F59" s="63"/>
      <c r="G59" s="63"/>
      <c r="H59" s="34"/>
      <c r="I59" s="34"/>
      <c r="J59" s="46">
        <f t="shared" si="10"/>
        <v>0</v>
      </c>
      <c r="K59" s="34"/>
      <c r="L59" s="60"/>
      <c r="M59" s="34"/>
      <c r="N59" s="34"/>
      <c r="O59" s="61"/>
      <c r="P59" s="61"/>
      <c r="Q59" s="34"/>
      <c r="R59" s="32"/>
      <c r="S59" s="32"/>
      <c r="T59" s="33"/>
      <c r="U59" s="33">
        <v>356.04</v>
      </c>
      <c r="V59" s="46">
        <f t="shared" si="40"/>
        <v>-356.04</v>
      </c>
      <c r="W59" s="32">
        <f t="shared" ref="W59:W65" si="44">IF(J59&gt;2250,J59*0.1,0)</f>
        <v>0</v>
      </c>
      <c r="X59" s="46">
        <f t="shared" si="33"/>
        <v>-356.04</v>
      </c>
      <c r="Y59" s="32">
        <f t="shared" si="34"/>
        <v>0</v>
      </c>
      <c r="Z59" s="32">
        <v>10.23</v>
      </c>
      <c r="AA59" s="32">
        <f t="shared" si="35"/>
        <v>0</v>
      </c>
      <c r="AB59" s="46">
        <f t="shared" si="36"/>
        <v>10.23</v>
      </c>
      <c r="AC59" s="50"/>
      <c r="AD59" s="51"/>
      <c r="AE59" s="47">
        <f>+AC59+AD59-X59</f>
        <v>356.04</v>
      </c>
      <c r="AF59" s="35">
        <v>60589939521</v>
      </c>
      <c r="AG59" s="35"/>
    </row>
    <row r="60" spans="1:34" s="18" customFormat="1">
      <c r="A60" s="71" t="s">
        <v>28</v>
      </c>
      <c r="B60" s="33" t="s">
        <v>96</v>
      </c>
      <c r="C60" s="33" t="s">
        <v>30</v>
      </c>
      <c r="D60" s="49">
        <v>42459</v>
      </c>
      <c r="E60" s="34">
        <v>1026.69</v>
      </c>
      <c r="F60" s="34">
        <v>5237.55</v>
      </c>
      <c r="G60" s="34"/>
      <c r="H60" s="34"/>
      <c r="I60" s="34"/>
      <c r="J60" s="46">
        <f t="shared" si="10"/>
        <v>5237.55</v>
      </c>
      <c r="K60" s="34"/>
      <c r="L60" s="60"/>
      <c r="M60" s="34"/>
      <c r="N60" s="34"/>
      <c r="O60" s="61"/>
      <c r="P60" s="61"/>
      <c r="Q60" s="34"/>
      <c r="R60" s="32">
        <v>2226</v>
      </c>
      <c r="S60" s="32"/>
      <c r="T60" s="33"/>
      <c r="U60" s="33"/>
      <c r="V60" s="46">
        <f t="shared" si="40"/>
        <v>3011.55</v>
      </c>
      <c r="W60" s="32">
        <f t="shared" si="44"/>
        <v>523.755</v>
      </c>
      <c r="X60" s="46">
        <f t="shared" si="33"/>
        <v>2487.7950000000001</v>
      </c>
      <c r="Y60" s="32">
        <f t="shared" si="34"/>
        <v>0</v>
      </c>
      <c r="Z60" s="32">
        <v>10.23</v>
      </c>
      <c r="AA60" s="32">
        <f t="shared" si="35"/>
        <v>0</v>
      </c>
      <c r="AB60" s="46">
        <f t="shared" si="36"/>
        <v>5247.78</v>
      </c>
      <c r="AC60" s="55"/>
      <c r="AD60" s="51"/>
      <c r="AE60" s="47">
        <f>+AC60+AD60-X60</f>
        <v>-2487.7950000000001</v>
      </c>
      <c r="AF60" s="35">
        <v>60589627948</v>
      </c>
      <c r="AG60" s="35"/>
    </row>
    <row r="61" spans="1:34" s="18" customFormat="1">
      <c r="A61" s="71" t="s">
        <v>26</v>
      </c>
      <c r="B61" s="33" t="s">
        <v>131</v>
      </c>
      <c r="C61" s="33" t="s">
        <v>29</v>
      </c>
      <c r="D61" s="49">
        <v>42849</v>
      </c>
      <c r="E61" s="34">
        <v>1166.27</v>
      </c>
      <c r="F61" s="34">
        <v>4.3099999999999996</v>
      </c>
      <c r="G61" s="34"/>
      <c r="H61" s="34"/>
      <c r="I61" s="34"/>
      <c r="J61" s="46">
        <f t="shared" si="10"/>
        <v>4.3099999999999996</v>
      </c>
      <c r="K61" s="34"/>
      <c r="L61" s="60"/>
      <c r="M61" s="34"/>
      <c r="N61" s="34"/>
      <c r="O61" s="61"/>
      <c r="P61" s="61"/>
      <c r="Q61" s="34"/>
      <c r="R61" s="32"/>
      <c r="S61" s="32"/>
      <c r="T61" s="33"/>
      <c r="U61" s="33"/>
      <c r="V61" s="46">
        <f t="shared" si="40"/>
        <v>4.3099999999999996</v>
      </c>
      <c r="W61" s="32"/>
      <c r="X61" s="46"/>
      <c r="Y61" s="32"/>
      <c r="Z61" s="32"/>
      <c r="AA61" s="32"/>
      <c r="AB61" s="46"/>
      <c r="AC61" s="55"/>
      <c r="AD61" s="51"/>
      <c r="AE61" s="47"/>
      <c r="AF61" s="35">
        <v>60590412629</v>
      </c>
      <c r="AG61" s="35"/>
    </row>
    <row r="62" spans="1:34" s="18" customFormat="1">
      <c r="A62" s="71" t="s">
        <v>26</v>
      </c>
      <c r="B62" s="33" t="s">
        <v>93</v>
      </c>
      <c r="C62" s="33" t="s">
        <v>42</v>
      </c>
      <c r="D62" s="49">
        <v>42566</v>
      </c>
      <c r="E62" s="34">
        <v>933.31</v>
      </c>
      <c r="F62" s="34">
        <v>1290</v>
      </c>
      <c r="G62" s="34"/>
      <c r="H62" s="34"/>
      <c r="I62" s="34"/>
      <c r="J62" s="46">
        <f t="shared" si="10"/>
        <v>1290</v>
      </c>
      <c r="K62" s="34"/>
      <c r="L62" s="60"/>
      <c r="M62" s="34"/>
      <c r="N62" s="34"/>
      <c r="O62" s="61"/>
      <c r="P62" s="61"/>
      <c r="Q62" s="34"/>
      <c r="R62" s="32"/>
      <c r="S62" s="32"/>
      <c r="T62" s="33"/>
      <c r="U62" s="33"/>
      <c r="V62" s="46">
        <f t="shared" si="40"/>
        <v>1290</v>
      </c>
      <c r="W62" s="32">
        <f t="shared" si="44"/>
        <v>0</v>
      </c>
      <c r="X62" s="46">
        <f t="shared" si="33"/>
        <v>1290</v>
      </c>
      <c r="Y62" s="32">
        <f t="shared" si="34"/>
        <v>129</v>
      </c>
      <c r="Z62" s="32">
        <v>21.23</v>
      </c>
      <c r="AA62" s="32">
        <f t="shared" si="35"/>
        <v>0</v>
      </c>
      <c r="AB62" s="46">
        <f t="shared" si="36"/>
        <v>1440.23</v>
      </c>
      <c r="AC62" s="55"/>
      <c r="AD62" s="51"/>
      <c r="AE62" s="47"/>
      <c r="AF62" s="35">
        <v>56708845709</v>
      </c>
      <c r="AG62" s="35"/>
    </row>
    <row r="63" spans="1:34" s="18" customFormat="1">
      <c r="A63" s="71" t="s">
        <v>28</v>
      </c>
      <c r="B63" s="33" t="s">
        <v>151</v>
      </c>
      <c r="C63" s="33" t="s">
        <v>30</v>
      </c>
      <c r="D63" s="49">
        <v>42842</v>
      </c>
      <c r="E63" s="34">
        <v>1026.69</v>
      </c>
      <c r="F63" s="34">
        <v>10971.82</v>
      </c>
      <c r="G63" s="34"/>
      <c r="H63" s="34"/>
      <c r="I63" s="34"/>
      <c r="J63" s="46">
        <f t="shared" si="10"/>
        <v>10971.82</v>
      </c>
      <c r="K63" s="34"/>
      <c r="L63" s="60"/>
      <c r="M63" s="34"/>
      <c r="N63" s="34"/>
      <c r="O63" s="61"/>
      <c r="P63" s="61"/>
      <c r="Q63" s="34"/>
      <c r="R63" s="32"/>
      <c r="S63" s="32"/>
      <c r="T63" s="33"/>
      <c r="U63" s="33"/>
      <c r="V63" s="46">
        <f t="shared" si="40"/>
        <v>10971.82</v>
      </c>
      <c r="W63" s="32"/>
      <c r="X63" s="46"/>
      <c r="Y63" s="32"/>
      <c r="Z63" s="32"/>
      <c r="AA63" s="32"/>
      <c r="AB63" s="46"/>
      <c r="AC63" s="55"/>
      <c r="AD63" s="56"/>
      <c r="AE63" s="47"/>
      <c r="AF63" s="35">
        <v>60590199370</v>
      </c>
      <c r="AG63" s="35"/>
    </row>
    <row r="64" spans="1:34" s="18" customFormat="1">
      <c r="A64" s="71" t="s">
        <v>27</v>
      </c>
      <c r="B64" s="33" t="s">
        <v>88</v>
      </c>
      <c r="C64" s="33" t="s">
        <v>138</v>
      </c>
      <c r="D64" s="49">
        <v>42506</v>
      </c>
      <c r="E64" s="34">
        <v>1633.38</v>
      </c>
      <c r="F64" s="34"/>
      <c r="G64" s="34"/>
      <c r="H64" s="34"/>
      <c r="I64" s="34"/>
      <c r="J64" s="46">
        <f t="shared" si="10"/>
        <v>0</v>
      </c>
      <c r="K64" s="34"/>
      <c r="L64" s="60"/>
      <c r="M64" s="34"/>
      <c r="N64" s="34"/>
      <c r="O64" s="61"/>
      <c r="P64" s="61"/>
      <c r="Q64" s="34"/>
      <c r="R64" s="32"/>
      <c r="S64" s="32"/>
      <c r="T64" s="33"/>
      <c r="U64" s="58">
        <v>209.3</v>
      </c>
      <c r="V64" s="46">
        <f t="shared" si="40"/>
        <v>-209.3</v>
      </c>
      <c r="W64" s="32">
        <f t="shared" si="44"/>
        <v>0</v>
      </c>
      <c r="X64" s="46">
        <f t="shared" si="33"/>
        <v>-209.3</v>
      </c>
      <c r="Y64" s="32">
        <f t="shared" si="34"/>
        <v>0</v>
      </c>
      <c r="Z64" s="32">
        <v>10.23</v>
      </c>
      <c r="AA64" s="32">
        <f t="shared" si="35"/>
        <v>0</v>
      </c>
      <c r="AB64" s="46">
        <f t="shared" si="36"/>
        <v>10.23</v>
      </c>
      <c r="AC64" s="55"/>
      <c r="AD64" s="55"/>
      <c r="AE64" s="47">
        <f t="shared" ref="AE64" si="45">+AC64+AD64-X64</f>
        <v>209.3</v>
      </c>
      <c r="AF64" s="35">
        <v>1179675078</v>
      </c>
      <c r="AG64" s="35"/>
      <c r="AH64" s="18" t="s">
        <v>127</v>
      </c>
    </row>
    <row r="65" spans="1:175" s="18" customFormat="1">
      <c r="A65" s="71" t="s">
        <v>26</v>
      </c>
      <c r="B65" s="33" t="s">
        <v>122</v>
      </c>
      <c r="C65" s="33" t="s">
        <v>42</v>
      </c>
      <c r="D65" s="49">
        <v>42597</v>
      </c>
      <c r="E65" s="34">
        <v>933.31</v>
      </c>
      <c r="F65" s="34">
        <v>650</v>
      </c>
      <c r="G65" s="34"/>
      <c r="H65" s="34"/>
      <c r="I65" s="34"/>
      <c r="J65" s="46">
        <f t="shared" si="10"/>
        <v>650</v>
      </c>
      <c r="K65" s="34">
        <v>300</v>
      </c>
      <c r="L65" s="60"/>
      <c r="M65" s="34"/>
      <c r="N65" s="34"/>
      <c r="O65" s="61"/>
      <c r="P65" s="61"/>
      <c r="Q65" s="34"/>
      <c r="R65" s="32"/>
      <c r="S65" s="32"/>
      <c r="T65" s="33"/>
      <c r="U65" s="58"/>
      <c r="V65" s="46">
        <f t="shared" si="40"/>
        <v>350</v>
      </c>
      <c r="W65" s="32">
        <f t="shared" si="44"/>
        <v>0</v>
      </c>
      <c r="X65" s="46">
        <f t="shared" si="33"/>
        <v>350</v>
      </c>
      <c r="Y65" s="32"/>
      <c r="Z65" s="32"/>
      <c r="AA65" s="32"/>
      <c r="AB65" s="46"/>
      <c r="AC65" s="55"/>
      <c r="AD65" s="55"/>
      <c r="AE65" s="47"/>
      <c r="AF65" s="35">
        <v>60594462438</v>
      </c>
      <c r="AG65" s="35" t="s">
        <v>203</v>
      </c>
    </row>
    <row r="66" spans="1:175" s="18" customFormat="1">
      <c r="A66" s="71" t="s">
        <v>37</v>
      </c>
      <c r="B66" s="33" t="s">
        <v>115</v>
      </c>
      <c r="C66" s="33" t="s">
        <v>29</v>
      </c>
      <c r="D66" s="49">
        <v>42696</v>
      </c>
      <c r="E66" s="34">
        <v>1166.27</v>
      </c>
      <c r="F66" s="34">
        <v>2169.83</v>
      </c>
      <c r="G66" s="34"/>
      <c r="H66" s="34"/>
      <c r="I66" s="34"/>
      <c r="J66" s="46">
        <f t="shared" si="10"/>
        <v>2169.83</v>
      </c>
      <c r="K66" s="34"/>
      <c r="L66" s="60"/>
      <c r="M66" s="34"/>
      <c r="N66" s="34"/>
      <c r="O66" s="61"/>
      <c r="P66" s="61"/>
      <c r="Q66" s="34"/>
      <c r="R66" s="32"/>
      <c r="S66" s="32"/>
      <c r="T66" s="33"/>
      <c r="U66" s="58"/>
      <c r="V66" s="46">
        <f t="shared" ref="V66" si="46">+J66-SUM(K66:U66)</f>
        <v>2169.83</v>
      </c>
      <c r="W66" s="32">
        <f t="shared" ref="W66" si="47">IF(J66&gt;2250,J66*0.1,0)</f>
        <v>0</v>
      </c>
      <c r="X66" s="46">
        <f t="shared" ref="X66" si="48">+V66-W66</f>
        <v>2169.83</v>
      </c>
      <c r="Y66" s="32"/>
      <c r="Z66" s="32"/>
      <c r="AA66" s="32"/>
      <c r="AB66" s="46"/>
      <c r="AC66" s="55"/>
      <c r="AD66" s="55"/>
      <c r="AE66" s="47"/>
      <c r="AF66" s="35">
        <v>56710784605</v>
      </c>
      <c r="AG66" s="35"/>
    </row>
    <row r="67" spans="1:175" s="18" customFormat="1">
      <c r="A67" s="71" t="s">
        <v>28</v>
      </c>
      <c r="B67" s="33" t="s">
        <v>199</v>
      </c>
      <c r="C67" s="33" t="s">
        <v>30</v>
      </c>
      <c r="D67" s="49">
        <v>43068</v>
      </c>
      <c r="E67" s="34">
        <v>1026.69</v>
      </c>
      <c r="F67" s="34"/>
      <c r="G67" s="34"/>
      <c r="H67" s="34"/>
      <c r="I67" s="34"/>
      <c r="J67" s="46">
        <f t="shared" si="10"/>
        <v>0</v>
      </c>
      <c r="K67" s="34"/>
      <c r="L67" s="60"/>
      <c r="M67" s="34"/>
      <c r="N67" s="34"/>
      <c r="O67" s="61"/>
      <c r="P67" s="61"/>
      <c r="Q67" s="34"/>
      <c r="R67" s="32"/>
      <c r="S67" s="32"/>
      <c r="T67" s="33"/>
      <c r="U67" s="58"/>
      <c r="V67" s="46"/>
      <c r="W67" s="32"/>
      <c r="X67" s="46"/>
      <c r="Y67" s="32"/>
      <c r="Z67" s="32"/>
      <c r="AA67" s="32"/>
      <c r="AB67" s="46"/>
      <c r="AC67" s="55"/>
      <c r="AD67" s="55"/>
      <c r="AE67" s="47"/>
      <c r="AF67" s="35">
        <v>60597479727</v>
      </c>
      <c r="AG67" s="35"/>
    </row>
    <row r="68" spans="1:175" s="18" customFormat="1">
      <c r="A68" s="71" t="s">
        <v>28</v>
      </c>
      <c r="B68" s="33" t="s">
        <v>366</v>
      </c>
      <c r="C68" s="33" t="s">
        <v>181</v>
      </c>
      <c r="D68" s="49">
        <v>43038</v>
      </c>
      <c r="E68" s="34">
        <v>1400</v>
      </c>
      <c r="F68" s="34"/>
      <c r="G68" s="34"/>
      <c r="H68" s="34"/>
      <c r="I68" s="34"/>
      <c r="J68" s="46">
        <f t="shared" si="10"/>
        <v>0</v>
      </c>
      <c r="K68" s="34"/>
      <c r="L68" s="60">
        <v>2</v>
      </c>
      <c r="M68" s="34"/>
      <c r="N68" s="34"/>
      <c r="O68" s="61"/>
      <c r="P68" s="61"/>
      <c r="Q68" s="34"/>
      <c r="R68" s="32"/>
      <c r="S68" s="32"/>
      <c r="T68" s="33"/>
      <c r="U68" s="58"/>
      <c r="V68" s="46"/>
      <c r="W68" s="32"/>
      <c r="X68" s="46"/>
      <c r="Y68" s="32"/>
      <c r="Z68" s="32"/>
      <c r="AA68" s="32"/>
      <c r="AB68" s="46"/>
      <c r="AC68" s="55"/>
      <c r="AD68" s="55"/>
      <c r="AE68" s="47"/>
      <c r="AF68" s="35">
        <v>1514177835</v>
      </c>
      <c r="AG68" s="35"/>
      <c r="AH68" s="18" t="s">
        <v>127</v>
      </c>
    </row>
    <row r="69" spans="1:175" s="18" customFormat="1">
      <c r="A69" s="24"/>
      <c r="B69" s="25"/>
      <c r="C69" s="25"/>
      <c r="D69" s="25"/>
      <c r="E69" s="25"/>
      <c r="F69" s="26"/>
      <c r="G69" s="26"/>
      <c r="H69" s="26"/>
      <c r="I69" s="26"/>
      <c r="J69" s="27"/>
      <c r="K69" s="26"/>
      <c r="L69" s="26"/>
      <c r="M69" s="26"/>
      <c r="N69" s="26"/>
      <c r="O69" s="26"/>
      <c r="P69" s="26"/>
      <c r="Q69" s="26"/>
      <c r="R69" s="36"/>
      <c r="S69" s="36"/>
      <c r="T69" s="36"/>
      <c r="U69" s="36"/>
      <c r="V69" s="27"/>
      <c r="W69" s="36"/>
      <c r="X69" s="27"/>
      <c r="Y69" s="36"/>
      <c r="Z69" s="36"/>
      <c r="AA69" s="36"/>
      <c r="AB69" s="27"/>
      <c r="AC69" s="43"/>
      <c r="AD69" s="43"/>
      <c r="AE69" s="22"/>
    </row>
    <row r="70" spans="1:175">
      <c r="B70" s="37" t="s">
        <v>1</v>
      </c>
      <c r="C70" s="37"/>
      <c r="D70" s="37"/>
      <c r="E70" s="38">
        <f t="shared" ref="E70:U70" si="49">SUM(E7:E69)</f>
        <v>88431.520000000033</v>
      </c>
      <c r="F70" s="38">
        <f t="shared" si="49"/>
        <v>132770.97</v>
      </c>
      <c r="G70" s="38">
        <f t="shared" si="49"/>
        <v>0</v>
      </c>
      <c r="H70" s="38">
        <f t="shared" si="49"/>
        <v>0</v>
      </c>
      <c r="I70" s="38">
        <f t="shared" si="49"/>
        <v>0</v>
      </c>
      <c r="J70" s="38">
        <f t="shared" si="49"/>
        <v>132770.97</v>
      </c>
      <c r="K70" s="38">
        <f t="shared" si="49"/>
        <v>2237.5</v>
      </c>
      <c r="L70" s="38">
        <f t="shared" si="49"/>
        <v>10</v>
      </c>
      <c r="M70" s="38">
        <f t="shared" si="49"/>
        <v>0</v>
      </c>
      <c r="N70" s="38">
        <f t="shared" si="49"/>
        <v>1300</v>
      </c>
      <c r="O70" s="38">
        <f t="shared" si="49"/>
        <v>0</v>
      </c>
      <c r="P70" s="38">
        <f t="shared" si="49"/>
        <v>0</v>
      </c>
      <c r="Q70" s="38">
        <f t="shared" si="49"/>
        <v>0</v>
      </c>
      <c r="R70" s="38">
        <f t="shared" si="49"/>
        <v>15226.43</v>
      </c>
      <c r="S70" s="38">
        <f t="shared" si="49"/>
        <v>0.6</v>
      </c>
      <c r="T70" s="38">
        <f t="shared" si="49"/>
        <v>0</v>
      </c>
      <c r="U70" s="38">
        <f t="shared" si="49"/>
        <v>5812.2300000000005</v>
      </c>
      <c r="V70" s="38">
        <f t="shared" ref="V70:AE70" si="50">SUM(V8:V69)</f>
        <v>105144.23999999999</v>
      </c>
      <c r="W70" s="38">
        <f t="shared" si="50"/>
        <v>7218.7870000000012</v>
      </c>
      <c r="X70" s="38">
        <f t="shared" si="50"/>
        <v>54028.542999999998</v>
      </c>
      <c r="Y70" s="38">
        <f t="shared" si="50"/>
        <v>547.52499999999998</v>
      </c>
      <c r="Z70" s="38">
        <f t="shared" si="50"/>
        <v>257.82999999999993</v>
      </c>
      <c r="AA70" s="38">
        <f t="shared" si="50"/>
        <v>0</v>
      </c>
      <c r="AB70" s="38">
        <f t="shared" si="50"/>
        <v>70221.655000000013</v>
      </c>
      <c r="AC70" s="44">
        <f t="shared" si="50"/>
        <v>0</v>
      </c>
      <c r="AD70" s="44">
        <f t="shared" si="50"/>
        <v>0</v>
      </c>
      <c r="AE70" s="39" t="e">
        <f t="shared" si="50"/>
        <v>#REF!</v>
      </c>
      <c r="AF70" s="28"/>
      <c r="AG70" s="28"/>
      <c r="AJ70" s="18"/>
      <c r="AK70" s="18"/>
      <c r="AL70" s="18"/>
      <c r="AM70" s="18"/>
      <c r="AN70" s="18"/>
      <c r="AO70" s="18"/>
      <c r="AP70" s="18"/>
      <c r="AQ70" s="18"/>
      <c r="AR70" s="18"/>
      <c r="AS70" s="18"/>
      <c r="AT70" s="18"/>
      <c r="AU70" s="18"/>
      <c r="AV70" s="18"/>
      <c r="AW70" s="18"/>
      <c r="AX70" s="18"/>
      <c r="AY70" s="18"/>
      <c r="AZ70" s="18"/>
      <c r="BA70" s="18"/>
      <c r="BB70" s="18"/>
      <c r="BC70" s="18"/>
      <c r="BD70" s="18"/>
      <c r="BE70" s="18"/>
      <c r="BF70" s="18"/>
      <c r="BG70" s="18"/>
      <c r="BH70" s="18"/>
      <c r="BI70" s="18"/>
      <c r="BJ70" s="18"/>
      <c r="BK70" s="18"/>
      <c r="BL70" s="18"/>
      <c r="BM70" s="18"/>
      <c r="BN70" s="18"/>
      <c r="BO70" s="18"/>
      <c r="BP70" s="18"/>
      <c r="BQ70" s="18"/>
      <c r="BR70" s="18"/>
      <c r="BS70" s="18"/>
      <c r="BT70" s="18"/>
      <c r="BU70" s="18"/>
      <c r="BV70" s="18"/>
      <c r="BW70" s="18"/>
      <c r="BX70" s="18"/>
      <c r="BY70" s="18"/>
      <c r="BZ70" s="18"/>
      <c r="CA70" s="18"/>
      <c r="CB70" s="18"/>
      <c r="CC70" s="18"/>
      <c r="CD70" s="18"/>
      <c r="CE70" s="18"/>
      <c r="CF70" s="18"/>
      <c r="CG70" s="18"/>
      <c r="CH70" s="18"/>
      <c r="CI70" s="18"/>
      <c r="CJ70" s="18"/>
      <c r="CK70" s="18"/>
      <c r="CL70" s="18"/>
      <c r="CM70" s="18"/>
      <c r="CN70" s="18"/>
      <c r="CO70" s="18"/>
      <c r="CP70" s="18"/>
      <c r="CQ70" s="18"/>
      <c r="CR70" s="18"/>
      <c r="CS70" s="18"/>
      <c r="CT70" s="18"/>
      <c r="CU70" s="18"/>
      <c r="CV70" s="18"/>
      <c r="CW70" s="18"/>
      <c r="CX70" s="18"/>
      <c r="CY70" s="18"/>
      <c r="CZ70" s="18"/>
      <c r="DA70" s="18"/>
      <c r="DB70" s="18"/>
      <c r="DC70" s="18"/>
      <c r="DD70" s="18"/>
      <c r="DE70" s="18"/>
      <c r="DF70" s="18"/>
      <c r="DG70" s="18"/>
      <c r="DH70" s="18"/>
      <c r="DI70" s="18"/>
      <c r="DJ70" s="18"/>
      <c r="DK70" s="18"/>
      <c r="DL70" s="18"/>
      <c r="DM70" s="18"/>
      <c r="DN70" s="18"/>
      <c r="DO70" s="18"/>
      <c r="DP70" s="18"/>
      <c r="DQ70" s="18"/>
      <c r="DR70" s="18"/>
      <c r="DS70" s="18"/>
      <c r="DT70" s="18"/>
      <c r="DU70" s="18"/>
      <c r="DV70" s="18"/>
      <c r="DW70" s="18"/>
      <c r="DX70" s="18"/>
      <c r="DY70" s="18"/>
      <c r="DZ70" s="18"/>
      <c r="EA70" s="18"/>
      <c r="EB70" s="18"/>
      <c r="EC70" s="18"/>
      <c r="ED70" s="18"/>
      <c r="EE70" s="18"/>
      <c r="EF70" s="18"/>
      <c r="EG70" s="18"/>
      <c r="EH70" s="18"/>
      <c r="EI70" s="18"/>
      <c r="EJ70" s="18"/>
      <c r="EK70" s="18"/>
      <c r="EL70" s="18"/>
      <c r="EM70" s="18"/>
      <c r="EN70" s="18"/>
      <c r="EO70" s="18"/>
      <c r="EP70" s="18"/>
      <c r="EQ70" s="18"/>
      <c r="ER70" s="18"/>
      <c r="ES70" s="18"/>
      <c r="ET70" s="18"/>
      <c r="EU70" s="18"/>
      <c r="EV70" s="18"/>
      <c r="EW70" s="18"/>
      <c r="EX70" s="18"/>
      <c r="EY70" s="18"/>
      <c r="EZ70" s="18"/>
      <c r="FA70" s="18"/>
      <c r="FB70" s="18"/>
      <c r="FC70" s="18"/>
      <c r="FD70" s="18"/>
      <c r="FE70" s="18"/>
      <c r="FF70" s="18"/>
      <c r="FG70" s="18"/>
      <c r="FH70" s="18"/>
      <c r="FI70" s="18"/>
      <c r="FJ70" s="18"/>
      <c r="FK70" s="18"/>
      <c r="FL70" s="18"/>
      <c r="FM70" s="18"/>
      <c r="FN70" s="18"/>
      <c r="FO70" s="18"/>
      <c r="FP70" s="18"/>
      <c r="FQ70" s="18"/>
      <c r="FR70" s="18"/>
      <c r="FS70" s="18"/>
    </row>
    <row r="71" spans="1:175">
      <c r="AB71" s="14">
        <f>AB70*0.16</f>
        <v>11235.464800000002</v>
      </c>
      <c r="AJ71" s="18"/>
      <c r="AK71" s="18"/>
      <c r="AL71" s="18"/>
      <c r="AM71" s="18"/>
      <c r="AN71" s="18"/>
      <c r="AO71" s="18"/>
      <c r="AP71" s="18"/>
      <c r="AQ71" s="18"/>
      <c r="AR71" s="18"/>
      <c r="AS71" s="18"/>
      <c r="AT71" s="18"/>
      <c r="AU71" s="18"/>
      <c r="AV71" s="18"/>
      <c r="AW71" s="18"/>
      <c r="AX71" s="18"/>
      <c r="AY71" s="18"/>
      <c r="AZ71" s="18"/>
      <c r="BA71" s="18"/>
      <c r="BB71" s="18"/>
      <c r="BC71" s="18"/>
      <c r="BD71" s="18"/>
      <c r="BE71" s="18"/>
      <c r="BF71" s="18"/>
      <c r="BG71" s="18"/>
      <c r="BH71" s="18"/>
      <c r="BI71" s="18"/>
      <c r="BJ71" s="18"/>
      <c r="BK71" s="18"/>
      <c r="BL71" s="18"/>
      <c r="BM71" s="18"/>
      <c r="BN71" s="18"/>
      <c r="BO71" s="18"/>
      <c r="BP71" s="18"/>
      <c r="BQ71" s="18"/>
      <c r="BR71" s="18"/>
      <c r="BS71" s="18"/>
      <c r="BT71" s="18"/>
      <c r="BU71" s="18"/>
      <c r="BV71" s="18"/>
      <c r="BW71" s="18"/>
      <c r="BX71" s="18"/>
      <c r="BY71" s="18"/>
      <c r="BZ71" s="18"/>
      <c r="CA71" s="18"/>
      <c r="CB71" s="18"/>
      <c r="CC71" s="18"/>
      <c r="CD71" s="18"/>
      <c r="CE71" s="18"/>
      <c r="CF71" s="18"/>
      <c r="CG71" s="18"/>
      <c r="CH71" s="18"/>
      <c r="CI71" s="18"/>
      <c r="CJ71" s="18"/>
      <c r="CK71" s="18"/>
      <c r="CL71" s="18"/>
      <c r="CM71" s="18"/>
      <c r="CN71" s="18"/>
      <c r="CO71" s="18"/>
      <c r="CP71" s="18"/>
      <c r="CQ71" s="18"/>
      <c r="CR71" s="18"/>
      <c r="CS71" s="18"/>
      <c r="CT71" s="18"/>
      <c r="CU71" s="18"/>
      <c r="CV71" s="18"/>
      <c r="CW71" s="18"/>
      <c r="CX71" s="18"/>
      <c r="CY71" s="18"/>
      <c r="CZ71" s="18"/>
      <c r="DA71" s="18"/>
      <c r="DB71" s="18"/>
      <c r="DC71" s="18"/>
      <c r="DD71" s="18"/>
      <c r="DE71" s="18"/>
      <c r="DF71" s="18"/>
      <c r="DG71" s="18"/>
      <c r="DH71" s="18"/>
      <c r="DI71" s="18"/>
      <c r="DJ71" s="18"/>
      <c r="DK71" s="18"/>
      <c r="DL71" s="18"/>
      <c r="DM71" s="18"/>
      <c r="DN71" s="18"/>
      <c r="DO71" s="18"/>
      <c r="DP71" s="18"/>
      <c r="DQ71" s="18"/>
      <c r="DR71" s="18"/>
      <c r="DS71" s="18"/>
      <c r="DT71" s="18"/>
      <c r="DU71" s="18"/>
      <c r="DV71" s="18"/>
      <c r="DW71" s="18"/>
      <c r="DX71" s="18"/>
      <c r="DY71" s="18"/>
      <c r="DZ71" s="18"/>
      <c r="EA71" s="18"/>
      <c r="EB71" s="18"/>
      <c r="EC71" s="18"/>
      <c r="ED71" s="18"/>
      <c r="EE71" s="18"/>
      <c r="EF71" s="18"/>
      <c r="EG71" s="18"/>
      <c r="EH71" s="18"/>
      <c r="EI71" s="18"/>
      <c r="EJ71" s="18"/>
      <c r="EK71" s="18"/>
      <c r="EL71" s="18"/>
      <c r="EM71" s="18"/>
      <c r="EN71" s="18"/>
      <c r="EO71" s="18"/>
      <c r="EP71" s="18"/>
      <c r="EQ71" s="18"/>
      <c r="ER71" s="18"/>
      <c r="ES71" s="18"/>
      <c r="ET71" s="18"/>
      <c r="EU71" s="18"/>
      <c r="EV71" s="18"/>
      <c r="EW71" s="18"/>
      <c r="EX71" s="18"/>
      <c r="EY71" s="18"/>
      <c r="EZ71" s="18"/>
      <c r="FA71" s="18"/>
      <c r="FB71" s="18"/>
      <c r="FC71" s="18"/>
      <c r="FD71" s="18"/>
      <c r="FE71" s="18"/>
      <c r="FF71" s="18"/>
      <c r="FG71" s="18"/>
      <c r="FH71" s="18"/>
      <c r="FI71" s="18"/>
      <c r="FJ71" s="18"/>
      <c r="FK71" s="18"/>
      <c r="FL71" s="18"/>
      <c r="FM71" s="18"/>
      <c r="FN71" s="18"/>
      <c r="FO71" s="18"/>
      <c r="FP71" s="18"/>
      <c r="FQ71" s="18"/>
      <c r="FR71" s="18"/>
      <c r="FS71" s="18"/>
    </row>
    <row r="72" spans="1:175">
      <c r="A72" s="97" t="s">
        <v>75</v>
      </c>
      <c r="B72" s="97"/>
      <c r="C72" s="28"/>
      <c r="D72" s="28"/>
      <c r="E72" s="28"/>
      <c r="F72" s="30"/>
      <c r="G72" s="30"/>
      <c r="H72" s="30"/>
      <c r="I72" s="30"/>
      <c r="J72" s="38"/>
      <c r="K72" s="30"/>
      <c r="L72" s="30"/>
      <c r="M72" s="30"/>
      <c r="N72" s="34"/>
      <c r="O72" s="34"/>
      <c r="P72" s="34"/>
      <c r="Q72" s="34"/>
      <c r="R72" s="30"/>
      <c r="S72" s="30"/>
      <c r="T72" s="30"/>
      <c r="U72" s="30"/>
      <c r="V72" s="38"/>
      <c r="W72" s="30"/>
      <c r="X72" s="38"/>
      <c r="Y72" s="30"/>
      <c r="Z72" s="30"/>
      <c r="AA72" s="30"/>
      <c r="AB72" s="38">
        <f>+AB70+AB71</f>
        <v>81457.119800000015</v>
      </c>
      <c r="AC72" s="44"/>
      <c r="AD72" s="44"/>
      <c r="AE72" s="39"/>
      <c r="AF72" s="28"/>
      <c r="AG72" s="28"/>
      <c r="AJ72" s="18"/>
      <c r="AK72" s="18"/>
      <c r="AL72" s="18"/>
      <c r="AM72" s="18"/>
      <c r="AN72" s="18"/>
      <c r="AO72" s="18"/>
      <c r="AP72" s="18"/>
      <c r="AQ72" s="18"/>
      <c r="AR72" s="18"/>
      <c r="AS72" s="18"/>
      <c r="AT72" s="18"/>
      <c r="AU72" s="18"/>
      <c r="AV72" s="18"/>
      <c r="AW72" s="18"/>
      <c r="AX72" s="18"/>
      <c r="AY72" s="18"/>
      <c r="AZ72" s="18"/>
      <c r="BA72" s="18"/>
      <c r="BB72" s="18"/>
      <c r="BC72" s="18"/>
      <c r="BD72" s="18"/>
      <c r="BE72" s="18"/>
      <c r="BF72" s="18"/>
      <c r="BG72" s="18"/>
      <c r="BH72" s="18"/>
      <c r="BI72" s="18"/>
      <c r="BJ72" s="18"/>
      <c r="BK72" s="18"/>
      <c r="BL72" s="18"/>
      <c r="BM72" s="18"/>
      <c r="BN72" s="18"/>
      <c r="BO72" s="18"/>
      <c r="BP72" s="18"/>
      <c r="BQ72" s="18"/>
      <c r="BR72" s="18"/>
      <c r="BS72" s="18"/>
      <c r="BT72" s="18"/>
      <c r="BU72" s="18"/>
      <c r="BV72" s="18"/>
      <c r="BW72" s="18"/>
      <c r="BX72" s="18"/>
      <c r="BY72" s="18"/>
      <c r="BZ72" s="18"/>
      <c r="CA72" s="18"/>
      <c r="CB72" s="18"/>
      <c r="CC72" s="18"/>
      <c r="CD72" s="18"/>
      <c r="CE72" s="18"/>
      <c r="CF72" s="18"/>
      <c r="CG72" s="18"/>
      <c r="CH72" s="18"/>
      <c r="CI72" s="18"/>
      <c r="CJ72" s="18"/>
      <c r="CK72" s="18"/>
      <c r="CL72" s="18"/>
      <c r="CM72" s="18"/>
      <c r="CN72" s="18"/>
      <c r="CO72" s="18"/>
      <c r="CP72" s="18"/>
      <c r="CQ72" s="18"/>
      <c r="CR72" s="18"/>
      <c r="CS72" s="18"/>
      <c r="CT72" s="18"/>
      <c r="CU72" s="18"/>
      <c r="CV72" s="18"/>
      <c r="CW72" s="18"/>
      <c r="CX72" s="18"/>
      <c r="CY72" s="18"/>
      <c r="CZ72" s="18"/>
      <c r="DA72" s="18"/>
      <c r="DB72" s="18"/>
      <c r="DC72" s="18"/>
      <c r="DD72" s="18"/>
      <c r="DE72" s="18"/>
      <c r="DF72" s="18"/>
      <c r="DG72" s="18"/>
      <c r="DH72" s="18"/>
      <c r="DI72" s="18"/>
      <c r="DJ72" s="18"/>
      <c r="DK72" s="18"/>
      <c r="DL72" s="18"/>
      <c r="DM72" s="18"/>
      <c r="DN72" s="18"/>
      <c r="DO72" s="18"/>
      <c r="DP72" s="18"/>
      <c r="DQ72" s="18"/>
      <c r="DR72" s="18"/>
      <c r="DS72" s="18"/>
      <c r="DT72" s="18"/>
      <c r="DU72" s="18"/>
      <c r="DV72" s="18"/>
      <c r="DW72" s="18"/>
      <c r="DX72" s="18"/>
      <c r="DY72" s="18"/>
      <c r="DZ72" s="18"/>
      <c r="EA72" s="18"/>
      <c r="EB72" s="18"/>
      <c r="EC72" s="18"/>
      <c r="ED72" s="18"/>
      <c r="EE72" s="18"/>
      <c r="EF72" s="18"/>
      <c r="EG72" s="18"/>
      <c r="EH72" s="18"/>
      <c r="EI72" s="18"/>
      <c r="EJ72" s="18"/>
      <c r="EK72" s="18"/>
      <c r="EL72" s="18"/>
      <c r="EM72" s="18"/>
      <c r="EN72" s="18"/>
      <c r="EO72" s="18"/>
      <c r="EP72" s="18"/>
      <c r="EQ72" s="18"/>
      <c r="ER72" s="18"/>
      <c r="ES72" s="18"/>
      <c r="ET72" s="18"/>
      <c r="EU72" s="18"/>
      <c r="EV72" s="18"/>
      <c r="EW72" s="18"/>
      <c r="EX72" s="18"/>
      <c r="EY72" s="18"/>
      <c r="EZ72" s="18"/>
      <c r="FA72" s="18"/>
      <c r="FB72" s="18"/>
      <c r="FC72" s="18"/>
      <c r="FD72" s="18"/>
      <c r="FE72" s="18"/>
      <c r="FF72" s="18"/>
      <c r="FG72" s="18"/>
      <c r="FH72" s="18"/>
      <c r="FI72" s="18"/>
      <c r="FJ72" s="18"/>
      <c r="FK72" s="18"/>
      <c r="FL72" s="18"/>
      <c r="FM72" s="18"/>
      <c r="FN72" s="18"/>
      <c r="FO72" s="18"/>
      <c r="FP72" s="18"/>
      <c r="FQ72" s="18"/>
      <c r="FR72" s="18"/>
      <c r="FS72" s="18"/>
    </row>
    <row r="73" spans="1:175">
      <c r="A73" s="33" t="s">
        <v>38</v>
      </c>
      <c r="B73" s="33" t="s">
        <v>177</v>
      </c>
      <c r="C73" s="29" t="s">
        <v>178</v>
      </c>
      <c r="D73" s="49">
        <v>43038</v>
      </c>
      <c r="E73" s="34">
        <v>638.96</v>
      </c>
      <c r="F73" s="34">
        <v>3589.9630000000002</v>
      </c>
      <c r="G73" s="34"/>
      <c r="H73" s="31"/>
      <c r="I73" s="31"/>
      <c r="J73" s="46">
        <f>SUM(F73:I73)</f>
        <v>3589.9630000000002</v>
      </c>
      <c r="K73" s="34"/>
      <c r="L73" s="60"/>
      <c r="M73" s="34"/>
      <c r="N73" s="34"/>
      <c r="O73" s="61"/>
      <c r="P73" s="61"/>
      <c r="Q73" s="34"/>
      <c r="R73" s="32"/>
      <c r="S73" s="32"/>
      <c r="T73" s="33"/>
      <c r="U73" s="33">
        <v>553.23</v>
      </c>
      <c r="V73" s="46">
        <f>+J73-SUM(K73:U73)</f>
        <v>3036.7330000000002</v>
      </c>
      <c r="W73" s="32"/>
      <c r="X73" s="46"/>
      <c r="Y73" s="54"/>
      <c r="Z73" s="54"/>
      <c r="AA73" s="54"/>
      <c r="AB73" s="53"/>
      <c r="AC73" s="45"/>
      <c r="AD73" s="45"/>
      <c r="AE73" s="40"/>
      <c r="AF73" s="35">
        <v>56697905731</v>
      </c>
      <c r="AG73" s="35"/>
      <c r="AJ73" s="18"/>
      <c r="AK73" s="18"/>
      <c r="AL73" s="18"/>
      <c r="AM73" s="18"/>
      <c r="AN73" s="18"/>
      <c r="AO73" s="18"/>
      <c r="AP73" s="18"/>
      <c r="AQ73" s="18"/>
      <c r="AR73" s="18"/>
      <c r="AS73" s="18"/>
      <c r="AT73" s="18"/>
      <c r="AU73" s="18"/>
      <c r="AV73" s="18"/>
      <c r="AW73" s="18"/>
      <c r="AX73" s="18"/>
      <c r="AY73" s="18"/>
      <c r="AZ73" s="18"/>
      <c r="BA73" s="18"/>
      <c r="BB73" s="18"/>
      <c r="BC73" s="18"/>
      <c r="BD73" s="18"/>
      <c r="BE73" s="18"/>
      <c r="BF73" s="18"/>
      <c r="BG73" s="18"/>
      <c r="BH73" s="18"/>
      <c r="BI73" s="18"/>
      <c r="BJ73" s="18"/>
      <c r="BK73" s="18"/>
      <c r="BL73" s="18"/>
      <c r="BM73" s="18"/>
      <c r="BN73" s="18"/>
      <c r="BO73" s="18"/>
      <c r="BP73" s="18"/>
      <c r="BQ73" s="18"/>
      <c r="BR73" s="18"/>
      <c r="BS73" s="18"/>
      <c r="BT73" s="18"/>
      <c r="BU73" s="18"/>
      <c r="BV73" s="18"/>
      <c r="BW73" s="18"/>
      <c r="BX73" s="18"/>
      <c r="BY73" s="18"/>
      <c r="BZ73" s="18"/>
      <c r="CA73" s="18"/>
      <c r="CB73" s="18"/>
      <c r="CC73" s="18"/>
      <c r="CD73" s="18"/>
      <c r="CE73" s="18"/>
      <c r="CF73" s="18"/>
      <c r="CG73" s="18"/>
      <c r="CH73" s="18"/>
      <c r="CI73" s="18"/>
      <c r="CJ73" s="18"/>
      <c r="CK73" s="18"/>
      <c r="CL73" s="18"/>
      <c r="CM73" s="18"/>
      <c r="CN73" s="18"/>
      <c r="CO73" s="18"/>
      <c r="CP73" s="18"/>
      <c r="CQ73" s="18"/>
      <c r="CR73" s="18"/>
      <c r="CS73" s="18"/>
      <c r="CT73" s="18"/>
      <c r="CU73" s="18"/>
      <c r="CV73" s="18"/>
      <c r="CW73" s="18"/>
      <c r="CX73" s="18"/>
      <c r="CY73" s="18"/>
      <c r="CZ73" s="18"/>
      <c r="DA73" s="18"/>
      <c r="DB73" s="18"/>
      <c r="DC73" s="18"/>
      <c r="DD73" s="18"/>
      <c r="DE73" s="18"/>
      <c r="DF73" s="18"/>
      <c r="DG73" s="18"/>
      <c r="DH73" s="18"/>
      <c r="DI73" s="18"/>
      <c r="DJ73" s="18"/>
      <c r="DK73" s="18"/>
      <c r="DL73" s="18"/>
      <c r="DM73" s="18"/>
      <c r="DN73" s="18"/>
      <c r="DO73" s="18"/>
      <c r="DP73" s="18"/>
      <c r="DQ73" s="18"/>
      <c r="DR73" s="18"/>
      <c r="DS73" s="18"/>
      <c r="DT73" s="18"/>
      <c r="DU73" s="18"/>
      <c r="DV73" s="18"/>
      <c r="DW73" s="18"/>
      <c r="DX73" s="18"/>
      <c r="DY73" s="18"/>
      <c r="DZ73" s="18"/>
      <c r="EA73" s="18"/>
      <c r="EB73" s="18"/>
      <c r="EC73" s="18"/>
      <c r="ED73" s="18"/>
      <c r="EE73" s="18"/>
      <c r="EF73" s="18"/>
      <c r="EG73" s="18"/>
      <c r="EH73" s="18"/>
      <c r="EI73" s="18"/>
      <c r="EJ73" s="18"/>
      <c r="EK73" s="18"/>
      <c r="EL73" s="18"/>
      <c r="EM73" s="18"/>
      <c r="EN73" s="18"/>
      <c r="EO73" s="18"/>
      <c r="EP73" s="18"/>
      <c r="EQ73" s="18"/>
      <c r="ER73" s="18"/>
      <c r="ES73" s="18"/>
      <c r="ET73" s="18"/>
      <c r="EU73" s="18"/>
      <c r="EV73" s="18"/>
      <c r="EW73" s="18"/>
      <c r="EX73" s="18"/>
      <c r="EY73" s="18"/>
      <c r="EZ73" s="18"/>
      <c r="FA73" s="18"/>
      <c r="FB73" s="18"/>
      <c r="FC73" s="18"/>
      <c r="FD73" s="18"/>
      <c r="FE73" s="18"/>
      <c r="FF73" s="18"/>
      <c r="FG73" s="18"/>
      <c r="FH73" s="18"/>
      <c r="FI73" s="18"/>
      <c r="FJ73" s="18"/>
      <c r="FK73" s="18"/>
      <c r="FL73" s="18"/>
      <c r="FM73" s="18"/>
      <c r="FN73" s="18"/>
      <c r="FO73" s="18"/>
      <c r="FP73" s="18"/>
      <c r="FQ73" s="18"/>
      <c r="FR73" s="18"/>
      <c r="FS73" s="18"/>
    </row>
    <row r="74" spans="1:175">
      <c r="A74" s="33" t="s">
        <v>40</v>
      </c>
      <c r="B74" s="33" t="s">
        <v>152</v>
      </c>
      <c r="C74" s="29" t="s">
        <v>102</v>
      </c>
      <c r="D74" s="49">
        <v>41142</v>
      </c>
      <c r="E74" s="34">
        <v>667.87</v>
      </c>
      <c r="F74" s="34">
        <f>2182.01+5.571</f>
        <v>2187.5810000000001</v>
      </c>
      <c r="G74" s="34"/>
      <c r="H74" s="31"/>
      <c r="I74" s="31"/>
      <c r="J74" s="46">
        <f>SUM(F74:I74)</f>
        <v>2187.5810000000001</v>
      </c>
      <c r="K74" s="34"/>
      <c r="L74" s="60"/>
      <c r="M74" s="34"/>
      <c r="N74" s="34"/>
      <c r="O74" s="61" t="s">
        <v>133</v>
      </c>
      <c r="P74" s="61" t="s">
        <v>133</v>
      </c>
      <c r="Q74" s="34"/>
      <c r="R74" s="32"/>
      <c r="S74" s="32"/>
      <c r="T74" s="33"/>
      <c r="U74" s="33"/>
      <c r="V74" s="46">
        <f>+J74-SUM(K74:U74)</f>
        <v>2187.5810000000001</v>
      </c>
      <c r="W74" s="32">
        <f>+V74*0.05</f>
        <v>109.37905000000001</v>
      </c>
      <c r="X74" s="46">
        <f>+V74-R74-U74</f>
        <v>2187.5810000000001</v>
      </c>
      <c r="Y74" s="54">
        <f>IF(V74&lt;3000,V74*0.1,0)</f>
        <v>218.75810000000001</v>
      </c>
      <c r="Z74" s="54">
        <v>0</v>
      </c>
      <c r="AA74" s="54"/>
      <c r="AB74" s="53">
        <f>+V74+Y74+Z74</f>
        <v>2406.3391000000001</v>
      </c>
      <c r="AC74" s="45"/>
      <c r="AD74" s="45"/>
      <c r="AE74" s="40"/>
      <c r="AF74" s="35">
        <v>56708845760</v>
      </c>
      <c r="AG74" s="35"/>
      <c r="AJ74" s="18"/>
      <c r="AK74" s="18"/>
      <c r="AL74" s="18"/>
      <c r="AM74" s="18"/>
      <c r="AN74" s="18"/>
      <c r="AO74" s="18"/>
      <c r="AP74" s="18"/>
      <c r="AQ74" s="18"/>
      <c r="AR74" s="18"/>
      <c r="AS74" s="18"/>
      <c r="AT74" s="18"/>
      <c r="AU74" s="18"/>
      <c r="AV74" s="18"/>
      <c r="AW74" s="18"/>
      <c r="AX74" s="18"/>
      <c r="AY74" s="18"/>
      <c r="AZ74" s="18"/>
      <c r="BA74" s="18"/>
      <c r="BB74" s="18"/>
      <c r="BC74" s="18"/>
      <c r="BD74" s="18"/>
      <c r="BE74" s="18"/>
      <c r="BF74" s="18"/>
      <c r="BG74" s="18"/>
      <c r="BH74" s="18"/>
      <c r="BI74" s="18"/>
      <c r="BJ74" s="18"/>
      <c r="BK74" s="18"/>
      <c r="BL74" s="18"/>
      <c r="BM74" s="18"/>
      <c r="BN74" s="18"/>
      <c r="BO74" s="18"/>
      <c r="BP74" s="18"/>
      <c r="BQ74" s="18"/>
      <c r="BR74" s="18"/>
      <c r="BS74" s="18"/>
      <c r="BT74" s="18"/>
      <c r="BU74" s="18"/>
      <c r="BV74" s="18"/>
      <c r="BW74" s="18"/>
      <c r="BX74" s="18"/>
      <c r="BY74" s="18"/>
      <c r="BZ74" s="18"/>
      <c r="CA74" s="18"/>
      <c r="CB74" s="18"/>
      <c r="CC74" s="18"/>
      <c r="CD74" s="18"/>
      <c r="CE74" s="18"/>
      <c r="CF74" s="18"/>
      <c r="CG74" s="18"/>
      <c r="CH74" s="18"/>
      <c r="CI74" s="18"/>
      <c r="CJ74" s="18"/>
      <c r="CK74" s="18"/>
      <c r="CL74" s="18"/>
      <c r="CM74" s="18"/>
      <c r="CN74" s="18"/>
      <c r="CO74" s="18"/>
      <c r="CP74" s="18"/>
      <c r="CQ74" s="18"/>
      <c r="CR74" s="18"/>
      <c r="CS74" s="18"/>
      <c r="CT74" s="18"/>
      <c r="CU74" s="18"/>
      <c r="CV74" s="18"/>
      <c r="CW74" s="18"/>
      <c r="CX74" s="18"/>
      <c r="CY74" s="18"/>
      <c r="CZ74" s="18"/>
      <c r="DA74" s="18"/>
      <c r="DB74" s="18"/>
      <c r="DC74" s="18"/>
      <c r="DD74" s="18"/>
      <c r="DE74" s="18"/>
      <c r="DF74" s="18"/>
      <c r="DG74" s="18"/>
      <c r="DH74" s="18"/>
      <c r="DI74" s="18"/>
      <c r="DJ74" s="18"/>
      <c r="DK74" s="18"/>
      <c r="DL74" s="18"/>
      <c r="DM74" s="18"/>
      <c r="DN74" s="18"/>
      <c r="DO74" s="18"/>
      <c r="DP74" s="18"/>
      <c r="DQ74" s="18"/>
      <c r="DR74" s="18"/>
      <c r="DS74" s="18"/>
      <c r="DT74" s="18"/>
      <c r="DU74" s="18"/>
      <c r="DV74" s="18"/>
      <c r="DW74" s="18"/>
      <c r="DX74" s="18"/>
      <c r="DY74" s="18"/>
      <c r="DZ74" s="18"/>
      <c r="EA74" s="18"/>
      <c r="EB74" s="18"/>
      <c r="EC74" s="18"/>
      <c r="ED74" s="18"/>
      <c r="EE74" s="18"/>
      <c r="EF74" s="18"/>
      <c r="EG74" s="18"/>
      <c r="EH74" s="18"/>
      <c r="EI74" s="18"/>
      <c r="EJ74" s="18"/>
      <c r="EK74" s="18"/>
      <c r="EL74" s="18"/>
      <c r="EM74" s="18"/>
      <c r="EN74" s="18"/>
      <c r="EO74" s="18"/>
      <c r="EP74" s="18"/>
      <c r="EQ74" s="18"/>
      <c r="ER74" s="18"/>
      <c r="ES74" s="18"/>
      <c r="ET74" s="18"/>
      <c r="EU74" s="18"/>
      <c r="EV74" s="18"/>
      <c r="EW74" s="18"/>
      <c r="EX74" s="18"/>
      <c r="EY74" s="18"/>
      <c r="EZ74" s="18"/>
      <c r="FA74" s="18"/>
      <c r="FB74" s="18"/>
      <c r="FC74" s="18"/>
      <c r="FD74" s="18"/>
      <c r="FE74" s="18"/>
      <c r="FF74" s="18"/>
      <c r="FG74" s="18"/>
      <c r="FH74" s="18"/>
      <c r="FI74" s="18"/>
      <c r="FJ74" s="18"/>
      <c r="FK74" s="18"/>
      <c r="FL74" s="18"/>
      <c r="FM74" s="18"/>
      <c r="FN74" s="18"/>
      <c r="FO74" s="18"/>
      <c r="FP74" s="18"/>
      <c r="FQ74" s="18"/>
      <c r="FR74" s="18"/>
      <c r="FS74" s="18"/>
    </row>
    <row r="75" spans="1:175" s="18" customFormat="1">
      <c r="A75" s="33" t="s">
        <v>40</v>
      </c>
      <c r="B75" s="33" t="s">
        <v>52</v>
      </c>
      <c r="C75" s="33" t="s">
        <v>102</v>
      </c>
      <c r="D75" s="49">
        <v>41381</v>
      </c>
      <c r="E75" s="34">
        <v>627.13</v>
      </c>
      <c r="F75" s="34">
        <f>5366.868+2.599</f>
        <v>5369.4670000000006</v>
      </c>
      <c r="G75" s="34"/>
      <c r="H75" s="34"/>
      <c r="I75" s="34"/>
      <c r="J75" s="46">
        <f t="shared" ref="J75:J120" si="51">SUM(F75:I75)</f>
        <v>5369.4670000000006</v>
      </c>
      <c r="K75" s="34"/>
      <c r="L75" s="60"/>
      <c r="M75" s="34"/>
      <c r="N75" s="34"/>
      <c r="O75" s="61" t="s">
        <v>133</v>
      </c>
      <c r="P75" s="61" t="s">
        <v>133</v>
      </c>
      <c r="Q75" s="34"/>
      <c r="R75" s="32"/>
      <c r="S75" s="32"/>
      <c r="T75" s="33"/>
      <c r="U75" s="33"/>
      <c r="V75" s="46">
        <f t="shared" ref="V75:V119" si="52">+J75-SUM(K75:U75)</f>
        <v>5369.4670000000006</v>
      </c>
      <c r="W75" s="32">
        <f t="shared" ref="W75:W83" si="53">IF(J75&gt;2250,J75*0.1,0)</f>
        <v>536.94670000000008</v>
      </c>
      <c r="X75" s="46">
        <f t="shared" ref="X75:X83" si="54">+V75-W75</f>
        <v>4832.5203000000001</v>
      </c>
      <c r="Y75" s="32">
        <f t="shared" ref="Y75:Y83" si="55">IF(J75&lt;2250,J75*0.1,0)</f>
        <v>0</v>
      </c>
      <c r="Z75" s="32">
        <v>10.23</v>
      </c>
      <c r="AA75" s="32" t="str">
        <f t="shared" ref="AA75:AA83" si="56">+O75</f>
        <v>XX</v>
      </c>
      <c r="AB75" s="46" t="e">
        <f t="shared" ref="AB75:AB83" si="57">+J75+Y75+Z75+AA75</f>
        <v>#VALUE!</v>
      </c>
      <c r="AC75" s="50"/>
      <c r="AD75" s="51"/>
      <c r="AE75" s="47">
        <f t="shared" ref="AE75:AE78" si="58">+AC75+AD75-X75</f>
        <v>-4832.5203000000001</v>
      </c>
      <c r="AF75" s="35">
        <v>56708845774</v>
      </c>
      <c r="AG75" s="35"/>
    </row>
    <row r="76" spans="1:175" s="18" customFormat="1">
      <c r="A76" s="33" t="s">
        <v>40</v>
      </c>
      <c r="B76" s="33" t="s">
        <v>82</v>
      </c>
      <c r="C76" s="33" t="s">
        <v>102</v>
      </c>
      <c r="D76" s="49">
        <v>41740</v>
      </c>
      <c r="E76" s="34">
        <v>627.13</v>
      </c>
      <c r="F76" s="34">
        <f>2729.303+5.571</f>
        <v>2734.8739999999998</v>
      </c>
      <c r="G76" s="34"/>
      <c r="H76" s="34"/>
      <c r="I76" s="34"/>
      <c r="J76" s="46">
        <f t="shared" si="51"/>
        <v>2734.8739999999998</v>
      </c>
      <c r="K76" s="34"/>
      <c r="L76" s="60"/>
      <c r="M76" s="34"/>
      <c r="N76" s="32">
        <v>300</v>
      </c>
      <c r="O76" s="61" t="s">
        <v>133</v>
      </c>
      <c r="P76" s="61" t="s">
        <v>133</v>
      </c>
      <c r="Q76" s="34"/>
      <c r="R76" s="32"/>
      <c r="S76" s="32"/>
      <c r="T76" s="33"/>
      <c r="U76" s="33"/>
      <c r="V76" s="46">
        <f t="shared" si="52"/>
        <v>2434.8739999999998</v>
      </c>
      <c r="W76" s="32">
        <f t="shared" si="53"/>
        <v>273.48739999999998</v>
      </c>
      <c r="X76" s="46">
        <f t="shared" si="54"/>
        <v>2161.3865999999998</v>
      </c>
      <c r="Y76" s="32">
        <f t="shared" si="55"/>
        <v>0</v>
      </c>
      <c r="Z76" s="32">
        <v>10.23</v>
      </c>
      <c r="AA76" s="32" t="str">
        <f t="shared" si="56"/>
        <v>XX</v>
      </c>
      <c r="AB76" s="46" t="e">
        <f t="shared" si="57"/>
        <v>#VALUE!</v>
      </c>
      <c r="AC76" s="50"/>
      <c r="AD76" s="51"/>
      <c r="AE76" s="47">
        <f t="shared" si="58"/>
        <v>-2161.3865999999998</v>
      </c>
      <c r="AF76" s="35">
        <v>56708845788</v>
      </c>
      <c r="AG76" s="35"/>
    </row>
    <row r="77" spans="1:175" s="18" customFormat="1">
      <c r="A77" s="33" t="s">
        <v>40</v>
      </c>
      <c r="B77" s="33" t="s">
        <v>123</v>
      </c>
      <c r="C77" s="33" t="s">
        <v>98</v>
      </c>
      <c r="D77" s="49">
        <v>42779</v>
      </c>
      <c r="E77" s="34">
        <v>618.45000000000005</v>
      </c>
      <c r="F77" s="34">
        <v>635.79999999999995</v>
      </c>
      <c r="G77" s="34"/>
      <c r="H77" s="34"/>
      <c r="I77" s="34"/>
      <c r="J77" s="46">
        <f t="shared" si="51"/>
        <v>635.79999999999995</v>
      </c>
      <c r="K77" s="34"/>
      <c r="L77" s="60"/>
      <c r="M77" s="34"/>
      <c r="N77" s="34"/>
      <c r="O77" s="61" t="s">
        <v>133</v>
      </c>
      <c r="P77" s="61" t="s">
        <v>133</v>
      </c>
      <c r="Q77" s="34"/>
      <c r="R77" s="32"/>
      <c r="S77" s="32"/>
      <c r="T77" s="33"/>
      <c r="U77" s="33"/>
      <c r="V77" s="46">
        <f t="shared" si="52"/>
        <v>635.79999999999995</v>
      </c>
      <c r="W77" s="32"/>
      <c r="X77" s="46"/>
      <c r="Y77" s="32"/>
      <c r="Z77" s="32"/>
      <c r="AA77" s="32"/>
      <c r="AB77" s="46"/>
      <c r="AC77" s="50"/>
      <c r="AD77" s="51"/>
      <c r="AE77" s="47"/>
      <c r="AF77" s="35">
        <v>60589582591</v>
      </c>
      <c r="AG77" s="35"/>
    </row>
    <row r="78" spans="1:175" s="18" customFormat="1">
      <c r="A78" s="33" t="s">
        <v>40</v>
      </c>
      <c r="B78" s="33" t="s">
        <v>53</v>
      </c>
      <c r="C78" s="33" t="s">
        <v>45</v>
      </c>
      <c r="D78" s="49">
        <v>41227</v>
      </c>
      <c r="E78" s="34">
        <v>618.45000000000005</v>
      </c>
      <c r="F78" s="34">
        <f>3404.96+13.099</f>
        <v>3418.0590000000002</v>
      </c>
      <c r="G78" s="34"/>
      <c r="H78" s="34"/>
      <c r="I78" s="34"/>
      <c r="J78" s="46">
        <f t="shared" si="51"/>
        <v>3418.0590000000002</v>
      </c>
      <c r="K78" s="34"/>
      <c r="L78" s="60"/>
      <c r="M78" s="34"/>
      <c r="N78" s="32">
        <v>700</v>
      </c>
      <c r="O78" s="61" t="s">
        <v>133</v>
      </c>
      <c r="P78" s="61" t="s">
        <v>133</v>
      </c>
      <c r="Q78" s="34"/>
      <c r="R78" s="32"/>
      <c r="S78" s="32"/>
      <c r="T78" s="33"/>
      <c r="U78" s="33"/>
      <c r="V78" s="46">
        <f t="shared" si="52"/>
        <v>2718.0590000000002</v>
      </c>
      <c r="W78" s="32">
        <f t="shared" si="53"/>
        <v>341.80590000000007</v>
      </c>
      <c r="X78" s="46">
        <f t="shared" si="54"/>
        <v>2376.2530999999999</v>
      </c>
      <c r="Y78" s="32">
        <f t="shared" si="55"/>
        <v>0</v>
      </c>
      <c r="Z78" s="32">
        <v>10.23</v>
      </c>
      <c r="AA78" s="32" t="str">
        <f t="shared" si="56"/>
        <v>XX</v>
      </c>
      <c r="AB78" s="46" t="e">
        <f t="shared" si="57"/>
        <v>#VALUE!</v>
      </c>
      <c r="AC78" s="50"/>
      <c r="AD78" s="51"/>
      <c r="AE78" s="47">
        <f t="shared" si="58"/>
        <v>-2376.2530999999999</v>
      </c>
      <c r="AF78" s="35">
        <v>56708845791</v>
      </c>
      <c r="AG78" s="35"/>
    </row>
    <row r="79" spans="1:175" s="18" customFormat="1">
      <c r="A79" s="33" t="s">
        <v>38</v>
      </c>
      <c r="B79" s="33" t="s">
        <v>79</v>
      </c>
      <c r="C79" s="33" t="s">
        <v>165</v>
      </c>
      <c r="D79" s="49">
        <v>42338</v>
      </c>
      <c r="E79" s="34">
        <v>739.2</v>
      </c>
      <c r="F79" s="34">
        <f>2556.739+7.428</f>
        <v>2564.1669999999999</v>
      </c>
      <c r="G79" s="34"/>
      <c r="H79" s="34"/>
      <c r="I79" s="34"/>
      <c r="J79" s="46">
        <f t="shared" si="51"/>
        <v>2564.1669999999999</v>
      </c>
      <c r="K79" s="34">
        <v>187.5</v>
      </c>
      <c r="L79" s="60">
        <v>1</v>
      </c>
      <c r="M79" s="34"/>
      <c r="N79" s="34"/>
      <c r="O79" s="61"/>
      <c r="P79" s="61"/>
      <c r="Q79" s="34"/>
      <c r="R79" s="32"/>
      <c r="S79" s="32"/>
      <c r="T79" s="33"/>
      <c r="U79" s="33"/>
      <c r="V79" s="46">
        <f t="shared" si="52"/>
        <v>2375.6669999999999</v>
      </c>
      <c r="W79" s="32">
        <f t="shared" si="53"/>
        <v>256.41669999999999</v>
      </c>
      <c r="X79" s="46">
        <f t="shared" si="54"/>
        <v>2119.2502999999997</v>
      </c>
      <c r="Y79" s="32">
        <f t="shared" si="55"/>
        <v>0</v>
      </c>
      <c r="Z79" s="32">
        <v>10.23</v>
      </c>
      <c r="AA79" s="32">
        <f t="shared" si="56"/>
        <v>0</v>
      </c>
      <c r="AB79" s="46">
        <f t="shared" si="57"/>
        <v>2574.3969999999999</v>
      </c>
      <c r="AC79" s="50"/>
      <c r="AD79" s="51"/>
      <c r="AE79" s="47">
        <f>+AC79+AD79-X79</f>
        <v>-2119.2502999999997</v>
      </c>
      <c r="AF79" s="35">
        <v>56708881872</v>
      </c>
      <c r="AG79" s="35" t="s">
        <v>203</v>
      </c>
    </row>
    <row r="80" spans="1:175" s="18" customFormat="1">
      <c r="A80" s="33" t="s">
        <v>40</v>
      </c>
      <c r="B80" s="33" t="s">
        <v>125</v>
      </c>
      <c r="C80" s="33" t="s">
        <v>98</v>
      </c>
      <c r="D80" s="49">
        <v>42807</v>
      </c>
      <c r="E80" s="34">
        <v>618.45000000000005</v>
      </c>
      <c r="F80" s="34">
        <v>851.4</v>
      </c>
      <c r="G80" s="34"/>
      <c r="H80" s="34"/>
      <c r="I80" s="34"/>
      <c r="J80" s="46">
        <f t="shared" si="51"/>
        <v>851.4</v>
      </c>
      <c r="K80" s="34"/>
      <c r="L80" s="60"/>
      <c r="M80" s="34"/>
      <c r="N80" s="34"/>
      <c r="O80" s="61" t="s">
        <v>133</v>
      </c>
      <c r="P80" s="61" t="s">
        <v>133</v>
      </c>
      <c r="Q80" s="34"/>
      <c r="R80" s="32"/>
      <c r="S80" s="32"/>
      <c r="T80" s="33"/>
      <c r="U80" s="33"/>
      <c r="V80" s="46">
        <f t="shared" si="52"/>
        <v>851.4</v>
      </c>
      <c r="W80" s="32"/>
      <c r="X80" s="46"/>
      <c r="Y80" s="32"/>
      <c r="Z80" s="32"/>
      <c r="AA80" s="32"/>
      <c r="AB80" s="46"/>
      <c r="AC80" s="50"/>
      <c r="AD80" s="51"/>
      <c r="AE80" s="47"/>
      <c r="AF80" s="35">
        <v>60589642468</v>
      </c>
      <c r="AG80" s="35"/>
    </row>
    <row r="81" spans="1:33" s="18" customFormat="1">
      <c r="A81" s="33" t="s">
        <v>38</v>
      </c>
      <c r="B81" s="33" t="s">
        <v>112</v>
      </c>
      <c r="C81" s="33" t="s">
        <v>41</v>
      </c>
      <c r="D81" s="49">
        <v>42681</v>
      </c>
      <c r="E81" s="34">
        <v>738.99</v>
      </c>
      <c r="F81" s="34">
        <f>3114.018+5.571</f>
        <v>3119.5889999999999</v>
      </c>
      <c r="G81" s="34"/>
      <c r="H81" s="34"/>
      <c r="I81" s="34"/>
      <c r="J81" s="46">
        <f t="shared" si="51"/>
        <v>3119.5889999999999</v>
      </c>
      <c r="K81" s="34"/>
      <c r="L81" s="60"/>
      <c r="M81" s="34"/>
      <c r="N81" s="34">
        <v>150</v>
      </c>
      <c r="O81" s="61"/>
      <c r="P81" s="61"/>
      <c r="Q81" s="34"/>
      <c r="R81" s="32"/>
      <c r="S81" s="32"/>
      <c r="T81" s="33"/>
      <c r="U81" s="33"/>
      <c r="V81" s="46">
        <f t="shared" si="52"/>
        <v>2969.5889999999999</v>
      </c>
      <c r="W81" s="32">
        <f t="shared" ref="W81" si="59">IF(J81&gt;2250,J81*0.1,0)</f>
        <v>311.95890000000003</v>
      </c>
      <c r="X81" s="46">
        <f t="shared" ref="X81" si="60">+V81-W81</f>
        <v>2657.6300999999999</v>
      </c>
      <c r="Y81" s="32"/>
      <c r="Z81" s="32"/>
      <c r="AA81" s="32"/>
      <c r="AB81" s="46"/>
      <c r="AC81" s="50"/>
      <c r="AD81" s="51"/>
      <c r="AE81" s="47"/>
      <c r="AF81" s="35">
        <v>56710773131</v>
      </c>
      <c r="AG81" s="35"/>
    </row>
    <row r="82" spans="1:33" s="18" customFormat="1">
      <c r="A82" s="33" t="s">
        <v>40</v>
      </c>
      <c r="B82" s="33" t="s">
        <v>87</v>
      </c>
      <c r="C82" s="33" t="s">
        <v>102</v>
      </c>
      <c r="D82" s="49">
        <v>41227</v>
      </c>
      <c r="E82" s="34">
        <v>627.13</v>
      </c>
      <c r="F82" s="34">
        <f>2687.685+3.736</f>
        <v>2691.4209999999998</v>
      </c>
      <c r="G82" s="34"/>
      <c r="H82" s="34"/>
      <c r="I82" s="34"/>
      <c r="J82" s="46">
        <f t="shared" si="51"/>
        <v>2691.4209999999998</v>
      </c>
      <c r="K82" s="34"/>
      <c r="L82" s="60">
        <v>1</v>
      </c>
      <c r="M82" s="34"/>
      <c r="N82" s="32">
        <v>500</v>
      </c>
      <c r="O82" s="61" t="s">
        <v>133</v>
      </c>
      <c r="P82" s="61" t="s">
        <v>133</v>
      </c>
      <c r="Q82" s="34"/>
      <c r="R82" s="32"/>
      <c r="S82" s="32"/>
      <c r="T82" s="33"/>
      <c r="U82" s="33"/>
      <c r="V82" s="46">
        <f t="shared" si="52"/>
        <v>2190.4209999999998</v>
      </c>
      <c r="W82" s="32">
        <f t="shared" si="53"/>
        <v>269.14209999999997</v>
      </c>
      <c r="X82" s="46">
        <f t="shared" si="54"/>
        <v>1921.2788999999998</v>
      </c>
      <c r="Y82" s="32">
        <f t="shared" si="55"/>
        <v>0</v>
      </c>
      <c r="Z82" s="32">
        <v>10.23</v>
      </c>
      <c r="AA82" s="32" t="str">
        <f t="shared" si="56"/>
        <v>XX</v>
      </c>
      <c r="AB82" s="46" t="e">
        <f t="shared" si="57"/>
        <v>#VALUE!</v>
      </c>
      <c r="AC82" s="50"/>
      <c r="AD82" s="51"/>
      <c r="AE82" s="47">
        <f>+AC82+AD82-X82</f>
        <v>-1921.2788999999998</v>
      </c>
      <c r="AF82" s="35">
        <v>56708845820</v>
      </c>
      <c r="AG82" s="35"/>
    </row>
    <row r="83" spans="1:33" s="18" customFormat="1">
      <c r="A83" s="33" t="s">
        <v>40</v>
      </c>
      <c r="B83" s="33" t="s">
        <v>62</v>
      </c>
      <c r="C83" s="33" t="s">
        <v>102</v>
      </c>
      <c r="D83" s="49">
        <v>41227</v>
      </c>
      <c r="E83" s="34">
        <v>627.13</v>
      </c>
      <c r="F83" s="34">
        <f>5193.791+2.972</f>
        <v>5196.7629999999999</v>
      </c>
      <c r="G83" s="34"/>
      <c r="H83" s="34"/>
      <c r="I83" s="34"/>
      <c r="J83" s="46">
        <f t="shared" si="51"/>
        <v>5196.7629999999999</v>
      </c>
      <c r="K83" s="34"/>
      <c r="L83" s="60"/>
      <c r="M83" s="34"/>
      <c r="N83" s="34">
        <v>1000</v>
      </c>
      <c r="O83" s="61" t="s">
        <v>133</v>
      </c>
      <c r="P83" s="61" t="s">
        <v>133</v>
      </c>
      <c r="Q83" s="34"/>
      <c r="R83" s="32"/>
      <c r="S83" s="32"/>
      <c r="T83" s="33"/>
      <c r="U83" s="33"/>
      <c r="V83" s="46">
        <f t="shared" si="52"/>
        <v>4196.7629999999999</v>
      </c>
      <c r="W83" s="32">
        <f t="shared" si="53"/>
        <v>519.67629999999997</v>
      </c>
      <c r="X83" s="46">
        <f t="shared" si="54"/>
        <v>3677.0866999999998</v>
      </c>
      <c r="Y83" s="32">
        <f t="shared" si="55"/>
        <v>0</v>
      </c>
      <c r="Z83" s="32">
        <v>10.23</v>
      </c>
      <c r="AA83" s="32" t="str">
        <f t="shared" si="56"/>
        <v>XX</v>
      </c>
      <c r="AB83" s="46" t="e">
        <f t="shared" si="57"/>
        <v>#VALUE!</v>
      </c>
      <c r="AC83" s="50"/>
      <c r="AD83" s="51"/>
      <c r="AE83" s="47">
        <f>+AC83+AD83-X83</f>
        <v>-3677.0866999999998</v>
      </c>
      <c r="AF83" s="35">
        <v>56708845834</v>
      </c>
      <c r="AG83" s="35"/>
    </row>
    <row r="84" spans="1:33" s="18" customFormat="1">
      <c r="A84" s="33" t="s">
        <v>40</v>
      </c>
      <c r="B84" s="33" t="s">
        <v>130</v>
      </c>
      <c r="C84" s="33" t="s">
        <v>117</v>
      </c>
      <c r="D84" s="49">
        <v>42842</v>
      </c>
      <c r="E84" s="34">
        <v>618.45000000000005</v>
      </c>
      <c r="F84" s="34">
        <f>3798.335+5.571</f>
        <v>3803.9059999999999</v>
      </c>
      <c r="G84" s="34"/>
      <c r="H84" s="34"/>
      <c r="I84" s="34"/>
      <c r="J84" s="46">
        <f t="shared" si="51"/>
        <v>3803.9059999999999</v>
      </c>
      <c r="K84" s="34"/>
      <c r="L84" s="60"/>
      <c r="M84" s="34"/>
      <c r="N84" s="34"/>
      <c r="O84" s="61" t="s">
        <v>133</v>
      </c>
      <c r="P84" s="61" t="s">
        <v>133</v>
      </c>
      <c r="Q84" s="34"/>
      <c r="R84" s="32"/>
      <c r="S84" s="32"/>
      <c r="T84" s="33"/>
      <c r="U84" s="33"/>
      <c r="V84" s="46">
        <f t="shared" si="52"/>
        <v>3803.9059999999999</v>
      </c>
      <c r="W84" s="32"/>
      <c r="X84" s="46"/>
      <c r="Y84" s="32"/>
      <c r="Z84" s="32"/>
      <c r="AA84" s="32"/>
      <c r="AB84" s="46"/>
      <c r="AC84" s="50"/>
      <c r="AD84" s="51"/>
      <c r="AE84" s="47"/>
      <c r="AF84" s="35">
        <v>60590100738</v>
      </c>
      <c r="AG84" s="35"/>
    </row>
    <row r="85" spans="1:33" s="18" customFormat="1">
      <c r="A85" s="33" t="s">
        <v>38</v>
      </c>
      <c r="B85" s="33" t="s">
        <v>63</v>
      </c>
      <c r="C85" s="33" t="s">
        <v>41</v>
      </c>
      <c r="D85" s="49">
        <v>42319</v>
      </c>
      <c r="E85" s="34">
        <v>739.2</v>
      </c>
      <c r="F85" s="34">
        <f>3488.844+5.571</f>
        <v>3494.415</v>
      </c>
      <c r="G85" s="34"/>
      <c r="H85" s="34"/>
      <c r="I85" s="34"/>
      <c r="J85" s="46">
        <f t="shared" si="51"/>
        <v>3494.415</v>
      </c>
      <c r="K85" s="34"/>
      <c r="L85" s="60"/>
      <c r="M85" s="34"/>
      <c r="N85" s="34"/>
      <c r="O85" s="61"/>
      <c r="P85" s="61"/>
      <c r="Q85" s="34"/>
      <c r="R85" s="32"/>
      <c r="S85" s="32"/>
      <c r="T85" s="33"/>
      <c r="U85" s="33"/>
      <c r="V85" s="46">
        <f t="shared" si="52"/>
        <v>3494.415</v>
      </c>
      <c r="W85" s="32">
        <f t="shared" ref="W85:W116" si="61">IF(J85&gt;2250,J85*0.1,0)</f>
        <v>349.44150000000002</v>
      </c>
      <c r="X85" s="46">
        <f t="shared" ref="X85:X116" si="62">+V85-W85</f>
        <v>3144.9735000000001</v>
      </c>
      <c r="Y85" s="32">
        <f t="shared" ref="Y85:Y116" si="63">IF(J85&lt;2250,J85*0.1,0)</f>
        <v>0</v>
      </c>
      <c r="Z85" s="32">
        <v>19.23</v>
      </c>
      <c r="AA85" s="32">
        <f t="shared" ref="AA85:AA116" si="64">+O85</f>
        <v>0</v>
      </c>
      <c r="AB85" s="46">
        <f t="shared" ref="AB85:AB116" si="65">+J85+Y85+Z85+AA85</f>
        <v>3513.645</v>
      </c>
      <c r="AC85" s="50"/>
      <c r="AD85" s="51"/>
      <c r="AE85" s="47">
        <f>+AC85+AD85-X85</f>
        <v>-3144.9735000000001</v>
      </c>
      <c r="AF85" s="35">
        <v>56708881901</v>
      </c>
      <c r="AG85" s="35"/>
    </row>
    <row r="86" spans="1:33" s="18" customFormat="1">
      <c r="A86" s="33" t="s">
        <v>38</v>
      </c>
      <c r="B86" s="33" t="s">
        <v>134</v>
      </c>
      <c r="C86" s="33" t="s">
        <v>41</v>
      </c>
      <c r="D86" s="49">
        <v>42884</v>
      </c>
      <c r="E86" s="34">
        <v>739.27</v>
      </c>
      <c r="F86" s="34">
        <f>5147.847+5.571</f>
        <v>5153.4179999999997</v>
      </c>
      <c r="G86" s="34"/>
      <c r="H86" s="34"/>
      <c r="I86" s="34"/>
      <c r="J86" s="46">
        <f t="shared" si="51"/>
        <v>5153.4179999999997</v>
      </c>
      <c r="K86" s="34"/>
      <c r="L86" s="60"/>
      <c r="M86" s="34"/>
      <c r="N86" s="34"/>
      <c r="O86" s="61"/>
      <c r="P86" s="61"/>
      <c r="Q86" s="34"/>
      <c r="R86" s="32"/>
      <c r="S86" s="32"/>
      <c r="T86" s="33"/>
      <c r="U86" s="33"/>
      <c r="V86" s="46">
        <f t="shared" si="52"/>
        <v>5153.4179999999997</v>
      </c>
      <c r="W86" s="32"/>
      <c r="X86" s="46"/>
      <c r="Y86" s="32"/>
      <c r="Z86" s="32"/>
      <c r="AA86" s="32"/>
      <c r="AB86" s="46"/>
      <c r="AC86" s="50"/>
      <c r="AD86" s="51"/>
      <c r="AE86" s="47"/>
      <c r="AF86" s="35">
        <v>60592118015</v>
      </c>
      <c r="AG86" s="35"/>
    </row>
    <row r="87" spans="1:33" s="18" customFormat="1">
      <c r="A87" s="33" t="s">
        <v>40</v>
      </c>
      <c r="B87" s="33" t="s">
        <v>124</v>
      </c>
      <c r="C87" s="33" t="s">
        <v>98</v>
      </c>
      <c r="D87" s="49">
        <v>42807</v>
      </c>
      <c r="E87" s="34">
        <v>618.45000000000005</v>
      </c>
      <c r="F87" s="34">
        <v>890</v>
      </c>
      <c r="G87" s="34"/>
      <c r="H87" s="34"/>
      <c r="I87" s="34"/>
      <c r="J87" s="46">
        <f t="shared" si="51"/>
        <v>890</v>
      </c>
      <c r="K87" s="34"/>
      <c r="L87" s="60"/>
      <c r="M87" s="34"/>
      <c r="N87" s="34"/>
      <c r="O87" s="61" t="s">
        <v>133</v>
      </c>
      <c r="P87" s="61" t="s">
        <v>133</v>
      </c>
      <c r="Q87" s="34"/>
      <c r="R87" s="32"/>
      <c r="S87" s="32"/>
      <c r="T87" s="33"/>
      <c r="U87" s="33"/>
      <c r="V87" s="46">
        <f t="shared" si="52"/>
        <v>890</v>
      </c>
      <c r="W87" s="32"/>
      <c r="X87" s="46"/>
      <c r="Y87" s="32"/>
      <c r="Z87" s="32"/>
      <c r="AA87" s="32"/>
      <c r="AB87" s="46"/>
      <c r="AC87" s="50"/>
      <c r="AD87" s="51"/>
      <c r="AE87" s="47"/>
      <c r="AF87" s="35" t="s">
        <v>148</v>
      </c>
      <c r="AG87" s="35"/>
    </row>
    <row r="88" spans="1:33" s="18" customFormat="1">
      <c r="A88" s="33" t="s">
        <v>38</v>
      </c>
      <c r="B88" s="33" t="s">
        <v>195</v>
      </c>
      <c r="C88" s="33" t="s">
        <v>196</v>
      </c>
      <c r="D88" s="49">
        <v>43070</v>
      </c>
      <c r="E88" s="34">
        <v>1199.94</v>
      </c>
      <c r="F88" s="34">
        <v>0</v>
      </c>
      <c r="G88" s="34"/>
      <c r="H88" s="34"/>
      <c r="I88" s="34"/>
      <c r="J88" s="46">
        <f t="shared" si="51"/>
        <v>0</v>
      </c>
      <c r="K88" s="34"/>
      <c r="L88" s="60"/>
      <c r="M88" s="34"/>
      <c r="N88" s="34"/>
      <c r="O88" s="61"/>
      <c r="P88" s="61"/>
      <c r="Q88" s="34"/>
      <c r="R88" s="32"/>
      <c r="S88" s="32"/>
      <c r="T88" s="33"/>
      <c r="U88" s="33">
        <v>597.25</v>
      </c>
      <c r="V88" s="46">
        <f t="shared" si="52"/>
        <v>-597.25</v>
      </c>
      <c r="W88" s="32"/>
      <c r="X88" s="46"/>
      <c r="Y88" s="32"/>
      <c r="Z88" s="32"/>
      <c r="AA88" s="32"/>
      <c r="AB88" s="46"/>
      <c r="AC88" s="50"/>
      <c r="AD88" s="51"/>
      <c r="AE88" s="47"/>
      <c r="AF88" s="35">
        <v>60597618992</v>
      </c>
      <c r="AG88" s="35"/>
    </row>
    <row r="89" spans="1:33" s="18" customFormat="1">
      <c r="A89" s="87" t="s">
        <v>38</v>
      </c>
      <c r="B89" s="87" t="s">
        <v>208</v>
      </c>
      <c r="C89" s="87" t="s">
        <v>209</v>
      </c>
      <c r="D89" s="88">
        <v>43077</v>
      </c>
      <c r="E89" s="89">
        <v>738.99</v>
      </c>
      <c r="F89" s="89">
        <f>63.098+2.599</f>
        <v>65.697000000000003</v>
      </c>
      <c r="G89" s="89"/>
      <c r="H89" s="89"/>
      <c r="I89" s="89"/>
      <c r="J89" s="46">
        <f t="shared" si="51"/>
        <v>65.697000000000003</v>
      </c>
      <c r="K89" s="34"/>
      <c r="L89" s="60"/>
      <c r="M89" s="34"/>
      <c r="N89" s="34"/>
      <c r="O89" s="61"/>
      <c r="P89" s="61"/>
      <c r="Q89" s="34"/>
      <c r="R89" s="32"/>
      <c r="S89" s="32"/>
      <c r="T89" s="33"/>
      <c r="U89" s="33"/>
      <c r="V89" s="46">
        <f t="shared" si="52"/>
        <v>65.697000000000003</v>
      </c>
      <c r="W89" s="32"/>
      <c r="X89" s="46"/>
      <c r="Y89" s="32"/>
      <c r="Z89" s="32"/>
      <c r="AA89" s="32"/>
      <c r="AB89" s="46"/>
      <c r="AC89" s="50"/>
      <c r="AD89" s="51"/>
      <c r="AE89" s="47"/>
      <c r="AF89" s="90">
        <v>60597780851</v>
      </c>
      <c r="AG89" s="90"/>
    </row>
    <row r="90" spans="1:33" s="18" customFormat="1">
      <c r="A90" s="33" t="s">
        <v>40</v>
      </c>
      <c r="B90" s="33" t="s">
        <v>49</v>
      </c>
      <c r="C90" s="33" t="s">
        <v>117</v>
      </c>
      <c r="D90" s="49">
        <v>41981</v>
      </c>
      <c r="E90" s="34">
        <v>618.45000000000005</v>
      </c>
      <c r="F90" s="34">
        <f>815.047+2.599</f>
        <v>817.64600000000007</v>
      </c>
      <c r="G90" s="34"/>
      <c r="H90" s="34"/>
      <c r="I90" s="34"/>
      <c r="J90" s="46">
        <f t="shared" si="51"/>
        <v>817.64600000000007</v>
      </c>
      <c r="K90" s="34">
        <v>200</v>
      </c>
      <c r="L90" s="60"/>
      <c r="M90" s="34"/>
      <c r="N90" s="34">
        <v>300</v>
      </c>
      <c r="O90" s="61" t="s">
        <v>133</v>
      </c>
      <c r="P90" s="61" t="s">
        <v>133</v>
      </c>
      <c r="Q90" s="34"/>
      <c r="R90" s="32"/>
      <c r="S90" s="32"/>
      <c r="T90" s="33"/>
      <c r="U90" s="33"/>
      <c r="V90" s="46">
        <f t="shared" si="52"/>
        <v>317.64600000000007</v>
      </c>
      <c r="W90" s="32">
        <f t="shared" si="61"/>
        <v>0</v>
      </c>
      <c r="X90" s="46">
        <f t="shared" si="62"/>
        <v>317.64600000000007</v>
      </c>
      <c r="Y90" s="32">
        <f t="shared" si="63"/>
        <v>81.764600000000016</v>
      </c>
      <c r="Z90" s="32">
        <v>10.23</v>
      </c>
      <c r="AA90" s="32" t="str">
        <f t="shared" si="64"/>
        <v>XX</v>
      </c>
      <c r="AB90" s="46" t="e">
        <f t="shared" si="65"/>
        <v>#VALUE!</v>
      </c>
      <c r="AC90" s="50"/>
      <c r="AD90" s="51"/>
      <c r="AE90" s="47">
        <f t="shared" ref="AE90:AE116" si="66">+AC90+AD90-X90</f>
        <v>-317.64600000000007</v>
      </c>
      <c r="AF90" s="35">
        <v>56708845851</v>
      </c>
      <c r="AG90" s="35" t="s">
        <v>160</v>
      </c>
    </row>
    <row r="91" spans="1:33" s="18" customFormat="1">
      <c r="A91" s="87" t="s">
        <v>38</v>
      </c>
      <c r="B91" s="87" t="s">
        <v>207</v>
      </c>
      <c r="C91" s="87" t="s">
        <v>184</v>
      </c>
      <c r="D91" s="88">
        <v>43075</v>
      </c>
      <c r="E91" s="89">
        <v>627.05999999999995</v>
      </c>
      <c r="F91" s="89">
        <f>855.754+2.599</f>
        <v>858.35300000000007</v>
      </c>
      <c r="G91" s="89"/>
      <c r="H91" s="89"/>
      <c r="I91" s="89"/>
      <c r="J91" s="46">
        <f t="shared" si="51"/>
        <v>858.35300000000007</v>
      </c>
      <c r="K91" s="34"/>
      <c r="L91" s="60"/>
      <c r="M91" s="34"/>
      <c r="N91" s="34"/>
      <c r="O91" s="61"/>
      <c r="P91" s="61"/>
      <c r="Q91" s="34"/>
      <c r="R91" s="32"/>
      <c r="S91" s="32"/>
      <c r="T91" s="33"/>
      <c r="U91" s="33"/>
      <c r="V91" s="46">
        <f t="shared" si="52"/>
        <v>858.35300000000007</v>
      </c>
      <c r="W91" s="32"/>
      <c r="X91" s="46"/>
      <c r="Y91" s="32"/>
      <c r="Z91" s="32"/>
      <c r="AA91" s="32"/>
      <c r="AB91" s="46"/>
      <c r="AC91" s="50"/>
      <c r="AD91" s="51"/>
      <c r="AE91" s="47"/>
      <c r="AF91" s="90">
        <v>60597668810</v>
      </c>
      <c r="AG91" s="90"/>
    </row>
    <row r="92" spans="1:33" s="18" customFormat="1">
      <c r="A92" s="33" t="s">
        <v>40</v>
      </c>
      <c r="B92" s="33" t="s">
        <v>71</v>
      </c>
      <c r="C92" s="33" t="s">
        <v>102</v>
      </c>
      <c r="D92" s="49">
        <v>41284</v>
      </c>
      <c r="E92" s="34">
        <v>627.13</v>
      </c>
      <c r="F92" s="34">
        <f>2165.664+2.599</f>
        <v>2168.2630000000004</v>
      </c>
      <c r="G92" s="34"/>
      <c r="H92" s="34"/>
      <c r="I92" s="34"/>
      <c r="J92" s="46">
        <f t="shared" si="51"/>
        <v>2168.2630000000004</v>
      </c>
      <c r="K92" s="34"/>
      <c r="L92" s="60"/>
      <c r="M92" s="34"/>
      <c r="N92" s="34"/>
      <c r="O92" s="61" t="s">
        <v>133</v>
      </c>
      <c r="P92" s="61" t="s">
        <v>133</v>
      </c>
      <c r="Q92" s="34"/>
      <c r="R92" s="32"/>
      <c r="S92" s="32"/>
      <c r="T92" s="33"/>
      <c r="U92" s="33"/>
      <c r="V92" s="46">
        <f t="shared" si="52"/>
        <v>2168.2630000000004</v>
      </c>
      <c r="W92" s="32">
        <f t="shared" si="61"/>
        <v>0</v>
      </c>
      <c r="X92" s="46">
        <f t="shared" si="62"/>
        <v>2168.2630000000004</v>
      </c>
      <c r="Y92" s="32">
        <f t="shared" si="63"/>
        <v>216.82630000000006</v>
      </c>
      <c r="Z92" s="32">
        <v>10.23</v>
      </c>
      <c r="AA92" s="32" t="str">
        <f t="shared" si="64"/>
        <v>XX</v>
      </c>
      <c r="AB92" s="46" t="e">
        <f t="shared" si="65"/>
        <v>#VALUE!</v>
      </c>
      <c r="AC92" s="50"/>
      <c r="AD92" s="51"/>
      <c r="AE92" s="47">
        <f t="shared" si="66"/>
        <v>-2168.2630000000004</v>
      </c>
      <c r="AF92" s="35">
        <v>56708881915</v>
      </c>
      <c r="AG92" s="35"/>
    </row>
    <row r="93" spans="1:33" s="18" customFormat="1">
      <c r="A93" s="33" t="s">
        <v>38</v>
      </c>
      <c r="B93" s="33" t="s">
        <v>153</v>
      </c>
      <c r="C93" s="33" t="s">
        <v>41</v>
      </c>
      <c r="D93" s="49">
        <v>42823</v>
      </c>
      <c r="E93" s="34">
        <v>618.45000000000005</v>
      </c>
      <c r="F93" s="34">
        <f>5287.677+5.571</f>
        <v>5293.2479999999996</v>
      </c>
      <c r="G93" s="34"/>
      <c r="H93" s="34"/>
      <c r="I93" s="34"/>
      <c r="J93" s="46">
        <f t="shared" si="51"/>
        <v>5293.2479999999996</v>
      </c>
      <c r="K93" s="34"/>
      <c r="L93" s="60">
        <v>1</v>
      </c>
      <c r="M93" s="34"/>
      <c r="N93" s="34"/>
      <c r="O93" s="61"/>
      <c r="P93" s="61"/>
      <c r="Q93" s="34"/>
      <c r="R93" s="32"/>
      <c r="S93" s="32"/>
      <c r="T93" s="33"/>
      <c r="U93" s="33"/>
      <c r="V93" s="46">
        <f t="shared" si="52"/>
        <v>5292.2479999999996</v>
      </c>
      <c r="W93" s="32"/>
      <c r="X93" s="46"/>
      <c r="Y93" s="32"/>
      <c r="Z93" s="32"/>
      <c r="AA93" s="32"/>
      <c r="AB93" s="46"/>
      <c r="AC93" s="50"/>
      <c r="AD93" s="51"/>
      <c r="AE93" s="47"/>
      <c r="AF93" s="35">
        <v>60589704184</v>
      </c>
      <c r="AG93" s="35"/>
    </row>
    <row r="94" spans="1:33" s="18" customFormat="1">
      <c r="A94" s="33" t="s">
        <v>40</v>
      </c>
      <c r="B94" s="33" t="s">
        <v>51</v>
      </c>
      <c r="C94" s="33" t="s">
        <v>102</v>
      </c>
      <c r="D94" s="49">
        <v>41227</v>
      </c>
      <c r="E94" s="34">
        <v>627.13</v>
      </c>
      <c r="F94" s="34">
        <f>2298.87+5.571</f>
        <v>2304.4409999999998</v>
      </c>
      <c r="G94" s="34"/>
      <c r="H94" s="34"/>
      <c r="I94" s="34"/>
      <c r="J94" s="46">
        <f t="shared" si="51"/>
        <v>2304.4409999999998</v>
      </c>
      <c r="K94" s="34"/>
      <c r="L94" s="60"/>
      <c r="M94" s="34"/>
      <c r="N94" s="34"/>
      <c r="O94" s="61" t="s">
        <v>133</v>
      </c>
      <c r="P94" s="61" t="s">
        <v>133</v>
      </c>
      <c r="Q94" s="34"/>
      <c r="R94" s="32"/>
      <c r="S94" s="32"/>
      <c r="T94" s="33"/>
      <c r="U94" s="33"/>
      <c r="V94" s="46">
        <f t="shared" si="52"/>
        <v>2304.4409999999998</v>
      </c>
      <c r="W94" s="32">
        <f t="shared" si="61"/>
        <v>230.44409999999999</v>
      </c>
      <c r="X94" s="46">
        <f t="shared" si="62"/>
        <v>2073.9968999999996</v>
      </c>
      <c r="Y94" s="32">
        <f t="shared" si="63"/>
        <v>0</v>
      </c>
      <c r="Z94" s="32">
        <v>10.23</v>
      </c>
      <c r="AA94" s="32" t="str">
        <f t="shared" si="64"/>
        <v>XX</v>
      </c>
      <c r="AB94" s="46" t="e">
        <f t="shared" si="65"/>
        <v>#VALUE!</v>
      </c>
      <c r="AC94" s="50"/>
      <c r="AD94" s="51"/>
      <c r="AE94" s="47">
        <f t="shared" si="66"/>
        <v>-2073.9968999999996</v>
      </c>
      <c r="AF94" s="35">
        <v>56708845865</v>
      </c>
      <c r="AG94" s="35"/>
    </row>
    <row r="95" spans="1:33" s="18" customFormat="1">
      <c r="A95" s="33" t="s">
        <v>38</v>
      </c>
      <c r="B95" s="33" t="s">
        <v>64</v>
      </c>
      <c r="C95" s="33" t="s">
        <v>41</v>
      </c>
      <c r="D95" s="49">
        <v>41493</v>
      </c>
      <c r="E95" s="34">
        <v>739.2</v>
      </c>
      <c r="F95" s="34">
        <f>4953.366+13.099</f>
        <v>4966.4650000000001</v>
      </c>
      <c r="G95" s="34"/>
      <c r="H95" s="34"/>
      <c r="I95" s="34"/>
      <c r="J95" s="46">
        <f t="shared" si="51"/>
        <v>4966.4650000000001</v>
      </c>
      <c r="K95" s="34"/>
      <c r="L95" s="60">
        <v>1</v>
      </c>
      <c r="M95" s="34"/>
      <c r="N95" s="34"/>
      <c r="O95" s="61"/>
      <c r="P95" s="61"/>
      <c r="Q95" s="34"/>
      <c r="R95" s="32"/>
      <c r="S95" s="32"/>
      <c r="T95" s="33"/>
      <c r="U95" s="33"/>
      <c r="V95" s="46">
        <f t="shared" si="52"/>
        <v>4965.4650000000001</v>
      </c>
      <c r="W95" s="32">
        <f t="shared" si="61"/>
        <v>496.64650000000006</v>
      </c>
      <c r="X95" s="46">
        <f t="shared" si="62"/>
        <v>4468.8185000000003</v>
      </c>
      <c r="Y95" s="32">
        <f t="shared" si="63"/>
        <v>0</v>
      </c>
      <c r="Z95" s="32">
        <v>10.23</v>
      </c>
      <c r="AA95" s="32">
        <f t="shared" si="64"/>
        <v>0</v>
      </c>
      <c r="AB95" s="46">
        <f t="shared" si="65"/>
        <v>4976.6949999999997</v>
      </c>
      <c r="AC95" s="50"/>
      <c r="AD95" s="51"/>
      <c r="AE95" s="47">
        <f t="shared" si="66"/>
        <v>-4468.8185000000003</v>
      </c>
      <c r="AF95" s="35">
        <v>56708845879</v>
      </c>
      <c r="AG95" s="35"/>
    </row>
    <row r="96" spans="1:33" s="18" customFormat="1">
      <c r="A96" s="33" t="s">
        <v>40</v>
      </c>
      <c r="B96" s="33" t="s">
        <v>94</v>
      </c>
      <c r="C96" s="33" t="s">
        <v>117</v>
      </c>
      <c r="D96" s="49">
        <v>42493</v>
      </c>
      <c r="E96" s="34">
        <v>618.45000000000005</v>
      </c>
      <c r="F96" s="34">
        <f>458.24+2.599</f>
        <v>460.839</v>
      </c>
      <c r="G96" s="34"/>
      <c r="H96" s="34"/>
      <c r="I96" s="34"/>
      <c r="J96" s="46">
        <f t="shared" si="51"/>
        <v>460.839</v>
      </c>
      <c r="K96" s="34"/>
      <c r="L96" s="60"/>
      <c r="M96" s="34"/>
      <c r="N96" s="34"/>
      <c r="O96" s="61" t="s">
        <v>133</v>
      </c>
      <c r="P96" s="61" t="s">
        <v>133</v>
      </c>
      <c r="Q96" s="34"/>
      <c r="R96" s="32"/>
      <c r="S96" s="32"/>
      <c r="T96" s="33"/>
      <c r="U96" s="33"/>
      <c r="V96" s="46">
        <f t="shared" si="52"/>
        <v>460.839</v>
      </c>
      <c r="W96" s="32">
        <f t="shared" si="61"/>
        <v>0</v>
      </c>
      <c r="X96" s="46">
        <f t="shared" si="62"/>
        <v>460.839</v>
      </c>
      <c r="Y96" s="32">
        <f t="shared" si="63"/>
        <v>46.0839</v>
      </c>
      <c r="Z96" s="32">
        <v>10.23</v>
      </c>
      <c r="AA96" s="32" t="str">
        <f t="shared" si="64"/>
        <v>XX</v>
      </c>
      <c r="AB96" s="46" t="e">
        <f t="shared" si="65"/>
        <v>#VALUE!</v>
      </c>
      <c r="AC96" s="50"/>
      <c r="AD96" s="51"/>
      <c r="AE96" s="47">
        <f t="shared" si="66"/>
        <v>-460.839</v>
      </c>
      <c r="AF96" s="35">
        <v>56708845882</v>
      </c>
      <c r="AG96" s="35"/>
    </row>
    <row r="97" spans="1:33" s="18" customFormat="1">
      <c r="A97" s="33" t="s">
        <v>38</v>
      </c>
      <c r="B97" s="33" t="s">
        <v>149</v>
      </c>
      <c r="C97" s="33" t="s">
        <v>41</v>
      </c>
      <c r="D97" s="49">
        <v>42716</v>
      </c>
      <c r="E97" s="34">
        <v>1200.01</v>
      </c>
      <c r="F97" s="34">
        <f>5189.879+5.571-461.01</f>
        <v>4734.4399999999996</v>
      </c>
      <c r="G97" s="34"/>
      <c r="H97" s="34"/>
      <c r="I97" s="34"/>
      <c r="J97" s="46">
        <f t="shared" si="51"/>
        <v>4734.4399999999996</v>
      </c>
      <c r="K97" s="34"/>
      <c r="L97" s="60"/>
      <c r="M97" s="34"/>
      <c r="N97" s="34"/>
      <c r="O97" s="61"/>
      <c r="P97" s="61"/>
      <c r="Q97" s="34"/>
      <c r="R97" s="32"/>
      <c r="S97" s="32"/>
      <c r="T97" s="33"/>
      <c r="U97" s="33">
        <v>301.08999999999997</v>
      </c>
      <c r="V97" s="46">
        <f t="shared" si="52"/>
        <v>4433.3499999999995</v>
      </c>
      <c r="W97" s="32">
        <f t="shared" ref="W97" si="67">IF(J97&gt;2250,J97*0.1,0)</f>
        <v>473.44399999999996</v>
      </c>
      <c r="X97" s="46">
        <f t="shared" ref="X97" si="68">+V97-W97</f>
        <v>3959.9059999999995</v>
      </c>
      <c r="Y97" s="32"/>
      <c r="Z97" s="32"/>
      <c r="AA97" s="32">
        <f t="shared" si="64"/>
        <v>0</v>
      </c>
      <c r="AB97" s="46"/>
      <c r="AC97" s="50"/>
      <c r="AD97" s="51"/>
      <c r="AE97" s="47"/>
      <c r="AF97" s="35">
        <v>60589845501</v>
      </c>
      <c r="AG97" s="35"/>
    </row>
    <row r="98" spans="1:33" s="18" customFormat="1">
      <c r="A98" s="33" t="s">
        <v>38</v>
      </c>
      <c r="B98" s="33" t="s">
        <v>154</v>
      </c>
      <c r="C98" s="33" t="s">
        <v>41</v>
      </c>
      <c r="D98" s="49">
        <v>42909</v>
      </c>
      <c r="E98" s="34">
        <v>738.99</v>
      </c>
      <c r="F98" s="34">
        <f>3601.077+5.571</f>
        <v>3606.6480000000001</v>
      </c>
      <c r="G98" s="34"/>
      <c r="H98" s="34"/>
      <c r="I98" s="34"/>
      <c r="J98" s="46">
        <f t="shared" si="51"/>
        <v>3606.6480000000001</v>
      </c>
      <c r="K98" s="34"/>
      <c r="L98" s="60"/>
      <c r="M98" s="34"/>
      <c r="N98" s="34"/>
      <c r="O98" s="61"/>
      <c r="P98" s="61"/>
      <c r="Q98" s="34"/>
      <c r="R98" s="32"/>
      <c r="S98" s="32"/>
      <c r="T98" s="33"/>
      <c r="U98" s="58"/>
      <c r="V98" s="46">
        <f t="shared" si="52"/>
        <v>3606.6480000000001</v>
      </c>
      <c r="W98" s="32"/>
      <c r="X98" s="46"/>
      <c r="Y98" s="32"/>
      <c r="Z98" s="32"/>
      <c r="AA98" s="32"/>
      <c r="AB98" s="46"/>
      <c r="AC98" s="50"/>
      <c r="AD98" s="50"/>
      <c r="AE98" s="47"/>
      <c r="AF98" s="35">
        <v>60592420864</v>
      </c>
      <c r="AG98" s="35"/>
    </row>
    <row r="99" spans="1:33" s="18" customFormat="1">
      <c r="A99" s="33" t="s">
        <v>40</v>
      </c>
      <c r="B99" s="33" t="s">
        <v>56</v>
      </c>
      <c r="C99" s="33" t="s">
        <v>101</v>
      </c>
      <c r="D99" s="49">
        <v>36868</v>
      </c>
      <c r="E99" s="34">
        <v>627.13</v>
      </c>
      <c r="F99" s="34">
        <f>1433.357+3.714</f>
        <v>1437.0709999999999</v>
      </c>
      <c r="G99" s="34"/>
      <c r="H99" s="34"/>
      <c r="I99" s="34"/>
      <c r="J99" s="46">
        <f t="shared" si="51"/>
        <v>1437.0709999999999</v>
      </c>
      <c r="K99" s="34"/>
      <c r="L99" s="60"/>
      <c r="M99" s="34"/>
      <c r="N99" s="34"/>
      <c r="O99" s="61" t="s">
        <v>133</v>
      </c>
      <c r="P99" s="61" t="s">
        <v>133</v>
      </c>
      <c r="Q99" s="34"/>
      <c r="R99" s="32"/>
      <c r="S99" s="32"/>
      <c r="T99" s="33"/>
      <c r="U99" s="33"/>
      <c r="V99" s="46">
        <f t="shared" si="52"/>
        <v>1437.0709999999999</v>
      </c>
      <c r="W99" s="32">
        <f t="shared" si="61"/>
        <v>0</v>
      </c>
      <c r="X99" s="46">
        <f t="shared" si="62"/>
        <v>1437.0709999999999</v>
      </c>
      <c r="Y99" s="32">
        <f t="shared" si="63"/>
        <v>143.7071</v>
      </c>
      <c r="Z99" s="32">
        <v>10.23</v>
      </c>
      <c r="AA99" s="32" t="str">
        <f t="shared" si="64"/>
        <v>XX</v>
      </c>
      <c r="AB99" s="46" t="e">
        <f t="shared" si="65"/>
        <v>#VALUE!</v>
      </c>
      <c r="AC99" s="50"/>
      <c r="AD99" s="50"/>
      <c r="AE99" s="47">
        <f t="shared" si="66"/>
        <v>-1437.0709999999999</v>
      </c>
      <c r="AF99" s="35">
        <v>56708845911</v>
      </c>
      <c r="AG99" s="35"/>
    </row>
    <row r="100" spans="1:33" s="18" customFormat="1">
      <c r="A100" s="33" t="s">
        <v>40</v>
      </c>
      <c r="B100" s="33" t="s">
        <v>54</v>
      </c>
      <c r="C100" s="33" t="s">
        <v>99</v>
      </c>
      <c r="D100" s="49">
        <v>41949</v>
      </c>
      <c r="E100" s="34">
        <v>618.45000000000005</v>
      </c>
      <c r="F100" s="34">
        <f>3273.42+7.428</f>
        <v>3280.848</v>
      </c>
      <c r="G100" s="34"/>
      <c r="H100" s="34"/>
      <c r="I100" s="34"/>
      <c r="J100" s="46">
        <f t="shared" si="51"/>
        <v>3280.848</v>
      </c>
      <c r="K100" s="34"/>
      <c r="L100" s="60"/>
      <c r="M100" s="34"/>
      <c r="N100" s="34">
        <v>500</v>
      </c>
      <c r="O100" s="61" t="s">
        <v>133</v>
      </c>
      <c r="P100" s="61" t="s">
        <v>133</v>
      </c>
      <c r="Q100" s="34"/>
      <c r="R100" s="32"/>
      <c r="S100" s="32"/>
      <c r="T100" s="33"/>
      <c r="U100" s="33"/>
      <c r="V100" s="46">
        <f t="shared" si="52"/>
        <v>2780.848</v>
      </c>
      <c r="W100" s="32">
        <f t="shared" si="61"/>
        <v>328.08480000000003</v>
      </c>
      <c r="X100" s="46">
        <f t="shared" si="62"/>
        <v>2452.7631999999999</v>
      </c>
      <c r="Y100" s="32">
        <f t="shared" si="63"/>
        <v>0</v>
      </c>
      <c r="Z100" s="32">
        <v>10.23</v>
      </c>
      <c r="AA100" s="32" t="str">
        <f t="shared" si="64"/>
        <v>XX</v>
      </c>
      <c r="AB100" s="46" t="e">
        <f t="shared" si="65"/>
        <v>#VALUE!</v>
      </c>
      <c r="AC100" s="50"/>
      <c r="AD100" s="51"/>
      <c r="AE100" s="47">
        <f t="shared" si="66"/>
        <v>-2452.7631999999999</v>
      </c>
      <c r="AF100" s="35">
        <v>56708845925</v>
      </c>
      <c r="AG100" s="33"/>
    </row>
    <row r="101" spans="1:33" s="18" customFormat="1">
      <c r="A101" s="33" t="s">
        <v>38</v>
      </c>
      <c r="B101" s="33" t="s">
        <v>34</v>
      </c>
      <c r="C101" s="33" t="s">
        <v>41</v>
      </c>
      <c r="D101" s="49">
        <v>42129</v>
      </c>
      <c r="E101" s="34">
        <v>739.2</v>
      </c>
      <c r="F101" s="34">
        <f>6498.963+5.571</f>
        <v>6504.5339999999997</v>
      </c>
      <c r="G101" s="34"/>
      <c r="H101" s="34"/>
      <c r="I101" s="34"/>
      <c r="J101" s="46">
        <f t="shared" si="51"/>
        <v>6504.5339999999997</v>
      </c>
      <c r="K101" s="34"/>
      <c r="L101" s="60"/>
      <c r="M101" s="34"/>
      <c r="N101" s="34"/>
      <c r="O101" s="61"/>
      <c r="P101" s="61"/>
      <c r="Q101" s="34"/>
      <c r="R101" s="32"/>
      <c r="S101" s="32"/>
      <c r="T101" s="33"/>
      <c r="U101" s="33">
        <v>1340.34</v>
      </c>
      <c r="V101" s="46">
        <f t="shared" si="52"/>
        <v>5164.1939999999995</v>
      </c>
      <c r="W101" s="32">
        <f t="shared" ref="W101" si="69">IF(J101&gt;2250,J101*0.1,0)</f>
        <v>650.45339999999999</v>
      </c>
      <c r="X101" s="46">
        <f t="shared" ref="X101" si="70">+V101-W101</f>
        <v>4513.7405999999992</v>
      </c>
      <c r="Y101" s="32">
        <f t="shared" si="63"/>
        <v>0</v>
      </c>
      <c r="Z101" s="32">
        <v>10.23</v>
      </c>
      <c r="AA101" s="32">
        <f t="shared" si="64"/>
        <v>0</v>
      </c>
      <c r="AB101" s="46">
        <f t="shared" si="65"/>
        <v>6514.7639999999992</v>
      </c>
      <c r="AC101" s="50"/>
      <c r="AD101" s="51"/>
      <c r="AE101" s="47">
        <f t="shared" si="66"/>
        <v>-4513.7405999999992</v>
      </c>
      <c r="AF101" s="35">
        <v>56708845939</v>
      </c>
      <c r="AG101" s="35"/>
    </row>
    <row r="102" spans="1:33" s="18" customFormat="1">
      <c r="A102" s="33" t="s">
        <v>40</v>
      </c>
      <c r="B102" s="33" t="s">
        <v>183</v>
      </c>
      <c r="C102" s="33" t="s">
        <v>184</v>
      </c>
      <c r="D102" s="49">
        <v>43033</v>
      </c>
      <c r="E102" s="34">
        <v>618.45000000000005</v>
      </c>
      <c r="F102" s="34">
        <v>207.4</v>
      </c>
      <c r="G102" s="34"/>
      <c r="H102" s="34"/>
      <c r="I102" s="34"/>
      <c r="J102" s="46">
        <f t="shared" si="51"/>
        <v>207.4</v>
      </c>
      <c r="K102" s="34"/>
      <c r="L102" s="60"/>
      <c r="M102" s="34"/>
      <c r="N102" s="34"/>
      <c r="O102" s="61" t="s">
        <v>133</v>
      </c>
      <c r="P102" s="61" t="s">
        <v>133</v>
      </c>
      <c r="Q102" s="34"/>
      <c r="R102" s="32"/>
      <c r="S102" s="32"/>
      <c r="T102" s="33"/>
      <c r="U102" s="33"/>
      <c r="V102" s="46">
        <f t="shared" si="52"/>
        <v>207.4</v>
      </c>
      <c r="W102" s="32"/>
      <c r="X102" s="46"/>
      <c r="Y102" s="32"/>
      <c r="Z102" s="32"/>
      <c r="AA102" s="32"/>
      <c r="AB102" s="46"/>
      <c r="AC102" s="50"/>
      <c r="AD102" s="51"/>
      <c r="AE102" s="47"/>
      <c r="AF102" s="35">
        <v>56727513569</v>
      </c>
      <c r="AG102" s="35"/>
    </row>
    <row r="103" spans="1:33" s="18" customFormat="1">
      <c r="A103" s="33" t="s">
        <v>40</v>
      </c>
      <c r="B103" s="33" t="s">
        <v>141</v>
      </c>
      <c r="C103" s="33" t="s">
        <v>140</v>
      </c>
      <c r="D103" s="49">
        <v>42912</v>
      </c>
      <c r="E103" s="34">
        <v>627.05999999999995</v>
      </c>
      <c r="F103" s="34">
        <f>1810.138+5.571</f>
        <v>1815.7089999999998</v>
      </c>
      <c r="G103" s="34"/>
      <c r="H103" s="34"/>
      <c r="I103" s="34"/>
      <c r="J103" s="46">
        <f t="shared" si="51"/>
        <v>1815.7089999999998</v>
      </c>
      <c r="K103" s="34"/>
      <c r="L103" s="60"/>
      <c r="M103" s="34"/>
      <c r="N103" s="34"/>
      <c r="O103" s="61" t="s">
        <v>133</v>
      </c>
      <c r="P103" s="61" t="s">
        <v>133</v>
      </c>
      <c r="Q103" s="34"/>
      <c r="R103" s="32"/>
      <c r="S103" s="32"/>
      <c r="T103" s="33"/>
      <c r="U103" s="33"/>
      <c r="V103" s="46">
        <f t="shared" si="52"/>
        <v>1815.7089999999998</v>
      </c>
      <c r="W103" s="32"/>
      <c r="X103" s="46"/>
      <c r="Y103" s="32"/>
      <c r="Z103" s="32"/>
      <c r="AA103" s="32"/>
      <c r="AB103" s="46"/>
      <c r="AC103" s="50"/>
      <c r="AD103" s="51"/>
      <c r="AE103" s="47"/>
      <c r="AF103" s="35">
        <v>60592585699</v>
      </c>
      <c r="AG103" s="35"/>
    </row>
    <row r="104" spans="1:33" s="18" customFormat="1">
      <c r="A104" s="33" t="s">
        <v>38</v>
      </c>
      <c r="B104" s="33" t="s">
        <v>73</v>
      </c>
      <c r="C104" s="33" t="s">
        <v>41</v>
      </c>
      <c r="D104" s="49">
        <v>42422</v>
      </c>
      <c r="E104" s="34">
        <v>739.2</v>
      </c>
      <c r="F104" s="34">
        <f>6358.968+5.571</f>
        <v>6364.5389999999998</v>
      </c>
      <c r="G104" s="34"/>
      <c r="H104" s="34"/>
      <c r="I104" s="34"/>
      <c r="J104" s="46">
        <f t="shared" si="51"/>
        <v>6364.5389999999998</v>
      </c>
      <c r="K104" s="34"/>
      <c r="L104" s="60"/>
      <c r="M104" s="34"/>
      <c r="N104" s="34"/>
      <c r="O104" s="61"/>
      <c r="P104" s="61"/>
      <c r="Q104" s="34"/>
      <c r="R104" s="32"/>
      <c r="S104" s="32"/>
      <c r="T104" s="33"/>
      <c r="U104" s="33"/>
      <c r="V104" s="46">
        <f t="shared" si="52"/>
        <v>6364.5389999999998</v>
      </c>
      <c r="W104" s="32">
        <f t="shared" ref="W104" si="71">IF(J104&gt;2250,J104*0.1,0)</f>
        <v>636.45389999999998</v>
      </c>
      <c r="X104" s="46">
        <f t="shared" ref="X104" si="72">+V104-W104</f>
        <v>5728.0851000000002</v>
      </c>
      <c r="Y104" s="32">
        <f t="shared" si="63"/>
        <v>0</v>
      </c>
      <c r="Z104" s="32">
        <v>10.23</v>
      </c>
      <c r="AA104" s="32">
        <f t="shared" si="64"/>
        <v>0</v>
      </c>
      <c r="AB104" s="46">
        <f t="shared" si="65"/>
        <v>6374.7689999999993</v>
      </c>
      <c r="AC104" s="50"/>
      <c r="AD104" s="51"/>
      <c r="AE104" s="47">
        <f t="shared" si="66"/>
        <v>-5728.0851000000002</v>
      </c>
      <c r="AF104" s="35">
        <v>56708845942</v>
      </c>
      <c r="AG104" s="35"/>
    </row>
    <row r="105" spans="1:33" s="18" customFormat="1">
      <c r="A105" s="33" t="s">
        <v>40</v>
      </c>
      <c r="B105" s="33" t="s">
        <v>80</v>
      </c>
      <c r="C105" s="33" t="s">
        <v>102</v>
      </c>
      <c r="D105" s="49">
        <v>41227</v>
      </c>
      <c r="E105" s="34">
        <v>627.13</v>
      </c>
      <c r="F105" s="34">
        <f>3206.338+2.599</f>
        <v>3208.9370000000004</v>
      </c>
      <c r="G105" s="34"/>
      <c r="H105" s="34"/>
      <c r="I105" s="34"/>
      <c r="J105" s="46">
        <f t="shared" si="51"/>
        <v>3208.9370000000004</v>
      </c>
      <c r="K105" s="34"/>
      <c r="L105" s="60"/>
      <c r="M105" s="34"/>
      <c r="N105" s="34">
        <v>200</v>
      </c>
      <c r="O105" s="61" t="s">
        <v>133</v>
      </c>
      <c r="P105" s="61" t="s">
        <v>133</v>
      </c>
      <c r="Q105" s="34"/>
      <c r="R105" s="32"/>
      <c r="S105" s="32"/>
      <c r="T105" s="33"/>
      <c r="U105" s="33">
        <v>1010.83</v>
      </c>
      <c r="V105" s="46">
        <f t="shared" si="52"/>
        <v>1998.1070000000004</v>
      </c>
      <c r="W105" s="32">
        <f t="shared" si="61"/>
        <v>320.89370000000008</v>
      </c>
      <c r="X105" s="46">
        <f t="shared" si="62"/>
        <v>1677.2133000000003</v>
      </c>
      <c r="Y105" s="32">
        <f t="shared" si="63"/>
        <v>0</v>
      </c>
      <c r="Z105" s="32">
        <v>10.23</v>
      </c>
      <c r="AA105" s="32" t="str">
        <f t="shared" si="64"/>
        <v>XX</v>
      </c>
      <c r="AB105" s="46" t="e">
        <f t="shared" si="65"/>
        <v>#VALUE!</v>
      </c>
      <c r="AC105" s="50"/>
      <c r="AD105" s="51"/>
      <c r="AE105" s="47">
        <f t="shared" si="66"/>
        <v>-1677.2133000000003</v>
      </c>
      <c r="AF105" s="35">
        <v>56708881946</v>
      </c>
      <c r="AG105" s="35"/>
    </row>
    <row r="106" spans="1:33" s="18" customFormat="1">
      <c r="A106" s="33" t="s">
        <v>38</v>
      </c>
      <c r="B106" s="33" t="s">
        <v>173</v>
      </c>
      <c r="C106" s="33" t="s">
        <v>41</v>
      </c>
      <c r="D106" s="49">
        <v>42907</v>
      </c>
      <c r="E106" s="34">
        <v>738.99</v>
      </c>
      <c r="F106" s="34">
        <f>1721.891+5.571</f>
        <v>1727.462</v>
      </c>
      <c r="G106" s="34"/>
      <c r="H106" s="34"/>
      <c r="I106" s="34"/>
      <c r="J106" s="46">
        <f t="shared" si="51"/>
        <v>1727.462</v>
      </c>
      <c r="K106" s="34"/>
      <c r="L106" s="60"/>
      <c r="M106" s="34"/>
      <c r="N106" s="34"/>
      <c r="O106" s="61"/>
      <c r="P106" s="61"/>
      <c r="Q106" s="34"/>
      <c r="R106" s="32"/>
      <c r="S106" s="32"/>
      <c r="T106" s="33"/>
      <c r="U106" s="33"/>
      <c r="V106" s="46">
        <f t="shared" si="52"/>
        <v>1727.462</v>
      </c>
      <c r="W106" s="32"/>
      <c r="X106" s="46"/>
      <c r="Y106" s="32"/>
      <c r="Z106" s="32"/>
      <c r="AA106" s="32"/>
      <c r="AB106" s="46"/>
      <c r="AC106" s="50"/>
      <c r="AD106" s="51"/>
      <c r="AE106" s="47"/>
      <c r="AF106" s="35">
        <v>60592492890</v>
      </c>
      <c r="AG106" s="35"/>
    </row>
    <row r="107" spans="1:33" s="18" customFormat="1">
      <c r="A107" s="33" t="s">
        <v>40</v>
      </c>
      <c r="B107" s="33" t="s">
        <v>107</v>
      </c>
      <c r="C107" s="33" t="s">
        <v>166</v>
      </c>
      <c r="D107" s="49">
        <v>42635</v>
      </c>
      <c r="E107" s="34">
        <v>618.45000000000005</v>
      </c>
      <c r="F107" s="34">
        <v>2025.6980000000001</v>
      </c>
      <c r="G107" s="34"/>
      <c r="H107" s="34"/>
      <c r="I107" s="34"/>
      <c r="J107" s="46">
        <f t="shared" si="51"/>
        <v>2025.6980000000001</v>
      </c>
      <c r="K107" s="34"/>
      <c r="L107" s="60"/>
      <c r="M107" s="34"/>
      <c r="N107" s="34"/>
      <c r="O107" s="61" t="s">
        <v>133</v>
      </c>
      <c r="P107" s="61" t="s">
        <v>133</v>
      </c>
      <c r="Q107" s="34"/>
      <c r="R107" s="32"/>
      <c r="S107" s="32"/>
      <c r="T107" s="33"/>
      <c r="U107" s="33"/>
      <c r="V107" s="46">
        <f t="shared" si="52"/>
        <v>2025.6980000000001</v>
      </c>
      <c r="W107" s="32">
        <f t="shared" ref="W107" si="73">IF(J107&gt;2250,J107*0.1,0)</f>
        <v>0</v>
      </c>
      <c r="X107" s="46">
        <f t="shared" ref="X107" si="74">+V107-W107</f>
        <v>2025.6980000000001</v>
      </c>
      <c r="Y107" s="32"/>
      <c r="Z107" s="32"/>
      <c r="AA107" s="32"/>
      <c r="AB107" s="46"/>
      <c r="AC107" s="50"/>
      <c r="AD107" s="51"/>
      <c r="AE107" s="47"/>
      <c r="AF107" s="35">
        <v>56708881608</v>
      </c>
      <c r="AG107" s="35"/>
    </row>
    <row r="108" spans="1:33" s="18" customFormat="1">
      <c r="A108" s="33" t="s">
        <v>40</v>
      </c>
      <c r="B108" s="33" t="s">
        <v>81</v>
      </c>
      <c r="C108" s="33" t="s">
        <v>102</v>
      </c>
      <c r="D108" s="49">
        <v>41703</v>
      </c>
      <c r="E108" s="34">
        <v>623.35</v>
      </c>
      <c r="F108" s="34">
        <v>1136.5</v>
      </c>
      <c r="G108" s="34"/>
      <c r="H108" s="34"/>
      <c r="I108" s="34"/>
      <c r="J108" s="46">
        <f t="shared" si="51"/>
        <v>1136.5</v>
      </c>
      <c r="K108" s="34"/>
      <c r="L108" s="60"/>
      <c r="M108" s="34"/>
      <c r="N108" s="34"/>
      <c r="O108" s="61" t="s">
        <v>133</v>
      </c>
      <c r="P108" s="61" t="s">
        <v>133</v>
      </c>
      <c r="Q108" s="34"/>
      <c r="R108" s="32"/>
      <c r="S108" s="32"/>
      <c r="T108" s="33"/>
      <c r="U108" s="33"/>
      <c r="V108" s="46">
        <f t="shared" si="52"/>
        <v>1136.5</v>
      </c>
      <c r="W108" s="32">
        <f t="shared" si="61"/>
        <v>0</v>
      </c>
      <c r="X108" s="46">
        <f t="shared" si="62"/>
        <v>1136.5</v>
      </c>
      <c r="Y108" s="32">
        <f t="shared" si="63"/>
        <v>113.65</v>
      </c>
      <c r="Z108" s="32">
        <v>10.23</v>
      </c>
      <c r="AA108" s="32" t="str">
        <f t="shared" si="64"/>
        <v>XX</v>
      </c>
      <c r="AB108" s="46" t="e">
        <f t="shared" si="65"/>
        <v>#VALUE!</v>
      </c>
      <c r="AC108" s="50"/>
      <c r="AD108" s="51"/>
      <c r="AE108" s="47">
        <f t="shared" si="66"/>
        <v>-1136.5</v>
      </c>
      <c r="AF108" s="35">
        <v>56708845973</v>
      </c>
      <c r="AG108" s="35"/>
    </row>
    <row r="109" spans="1:33" s="18" customFormat="1">
      <c r="A109" s="33" t="s">
        <v>40</v>
      </c>
      <c r="B109" s="33" t="s">
        <v>187</v>
      </c>
      <c r="C109" s="33" t="s">
        <v>186</v>
      </c>
      <c r="D109" s="49">
        <v>43040</v>
      </c>
      <c r="E109" s="34">
        <v>618.45000000000005</v>
      </c>
      <c r="F109" s="34">
        <v>344.9</v>
      </c>
      <c r="G109" s="34"/>
      <c r="H109" s="34"/>
      <c r="I109" s="34"/>
      <c r="J109" s="46">
        <f t="shared" si="51"/>
        <v>344.9</v>
      </c>
      <c r="K109" s="34"/>
      <c r="L109" s="60">
        <v>2</v>
      </c>
      <c r="M109" s="34"/>
      <c r="N109" s="34"/>
      <c r="O109" s="61" t="s">
        <v>133</v>
      </c>
      <c r="P109" s="61" t="s">
        <v>133</v>
      </c>
      <c r="Q109" s="34"/>
      <c r="R109" s="32"/>
      <c r="S109" s="32"/>
      <c r="T109" s="33"/>
      <c r="U109" s="33"/>
      <c r="V109" s="46">
        <f t="shared" si="52"/>
        <v>342.9</v>
      </c>
      <c r="W109" s="32"/>
      <c r="X109" s="46"/>
      <c r="Y109" s="32"/>
      <c r="Z109" s="32"/>
      <c r="AA109" s="32"/>
      <c r="AB109" s="46"/>
      <c r="AC109" s="50"/>
      <c r="AD109" s="51"/>
      <c r="AE109" s="47"/>
      <c r="AF109" s="35">
        <v>60596755422</v>
      </c>
      <c r="AG109" s="35"/>
    </row>
    <row r="110" spans="1:33" s="18" customFormat="1">
      <c r="A110" s="33" t="s">
        <v>40</v>
      </c>
      <c r="B110" s="33" t="s">
        <v>50</v>
      </c>
      <c r="C110" s="33" t="s">
        <v>102</v>
      </c>
      <c r="D110" s="49">
        <v>41291</v>
      </c>
      <c r="E110" s="34">
        <v>627.13</v>
      </c>
      <c r="F110" s="34">
        <f>4787.355+2.599</f>
        <v>4789.9539999999997</v>
      </c>
      <c r="G110" s="34"/>
      <c r="H110" s="34"/>
      <c r="I110" s="34"/>
      <c r="J110" s="46">
        <f t="shared" si="51"/>
        <v>4789.9539999999997</v>
      </c>
      <c r="K110" s="34"/>
      <c r="L110" s="60"/>
      <c r="M110" s="34"/>
      <c r="N110" s="34">
        <v>200</v>
      </c>
      <c r="O110" s="61" t="s">
        <v>133</v>
      </c>
      <c r="P110" s="61" t="s">
        <v>133</v>
      </c>
      <c r="Q110" s="34"/>
      <c r="R110" s="32"/>
      <c r="S110" s="32"/>
      <c r="T110" s="33"/>
      <c r="U110" s="33"/>
      <c r="V110" s="46">
        <f t="shared" si="52"/>
        <v>4589.9539999999997</v>
      </c>
      <c r="W110" s="32">
        <f t="shared" si="61"/>
        <v>478.99540000000002</v>
      </c>
      <c r="X110" s="46">
        <f t="shared" si="62"/>
        <v>4110.9585999999999</v>
      </c>
      <c r="Y110" s="32">
        <f t="shared" si="63"/>
        <v>0</v>
      </c>
      <c r="Z110" s="32">
        <v>10.23</v>
      </c>
      <c r="AA110" s="32" t="str">
        <f t="shared" si="64"/>
        <v>XX</v>
      </c>
      <c r="AB110" s="46" t="e">
        <f t="shared" si="65"/>
        <v>#VALUE!</v>
      </c>
      <c r="AC110" s="50"/>
      <c r="AD110" s="51"/>
      <c r="AE110" s="47">
        <f t="shared" si="66"/>
        <v>-4110.9585999999999</v>
      </c>
      <c r="AF110" s="35">
        <v>56708881963</v>
      </c>
      <c r="AG110" s="35"/>
    </row>
    <row r="111" spans="1:33" s="18" customFormat="1">
      <c r="A111" s="33" t="s">
        <v>38</v>
      </c>
      <c r="B111" s="33" t="s">
        <v>58</v>
      </c>
      <c r="C111" s="33" t="s">
        <v>41</v>
      </c>
      <c r="D111" s="49">
        <v>41666</v>
      </c>
      <c r="E111" s="34">
        <v>739.2</v>
      </c>
      <c r="F111" s="34">
        <f>4358.876+5.571</f>
        <v>4364.4470000000001</v>
      </c>
      <c r="G111" s="34"/>
      <c r="H111" s="34"/>
      <c r="I111" s="34"/>
      <c r="J111" s="46">
        <f t="shared" si="51"/>
        <v>4364.4470000000001</v>
      </c>
      <c r="K111" s="34"/>
      <c r="L111" s="60"/>
      <c r="M111" s="34"/>
      <c r="N111" s="34">
        <v>200</v>
      </c>
      <c r="O111" s="61"/>
      <c r="P111" s="61"/>
      <c r="Q111" s="34"/>
      <c r="R111" s="32"/>
      <c r="S111" s="32"/>
      <c r="T111" s="33"/>
      <c r="U111" s="33">
        <v>442.08</v>
      </c>
      <c r="V111" s="46">
        <f t="shared" si="52"/>
        <v>3722.3670000000002</v>
      </c>
      <c r="W111" s="32">
        <f t="shared" si="61"/>
        <v>436.44470000000001</v>
      </c>
      <c r="X111" s="46">
        <f t="shared" si="62"/>
        <v>3285.9223000000002</v>
      </c>
      <c r="Y111" s="32">
        <f t="shared" si="63"/>
        <v>0</v>
      </c>
      <c r="Z111" s="32">
        <v>10.23</v>
      </c>
      <c r="AA111" s="32">
        <f t="shared" si="64"/>
        <v>0</v>
      </c>
      <c r="AB111" s="46">
        <f t="shared" si="65"/>
        <v>4374.6769999999997</v>
      </c>
      <c r="AC111" s="50"/>
      <c r="AD111" s="51"/>
      <c r="AE111" s="47">
        <f t="shared" si="66"/>
        <v>-3285.9223000000002</v>
      </c>
      <c r="AF111" s="35">
        <v>56708845990</v>
      </c>
      <c r="AG111" s="35"/>
    </row>
    <row r="112" spans="1:33" s="18" customFormat="1">
      <c r="A112" s="33" t="s">
        <v>38</v>
      </c>
      <c r="B112" s="33" t="s">
        <v>126</v>
      </c>
      <c r="C112" s="33" t="s">
        <v>41</v>
      </c>
      <c r="D112" s="49">
        <v>42809</v>
      </c>
      <c r="E112" s="34">
        <v>618.45000000000005</v>
      </c>
      <c r="F112" s="34">
        <f>4258.854+5.571</f>
        <v>4264.4250000000002</v>
      </c>
      <c r="G112" s="34"/>
      <c r="H112" s="34"/>
      <c r="I112" s="34"/>
      <c r="J112" s="46">
        <f t="shared" si="51"/>
        <v>4264.4250000000002</v>
      </c>
      <c r="K112" s="34"/>
      <c r="L112" s="60"/>
      <c r="M112" s="34"/>
      <c r="N112" s="34"/>
      <c r="O112" s="61"/>
      <c r="P112" s="61"/>
      <c r="Q112" s="34"/>
      <c r="R112" s="32"/>
      <c r="S112" s="32"/>
      <c r="T112" s="33"/>
      <c r="U112" s="33"/>
      <c r="V112" s="46">
        <f t="shared" si="52"/>
        <v>4264.4250000000002</v>
      </c>
      <c r="W112" s="32"/>
      <c r="X112" s="46"/>
      <c r="Y112" s="32"/>
      <c r="Z112" s="32"/>
      <c r="AA112" s="32"/>
      <c r="AB112" s="46"/>
      <c r="AC112" s="50"/>
      <c r="AD112" s="51"/>
      <c r="AE112" s="47"/>
      <c r="AF112" s="35">
        <v>60589597089</v>
      </c>
      <c r="AG112" s="35"/>
    </row>
    <row r="113" spans="1:175" s="18" customFormat="1">
      <c r="A113" s="33" t="s">
        <v>38</v>
      </c>
      <c r="B113" s="33" t="s">
        <v>179</v>
      </c>
      <c r="C113" s="33" t="s">
        <v>41</v>
      </c>
      <c r="D113" s="49">
        <v>43052</v>
      </c>
      <c r="E113" s="34">
        <v>638.96</v>
      </c>
      <c r="F113" s="34">
        <f>3792.16+5.571</f>
        <v>3797.7309999999998</v>
      </c>
      <c r="G113" s="34"/>
      <c r="H113" s="34"/>
      <c r="I113" s="34"/>
      <c r="J113" s="46">
        <f t="shared" si="51"/>
        <v>3797.7309999999998</v>
      </c>
      <c r="K113" s="34"/>
      <c r="L113" s="60"/>
      <c r="M113" s="34"/>
      <c r="N113" s="34"/>
      <c r="O113" s="61"/>
      <c r="P113" s="61"/>
      <c r="Q113" s="34"/>
      <c r="R113" s="32"/>
      <c r="S113" s="32"/>
      <c r="T113" s="33"/>
      <c r="U113" s="33"/>
      <c r="V113" s="46"/>
      <c r="W113" s="32"/>
      <c r="X113" s="46"/>
      <c r="Y113" s="32"/>
      <c r="Z113" s="32"/>
      <c r="AA113" s="32"/>
      <c r="AB113" s="46"/>
      <c r="AC113" s="50"/>
      <c r="AD113" s="51"/>
      <c r="AE113" s="47"/>
      <c r="AF113" s="35">
        <v>56714607256</v>
      </c>
      <c r="AG113" s="35"/>
    </row>
    <row r="114" spans="1:175" s="18" customFormat="1">
      <c r="A114" s="33" t="s">
        <v>40</v>
      </c>
      <c r="B114" s="33" t="s">
        <v>118</v>
      </c>
      <c r="C114" s="33" t="s">
        <v>98</v>
      </c>
      <c r="D114" s="49">
        <v>42752</v>
      </c>
      <c r="E114" s="34">
        <v>618.45000000000005</v>
      </c>
      <c r="F114" s="34">
        <v>739.5</v>
      </c>
      <c r="G114" s="34"/>
      <c r="H114" s="34"/>
      <c r="I114" s="34"/>
      <c r="J114" s="46">
        <f t="shared" si="51"/>
        <v>739.5</v>
      </c>
      <c r="K114" s="34"/>
      <c r="L114" s="60"/>
      <c r="M114" s="34"/>
      <c r="N114" s="34"/>
      <c r="O114" s="61" t="s">
        <v>133</v>
      </c>
      <c r="P114" s="61" t="s">
        <v>133</v>
      </c>
      <c r="Q114" s="34"/>
      <c r="R114" s="32"/>
      <c r="S114" s="32"/>
      <c r="T114" s="33"/>
      <c r="U114" s="33"/>
      <c r="V114" s="46">
        <f t="shared" si="52"/>
        <v>739.5</v>
      </c>
      <c r="W114" s="32">
        <f t="shared" ref="W114" si="75">IF(J114&gt;2250,J114*0.1,0)</f>
        <v>0</v>
      </c>
      <c r="X114" s="46">
        <f t="shared" ref="X114" si="76">+V114-W114</f>
        <v>739.5</v>
      </c>
      <c r="Y114" s="32"/>
      <c r="Z114" s="32"/>
      <c r="AA114" s="32"/>
      <c r="AB114" s="46"/>
      <c r="AC114" s="50"/>
      <c r="AD114" s="51"/>
      <c r="AE114" s="47"/>
      <c r="AF114" s="35">
        <v>60589634536</v>
      </c>
      <c r="AG114" s="35"/>
    </row>
    <row r="115" spans="1:175" s="18" customFormat="1">
      <c r="A115" s="33" t="s">
        <v>40</v>
      </c>
      <c r="B115" s="33" t="s">
        <v>185</v>
      </c>
      <c r="C115" s="33" t="s">
        <v>184</v>
      </c>
      <c r="D115" s="49">
        <v>43034</v>
      </c>
      <c r="E115" s="34">
        <v>618.45000000000005</v>
      </c>
      <c r="F115" s="34">
        <v>419.38900000000001</v>
      </c>
      <c r="G115" s="34"/>
      <c r="H115" s="34"/>
      <c r="I115" s="34"/>
      <c r="J115" s="46">
        <f t="shared" si="51"/>
        <v>419.38900000000001</v>
      </c>
      <c r="K115" s="34"/>
      <c r="L115" s="60">
        <v>1</v>
      </c>
      <c r="M115" s="34"/>
      <c r="N115" s="34"/>
      <c r="O115" s="61" t="s">
        <v>133</v>
      </c>
      <c r="P115" s="61" t="s">
        <v>133</v>
      </c>
      <c r="Q115" s="34"/>
      <c r="R115" s="32"/>
      <c r="S115" s="32"/>
      <c r="T115" s="33"/>
      <c r="U115" s="33"/>
      <c r="V115" s="46"/>
      <c r="W115" s="32"/>
      <c r="X115" s="46"/>
      <c r="Y115" s="32"/>
      <c r="Z115" s="32"/>
      <c r="AA115" s="32"/>
      <c r="AB115" s="46"/>
      <c r="AC115" s="50"/>
      <c r="AD115" s="51"/>
      <c r="AE115" s="47"/>
      <c r="AF115" s="35">
        <v>60596596065</v>
      </c>
      <c r="AG115" s="35"/>
    </row>
    <row r="116" spans="1:175" s="18" customFormat="1">
      <c r="A116" s="33" t="s">
        <v>40</v>
      </c>
      <c r="B116" s="33" t="s">
        <v>97</v>
      </c>
      <c r="C116" s="33" t="s">
        <v>101</v>
      </c>
      <c r="D116" s="49">
        <v>29733</v>
      </c>
      <c r="E116" s="34">
        <v>627.13</v>
      </c>
      <c r="F116" s="34">
        <f>5417.16+3.714</f>
        <v>5420.8739999999998</v>
      </c>
      <c r="G116" s="34"/>
      <c r="H116" s="34"/>
      <c r="I116" s="34"/>
      <c r="J116" s="46">
        <f t="shared" si="51"/>
        <v>5420.8739999999998</v>
      </c>
      <c r="K116" s="34"/>
      <c r="L116" s="60"/>
      <c r="M116" s="34"/>
      <c r="N116" s="34">
        <v>150</v>
      </c>
      <c r="O116" s="61" t="s">
        <v>133</v>
      </c>
      <c r="P116" s="61" t="s">
        <v>133</v>
      </c>
      <c r="Q116" s="34"/>
      <c r="R116" s="32"/>
      <c r="S116" s="32"/>
      <c r="T116" s="33"/>
      <c r="U116" s="33"/>
      <c r="V116" s="46">
        <f t="shared" si="52"/>
        <v>5270.8739999999998</v>
      </c>
      <c r="W116" s="32">
        <f t="shared" si="61"/>
        <v>542.0874</v>
      </c>
      <c r="X116" s="46">
        <f t="shared" si="62"/>
        <v>4728.7865999999995</v>
      </c>
      <c r="Y116" s="32">
        <f t="shared" si="63"/>
        <v>0</v>
      </c>
      <c r="Z116" s="32">
        <v>10.23</v>
      </c>
      <c r="AA116" s="32" t="str">
        <f t="shared" si="64"/>
        <v>XX</v>
      </c>
      <c r="AB116" s="46" t="e">
        <f t="shared" si="65"/>
        <v>#VALUE!</v>
      </c>
      <c r="AC116" s="50"/>
      <c r="AD116" s="51"/>
      <c r="AE116" s="47">
        <f t="shared" si="66"/>
        <v>-4728.7865999999995</v>
      </c>
      <c r="AF116" s="35">
        <v>60589747903</v>
      </c>
      <c r="AG116" s="35"/>
    </row>
    <row r="117" spans="1:175" s="18" customFormat="1">
      <c r="A117" s="33" t="s">
        <v>38</v>
      </c>
      <c r="B117" s="33" t="s">
        <v>175</v>
      </c>
      <c r="C117" s="33" t="s">
        <v>176</v>
      </c>
      <c r="D117" s="49">
        <v>43026</v>
      </c>
      <c r="E117" s="34">
        <v>638.96</v>
      </c>
      <c r="F117" s="34">
        <f>5398.693+5.571</f>
        <v>5404.2640000000001</v>
      </c>
      <c r="G117" s="34"/>
      <c r="H117" s="34"/>
      <c r="I117" s="34"/>
      <c r="J117" s="46">
        <f t="shared" si="51"/>
        <v>5404.2640000000001</v>
      </c>
      <c r="K117" s="34"/>
      <c r="L117" s="60"/>
      <c r="M117" s="34"/>
      <c r="N117" s="34"/>
      <c r="O117" s="61"/>
      <c r="P117" s="61"/>
      <c r="Q117" s="34"/>
      <c r="R117" s="32"/>
      <c r="S117" s="32"/>
      <c r="T117" s="33"/>
      <c r="U117" s="33">
        <v>545.02</v>
      </c>
      <c r="V117" s="46">
        <f t="shared" si="52"/>
        <v>4859.2440000000006</v>
      </c>
      <c r="W117" s="32"/>
      <c r="X117" s="46"/>
      <c r="Y117" s="32"/>
      <c r="Z117" s="32"/>
      <c r="AA117" s="32"/>
      <c r="AB117" s="46"/>
      <c r="AC117" s="50"/>
      <c r="AD117" s="51"/>
      <c r="AE117" s="47"/>
      <c r="AF117" s="35">
        <v>60578682154</v>
      </c>
      <c r="AG117" s="35"/>
    </row>
    <row r="118" spans="1:175" s="18" customFormat="1">
      <c r="A118" s="33" t="s">
        <v>38</v>
      </c>
      <c r="B118" s="33" t="s">
        <v>57</v>
      </c>
      <c r="C118" s="33" t="s">
        <v>41</v>
      </c>
      <c r="D118" s="49">
        <v>41549</v>
      </c>
      <c r="E118" s="34">
        <v>739.2</v>
      </c>
      <c r="F118" s="34">
        <f>6299.633+5.571</f>
        <v>6305.2039999999997</v>
      </c>
      <c r="G118" s="34"/>
      <c r="H118" s="34"/>
      <c r="I118" s="34"/>
      <c r="J118" s="46">
        <f t="shared" si="51"/>
        <v>6305.2039999999997</v>
      </c>
      <c r="K118" s="34"/>
      <c r="L118" s="60"/>
      <c r="M118" s="34"/>
      <c r="N118" s="34">
        <v>500</v>
      </c>
      <c r="O118" s="61"/>
      <c r="P118" s="61"/>
      <c r="Q118" s="34"/>
      <c r="R118" s="32"/>
      <c r="S118" s="32"/>
      <c r="T118" s="33"/>
      <c r="U118" s="33"/>
      <c r="V118" s="46">
        <f t="shared" si="52"/>
        <v>5805.2039999999997</v>
      </c>
      <c r="W118" s="32">
        <f>IF(J118&gt;2250,J118*0.1,0)</f>
        <v>630.5204</v>
      </c>
      <c r="X118" s="46">
        <f>+V118-W118</f>
        <v>5174.6835999999994</v>
      </c>
      <c r="Y118" s="32">
        <f>IF(J118&lt;2250,J118*0.1,0)</f>
        <v>0</v>
      </c>
      <c r="Z118" s="32">
        <v>10.23</v>
      </c>
      <c r="AA118" s="32">
        <f>+O118</f>
        <v>0</v>
      </c>
      <c r="AB118" s="46">
        <f>+J118+Y118+Z118+AA118</f>
        <v>6315.4339999999993</v>
      </c>
      <c r="AC118" s="50"/>
      <c r="AD118" s="51"/>
      <c r="AE118" s="47">
        <f>+AC118+AD118-X118</f>
        <v>-5174.6835999999994</v>
      </c>
      <c r="AF118" s="35">
        <v>56708846050</v>
      </c>
      <c r="AG118" s="35"/>
    </row>
    <row r="119" spans="1:175" s="18" customFormat="1">
      <c r="A119" s="33" t="s">
        <v>38</v>
      </c>
      <c r="B119" s="33" t="s">
        <v>197</v>
      </c>
      <c r="C119" s="33" t="s">
        <v>196</v>
      </c>
      <c r="D119" s="49">
        <v>43069</v>
      </c>
      <c r="E119" s="34">
        <v>1199.94</v>
      </c>
      <c r="F119" s="34">
        <v>0</v>
      </c>
      <c r="G119" s="34"/>
      <c r="H119" s="34"/>
      <c r="I119" s="34"/>
      <c r="J119" s="46">
        <f t="shared" si="51"/>
        <v>0</v>
      </c>
      <c r="K119" s="34"/>
      <c r="L119" s="60"/>
      <c r="M119" s="34"/>
      <c r="N119" s="34"/>
      <c r="O119" s="61"/>
      <c r="P119" s="61"/>
      <c r="Q119" s="34"/>
      <c r="R119" s="32"/>
      <c r="S119" s="32"/>
      <c r="T119" s="33"/>
      <c r="U119" s="33"/>
      <c r="V119" s="46">
        <f t="shared" si="52"/>
        <v>0</v>
      </c>
      <c r="W119" s="32"/>
      <c r="X119" s="46"/>
      <c r="Y119" s="32"/>
      <c r="Z119" s="32"/>
      <c r="AA119" s="32"/>
      <c r="AB119" s="46"/>
      <c r="AC119" s="50"/>
      <c r="AD119" s="51"/>
      <c r="AE119" s="47"/>
      <c r="AF119" s="35">
        <v>60597522863</v>
      </c>
      <c r="AG119" s="35"/>
    </row>
    <row r="120" spans="1:175">
      <c r="A120" s="28"/>
      <c r="B120" s="33"/>
      <c r="C120" s="28"/>
      <c r="D120" s="59"/>
      <c r="E120" s="59"/>
      <c r="F120" s="30"/>
      <c r="G120" s="30"/>
      <c r="H120" s="30"/>
      <c r="I120" s="30"/>
      <c r="J120" s="46">
        <f t="shared" si="51"/>
        <v>0</v>
      </c>
      <c r="K120" s="34"/>
      <c r="L120" s="34"/>
      <c r="M120" s="34"/>
      <c r="N120" s="34"/>
      <c r="O120" s="34"/>
      <c r="P120" s="34"/>
      <c r="Q120" s="34"/>
      <c r="R120" s="32"/>
      <c r="S120" s="32"/>
      <c r="T120" s="32"/>
      <c r="U120" s="32"/>
      <c r="V120" s="46"/>
      <c r="W120" s="32"/>
      <c r="X120" s="46"/>
      <c r="Y120" s="54"/>
      <c r="Z120" s="54"/>
      <c r="AA120" s="54"/>
      <c r="AB120" s="53"/>
      <c r="AC120" s="44"/>
      <c r="AD120" s="44"/>
      <c r="AE120" s="39"/>
      <c r="AF120" s="28"/>
      <c r="AG120" s="28"/>
      <c r="AJ120" s="18"/>
      <c r="AK120" s="18"/>
      <c r="AL120" s="18"/>
      <c r="AM120" s="18"/>
      <c r="AN120" s="18"/>
      <c r="AO120" s="18"/>
      <c r="AP120" s="18"/>
      <c r="AQ120" s="18"/>
      <c r="AR120" s="18"/>
      <c r="AS120" s="18"/>
      <c r="AT120" s="18"/>
      <c r="AU120" s="18"/>
      <c r="AV120" s="18"/>
      <c r="AW120" s="18"/>
      <c r="AX120" s="18"/>
      <c r="AY120" s="18"/>
      <c r="AZ120" s="18"/>
      <c r="BA120" s="18"/>
      <c r="BB120" s="18"/>
      <c r="BC120" s="18"/>
      <c r="BD120" s="18"/>
      <c r="BE120" s="18"/>
      <c r="BF120" s="18"/>
      <c r="BG120" s="18"/>
      <c r="BH120" s="18"/>
      <c r="BI120" s="18"/>
      <c r="BJ120" s="18"/>
      <c r="BK120" s="18"/>
      <c r="BL120" s="18"/>
      <c r="BM120" s="18"/>
      <c r="BN120" s="18"/>
      <c r="BO120" s="18"/>
      <c r="BP120" s="18"/>
      <c r="BQ120" s="18"/>
      <c r="BR120" s="18"/>
      <c r="BS120" s="18"/>
      <c r="BT120" s="18"/>
      <c r="BU120" s="18"/>
      <c r="BV120" s="18"/>
      <c r="BW120" s="18"/>
      <c r="BX120" s="18"/>
      <c r="BY120" s="18"/>
      <c r="BZ120" s="18"/>
      <c r="CA120" s="18"/>
      <c r="CB120" s="18"/>
      <c r="CC120" s="18"/>
      <c r="CD120" s="18"/>
      <c r="CE120" s="18"/>
      <c r="CF120" s="18"/>
      <c r="CG120" s="18"/>
      <c r="CH120" s="18"/>
      <c r="CI120" s="18"/>
      <c r="CJ120" s="18"/>
      <c r="CK120" s="18"/>
      <c r="CL120" s="18"/>
      <c r="CM120" s="18"/>
      <c r="CN120" s="18"/>
      <c r="CO120" s="18"/>
      <c r="CP120" s="18"/>
      <c r="CQ120" s="18"/>
      <c r="CR120" s="18"/>
      <c r="CS120" s="18"/>
      <c r="CT120" s="18"/>
      <c r="CU120" s="18"/>
      <c r="CV120" s="18"/>
      <c r="CW120" s="18"/>
      <c r="CX120" s="18"/>
      <c r="CY120" s="18"/>
      <c r="CZ120" s="18"/>
      <c r="DA120" s="18"/>
      <c r="DB120" s="18"/>
      <c r="DC120" s="18"/>
      <c r="DD120" s="18"/>
      <c r="DE120" s="18"/>
      <c r="DF120" s="18"/>
      <c r="DG120" s="18"/>
      <c r="DH120" s="18"/>
      <c r="DI120" s="18"/>
      <c r="DJ120" s="18"/>
      <c r="DK120" s="18"/>
      <c r="DL120" s="18"/>
      <c r="DM120" s="18"/>
      <c r="DN120" s="18"/>
      <c r="DO120" s="18"/>
      <c r="DP120" s="18"/>
      <c r="DQ120" s="18"/>
      <c r="DR120" s="18"/>
      <c r="DS120" s="18"/>
      <c r="DT120" s="18"/>
      <c r="DU120" s="18"/>
      <c r="DV120" s="18"/>
      <c r="DW120" s="18"/>
      <c r="DX120" s="18"/>
      <c r="DY120" s="18"/>
      <c r="DZ120" s="18"/>
      <c r="EA120" s="18"/>
      <c r="EB120" s="18"/>
      <c r="EC120" s="18"/>
      <c r="ED120" s="18"/>
      <c r="EE120" s="18"/>
      <c r="EF120" s="18"/>
      <c r="EG120" s="18"/>
      <c r="EH120" s="18"/>
      <c r="EI120" s="18"/>
      <c r="EJ120" s="18"/>
      <c r="EK120" s="18"/>
      <c r="EL120" s="18"/>
      <c r="EM120" s="18"/>
      <c r="EN120" s="18"/>
      <c r="EO120" s="18"/>
      <c r="EP120" s="18"/>
      <c r="EQ120" s="18"/>
      <c r="ER120" s="18"/>
      <c r="ES120" s="18"/>
      <c r="ET120" s="18"/>
      <c r="EU120" s="18"/>
      <c r="EV120" s="18"/>
      <c r="EW120" s="18"/>
      <c r="EX120" s="18"/>
      <c r="EY120" s="18"/>
      <c r="EZ120" s="18"/>
      <c r="FA120" s="18"/>
      <c r="FB120" s="18"/>
      <c r="FC120" s="18"/>
      <c r="FD120" s="18"/>
      <c r="FE120" s="18"/>
      <c r="FF120" s="18"/>
      <c r="FG120" s="18"/>
      <c r="FH120" s="18"/>
      <c r="FI120" s="18"/>
      <c r="FJ120" s="18"/>
      <c r="FK120" s="18"/>
      <c r="FL120" s="18"/>
      <c r="FM120" s="18"/>
      <c r="FN120" s="18"/>
      <c r="FO120" s="18"/>
      <c r="FP120" s="18"/>
      <c r="FQ120" s="18"/>
      <c r="FR120" s="18"/>
      <c r="FS120" s="18"/>
    </row>
    <row r="121" spans="1:175">
      <c r="A121" s="28"/>
      <c r="B121" s="35" t="s">
        <v>121</v>
      </c>
      <c r="C121" s="28"/>
      <c r="D121" s="59"/>
      <c r="E121" s="38">
        <f>SUM(E73:E119)</f>
        <v>32479.790000000012</v>
      </c>
      <c r="F121" s="38">
        <f t="shared" ref="F121:V121" si="77">SUM(F73:F119)</f>
        <v>134536.24899999998</v>
      </c>
      <c r="G121" s="38">
        <f t="shared" si="77"/>
        <v>0</v>
      </c>
      <c r="H121" s="38">
        <f t="shared" si="77"/>
        <v>0</v>
      </c>
      <c r="I121" s="38">
        <f t="shared" si="77"/>
        <v>0</v>
      </c>
      <c r="J121" s="38">
        <f t="shared" si="77"/>
        <v>134536.24899999998</v>
      </c>
      <c r="K121" s="38">
        <f t="shared" si="77"/>
        <v>387.5</v>
      </c>
      <c r="L121" s="38">
        <f t="shared" si="77"/>
        <v>7</v>
      </c>
      <c r="M121" s="38">
        <f t="shared" si="77"/>
        <v>0</v>
      </c>
      <c r="N121" s="38">
        <f t="shared" si="77"/>
        <v>4700</v>
      </c>
      <c r="O121" s="38">
        <f t="shared" si="77"/>
        <v>0</v>
      </c>
      <c r="P121" s="38">
        <f t="shared" si="77"/>
        <v>0</v>
      </c>
      <c r="Q121" s="38">
        <f t="shared" si="77"/>
        <v>0</v>
      </c>
      <c r="R121" s="38">
        <f t="shared" si="77"/>
        <v>0</v>
      </c>
      <c r="S121" s="38">
        <f t="shared" si="77"/>
        <v>0</v>
      </c>
      <c r="T121" s="38">
        <f t="shared" si="77"/>
        <v>0</v>
      </c>
      <c r="U121" s="38">
        <f t="shared" si="77"/>
        <v>4789.84</v>
      </c>
      <c r="V121" s="38">
        <f t="shared" si="77"/>
        <v>120435.789</v>
      </c>
      <c r="W121" s="38">
        <f>SUM(W74:W118)</f>
        <v>8192.7228500000001</v>
      </c>
      <c r="X121" s="38">
        <f>SUM(X74:X118)</f>
        <v>75538.352200000008</v>
      </c>
      <c r="Y121" s="54"/>
      <c r="Z121" s="54"/>
      <c r="AA121" s="54"/>
      <c r="AB121" s="53"/>
      <c r="AC121" s="44"/>
      <c r="AD121" s="44"/>
      <c r="AE121" s="39"/>
      <c r="AF121" s="28"/>
      <c r="AG121" s="28"/>
      <c r="AJ121" s="18"/>
      <c r="AK121" s="18"/>
      <c r="AL121" s="18"/>
      <c r="AM121" s="18"/>
      <c r="AN121" s="18"/>
      <c r="AO121" s="18"/>
      <c r="AP121" s="18"/>
      <c r="AQ121" s="18"/>
      <c r="AR121" s="18"/>
      <c r="AS121" s="18"/>
      <c r="AT121" s="18"/>
      <c r="AU121" s="18"/>
      <c r="AV121" s="18"/>
      <c r="AW121" s="18"/>
      <c r="AX121" s="18"/>
      <c r="AY121" s="18"/>
      <c r="AZ121" s="18"/>
      <c r="BA121" s="18"/>
      <c r="BB121" s="18"/>
      <c r="BC121" s="18"/>
      <c r="BD121" s="18"/>
      <c r="BE121" s="18"/>
      <c r="BF121" s="18"/>
      <c r="BG121" s="18"/>
      <c r="BH121" s="18"/>
      <c r="BI121" s="18"/>
      <c r="BJ121" s="18"/>
      <c r="BK121" s="18"/>
      <c r="BL121" s="18"/>
      <c r="BM121" s="18"/>
      <c r="BN121" s="18"/>
      <c r="BO121" s="18"/>
      <c r="BP121" s="18"/>
      <c r="BQ121" s="18"/>
      <c r="BR121" s="18"/>
      <c r="BS121" s="18"/>
      <c r="BT121" s="18"/>
      <c r="BU121" s="18"/>
      <c r="BV121" s="18"/>
      <c r="BW121" s="18"/>
      <c r="BX121" s="18"/>
      <c r="BY121" s="18"/>
      <c r="BZ121" s="18"/>
      <c r="CA121" s="18"/>
      <c r="CB121" s="18"/>
      <c r="CC121" s="18"/>
      <c r="CD121" s="18"/>
      <c r="CE121" s="18"/>
      <c r="CF121" s="18"/>
      <c r="CG121" s="18"/>
      <c r="CH121" s="18"/>
      <c r="CI121" s="18"/>
      <c r="CJ121" s="18"/>
      <c r="CK121" s="18"/>
      <c r="CL121" s="18"/>
      <c r="CM121" s="18"/>
      <c r="CN121" s="18"/>
      <c r="CO121" s="18"/>
      <c r="CP121" s="18"/>
      <c r="CQ121" s="18"/>
      <c r="CR121" s="18"/>
      <c r="CS121" s="18"/>
      <c r="CT121" s="18"/>
      <c r="CU121" s="18"/>
      <c r="CV121" s="18"/>
      <c r="CW121" s="18"/>
      <c r="CX121" s="18"/>
      <c r="CY121" s="18"/>
      <c r="CZ121" s="18"/>
      <c r="DA121" s="18"/>
      <c r="DB121" s="18"/>
      <c r="DC121" s="18"/>
      <c r="DD121" s="18"/>
      <c r="DE121" s="18"/>
      <c r="DF121" s="18"/>
      <c r="DG121" s="18"/>
      <c r="DH121" s="18"/>
      <c r="DI121" s="18"/>
      <c r="DJ121" s="18"/>
      <c r="DK121" s="18"/>
      <c r="DL121" s="18"/>
      <c r="DM121" s="18"/>
      <c r="DN121" s="18"/>
      <c r="DO121" s="18"/>
      <c r="DP121" s="18"/>
      <c r="DQ121" s="18"/>
      <c r="DR121" s="18"/>
      <c r="DS121" s="18"/>
      <c r="DT121" s="18"/>
      <c r="DU121" s="18"/>
      <c r="DV121" s="18"/>
      <c r="DW121" s="18"/>
      <c r="DX121" s="18"/>
      <c r="DY121" s="18"/>
      <c r="DZ121" s="18"/>
      <c r="EA121" s="18"/>
      <c r="EB121" s="18"/>
      <c r="EC121" s="18"/>
      <c r="ED121" s="18"/>
      <c r="EE121" s="18"/>
      <c r="EF121" s="18"/>
      <c r="EG121" s="18"/>
      <c r="EH121" s="18"/>
      <c r="EI121" s="18"/>
      <c r="EJ121" s="18"/>
      <c r="EK121" s="18"/>
      <c r="EL121" s="18"/>
      <c r="EM121" s="18"/>
      <c r="EN121" s="18"/>
      <c r="EO121" s="18"/>
      <c r="EP121" s="18"/>
      <c r="EQ121" s="18"/>
      <c r="ER121" s="18"/>
      <c r="ES121" s="18"/>
      <c r="ET121" s="18"/>
      <c r="EU121" s="18"/>
      <c r="EV121" s="18"/>
      <c r="EW121" s="18"/>
      <c r="EX121" s="18"/>
      <c r="EY121" s="18"/>
      <c r="EZ121" s="18"/>
      <c r="FA121" s="18"/>
      <c r="FB121" s="18"/>
      <c r="FC121" s="18"/>
      <c r="FD121" s="18"/>
      <c r="FE121" s="18"/>
      <c r="FF121" s="18"/>
      <c r="FG121" s="18"/>
      <c r="FH121" s="18"/>
      <c r="FI121" s="18"/>
      <c r="FJ121" s="18"/>
      <c r="FK121" s="18"/>
      <c r="FL121" s="18"/>
      <c r="FM121" s="18"/>
      <c r="FN121" s="18"/>
      <c r="FO121" s="18"/>
      <c r="FP121" s="18"/>
      <c r="FQ121" s="18"/>
      <c r="FR121" s="18"/>
      <c r="FS121" s="18"/>
    </row>
    <row r="122" spans="1:175">
      <c r="B122" s="20"/>
      <c r="AB122" s="14" t="e">
        <f>+#REF!*0.16</f>
        <v>#REF!</v>
      </c>
      <c r="AJ122" s="18"/>
      <c r="AK122" s="18"/>
      <c r="AL122" s="18"/>
      <c r="AM122" s="18"/>
      <c r="AN122" s="18"/>
      <c r="AO122" s="18"/>
      <c r="AP122" s="18"/>
      <c r="AQ122" s="18"/>
      <c r="AR122" s="18"/>
      <c r="AS122" s="18"/>
      <c r="AT122" s="18"/>
      <c r="AU122" s="18"/>
      <c r="AV122" s="18"/>
      <c r="AW122" s="18"/>
      <c r="AX122" s="18"/>
      <c r="AY122" s="18"/>
      <c r="AZ122" s="18"/>
      <c r="BA122" s="18"/>
      <c r="BB122" s="18"/>
      <c r="BC122" s="18"/>
      <c r="BD122" s="18"/>
      <c r="BE122" s="18"/>
      <c r="BF122" s="18"/>
      <c r="BG122" s="18"/>
      <c r="BH122" s="18"/>
      <c r="BI122" s="18"/>
      <c r="BJ122" s="18"/>
      <c r="BK122" s="18"/>
      <c r="BL122" s="18"/>
      <c r="BM122" s="18"/>
      <c r="BN122" s="18"/>
      <c r="BO122" s="18"/>
      <c r="BP122" s="18"/>
      <c r="BQ122" s="18"/>
      <c r="BR122" s="18"/>
      <c r="BS122" s="18"/>
      <c r="BT122" s="18"/>
      <c r="BU122" s="18"/>
      <c r="BV122" s="18"/>
      <c r="BW122" s="18"/>
      <c r="BX122" s="18"/>
      <c r="BY122" s="18"/>
      <c r="BZ122" s="18"/>
      <c r="CA122" s="18"/>
      <c r="CB122" s="18"/>
      <c r="CC122" s="18"/>
      <c r="CD122" s="18"/>
      <c r="CE122" s="18"/>
      <c r="CF122" s="18"/>
      <c r="CG122" s="18"/>
      <c r="CH122" s="18"/>
      <c r="CI122" s="18"/>
      <c r="CJ122" s="18"/>
      <c r="CK122" s="18"/>
      <c r="CL122" s="18"/>
      <c r="CM122" s="18"/>
      <c r="CN122" s="18"/>
      <c r="CO122" s="18"/>
      <c r="CP122" s="18"/>
      <c r="CQ122" s="18"/>
      <c r="CR122" s="18"/>
      <c r="CS122" s="18"/>
      <c r="CT122" s="18"/>
      <c r="CU122" s="18"/>
      <c r="CV122" s="18"/>
      <c r="CW122" s="18"/>
      <c r="CX122" s="18"/>
      <c r="CY122" s="18"/>
      <c r="CZ122" s="18"/>
      <c r="DA122" s="18"/>
      <c r="DB122" s="18"/>
      <c r="DC122" s="18"/>
      <c r="DD122" s="18"/>
      <c r="DE122" s="18"/>
      <c r="DF122" s="18"/>
      <c r="DG122" s="18"/>
      <c r="DH122" s="18"/>
      <c r="DI122" s="18"/>
      <c r="DJ122" s="18"/>
      <c r="DK122" s="18"/>
      <c r="DL122" s="18"/>
      <c r="DM122" s="18"/>
      <c r="DN122" s="18"/>
      <c r="DO122" s="18"/>
      <c r="DP122" s="18"/>
      <c r="DQ122" s="18"/>
      <c r="DR122" s="18"/>
      <c r="DS122" s="18"/>
      <c r="DT122" s="18"/>
      <c r="DU122" s="18"/>
      <c r="DV122" s="18"/>
      <c r="DW122" s="18"/>
      <c r="DX122" s="18"/>
      <c r="DY122" s="18"/>
      <c r="DZ122" s="18"/>
      <c r="EA122" s="18"/>
      <c r="EB122" s="18"/>
      <c r="EC122" s="18"/>
      <c r="ED122" s="18"/>
      <c r="EE122" s="18"/>
      <c r="EF122" s="18"/>
      <c r="EG122" s="18"/>
      <c r="EH122" s="18"/>
      <c r="EI122" s="18"/>
      <c r="EJ122" s="18"/>
      <c r="EK122" s="18"/>
      <c r="EL122" s="18"/>
      <c r="EM122" s="18"/>
      <c r="EN122" s="18"/>
      <c r="EO122" s="18"/>
      <c r="EP122" s="18"/>
      <c r="EQ122" s="18"/>
      <c r="ER122" s="18"/>
      <c r="ES122" s="18"/>
      <c r="ET122" s="18"/>
      <c r="EU122" s="18"/>
      <c r="EV122" s="18"/>
      <c r="EW122" s="18"/>
      <c r="EX122" s="18"/>
      <c r="EY122" s="18"/>
      <c r="EZ122" s="18"/>
      <c r="FA122" s="18"/>
      <c r="FB122" s="18"/>
      <c r="FC122" s="18"/>
      <c r="FD122" s="18"/>
      <c r="FE122" s="18"/>
      <c r="FF122" s="18"/>
      <c r="FG122" s="18"/>
      <c r="FH122" s="18"/>
      <c r="FI122" s="18"/>
      <c r="FJ122" s="18"/>
      <c r="FK122" s="18"/>
      <c r="FL122" s="18"/>
      <c r="FM122" s="18"/>
      <c r="FN122" s="18"/>
      <c r="FO122" s="18"/>
      <c r="FP122" s="18"/>
      <c r="FQ122" s="18"/>
      <c r="FR122" s="18"/>
      <c r="FS122" s="18"/>
    </row>
    <row r="123" spans="1:175">
      <c r="AJ123" s="18"/>
      <c r="AK123" s="18"/>
      <c r="AL123" s="18"/>
      <c r="AM123" s="18"/>
      <c r="AN123" s="18"/>
      <c r="AO123" s="18"/>
      <c r="AP123" s="18"/>
      <c r="AQ123" s="18"/>
      <c r="AR123" s="18"/>
      <c r="AS123" s="18"/>
      <c r="AT123" s="18"/>
      <c r="AU123" s="18"/>
      <c r="AV123" s="18"/>
      <c r="AW123" s="18"/>
      <c r="AX123" s="18"/>
      <c r="AY123" s="18"/>
      <c r="AZ123" s="18"/>
      <c r="BA123" s="18"/>
      <c r="BB123" s="18"/>
      <c r="BC123" s="18"/>
      <c r="BD123" s="18"/>
      <c r="BE123" s="18"/>
      <c r="BF123" s="18"/>
      <c r="BG123" s="18"/>
      <c r="BH123" s="18"/>
      <c r="BI123" s="18"/>
      <c r="BJ123" s="18"/>
      <c r="BK123" s="18"/>
      <c r="BL123" s="18"/>
      <c r="BM123" s="18"/>
      <c r="BN123" s="18"/>
      <c r="BO123" s="18"/>
      <c r="BP123" s="18"/>
      <c r="BQ123" s="18"/>
      <c r="BR123" s="18"/>
      <c r="BS123" s="18"/>
      <c r="BT123" s="18"/>
      <c r="BU123" s="18"/>
      <c r="BV123" s="18"/>
      <c r="BW123" s="18"/>
      <c r="BX123" s="18"/>
      <c r="BY123" s="18"/>
      <c r="BZ123" s="18"/>
      <c r="CA123" s="18"/>
      <c r="CB123" s="18"/>
      <c r="CC123" s="18"/>
      <c r="CD123" s="18"/>
      <c r="CE123" s="18"/>
      <c r="CF123" s="18"/>
      <c r="CG123" s="18"/>
      <c r="CH123" s="18"/>
      <c r="CI123" s="18"/>
      <c r="CJ123" s="18"/>
      <c r="CK123" s="18"/>
      <c r="CL123" s="18"/>
      <c r="CM123" s="18"/>
      <c r="CN123" s="18"/>
      <c r="CO123" s="18"/>
      <c r="CP123" s="18"/>
      <c r="CQ123" s="18"/>
      <c r="CR123" s="18"/>
      <c r="CS123" s="18"/>
      <c r="CT123" s="18"/>
      <c r="CU123" s="18"/>
      <c r="CV123" s="18"/>
      <c r="CW123" s="18"/>
      <c r="CX123" s="18"/>
      <c r="CY123" s="18"/>
      <c r="CZ123" s="18"/>
      <c r="DA123" s="18"/>
      <c r="DB123" s="18"/>
      <c r="DC123" s="18"/>
      <c r="DD123" s="18"/>
      <c r="DE123" s="18"/>
      <c r="DF123" s="18"/>
      <c r="DG123" s="18"/>
      <c r="DH123" s="18"/>
      <c r="DI123" s="18"/>
      <c r="DJ123" s="18"/>
      <c r="DK123" s="18"/>
      <c r="DL123" s="18"/>
      <c r="DM123" s="18"/>
      <c r="DN123" s="18"/>
      <c r="DO123" s="18"/>
      <c r="DP123" s="18"/>
      <c r="DQ123" s="18"/>
      <c r="DR123" s="18"/>
      <c r="DS123" s="18"/>
      <c r="DT123" s="18"/>
      <c r="DU123" s="18"/>
      <c r="DV123" s="18"/>
      <c r="DW123" s="18"/>
      <c r="DX123" s="18"/>
      <c r="DY123" s="18"/>
      <c r="DZ123" s="18"/>
      <c r="EA123" s="18"/>
      <c r="EB123" s="18"/>
      <c r="EC123" s="18"/>
      <c r="ED123" s="18"/>
      <c r="EE123" s="18"/>
      <c r="EF123" s="18"/>
      <c r="EG123" s="18"/>
      <c r="EH123" s="18"/>
      <c r="EI123" s="18"/>
      <c r="EJ123" s="18"/>
      <c r="EK123" s="18"/>
      <c r="EL123" s="18"/>
      <c r="EM123" s="18"/>
      <c r="EN123" s="18"/>
      <c r="EO123" s="18"/>
      <c r="EP123" s="18"/>
      <c r="EQ123" s="18"/>
      <c r="ER123" s="18"/>
      <c r="ES123" s="18"/>
      <c r="ET123" s="18"/>
      <c r="EU123" s="18"/>
      <c r="EV123" s="18"/>
      <c r="EW123" s="18"/>
      <c r="EX123" s="18"/>
      <c r="EY123" s="18"/>
      <c r="EZ123" s="18"/>
      <c r="FA123" s="18"/>
      <c r="FB123" s="18"/>
      <c r="FC123" s="18"/>
      <c r="FD123" s="18"/>
      <c r="FE123" s="18"/>
      <c r="FF123" s="18"/>
      <c r="FG123" s="18"/>
      <c r="FH123" s="18"/>
      <c r="FI123" s="18"/>
      <c r="FJ123" s="18"/>
      <c r="FK123" s="18"/>
      <c r="FL123" s="18"/>
      <c r="FM123" s="18"/>
      <c r="FN123" s="18"/>
      <c r="FO123" s="18"/>
      <c r="FP123" s="18"/>
      <c r="FQ123" s="18"/>
      <c r="FR123" s="18"/>
      <c r="FS123" s="18"/>
    </row>
    <row r="124" spans="1:175">
      <c r="AJ124" s="18"/>
      <c r="AK124" s="18"/>
      <c r="AL124" s="18"/>
      <c r="AM124" s="18"/>
      <c r="AN124" s="18"/>
      <c r="AO124" s="18"/>
      <c r="AP124" s="18"/>
      <c r="AQ124" s="18"/>
      <c r="AR124" s="18"/>
      <c r="AS124" s="18"/>
      <c r="AT124" s="18"/>
      <c r="AU124" s="18"/>
      <c r="AV124" s="18"/>
      <c r="AW124" s="18"/>
      <c r="AX124" s="18"/>
      <c r="AY124" s="18"/>
      <c r="AZ124" s="18"/>
      <c r="BA124" s="18"/>
      <c r="BB124" s="18"/>
      <c r="BC124" s="18"/>
      <c r="BD124" s="18"/>
      <c r="BE124" s="18"/>
      <c r="BF124" s="18"/>
      <c r="BG124" s="18"/>
      <c r="BH124" s="18"/>
      <c r="BI124" s="18"/>
      <c r="BJ124" s="18"/>
      <c r="BK124" s="18"/>
      <c r="BL124" s="18"/>
      <c r="BM124" s="18"/>
      <c r="BN124" s="18"/>
      <c r="BO124" s="18"/>
      <c r="BP124" s="18"/>
      <c r="BQ124" s="18"/>
      <c r="BR124" s="18"/>
      <c r="BS124" s="18"/>
      <c r="BT124" s="18"/>
      <c r="BU124" s="18"/>
      <c r="BV124" s="18"/>
      <c r="BW124" s="18"/>
      <c r="BX124" s="18"/>
      <c r="BY124" s="18"/>
      <c r="BZ124" s="18"/>
      <c r="CA124" s="18"/>
      <c r="CB124" s="18"/>
      <c r="CC124" s="18"/>
      <c r="CD124" s="18"/>
      <c r="CE124" s="18"/>
      <c r="CF124" s="18"/>
      <c r="CG124" s="18"/>
      <c r="CH124" s="18"/>
      <c r="CI124" s="18"/>
      <c r="CJ124" s="18"/>
      <c r="CK124" s="18"/>
      <c r="CL124" s="18"/>
      <c r="CM124" s="18"/>
      <c r="CN124" s="18"/>
      <c r="CO124" s="18"/>
      <c r="CP124" s="18"/>
      <c r="CQ124" s="18"/>
      <c r="CR124" s="18"/>
      <c r="CS124" s="18"/>
      <c r="CT124" s="18"/>
      <c r="CU124" s="18"/>
      <c r="CV124" s="18"/>
      <c r="CW124" s="18"/>
      <c r="CX124" s="18"/>
      <c r="CY124" s="18"/>
      <c r="CZ124" s="18"/>
      <c r="DA124" s="18"/>
      <c r="DB124" s="18"/>
      <c r="DC124" s="18"/>
      <c r="DD124" s="18"/>
      <c r="DE124" s="18"/>
      <c r="DF124" s="18"/>
      <c r="DG124" s="18"/>
      <c r="DH124" s="18"/>
      <c r="DI124" s="18"/>
      <c r="DJ124" s="18"/>
      <c r="DK124" s="18"/>
      <c r="DL124" s="18"/>
      <c r="DM124" s="18"/>
      <c r="DN124" s="18"/>
      <c r="DO124" s="18"/>
      <c r="DP124" s="18"/>
      <c r="DQ124" s="18"/>
      <c r="DR124" s="18"/>
      <c r="DS124" s="18"/>
      <c r="DT124" s="18"/>
      <c r="DU124" s="18"/>
      <c r="DV124" s="18"/>
      <c r="DW124" s="18"/>
      <c r="DX124" s="18"/>
      <c r="DY124" s="18"/>
      <c r="DZ124" s="18"/>
      <c r="EA124" s="18"/>
      <c r="EB124" s="18"/>
      <c r="EC124" s="18"/>
      <c r="ED124" s="18"/>
      <c r="EE124" s="18"/>
      <c r="EF124" s="18"/>
      <c r="EG124" s="18"/>
      <c r="EH124" s="18"/>
      <c r="EI124" s="18"/>
      <c r="EJ124" s="18"/>
      <c r="EK124" s="18"/>
      <c r="EL124" s="18"/>
      <c r="EM124" s="18"/>
      <c r="EN124" s="18"/>
      <c r="EO124" s="18"/>
      <c r="EP124" s="18"/>
      <c r="EQ124" s="18"/>
      <c r="ER124" s="18"/>
      <c r="ES124" s="18"/>
      <c r="ET124" s="18"/>
      <c r="EU124" s="18"/>
      <c r="EV124" s="18"/>
      <c r="EW124" s="18"/>
      <c r="EX124" s="18"/>
      <c r="EY124" s="18"/>
      <c r="EZ124" s="18"/>
      <c r="FA124" s="18"/>
      <c r="FB124" s="18"/>
      <c r="FC124" s="18"/>
      <c r="FD124" s="18"/>
      <c r="FE124" s="18"/>
      <c r="FF124" s="18"/>
      <c r="FG124" s="18"/>
      <c r="FH124" s="18"/>
      <c r="FI124" s="18"/>
      <c r="FJ124" s="18"/>
      <c r="FK124" s="18"/>
      <c r="FL124" s="18"/>
      <c r="FM124" s="18"/>
      <c r="FN124" s="18"/>
      <c r="FO124" s="18"/>
      <c r="FP124" s="18"/>
      <c r="FQ124" s="18"/>
      <c r="FR124" s="18"/>
      <c r="FS124" s="18"/>
    </row>
    <row r="125" spans="1:175">
      <c r="AJ125" s="18"/>
      <c r="AK125" s="18"/>
      <c r="AL125" s="18"/>
      <c r="AM125" s="18"/>
      <c r="AN125" s="18"/>
      <c r="AO125" s="18"/>
      <c r="AP125" s="18"/>
      <c r="AQ125" s="18"/>
      <c r="AR125" s="18"/>
      <c r="AS125" s="18"/>
      <c r="AT125" s="18"/>
      <c r="AU125" s="18"/>
      <c r="AV125" s="18"/>
      <c r="AW125" s="18"/>
      <c r="AX125" s="18"/>
      <c r="AY125" s="18"/>
      <c r="AZ125" s="18"/>
      <c r="BA125" s="18"/>
      <c r="BB125" s="18"/>
      <c r="BC125" s="18"/>
      <c r="BD125" s="18"/>
      <c r="BE125" s="18"/>
      <c r="BF125" s="18"/>
      <c r="BG125" s="18"/>
      <c r="BH125" s="18"/>
      <c r="BI125" s="18"/>
      <c r="BJ125" s="18"/>
      <c r="BK125" s="18"/>
      <c r="BL125" s="18"/>
      <c r="BM125" s="18"/>
      <c r="BN125" s="18"/>
      <c r="BO125" s="18"/>
      <c r="BP125" s="18"/>
      <c r="BQ125" s="18"/>
      <c r="BR125" s="18"/>
      <c r="BS125" s="18"/>
      <c r="BT125" s="18"/>
      <c r="BU125" s="18"/>
      <c r="BV125" s="18"/>
      <c r="BW125" s="18"/>
      <c r="BX125" s="18"/>
      <c r="BY125" s="18"/>
      <c r="BZ125" s="18"/>
      <c r="CA125" s="18"/>
      <c r="CB125" s="18"/>
      <c r="CC125" s="18"/>
      <c r="CD125" s="18"/>
      <c r="CE125" s="18"/>
      <c r="CF125" s="18"/>
      <c r="CG125" s="18"/>
      <c r="CH125" s="18"/>
      <c r="CI125" s="18"/>
      <c r="CJ125" s="18"/>
      <c r="CK125" s="18"/>
      <c r="CL125" s="18"/>
      <c r="CM125" s="18"/>
      <c r="CN125" s="18"/>
      <c r="CO125" s="18"/>
      <c r="CP125" s="18"/>
      <c r="CQ125" s="18"/>
      <c r="CR125" s="18"/>
      <c r="CS125" s="18"/>
      <c r="CT125" s="18"/>
      <c r="CU125" s="18"/>
      <c r="CV125" s="18"/>
      <c r="CW125" s="18"/>
      <c r="CX125" s="18"/>
      <c r="CY125" s="18"/>
      <c r="CZ125" s="18"/>
      <c r="DA125" s="18"/>
      <c r="DB125" s="18"/>
      <c r="DC125" s="18"/>
      <c r="DD125" s="18"/>
      <c r="DE125" s="18"/>
      <c r="DF125" s="18"/>
      <c r="DG125" s="18"/>
      <c r="DH125" s="18"/>
      <c r="DI125" s="18"/>
      <c r="DJ125" s="18"/>
      <c r="DK125" s="18"/>
      <c r="DL125" s="18"/>
      <c r="DM125" s="18"/>
      <c r="DN125" s="18"/>
      <c r="DO125" s="18"/>
      <c r="DP125" s="18"/>
      <c r="DQ125" s="18"/>
      <c r="DR125" s="18"/>
      <c r="DS125" s="18"/>
      <c r="DT125" s="18"/>
      <c r="DU125" s="18"/>
      <c r="DV125" s="18"/>
      <c r="DW125" s="18"/>
      <c r="DX125" s="18"/>
      <c r="DY125" s="18"/>
      <c r="DZ125" s="18"/>
      <c r="EA125" s="18"/>
      <c r="EB125" s="18"/>
      <c r="EC125" s="18"/>
      <c r="ED125" s="18"/>
      <c r="EE125" s="18"/>
      <c r="EF125" s="18"/>
      <c r="EG125" s="18"/>
      <c r="EH125" s="18"/>
      <c r="EI125" s="18"/>
      <c r="EJ125" s="18"/>
      <c r="EK125" s="18"/>
      <c r="EL125" s="18"/>
      <c r="EM125" s="18"/>
      <c r="EN125" s="18"/>
      <c r="EO125" s="18"/>
      <c r="EP125" s="18"/>
      <c r="EQ125" s="18"/>
      <c r="ER125" s="18"/>
      <c r="ES125" s="18"/>
      <c r="ET125" s="18"/>
      <c r="EU125" s="18"/>
      <c r="EV125" s="18"/>
      <c r="EW125" s="18"/>
      <c r="EX125" s="18"/>
      <c r="EY125" s="18"/>
      <c r="EZ125" s="18"/>
      <c r="FA125" s="18"/>
      <c r="FB125" s="18"/>
      <c r="FC125" s="18"/>
      <c r="FD125" s="18"/>
      <c r="FE125" s="18"/>
      <c r="FF125" s="18"/>
      <c r="FG125" s="18"/>
      <c r="FH125" s="18"/>
      <c r="FI125" s="18"/>
      <c r="FJ125" s="18"/>
      <c r="FK125" s="18"/>
      <c r="FL125" s="18"/>
      <c r="FM125" s="18"/>
      <c r="FN125" s="18"/>
      <c r="FO125" s="18"/>
      <c r="FP125" s="18"/>
      <c r="FQ125" s="18"/>
      <c r="FR125" s="18"/>
      <c r="FS125" s="18"/>
    </row>
    <row r="126" spans="1:175" ht="23.25">
      <c r="A126" s="108" t="s">
        <v>25</v>
      </c>
      <c r="B126" s="108"/>
      <c r="AJ126" s="18"/>
      <c r="AK126" s="18"/>
      <c r="AL126" s="18"/>
      <c r="AM126" s="18"/>
      <c r="AN126" s="18"/>
      <c r="AO126" s="18"/>
      <c r="AP126" s="18"/>
      <c r="AQ126" s="18"/>
      <c r="AR126" s="18"/>
      <c r="AS126" s="18"/>
      <c r="AT126" s="18"/>
      <c r="AU126" s="18"/>
      <c r="AV126" s="18"/>
      <c r="AW126" s="18"/>
      <c r="AX126" s="18"/>
      <c r="AY126" s="18"/>
      <c r="AZ126" s="18"/>
      <c r="BA126" s="18"/>
      <c r="BB126" s="18"/>
      <c r="BC126" s="18"/>
      <c r="BD126" s="18"/>
      <c r="BE126" s="18"/>
      <c r="BF126" s="18"/>
      <c r="BG126" s="18"/>
      <c r="BH126" s="18"/>
      <c r="BI126" s="18"/>
      <c r="BJ126" s="18"/>
      <c r="BK126" s="18"/>
      <c r="BL126" s="18"/>
      <c r="BM126" s="18"/>
      <c r="BN126" s="18"/>
      <c r="BO126" s="18"/>
      <c r="BP126" s="18"/>
      <c r="BQ126" s="18"/>
      <c r="BR126" s="18"/>
      <c r="BS126" s="18"/>
      <c r="BT126" s="18"/>
      <c r="BU126" s="18"/>
      <c r="BV126" s="18"/>
      <c r="BW126" s="18"/>
      <c r="BX126" s="18"/>
      <c r="BY126" s="18"/>
      <c r="BZ126" s="18"/>
      <c r="CA126" s="18"/>
      <c r="CB126" s="18"/>
      <c r="CC126" s="18"/>
      <c r="CD126" s="18"/>
      <c r="CE126" s="18"/>
      <c r="CF126" s="18"/>
      <c r="CG126" s="18"/>
      <c r="CH126" s="18"/>
      <c r="CI126" s="18"/>
      <c r="CJ126" s="18"/>
      <c r="CK126" s="18"/>
      <c r="CL126" s="18"/>
      <c r="CM126" s="18"/>
      <c r="CN126" s="18"/>
      <c r="CO126" s="18"/>
      <c r="CP126" s="18"/>
      <c r="CQ126" s="18"/>
      <c r="CR126" s="18"/>
      <c r="CS126" s="18"/>
      <c r="CT126" s="18"/>
      <c r="CU126" s="18"/>
      <c r="CV126" s="18"/>
      <c r="CW126" s="18"/>
      <c r="CX126" s="18"/>
      <c r="CY126" s="18"/>
      <c r="CZ126" s="18"/>
      <c r="DA126" s="18"/>
      <c r="DB126" s="18"/>
      <c r="DC126" s="18"/>
      <c r="DD126" s="18"/>
      <c r="DE126" s="18"/>
      <c r="DF126" s="18"/>
      <c r="DG126" s="18"/>
      <c r="DH126" s="18"/>
      <c r="DI126" s="18"/>
      <c r="DJ126" s="18"/>
      <c r="DK126" s="18"/>
      <c r="DL126" s="18"/>
      <c r="DM126" s="18"/>
      <c r="DN126" s="18"/>
      <c r="DO126" s="18"/>
      <c r="DP126" s="18"/>
      <c r="DQ126" s="18"/>
      <c r="DR126" s="18"/>
      <c r="DS126" s="18"/>
      <c r="DT126" s="18"/>
      <c r="DU126" s="18"/>
      <c r="DV126" s="18"/>
      <c r="DW126" s="18"/>
      <c r="DX126" s="18"/>
      <c r="DY126" s="18"/>
      <c r="DZ126" s="18"/>
      <c r="EA126" s="18"/>
      <c r="EB126" s="18"/>
      <c r="EC126" s="18"/>
      <c r="ED126" s="18"/>
      <c r="EE126" s="18"/>
      <c r="EF126" s="18"/>
      <c r="EG126" s="18"/>
      <c r="EH126" s="18"/>
      <c r="EI126" s="18"/>
      <c r="EJ126" s="18"/>
      <c r="EK126" s="18"/>
      <c r="EL126" s="18"/>
      <c r="EM126" s="18"/>
      <c r="EN126" s="18"/>
      <c r="EO126" s="18"/>
      <c r="EP126" s="18"/>
      <c r="EQ126" s="18"/>
      <c r="ER126" s="18"/>
      <c r="ES126" s="18"/>
      <c r="ET126" s="18"/>
      <c r="EU126" s="18"/>
      <c r="EV126" s="18"/>
      <c r="EW126" s="18"/>
      <c r="EX126" s="18"/>
      <c r="EY126" s="18"/>
      <c r="EZ126" s="18"/>
      <c r="FA126" s="18"/>
      <c r="FB126" s="18"/>
      <c r="FC126" s="18"/>
      <c r="FD126" s="18"/>
      <c r="FE126" s="18"/>
      <c r="FF126" s="18"/>
      <c r="FG126" s="18"/>
      <c r="FH126" s="18"/>
      <c r="FI126" s="18"/>
      <c r="FJ126" s="18"/>
      <c r="FK126" s="18"/>
      <c r="FL126" s="18"/>
      <c r="FM126" s="18"/>
      <c r="FN126" s="18"/>
      <c r="FO126" s="18"/>
      <c r="FP126" s="18"/>
      <c r="FQ126" s="18"/>
      <c r="FR126" s="18"/>
      <c r="FS126" s="18"/>
    </row>
    <row r="127" spans="1:175" s="18" customFormat="1" ht="15.75">
      <c r="A127" s="64" t="s">
        <v>39</v>
      </c>
      <c r="B127" s="64" t="s">
        <v>111</v>
      </c>
      <c r="C127" s="64" t="s">
        <v>43</v>
      </c>
      <c r="D127" s="49">
        <v>42199</v>
      </c>
      <c r="E127" s="34">
        <v>1633</v>
      </c>
      <c r="F127" s="34">
        <v>1200</v>
      </c>
      <c r="G127" s="34"/>
      <c r="H127" s="34"/>
      <c r="I127" s="34"/>
      <c r="J127" s="46">
        <f t="shared" ref="J127:J131" si="78">SUM(F127:I127)</f>
        <v>1200</v>
      </c>
      <c r="K127" s="34"/>
      <c r="L127" s="60"/>
      <c r="M127" s="34"/>
      <c r="N127" s="34">
        <v>150</v>
      </c>
      <c r="O127" s="61"/>
      <c r="P127" s="61"/>
      <c r="Q127" s="34"/>
      <c r="R127" s="32"/>
      <c r="S127" s="62"/>
      <c r="T127" s="33"/>
      <c r="U127" s="57"/>
      <c r="V127" s="46">
        <f t="shared" ref="V127:V131" si="79">+J127-SUM(K127:U127)</f>
        <v>1050</v>
      </c>
      <c r="W127" s="32">
        <v>0</v>
      </c>
      <c r="X127" s="46">
        <v>-150</v>
      </c>
      <c r="Y127" s="32"/>
      <c r="Z127" s="32"/>
      <c r="AA127" s="32"/>
      <c r="AB127" s="46"/>
      <c r="AC127" s="52"/>
      <c r="AD127" s="50"/>
      <c r="AE127" s="47"/>
      <c r="AF127" s="33">
        <v>60590405464</v>
      </c>
      <c r="AG127" s="65"/>
    </row>
    <row r="128" spans="1:175">
      <c r="A128" s="64" t="s">
        <v>37</v>
      </c>
      <c r="B128" s="64" t="s">
        <v>103</v>
      </c>
      <c r="C128" s="64" t="s">
        <v>43</v>
      </c>
      <c r="D128" s="49">
        <v>34275</v>
      </c>
      <c r="E128" s="34">
        <v>1633</v>
      </c>
      <c r="F128" s="34"/>
      <c r="G128" s="34"/>
      <c r="H128" s="34"/>
      <c r="I128" s="34"/>
      <c r="J128" s="46">
        <f t="shared" si="78"/>
        <v>0</v>
      </c>
      <c r="K128" s="34"/>
      <c r="L128" s="60"/>
      <c r="M128" s="34"/>
      <c r="N128" s="34"/>
      <c r="O128" s="61"/>
      <c r="P128" s="61"/>
      <c r="Q128" s="34"/>
      <c r="R128" s="32"/>
      <c r="S128" s="32"/>
      <c r="T128" s="33"/>
      <c r="U128" s="33"/>
      <c r="V128" s="46">
        <f t="shared" si="79"/>
        <v>0</v>
      </c>
      <c r="W128" s="32">
        <v>0</v>
      </c>
      <c r="X128" s="46">
        <v>0</v>
      </c>
      <c r="Y128" s="54"/>
      <c r="Z128" s="54"/>
      <c r="AA128" s="54"/>
      <c r="AB128" s="53"/>
      <c r="AC128" s="44"/>
      <c r="AD128" s="44"/>
      <c r="AE128" s="39"/>
      <c r="AF128" s="28">
        <v>60590317373</v>
      </c>
      <c r="AG128" s="65"/>
      <c r="AJ128" s="18"/>
      <c r="AK128" s="18"/>
      <c r="AL128" s="18"/>
      <c r="AM128" s="18"/>
      <c r="AN128" s="18"/>
      <c r="AO128" s="18"/>
      <c r="AP128" s="18"/>
      <c r="AQ128" s="18"/>
      <c r="AR128" s="18"/>
      <c r="AS128" s="18"/>
      <c r="AT128" s="18"/>
      <c r="AU128" s="18"/>
      <c r="AV128" s="18"/>
      <c r="AW128" s="18"/>
      <c r="AX128" s="18"/>
      <c r="AY128" s="18"/>
      <c r="AZ128" s="18"/>
      <c r="BA128" s="18"/>
      <c r="BB128" s="18"/>
      <c r="BC128" s="18"/>
      <c r="BD128" s="18"/>
      <c r="BE128" s="18"/>
      <c r="BF128" s="18"/>
      <c r="BG128" s="18"/>
      <c r="BH128" s="18"/>
      <c r="BI128" s="18"/>
      <c r="BJ128" s="18"/>
      <c r="BK128" s="18"/>
      <c r="BL128" s="18"/>
      <c r="BM128" s="18"/>
      <c r="BN128" s="18"/>
      <c r="BO128" s="18"/>
      <c r="BP128" s="18"/>
      <c r="BQ128" s="18"/>
      <c r="BR128" s="18"/>
      <c r="BS128" s="18"/>
      <c r="BT128" s="18"/>
      <c r="BU128" s="18"/>
      <c r="BV128" s="18"/>
      <c r="BW128" s="18"/>
      <c r="BX128" s="18"/>
      <c r="BY128" s="18"/>
      <c r="BZ128" s="18"/>
      <c r="CA128" s="18"/>
      <c r="CB128" s="18"/>
      <c r="CC128" s="18"/>
      <c r="CD128" s="18"/>
      <c r="CE128" s="18"/>
      <c r="CF128" s="18"/>
      <c r="CG128" s="18"/>
      <c r="CH128" s="18"/>
      <c r="CI128" s="18"/>
      <c r="CJ128" s="18"/>
      <c r="CK128" s="18"/>
      <c r="CL128" s="18"/>
      <c r="CM128" s="18"/>
      <c r="CN128" s="18"/>
      <c r="CO128" s="18"/>
      <c r="CP128" s="18"/>
      <c r="CQ128" s="18"/>
      <c r="CR128" s="18"/>
      <c r="CS128" s="18"/>
      <c r="CT128" s="18"/>
      <c r="CU128" s="18"/>
      <c r="CV128" s="18"/>
      <c r="CW128" s="18"/>
      <c r="CX128" s="18"/>
      <c r="CY128" s="18"/>
      <c r="CZ128" s="18"/>
      <c r="DA128" s="18"/>
      <c r="DB128" s="18"/>
      <c r="DC128" s="18"/>
      <c r="DD128" s="18"/>
      <c r="DE128" s="18"/>
      <c r="DF128" s="18"/>
      <c r="DG128" s="18"/>
      <c r="DH128" s="18"/>
      <c r="DI128" s="18"/>
      <c r="DJ128" s="18"/>
      <c r="DK128" s="18"/>
      <c r="DL128" s="18"/>
      <c r="DM128" s="18"/>
      <c r="DN128" s="18"/>
      <c r="DO128" s="18"/>
      <c r="DP128" s="18"/>
      <c r="DQ128" s="18"/>
      <c r="DR128" s="18"/>
      <c r="DS128" s="18"/>
      <c r="DT128" s="18"/>
      <c r="DU128" s="18"/>
      <c r="DV128" s="18"/>
      <c r="DW128" s="18"/>
      <c r="DX128" s="18"/>
      <c r="DY128" s="18"/>
      <c r="DZ128" s="18"/>
      <c r="EA128" s="18"/>
      <c r="EB128" s="18"/>
      <c r="EC128" s="18"/>
      <c r="ED128" s="18"/>
      <c r="EE128" s="18"/>
      <c r="EF128" s="18"/>
      <c r="EG128" s="18"/>
      <c r="EH128" s="18"/>
      <c r="EI128" s="18"/>
      <c r="EJ128" s="18"/>
      <c r="EK128" s="18"/>
      <c r="EL128" s="18"/>
      <c r="EM128" s="18"/>
      <c r="EN128" s="18"/>
      <c r="EO128" s="18"/>
      <c r="EP128" s="18"/>
      <c r="EQ128" s="18"/>
      <c r="ER128" s="18"/>
      <c r="ES128" s="18"/>
      <c r="ET128" s="18"/>
      <c r="EU128" s="18"/>
      <c r="EV128" s="18"/>
      <c r="EW128" s="18"/>
      <c r="EX128" s="18"/>
      <c r="EY128" s="18"/>
      <c r="EZ128" s="18"/>
      <c r="FA128" s="18"/>
      <c r="FB128" s="18"/>
      <c r="FC128" s="18"/>
      <c r="FD128" s="18"/>
      <c r="FE128" s="18"/>
      <c r="FF128" s="18"/>
      <c r="FG128" s="18"/>
      <c r="FH128" s="18"/>
      <c r="FI128" s="18"/>
      <c r="FJ128" s="18"/>
      <c r="FK128" s="18"/>
      <c r="FL128" s="18"/>
      <c r="FM128" s="18"/>
      <c r="FN128" s="18"/>
      <c r="FO128" s="18"/>
      <c r="FP128" s="18"/>
      <c r="FQ128" s="18"/>
      <c r="FR128" s="18"/>
      <c r="FS128" s="18"/>
    </row>
    <row r="129" spans="1:175">
      <c r="A129" s="64" t="s">
        <v>39</v>
      </c>
      <c r="B129" s="64" t="s">
        <v>119</v>
      </c>
      <c r="C129" s="64" t="s">
        <v>120</v>
      </c>
      <c r="D129" s="49">
        <v>38825</v>
      </c>
      <c r="E129" s="34">
        <v>2100</v>
      </c>
      <c r="F129" s="34"/>
      <c r="G129" s="34"/>
      <c r="H129" s="34"/>
      <c r="I129" s="34"/>
      <c r="J129" s="46">
        <f t="shared" si="78"/>
        <v>0</v>
      </c>
      <c r="K129" s="34"/>
      <c r="L129" s="60"/>
      <c r="M129" s="34"/>
      <c r="N129" s="34"/>
      <c r="O129" s="61"/>
      <c r="P129" s="61"/>
      <c r="Q129" s="34"/>
      <c r="R129" s="32"/>
      <c r="S129" s="32"/>
      <c r="T129" s="33"/>
      <c r="U129" s="33"/>
      <c r="V129" s="46">
        <f t="shared" si="79"/>
        <v>0</v>
      </c>
      <c r="W129" s="32"/>
      <c r="X129" s="46"/>
      <c r="Y129" s="54"/>
      <c r="Z129" s="54"/>
      <c r="AA129" s="54"/>
      <c r="AB129" s="53"/>
      <c r="AC129" s="44"/>
      <c r="AD129" s="44"/>
      <c r="AE129" s="39"/>
      <c r="AF129" s="28">
        <v>56708845376</v>
      </c>
      <c r="AG129" s="65"/>
      <c r="AJ129" s="18"/>
      <c r="AK129" s="18"/>
      <c r="AL129" s="18"/>
      <c r="AM129" s="18"/>
      <c r="AN129" s="18"/>
      <c r="AO129" s="18"/>
      <c r="AP129" s="18"/>
      <c r="AQ129" s="18"/>
      <c r="AR129" s="18"/>
      <c r="AS129" s="18"/>
      <c r="AT129" s="18"/>
      <c r="AU129" s="18"/>
      <c r="AV129" s="18"/>
      <c r="AW129" s="18"/>
      <c r="AX129" s="18"/>
      <c r="AY129" s="18"/>
      <c r="AZ129" s="18"/>
      <c r="BA129" s="18"/>
      <c r="BB129" s="18"/>
      <c r="BC129" s="18"/>
      <c r="BD129" s="18"/>
      <c r="BE129" s="18"/>
      <c r="BF129" s="18"/>
      <c r="BG129" s="18"/>
      <c r="BH129" s="18"/>
      <c r="BI129" s="18"/>
      <c r="BJ129" s="18"/>
      <c r="BK129" s="18"/>
      <c r="BL129" s="18"/>
      <c r="BM129" s="18"/>
      <c r="BN129" s="18"/>
      <c r="BO129" s="18"/>
      <c r="BP129" s="18"/>
      <c r="BQ129" s="18"/>
      <c r="BR129" s="18"/>
      <c r="BS129" s="18"/>
      <c r="BT129" s="18"/>
      <c r="BU129" s="18"/>
      <c r="BV129" s="18"/>
      <c r="BW129" s="18"/>
      <c r="BX129" s="18"/>
      <c r="BY129" s="18"/>
      <c r="BZ129" s="18"/>
      <c r="CA129" s="18"/>
      <c r="CB129" s="18"/>
      <c r="CC129" s="18"/>
      <c r="CD129" s="18"/>
      <c r="CE129" s="18"/>
      <c r="CF129" s="18"/>
      <c r="CG129" s="18"/>
      <c r="CH129" s="18"/>
      <c r="CI129" s="18"/>
      <c r="CJ129" s="18"/>
      <c r="CK129" s="18"/>
      <c r="CL129" s="18"/>
      <c r="CM129" s="18"/>
      <c r="CN129" s="18"/>
      <c r="CO129" s="18"/>
      <c r="CP129" s="18"/>
      <c r="CQ129" s="18"/>
      <c r="CR129" s="18"/>
      <c r="CS129" s="18"/>
      <c r="CT129" s="18"/>
      <c r="CU129" s="18"/>
      <c r="CV129" s="18"/>
      <c r="CW129" s="18"/>
      <c r="CX129" s="18"/>
      <c r="CY129" s="18"/>
      <c r="CZ129" s="18"/>
      <c r="DA129" s="18"/>
      <c r="DB129" s="18"/>
      <c r="DC129" s="18"/>
      <c r="DD129" s="18"/>
      <c r="DE129" s="18"/>
      <c r="DF129" s="18"/>
      <c r="DG129" s="18"/>
      <c r="DH129" s="18"/>
      <c r="DI129" s="18"/>
      <c r="DJ129" s="18"/>
      <c r="DK129" s="18"/>
      <c r="DL129" s="18"/>
      <c r="DM129" s="18"/>
      <c r="DN129" s="18"/>
      <c r="DO129" s="18"/>
      <c r="DP129" s="18"/>
      <c r="DQ129" s="18"/>
      <c r="DR129" s="18"/>
      <c r="DS129" s="18"/>
      <c r="DT129" s="18"/>
      <c r="DU129" s="18"/>
      <c r="DV129" s="18"/>
      <c r="DW129" s="18"/>
      <c r="DX129" s="18"/>
      <c r="DY129" s="18"/>
      <c r="DZ129" s="18"/>
      <c r="EA129" s="18"/>
      <c r="EB129" s="18"/>
      <c r="EC129" s="18"/>
      <c r="ED129" s="18"/>
      <c r="EE129" s="18"/>
      <c r="EF129" s="18"/>
      <c r="EG129" s="18"/>
      <c r="EH129" s="18"/>
      <c r="EI129" s="18"/>
      <c r="EJ129" s="18"/>
      <c r="EK129" s="18"/>
      <c r="EL129" s="18"/>
      <c r="EM129" s="18"/>
      <c r="EN129" s="18"/>
      <c r="EO129" s="18"/>
      <c r="EP129" s="18"/>
      <c r="EQ129" s="18"/>
      <c r="ER129" s="18"/>
      <c r="ES129" s="18"/>
      <c r="ET129" s="18"/>
      <c r="EU129" s="18"/>
      <c r="EV129" s="18"/>
      <c r="EW129" s="18"/>
      <c r="EX129" s="18"/>
      <c r="EY129" s="18"/>
      <c r="EZ129" s="18"/>
      <c r="FA129" s="18"/>
      <c r="FB129" s="18"/>
      <c r="FC129" s="18"/>
      <c r="FD129" s="18"/>
      <c r="FE129" s="18"/>
      <c r="FF129" s="18"/>
      <c r="FG129" s="18"/>
      <c r="FH129" s="18"/>
      <c r="FI129" s="18"/>
      <c r="FJ129" s="18"/>
      <c r="FK129" s="18"/>
      <c r="FL129" s="18"/>
      <c r="FM129" s="18"/>
      <c r="FN129" s="18"/>
      <c r="FO129" s="18"/>
      <c r="FP129" s="18"/>
      <c r="FQ129" s="18"/>
      <c r="FR129" s="18"/>
      <c r="FS129" s="18"/>
    </row>
    <row r="130" spans="1:175">
      <c r="A130" s="64" t="s">
        <v>37</v>
      </c>
      <c r="B130" s="64" t="s">
        <v>105</v>
      </c>
      <c r="C130" s="64" t="s">
        <v>104</v>
      </c>
      <c r="D130" s="49">
        <v>42809</v>
      </c>
      <c r="E130" s="34">
        <v>937.5</v>
      </c>
      <c r="F130" s="34"/>
      <c r="G130" s="34"/>
      <c r="H130" s="34"/>
      <c r="I130" s="34"/>
      <c r="J130" s="46">
        <f t="shared" si="78"/>
        <v>0</v>
      </c>
      <c r="K130" s="34">
        <v>208.34</v>
      </c>
      <c r="L130" s="60"/>
      <c r="M130" s="34"/>
      <c r="N130" s="34"/>
      <c r="O130" s="61"/>
      <c r="P130" s="61"/>
      <c r="Q130" s="34"/>
      <c r="R130" s="32"/>
      <c r="S130" s="32"/>
      <c r="T130" s="33"/>
      <c r="U130" s="33"/>
      <c r="V130" s="46">
        <f t="shared" si="79"/>
        <v>-208.34</v>
      </c>
      <c r="W130" s="32"/>
      <c r="X130" s="46"/>
      <c r="Y130" s="54"/>
      <c r="Z130" s="54"/>
      <c r="AA130" s="54"/>
      <c r="AB130" s="53"/>
      <c r="AC130" s="44"/>
      <c r="AD130" s="44"/>
      <c r="AE130" s="39"/>
      <c r="AF130" s="28">
        <v>60590314454</v>
      </c>
      <c r="AG130" s="65" t="s">
        <v>202</v>
      </c>
      <c r="AJ130" s="18"/>
      <c r="AK130" s="18"/>
      <c r="AL130" s="18"/>
      <c r="AM130" s="18"/>
      <c r="AN130" s="18"/>
      <c r="AO130" s="18"/>
      <c r="AP130" s="18"/>
      <c r="AQ130" s="18"/>
      <c r="AR130" s="18"/>
      <c r="AS130" s="18"/>
      <c r="AT130" s="18"/>
      <c r="AU130" s="18"/>
      <c r="AV130" s="18"/>
      <c r="AW130" s="18"/>
      <c r="AX130" s="18"/>
      <c r="AY130" s="18"/>
      <c r="AZ130" s="18"/>
      <c r="BA130" s="18"/>
      <c r="BB130" s="18"/>
      <c r="BC130" s="18"/>
      <c r="BD130" s="18"/>
      <c r="BE130" s="18"/>
      <c r="BF130" s="18"/>
      <c r="BG130" s="18"/>
      <c r="BH130" s="18"/>
      <c r="BI130" s="18"/>
      <c r="BJ130" s="18"/>
      <c r="BK130" s="18"/>
      <c r="BL130" s="18"/>
      <c r="BM130" s="18"/>
      <c r="BN130" s="18"/>
      <c r="BO130" s="18"/>
      <c r="BP130" s="18"/>
      <c r="BQ130" s="18"/>
      <c r="BR130" s="18"/>
      <c r="BS130" s="18"/>
      <c r="BT130" s="18"/>
      <c r="BU130" s="18"/>
      <c r="BV130" s="18"/>
      <c r="BW130" s="18"/>
      <c r="BX130" s="18"/>
      <c r="BY130" s="18"/>
      <c r="BZ130" s="18"/>
      <c r="CA130" s="18"/>
      <c r="CB130" s="18"/>
      <c r="CC130" s="18"/>
      <c r="CD130" s="18"/>
      <c r="CE130" s="18"/>
      <c r="CF130" s="18"/>
      <c r="CG130" s="18"/>
      <c r="CH130" s="18"/>
      <c r="CI130" s="18"/>
      <c r="CJ130" s="18"/>
      <c r="CK130" s="18"/>
      <c r="CL130" s="18"/>
      <c r="CM130" s="18"/>
      <c r="CN130" s="18"/>
      <c r="CO130" s="18"/>
      <c r="CP130" s="18"/>
      <c r="CQ130" s="18"/>
      <c r="CR130" s="18"/>
      <c r="CS130" s="18"/>
      <c r="CT130" s="18"/>
      <c r="CU130" s="18"/>
      <c r="CV130" s="18"/>
      <c r="CW130" s="18"/>
      <c r="CX130" s="18"/>
      <c r="CY130" s="18"/>
      <c r="CZ130" s="18"/>
      <c r="DA130" s="18"/>
      <c r="DB130" s="18"/>
      <c r="DC130" s="18"/>
      <c r="DD130" s="18"/>
      <c r="DE130" s="18"/>
      <c r="DF130" s="18"/>
      <c r="DG130" s="18"/>
      <c r="DH130" s="18"/>
      <c r="DI130" s="18"/>
      <c r="DJ130" s="18"/>
      <c r="DK130" s="18"/>
      <c r="DL130" s="18"/>
      <c r="DM130" s="18"/>
      <c r="DN130" s="18"/>
      <c r="DO130" s="18"/>
      <c r="DP130" s="18"/>
      <c r="DQ130" s="18"/>
      <c r="DR130" s="18"/>
      <c r="DS130" s="18"/>
      <c r="DT130" s="18"/>
      <c r="DU130" s="18"/>
      <c r="DV130" s="18"/>
      <c r="DW130" s="18"/>
      <c r="DX130" s="18"/>
      <c r="DY130" s="18"/>
      <c r="DZ130" s="18"/>
      <c r="EA130" s="18"/>
      <c r="EB130" s="18"/>
      <c r="EC130" s="18"/>
      <c r="ED130" s="18"/>
      <c r="EE130" s="18"/>
      <c r="EF130" s="18"/>
      <c r="EG130" s="18"/>
      <c r="EH130" s="18"/>
      <c r="EI130" s="18"/>
      <c r="EJ130" s="18"/>
      <c r="EK130" s="18"/>
      <c r="EL130" s="18"/>
      <c r="EM130" s="18"/>
      <c r="EN130" s="18"/>
      <c r="EO130" s="18"/>
      <c r="EP130" s="18"/>
      <c r="EQ130" s="18"/>
      <c r="ER130" s="18"/>
      <c r="ES130" s="18"/>
      <c r="ET130" s="18"/>
      <c r="EU130" s="18"/>
      <c r="EV130" s="18"/>
      <c r="EW130" s="18"/>
      <c r="EX130" s="18"/>
      <c r="EY130" s="18"/>
      <c r="EZ130" s="18"/>
      <c r="FA130" s="18"/>
      <c r="FB130" s="18"/>
      <c r="FC130" s="18"/>
      <c r="FD130" s="18"/>
      <c r="FE130" s="18"/>
      <c r="FF130" s="18"/>
      <c r="FG130" s="18"/>
      <c r="FH130" s="18"/>
      <c r="FI130" s="18"/>
      <c r="FJ130" s="18"/>
      <c r="FK130" s="18"/>
      <c r="FL130" s="18"/>
      <c r="FM130" s="18"/>
      <c r="FN130" s="18"/>
      <c r="FO130" s="18"/>
      <c r="FP130" s="18"/>
      <c r="FQ130" s="18"/>
      <c r="FR130" s="18"/>
      <c r="FS130" s="18"/>
    </row>
    <row r="131" spans="1:175">
      <c r="A131" s="64" t="s">
        <v>39</v>
      </c>
      <c r="B131" s="64" t="s">
        <v>158</v>
      </c>
      <c r="C131" s="64" t="s">
        <v>159</v>
      </c>
      <c r="D131" s="49">
        <v>40147</v>
      </c>
      <c r="E131" s="34">
        <v>1900</v>
      </c>
      <c r="F131" s="34"/>
      <c r="G131" s="34"/>
      <c r="H131" s="34"/>
      <c r="I131" s="34"/>
      <c r="J131" s="46">
        <f t="shared" si="78"/>
        <v>0</v>
      </c>
      <c r="K131" s="34"/>
      <c r="L131" s="60"/>
      <c r="M131" s="34"/>
      <c r="N131" s="34"/>
      <c r="O131" s="61"/>
      <c r="P131" s="61"/>
      <c r="Q131" s="34"/>
      <c r="R131" s="32"/>
      <c r="S131" s="32"/>
      <c r="T131" s="33"/>
      <c r="U131" s="33"/>
      <c r="V131" s="46">
        <f t="shared" si="79"/>
        <v>0</v>
      </c>
      <c r="W131" s="32"/>
      <c r="X131" s="46"/>
      <c r="Y131" s="54"/>
      <c r="Z131" s="54"/>
      <c r="AA131" s="54"/>
      <c r="AB131" s="53"/>
      <c r="AC131" s="44"/>
      <c r="AD131" s="44"/>
      <c r="AE131" s="39"/>
      <c r="AF131" s="28">
        <v>60590324373</v>
      </c>
      <c r="AG131" s="65"/>
      <c r="AJ131" s="18"/>
      <c r="AK131" s="18"/>
      <c r="AL131" s="18"/>
      <c r="AM131" s="18"/>
      <c r="AN131" s="18"/>
      <c r="AO131" s="18"/>
      <c r="AP131" s="18"/>
      <c r="AQ131" s="18"/>
      <c r="AR131" s="18"/>
      <c r="AS131" s="18"/>
      <c r="AT131" s="18"/>
      <c r="AU131" s="18"/>
      <c r="AV131" s="18"/>
      <c r="AW131" s="18"/>
      <c r="AX131" s="18"/>
      <c r="AY131" s="18"/>
      <c r="AZ131" s="18"/>
      <c r="BA131" s="18"/>
      <c r="BB131" s="18"/>
      <c r="BC131" s="18"/>
      <c r="BD131" s="18"/>
      <c r="BE131" s="18"/>
      <c r="BF131" s="18"/>
      <c r="BG131" s="18"/>
      <c r="BH131" s="18"/>
      <c r="BI131" s="18"/>
      <c r="BJ131" s="18"/>
      <c r="BK131" s="18"/>
      <c r="BL131" s="18"/>
      <c r="BM131" s="18"/>
      <c r="BN131" s="18"/>
      <c r="BO131" s="18"/>
      <c r="BP131" s="18"/>
      <c r="BQ131" s="18"/>
      <c r="BR131" s="18"/>
      <c r="BS131" s="18"/>
      <c r="BT131" s="18"/>
      <c r="BU131" s="18"/>
      <c r="BV131" s="18"/>
      <c r="BW131" s="18"/>
      <c r="BX131" s="18"/>
      <c r="BY131" s="18"/>
      <c r="BZ131" s="18"/>
      <c r="CA131" s="18"/>
      <c r="CB131" s="18"/>
      <c r="CC131" s="18"/>
      <c r="CD131" s="18"/>
      <c r="CE131" s="18"/>
      <c r="CF131" s="18"/>
      <c r="CG131" s="18"/>
      <c r="CH131" s="18"/>
      <c r="CI131" s="18"/>
      <c r="CJ131" s="18"/>
      <c r="CK131" s="18"/>
      <c r="CL131" s="18"/>
      <c r="CM131" s="18"/>
      <c r="CN131" s="18"/>
      <c r="CO131" s="18"/>
      <c r="CP131" s="18"/>
      <c r="CQ131" s="18"/>
      <c r="CR131" s="18"/>
      <c r="CS131" s="18"/>
      <c r="CT131" s="18"/>
      <c r="CU131" s="18"/>
      <c r="CV131" s="18"/>
      <c r="CW131" s="18"/>
      <c r="CX131" s="18"/>
      <c r="CY131" s="18"/>
      <c r="CZ131" s="18"/>
      <c r="DA131" s="18"/>
      <c r="DB131" s="18"/>
      <c r="DC131" s="18"/>
      <c r="DD131" s="18"/>
      <c r="DE131" s="18"/>
      <c r="DF131" s="18"/>
      <c r="DG131" s="18"/>
      <c r="DH131" s="18"/>
      <c r="DI131" s="18"/>
      <c r="DJ131" s="18"/>
      <c r="DK131" s="18"/>
      <c r="DL131" s="18"/>
      <c r="DM131" s="18"/>
      <c r="DN131" s="18"/>
      <c r="DO131" s="18"/>
      <c r="DP131" s="18"/>
      <c r="DQ131" s="18"/>
      <c r="DR131" s="18"/>
      <c r="DS131" s="18"/>
      <c r="DT131" s="18"/>
      <c r="DU131" s="18"/>
      <c r="DV131" s="18"/>
      <c r="DW131" s="18"/>
      <c r="DX131" s="18"/>
      <c r="DY131" s="18"/>
      <c r="DZ131" s="18"/>
      <c r="EA131" s="18"/>
      <c r="EB131" s="18"/>
      <c r="EC131" s="18"/>
      <c r="ED131" s="18"/>
      <c r="EE131" s="18"/>
      <c r="EF131" s="18"/>
      <c r="EG131" s="18"/>
      <c r="EH131" s="18"/>
      <c r="EI131" s="18"/>
      <c r="EJ131" s="18"/>
      <c r="EK131" s="18"/>
      <c r="EL131" s="18"/>
      <c r="EM131" s="18"/>
      <c r="EN131" s="18"/>
      <c r="EO131" s="18"/>
      <c r="EP131" s="18"/>
      <c r="EQ131" s="18"/>
      <c r="ER131" s="18"/>
      <c r="ES131" s="18"/>
      <c r="ET131" s="18"/>
      <c r="EU131" s="18"/>
      <c r="EV131" s="18"/>
      <c r="EW131" s="18"/>
      <c r="EX131" s="18"/>
      <c r="EY131" s="18"/>
      <c r="EZ131" s="18"/>
      <c r="FA131" s="18"/>
      <c r="FB131" s="18"/>
      <c r="FC131" s="18"/>
      <c r="FD131" s="18"/>
      <c r="FE131" s="18"/>
      <c r="FF131" s="18"/>
      <c r="FG131" s="18"/>
      <c r="FH131" s="18"/>
      <c r="FI131" s="18"/>
      <c r="FJ131" s="18"/>
      <c r="FK131" s="18"/>
      <c r="FL131" s="18"/>
      <c r="FM131" s="18"/>
      <c r="FN131" s="18"/>
      <c r="FO131" s="18"/>
      <c r="FP131" s="18"/>
      <c r="FQ131" s="18"/>
      <c r="FR131" s="18"/>
      <c r="FS131" s="18"/>
    </row>
    <row r="132" spans="1:175">
      <c r="AJ132" s="18"/>
      <c r="AK132" s="18"/>
      <c r="AL132" s="18"/>
      <c r="AM132" s="18"/>
      <c r="AN132" s="18"/>
      <c r="AO132" s="18"/>
      <c r="AP132" s="18"/>
      <c r="AQ132" s="18"/>
      <c r="AR132" s="18"/>
      <c r="AS132" s="18"/>
      <c r="AT132" s="18"/>
      <c r="AU132" s="18"/>
      <c r="AV132" s="18"/>
      <c r="AW132" s="18"/>
      <c r="AX132" s="18"/>
      <c r="AY132" s="18"/>
      <c r="AZ132" s="18"/>
      <c r="BA132" s="18"/>
      <c r="BB132" s="18"/>
      <c r="BC132" s="18"/>
      <c r="BD132" s="18"/>
      <c r="BE132" s="18"/>
      <c r="BF132" s="18"/>
      <c r="BG132" s="18"/>
      <c r="BH132" s="18"/>
      <c r="BI132" s="18"/>
      <c r="BJ132" s="18"/>
      <c r="BK132" s="18"/>
      <c r="BL132" s="18"/>
      <c r="BM132" s="18"/>
      <c r="BN132" s="18"/>
      <c r="BO132" s="18"/>
      <c r="BP132" s="18"/>
      <c r="BQ132" s="18"/>
      <c r="BR132" s="18"/>
      <c r="BS132" s="18"/>
      <c r="BT132" s="18"/>
      <c r="BU132" s="18"/>
      <c r="BV132" s="18"/>
      <c r="BW132" s="18"/>
      <c r="BX132" s="18"/>
      <c r="BY132" s="18"/>
      <c r="BZ132" s="18"/>
      <c r="CA132" s="18"/>
      <c r="CB132" s="18"/>
      <c r="CC132" s="18"/>
      <c r="CD132" s="18"/>
      <c r="CE132" s="18"/>
      <c r="CF132" s="18"/>
      <c r="CG132" s="18"/>
      <c r="CH132" s="18"/>
      <c r="CI132" s="18"/>
      <c r="CJ132" s="18"/>
      <c r="CK132" s="18"/>
      <c r="CL132" s="18"/>
      <c r="CM132" s="18"/>
      <c r="CN132" s="18"/>
      <c r="CO132" s="18"/>
      <c r="CP132" s="18"/>
      <c r="CQ132" s="18"/>
      <c r="CR132" s="18"/>
      <c r="CS132" s="18"/>
      <c r="CT132" s="18"/>
      <c r="CU132" s="18"/>
      <c r="CV132" s="18"/>
      <c r="CW132" s="18"/>
      <c r="CX132" s="18"/>
      <c r="CY132" s="18"/>
      <c r="CZ132" s="18"/>
      <c r="DA132" s="18"/>
      <c r="DB132" s="18"/>
      <c r="DC132" s="18"/>
      <c r="DD132" s="18"/>
      <c r="DE132" s="18"/>
      <c r="DF132" s="18"/>
      <c r="DG132" s="18"/>
      <c r="DH132" s="18"/>
      <c r="DI132" s="18"/>
      <c r="DJ132" s="18"/>
      <c r="DK132" s="18"/>
      <c r="DL132" s="18"/>
      <c r="DM132" s="18"/>
      <c r="DN132" s="18"/>
      <c r="DO132" s="18"/>
      <c r="DP132" s="18"/>
      <c r="DQ132" s="18"/>
      <c r="DR132" s="18"/>
      <c r="DS132" s="18"/>
      <c r="DT132" s="18"/>
      <c r="DU132" s="18"/>
      <c r="DV132" s="18"/>
      <c r="DW132" s="18"/>
      <c r="DX132" s="18"/>
      <c r="DY132" s="18"/>
      <c r="DZ132" s="18"/>
      <c r="EA132" s="18"/>
      <c r="EB132" s="18"/>
      <c r="EC132" s="18"/>
      <c r="ED132" s="18"/>
      <c r="EE132" s="18"/>
      <c r="EF132" s="18"/>
      <c r="EG132" s="18"/>
      <c r="EH132" s="18"/>
      <c r="EI132" s="18"/>
      <c r="EJ132" s="18"/>
      <c r="EK132" s="18"/>
      <c r="EL132" s="18"/>
      <c r="EM132" s="18"/>
      <c r="EN132" s="18"/>
      <c r="EO132" s="18"/>
      <c r="EP132" s="18"/>
      <c r="EQ132" s="18"/>
      <c r="ER132" s="18"/>
      <c r="ES132" s="18"/>
      <c r="ET132" s="18"/>
      <c r="EU132" s="18"/>
      <c r="EV132" s="18"/>
      <c r="EW132" s="18"/>
      <c r="EX132" s="18"/>
      <c r="EY132" s="18"/>
      <c r="EZ132" s="18"/>
      <c r="FA132" s="18"/>
      <c r="FB132" s="18"/>
      <c r="FC132" s="18"/>
      <c r="FD132" s="18"/>
      <c r="FE132" s="18"/>
      <c r="FF132" s="18"/>
      <c r="FG132" s="18"/>
      <c r="FH132" s="18"/>
      <c r="FI132" s="18"/>
      <c r="FJ132" s="18"/>
      <c r="FK132" s="18"/>
      <c r="FL132" s="18"/>
      <c r="FM132" s="18"/>
      <c r="FN132" s="18"/>
      <c r="FO132" s="18"/>
      <c r="FP132" s="18"/>
      <c r="FQ132" s="18"/>
      <c r="FR132" s="18"/>
      <c r="FS132" s="18"/>
    </row>
    <row r="133" spans="1:175">
      <c r="AJ133" s="18"/>
      <c r="AK133" s="18"/>
      <c r="AL133" s="18"/>
      <c r="AM133" s="18"/>
      <c r="AN133" s="18"/>
      <c r="AO133" s="18"/>
      <c r="AP133" s="18"/>
      <c r="AQ133" s="18"/>
      <c r="AR133" s="18"/>
      <c r="AS133" s="18"/>
      <c r="AT133" s="18"/>
      <c r="AU133" s="18"/>
      <c r="AV133" s="18"/>
      <c r="AW133" s="18"/>
      <c r="AX133" s="18"/>
      <c r="AY133" s="18"/>
      <c r="AZ133" s="18"/>
      <c r="BA133" s="18"/>
      <c r="BB133" s="18"/>
      <c r="BC133" s="18"/>
      <c r="BD133" s="18"/>
      <c r="BE133" s="18"/>
      <c r="BF133" s="18"/>
      <c r="BG133" s="18"/>
      <c r="BH133" s="18"/>
      <c r="BI133" s="18"/>
      <c r="BJ133" s="18"/>
      <c r="BK133" s="18"/>
      <c r="BL133" s="18"/>
      <c r="BM133" s="18"/>
      <c r="BN133" s="18"/>
      <c r="BO133" s="18"/>
      <c r="BP133" s="18"/>
      <c r="BQ133" s="18"/>
      <c r="BR133" s="18"/>
      <c r="BS133" s="18"/>
      <c r="BT133" s="18"/>
      <c r="BU133" s="18"/>
      <c r="BV133" s="18"/>
      <c r="BW133" s="18"/>
      <c r="BX133" s="18"/>
      <c r="BY133" s="18"/>
      <c r="BZ133" s="18"/>
      <c r="CA133" s="18"/>
      <c r="CB133" s="18"/>
      <c r="CC133" s="18"/>
      <c r="CD133" s="18"/>
      <c r="CE133" s="18"/>
      <c r="CF133" s="18"/>
      <c r="CG133" s="18"/>
      <c r="CH133" s="18"/>
      <c r="CI133" s="18"/>
      <c r="CJ133" s="18"/>
      <c r="CK133" s="18"/>
      <c r="CL133" s="18"/>
      <c r="CM133" s="18"/>
      <c r="CN133" s="18"/>
      <c r="CO133" s="18"/>
      <c r="CP133" s="18"/>
      <c r="CQ133" s="18"/>
      <c r="CR133" s="18"/>
      <c r="CS133" s="18"/>
      <c r="CT133" s="18"/>
      <c r="CU133" s="18"/>
      <c r="CV133" s="18"/>
      <c r="CW133" s="18"/>
      <c r="CX133" s="18"/>
      <c r="CY133" s="18"/>
      <c r="CZ133" s="18"/>
      <c r="DA133" s="18"/>
      <c r="DB133" s="18"/>
      <c r="DC133" s="18"/>
      <c r="DD133" s="18"/>
      <c r="DE133" s="18"/>
      <c r="DF133" s="18"/>
      <c r="DG133" s="18"/>
      <c r="DH133" s="18"/>
      <c r="DI133" s="18"/>
      <c r="DJ133" s="18"/>
      <c r="DK133" s="18"/>
      <c r="DL133" s="18"/>
      <c r="DM133" s="18"/>
      <c r="DN133" s="18"/>
      <c r="DO133" s="18"/>
      <c r="DP133" s="18"/>
      <c r="DQ133" s="18"/>
      <c r="DR133" s="18"/>
      <c r="DS133" s="18"/>
      <c r="DT133" s="18"/>
      <c r="DU133" s="18"/>
      <c r="DV133" s="18"/>
      <c r="DW133" s="18"/>
      <c r="DX133" s="18"/>
      <c r="DY133" s="18"/>
      <c r="DZ133" s="18"/>
      <c r="EA133" s="18"/>
      <c r="EB133" s="18"/>
      <c r="EC133" s="18"/>
      <c r="ED133" s="18"/>
      <c r="EE133" s="18"/>
      <c r="EF133" s="18"/>
      <c r="EG133" s="18"/>
      <c r="EH133" s="18"/>
      <c r="EI133" s="18"/>
      <c r="EJ133" s="18"/>
      <c r="EK133" s="18"/>
      <c r="EL133" s="18"/>
      <c r="EM133" s="18"/>
      <c r="EN133" s="18"/>
      <c r="EO133" s="18"/>
      <c r="EP133" s="18"/>
      <c r="EQ133" s="18"/>
      <c r="ER133" s="18"/>
      <c r="ES133" s="18"/>
      <c r="ET133" s="18"/>
      <c r="EU133" s="18"/>
      <c r="EV133" s="18"/>
      <c r="EW133" s="18"/>
      <c r="EX133" s="18"/>
      <c r="EY133" s="18"/>
      <c r="EZ133" s="18"/>
      <c r="FA133" s="18"/>
      <c r="FB133" s="18"/>
      <c r="FC133" s="18"/>
      <c r="FD133" s="18"/>
      <c r="FE133" s="18"/>
      <c r="FF133" s="18"/>
      <c r="FG133" s="18"/>
      <c r="FH133" s="18"/>
      <c r="FI133" s="18"/>
      <c r="FJ133" s="18"/>
      <c r="FK133" s="18"/>
      <c r="FL133" s="18"/>
      <c r="FM133" s="18"/>
      <c r="FN133" s="18"/>
      <c r="FO133" s="18"/>
      <c r="FP133" s="18"/>
      <c r="FQ133" s="18"/>
      <c r="FR133" s="18"/>
      <c r="FS133" s="18"/>
    </row>
    <row r="134" spans="1:175">
      <c r="AJ134" s="18"/>
      <c r="AK134" s="18"/>
      <c r="AL134" s="18"/>
      <c r="AM134" s="18"/>
      <c r="AN134" s="18"/>
      <c r="AO134" s="18"/>
      <c r="AP134" s="18"/>
      <c r="AQ134" s="18"/>
      <c r="AR134" s="18"/>
      <c r="AS134" s="18"/>
      <c r="AT134" s="18"/>
      <c r="AU134" s="18"/>
      <c r="AV134" s="18"/>
      <c r="AW134" s="18"/>
      <c r="AX134" s="18"/>
      <c r="AY134" s="18"/>
      <c r="AZ134" s="18"/>
      <c r="BA134" s="18"/>
      <c r="BB134" s="18"/>
      <c r="BC134" s="18"/>
      <c r="BD134" s="18"/>
      <c r="BE134" s="18"/>
      <c r="BF134" s="18"/>
      <c r="BG134" s="18"/>
      <c r="BH134" s="18"/>
      <c r="BI134" s="18"/>
      <c r="BJ134" s="18"/>
      <c r="BK134" s="18"/>
      <c r="BL134" s="18"/>
      <c r="BM134" s="18"/>
      <c r="BN134" s="18"/>
      <c r="BO134" s="18"/>
      <c r="BP134" s="18"/>
      <c r="BQ134" s="18"/>
      <c r="BR134" s="18"/>
      <c r="BS134" s="18"/>
      <c r="BT134" s="18"/>
      <c r="BU134" s="18"/>
      <c r="BV134" s="18"/>
      <c r="BW134" s="18"/>
      <c r="BX134" s="18"/>
      <c r="BY134" s="18"/>
      <c r="BZ134" s="18"/>
      <c r="CA134" s="18"/>
      <c r="CB134" s="18"/>
      <c r="CC134" s="18"/>
      <c r="CD134" s="18"/>
      <c r="CE134" s="18"/>
      <c r="CF134" s="18"/>
      <c r="CG134" s="18"/>
      <c r="CH134" s="18"/>
      <c r="CI134" s="18"/>
      <c r="CJ134" s="18"/>
      <c r="CK134" s="18"/>
      <c r="CL134" s="18"/>
      <c r="CM134" s="18"/>
      <c r="CN134" s="18"/>
      <c r="CO134" s="18"/>
      <c r="CP134" s="18"/>
      <c r="CQ134" s="18"/>
      <c r="CR134" s="18"/>
      <c r="CS134" s="18"/>
      <c r="CT134" s="18"/>
      <c r="CU134" s="18"/>
      <c r="CV134" s="18"/>
      <c r="CW134" s="18"/>
      <c r="CX134" s="18"/>
      <c r="CY134" s="18"/>
      <c r="CZ134" s="18"/>
      <c r="DA134" s="18"/>
      <c r="DB134" s="18"/>
      <c r="DC134" s="18"/>
      <c r="DD134" s="18"/>
      <c r="DE134" s="18"/>
      <c r="DF134" s="18"/>
      <c r="DG134" s="18"/>
      <c r="DH134" s="18"/>
      <c r="DI134" s="18"/>
      <c r="DJ134" s="18"/>
      <c r="DK134" s="18"/>
      <c r="DL134" s="18"/>
      <c r="DM134" s="18"/>
      <c r="DN134" s="18"/>
      <c r="DO134" s="18"/>
      <c r="DP134" s="18"/>
      <c r="DQ134" s="18"/>
      <c r="DR134" s="18"/>
      <c r="DS134" s="18"/>
      <c r="DT134" s="18"/>
      <c r="DU134" s="18"/>
      <c r="DV134" s="18"/>
      <c r="DW134" s="18"/>
      <c r="DX134" s="18"/>
      <c r="DY134" s="18"/>
      <c r="DZ134" s="18"/>
      <c r="EA134" s="18"/>
      <c r="EB134" s="18"/>
      <c r="EC134" s="18"/>
      <c r="ED134" s="18"/>
      <c r="EE134" s="18"/>
      <c r="EF134" s="18"/>
      <c r="EG134" s="18"/>
      <c r="EH134" s="18"/>
      <c r="EI134" s="18"/>
      <c r="EJ134" s="18"/>
      <c r="EK134" s="18"/>
      <c r="EL134" s="18"/>
      <c r="EM134" s="18"/>
      <c r="EN134" s="18"/>
      <c r="EO134" s="18"/>
      <c r="EP134" s="18"/>
      <c r="EQ134" s="18"/>
      <c r="ER134" s="18"/>
      <c r="ES134" s="18"/>
      <c r="ET134" s="18"/>
      <c r="EU134" s="18"/>
      <c r="EV134" s="18"/>
      <c r="EW134" s="18"/>
      <c r="EX134" s="18"/>
      <c r="EY134" s="18"/>
      <c r="EZ134" s="18"/>
      <c r="FA134" s="18"/>
      <c r="FB134" s="18"/>
      <c r="FC134" s="18"/>
      <c r="FD134" s="18"/>
      <c r="FE134" s="18"/>
      <c r="FF134" s="18"/>
      <c r="FG134" s="18"/>
      <c r="FH134" s="18"/>
      <c r="FI134" s="18"/>
      <c r="FJ134" s="18"/>
      <c r="FK134" s="18"/>
      <c r="FL134" s="18"/>
      <c r="FM134" s="18"/>
      <c r="FN134" s="18"/>
      <c r="FO134" s="18"/>
      <c r="FP134" s="18"/>
      <c r="FQ134" s="18"/>
      <c r="FR134" s="18"/>
      <c r="FS134" s="18"/>
    </row>
    <row r="135" spans="1:175">
      <c r="A135" s="19" t="s">
        <v>17</v>
      </c>
      <c r="B135" s="13"/>
      <c r="AJ135" s="18"/>
      <c r="AK135" s="18"/>
      <c r="AL135" s="18"/>
      <c r="AM135" s="18"/>
      <c r="AN135" s="18"/>
      <c r="AO135" s="18"/>
      <c r="AP135" s="18"/>
      <c r="AQ135" s="18"/>
      <c r="AR135" s="18"/>
      <c r="AS135" s="18"/>
      <c r="AT135" s="18"/>
      <c r="AU135" s="18"/>
      <c r="AV135" s="18"/>
      <c r="AW135" s="18"/>
      <c r="AX135" s="18"/>
      <c r="AY135" s="18"/>
      <c r="AZ135" s="18"/>
      <c r="BA135" s="18"/>
      <c r="BB135" s="18"/>
      <c r="BC135" s="18"/>
      <c r="BD135" s="18"/>
      <c r="BE135" s="18"/>
      <c r="BF135" s="18"/>
      <c r="BG135" s="18"/>
      <c r="BH135" s="18"/>
      <c r="BI135" s="18"/>
      <c r="BJ135" s="18"/>
      <c r="BK135" s="18"/>
      <c r="BL135" s="18"/>
      <c r="BM135" s="18"/>
      <c r="BN135" s="18"/>
      <c r="BO135" s="18"/>
      <c r="BP135" s="18"/>
      <c r="BQ135" s="18"/>
      <c r="BR135" s="18"/>
      <c r="BS135" s="18"/>
      <c r="BT135" s="18"/>
      <c r="BU135" s="18"/>
      <c r="BV135" s="18"/>
      <c r="BW135" s="18"/>
      <c r="BX135" s="18"/>
      <c r="BY135" s="18"/>
      <c r="BZ135" s="18"/>
      <c r="CA135" s="18"/>
      <c r="CB135" s="18"/>
      <c r="CC135" s="18"/>
      <c r="CD135" s="18"/>
      <c r="CE135" s="18"/>
      <c r="CF135" s="18"/>
      <c r="CG135" s="18"/>
      <c r="CH135" s="18"/>
      <c r="CI135" s="18"/>
      <c r="CJ135" s="18"/>
      <c r="CK135" s="18"/>
      <c r="CL135" s="18"/>
      <c r="CM135" s="18"/>
      <c r="CN135" s="18"/>
      <c r="CO135" s="18"/>
      <c r="CP135" s="18"/>
      <c r="CQ135" s="18"/>
      <c r="CR135" s="18"/>
      <c r="CS135" s="18"/>
      <c r="CT135" s="18"/>
      <c r="CU135" s="18"/>
      <c r="CV135" s="18"/>
      <c r="CW135" s="18"/>
      <c r="CX135" s="18"/>
      <c r="CY135" s="18"/>
      <c r="CZ135" s="18"/>
      <c r="DA135" s="18"/>
      <c r="DB135" s="18"/>
      <c r="DC135" s="18"/>
      <c r="DD135" s="18"/>
      <c r="DE135" s="18"/>
      <c r="DF135" s="18"/>
      <c r="DG135" s="18"/>
      <c r="DH135" s="18"/>
      <c r="DI135" s="18"/>
      <c r="DJ135" s="18"/>
      <c r="DK135" s="18"/>
      <c r="DL135" s="18"/>
      <c r="DM135" s="18"/>
      <c r="DN135" s="18"/>
      <c r="DO135" s="18"/>
      <c r="DP135" s="18"/>
      <c r="DQ135" s="18"/>
      <c r="DR135" s="18"/>
      <c r="DS135" s="18"/>
      <c r="DT135" s="18"/>
      <c r="DU135" s="18"/>
      <c r="DV135" s="18"/>
      <c r="DW135" s="18"/>
      <c r="DX135" s="18"/>
      <c r="DY135" s="18"/>
      <c r="DZ135" s="18"/>
      <c r="EA135" s="18"/>
      <c r="EB135" s="18"/>
      <c r="EC135" s="18"/>
      <c r="ED135" s="18"/>
      <c r="EE135" s="18"/>
      <c r="EF135" s="18"/>
      <c r="EG135" s="18"/>
      <c r="EH135" s="18"/>
      <c r="EI135" s="18"/>
      <c r="EJ135" s="18"/>
      <c r="EK135" s="18"/>
      <c r="EL135" s="18"/>
      <c r="EM135" s="18"/>
      <c r="EN135" s="18"/>
      <c r="EO135" s="18"/>
      <c r="EP135" s="18"/>
      <c r="EQ135" s="18"/>
      <c r="ER135" s="18"/>
      <c r="ES135" s="18"/>
      <c r="ET135" s="18"/>
      <c r="EU135" s="18"/>
      <c r="EV135" s="18"/>
      <c r="EW135" s="18"/>
      <c r="EX135" s="18"/>
      <c r="EY135" s="18"/>
      <c r="EZ135" s="18"/>
      <c r="FA135" s="18"/>
      <c r="FB135" s="18"/>
      <c r="FC135" s="18"/>
      <c r="FD135" s="18"/>
      <c r="FE135" s="18"/>
      <c r="FF135" s="18"/>
      <c r="FG135" s="18"/>
      <c r="FH135" s="18"/>
      <c r="FI135" s="18"/>
      <c r="FJ135" s="18"/>
      <c r="FK135" s="18"/>
      <c r="FL135" s="18"/>
      <c r="FM135" s="18"/>
      <c r="FN135" s="18"/>
      <c r="FO135" s="18"/>
      <c r="FP135" s="18"/>
      <c r="FQ135" s="18"/>
      <c r="FR135" s="18"/>
      <c r="FS135" s="18"/>
    </row>
    <row r="136" spans="1:175">
      <c r="A136" s="19" t="s">
        <v>18</v>
      </c>
      <c r="B136" s="13"/>
      <c r="AJ136" s="18"/>
      <c r="AK136" s="18"/>
      <c r="AL136" s="18"/>
      <c r="AM136" s="18"/>
      <c r="AN136" s="18"/>
      <c r="AO136" s="18"/>
      <c r="AP136" s="18"/>
      <c r="AQ136" s="18"/>
      <c r="AR136" s="18"/>
      <c r="AS136" s="18"/>
      <c r="AT136" s="18"/>
      <c r="AU136" s="18"/>
      <c r="AV136" s="18"/>
      <c r="AW136" s="18"/>
      <c r="AX136" s="18"/>
      <c r="AY136" s="18"/>
      <c r="AZ136" s="18"/>
      <c r="BA136" s="18"/>
      <c r="BB136" s="18"/>
      <c r="BC136" s="18"/>
      <c r="BD136" s="18"/>
      <c r="BE136" s="18"/>
      <c r="BF136" s="18"/>
      <c r="BG136" s="18"/>
      <c r="BH136" s="18"/>
      <c r="BI136" s="18"/>
      <c r="BJ136" s="18"/>
      <c r="BK136" s="18"/>
      <c r="BL136" s="18"/>
      <c r="BM136" s="18"/>
      <c r="BN136" s="18"/>
      <c r="BO136" s="18"/>
      <c r="BP136" s="18"/>
      <c r="BQ136" s="18"/>
      <c r="BR136" s="18"/>
      <c r="BS136" s="18"/>
      <c r="BT136" s="18"/>
      <c r="BU136" s="18"/>
      <c r="BV136" s="18"/>
      <c r="BW136" s="18"/>
      <c r="BX136" s="18"/>
      <c r="BY136" s="18"/>
      <c r="BZ136" s="18"/>
      <c r="CA136" s="18"/>
      <c r="CB136" s="18"/>
      <c r="CC136" s="18"/>
      <c r="CD136" s="18"/>
      <c r="CE136" s="18"/>
      <c r="CF136" s="18"/>
      <c r="CG136" s="18"/>
      <c r="CH136" s="18"/>
      <c r="CI136" s="18"/>
      <c r="CJ136" s="18"/>
      <c r="CK136" s="18"/>
      <c r="CL136" s="18"/>
      <c r="CM136" s="18"/>
      <c r="CN136" s="18"/>
      <c r="CO136" s="18"/>
      <c r="CP136" s="18"/>
      <c r="CQ136" s="18"/>
      <c r="CR136" s="18"/>
      <c r="CS136" s="18"/>
      <c r="CT136" s="18"/>
      <c r="CU136" s="18"/>
      <c r="CV136" s="18"/>
      <c r="CW136" s="18"/>
      <c r="CX136" s="18"/>
      <c r="CY136" s="18"/>
      <c r="CZ136" s="18"/>
      <c r="DA136" s="18"/>
      <c r="DB136" s="18"/>
      <c r="DC136" s="18"/>
      <c r="DD136" s="18"/>
      <c r="DE136" s="18"/>
      <c r="DF136" s="18"/>
      <c r="DG136" s="18"/>
      <c r="DH136" s="18"/>
      <c r="DI136" s="18"/>
      <c r="DJ136" s="18"/>
      <c r="DK136" s="18"/>
      <c r="DL136" s="18"/>
      <c r="DM136" s="18"/>
      <c r="DN136" s="18"/>
      <c r="DO136" s="18"/>
      <c r="DP136" s="18"/>
      <c r="DQ136" s="18"/>
      <c r="DR136" s="18"/>
      <c r="DS136" s="18"/>
      <c r="DT136" s="18"/>
      <c r="DU136" s="18"/>
      <c r="DV136" s="18"/>
      <c r="DW136" s="18"/>
      <c r="DX136" s="18"/>
      <c r="DY136" s="18"/>
      <c r="DZ136" s="18"/>
      <c r="EA136" s="18"/>
      <c r="EB136" s="18"/>
      <c r="EC136" s="18"/>
      <c r="ED136" s="18"/>
      <c r="EE136" s="18"/>
      <c r="EF136" s="18"/>
      <c r="EG136" s="18"/>
      <c r="EH136" s="18"/>
      <c r="EI136" s="18"/>
      <c r="EJ136" s="18"/>
      <c r="EK136" s="18"/>
      <c r="EL136" s="18"/>
      <c r="EM136" s="18"/>
      <c r="EN136" s="18"/>
      <c r="EO136" s="18"/>
      <c r="EP136" s="18"/>
      <c r="EQ136" s="18"/>
      <c r="ER136" s="18"/>
      <c r="ES136" s="18"/>
      <c r="ET136" s="18"/>
      <c r="EU136" s="18"/>
      <c r="EV136" s="18"/>
      <c r="EW136" s="18"/>
      <c r="EX136" s="18"/>
      <c r="EY136" s="18"/>
      <c r="EZ136" s="18"/>
      <c r="FA136" s="18"/>
      <c r="FB136" s="18"/>
      <c r="FC136" s="18"/>
      <c r="FD136" s="18"/>
      <c r="FE136" s="18"/>
      <c r="FF136" s="18"/>
      <c r="FG136" s="18"/>
      <c r="FH136" s="18"/>
      <c r="FI136" s="18"/>
      <c r="FJ136" s="18"/>
      <c r="FK136" s="18"/>
      <c r="FL136" s="18"/>
      <c r="FM136" s="18"/>
      <c r="FN136" s="18"/>
      <c r="FO136" s="18"/>
      <c r="FP136" s="18"/>
      <c r="FQ136" s="18"/>
      <c r="FR136" s="18"/>
      <c r="FS136" s="18"/>
    </row>
    <row r="137" spans="1:175">
      <c r="A137" s="19" t="s">
        <v>19</v>
      </c>
      <c r="B137" s="13"/>
      <c r="AJ137" s="18"/>
      <c r="AK137" s="18"/>
      <c r="AL137" s="18"/>
      <c r="AM137" s="18"/>
      <c r="AN137" s="18"/>
      <c r="AO137" s="18"/>
      <c r="AP137" s="18"/>
      <c r="AQ137" s="18"/>
      <c r="AR137" s="18"/>
      <c r="AS137" s="18"/>
      <c r="AT137" s="18"/>
      <c r="AU137" s="18"/>
      <c r="AV137" s="18"/>
      <c r="AW137" s="18"/>
      <c r="AX137" s="18"/>
      <c r="AY137" s="18"/>
      <c r="AZ137" s="18"/>
      <c r="BA137" s="18"/>
      <c r="BB137" s="18"/>
      <c r="BC137" s="18"/>
      <c r="BD137" s="18"/>
      <c r="BE137" s="18"/>
      <c r="BF137" s="18"/>
      <c r="BG137" s="18"/>
      <c r="BH137" s="18"/>
      <c r="BI137" s="18"/>
      <c r="BJ137" s="18"/>
      <c r="BK137" s="18"/>
      <c r="BL137" s="18"/>
      <c r="BM137" s="18"/>
      <c r="BN137" s="18"/>
      <c r="BO137" s="18"/>
      <c r="BP137" s="18"/>
      <c r="BQ137" s="18"/>
      <c r="BR137" s="18"/>
      <c r="BS137" s="18"/>
      <c r="BT137" s="18"/>
      <c r="BU137" s="18"/>
      <c r="BV137" s="18"/>
      <c r="BW137" s="18"/>
      <c r="BX137" s="18"/>
      <c r="BY137" s="18"/>
      <c r="BZ137" s="18"/>
      <c r="CA137" s="18"/>
      <c r="CB137" s="18"/>
      <c r="CC137" s="18"/>
      <c r="CD137" s="18"/>
      <c r="CE137" s="18"/>
      <c r="CF137" s="18"/>
      <c r="CG137" s="18"/>
      <c r="CH137" s="18"/>
      <c r="CI137" s="18"/>
      <c r="CJ137" s="18"/>
      <c r="CK137" s="18"/>
      <c r="CL137" s="18"/>
      <c r="CM137" s="18"/>
      <c r="CN137" s="18"/>
      <c r="CO137" s="18"/>
      <c r="CP137" s="18"/>
      <c r="CQ137" s="18"/>
      <c r="CR137" s="18"/>
      <c r="CS137" s="18"/>
      <c r="CT137" s="18"/>
      <c r="CU137" s="18"/>
      <c r="CV137" s="18"/>
      <c r="CW137" s="18"/>
      <c r="CX137" s="18"/>
      <c r="CY137" s="18"/>
      <c r="CZ137" s="18"/>
      <c r="DA137" s="18"/>
      <c r="DB137" s="18"/>
      <c r="DC137" s="18"/>
      <c r="DD137" s="18"/>
      <c r="DE137" s="18"/>
      <c r="DF137" s="18"/>
      <c r="DG137" s="18"/>
      <c r="DH137" s="18"/>
      <c r="DI137" s="18"/>
      <c r="DJ137" s="18"/>
      <c r="DK137" s="18"/>
      <c r="DL137" s="18"/>
      <c r="DM137" s="18"/>
      <c r="DN137" s="18"/>
      <c r="DO137" s="18"/>
      <c r="DP137" s="18"/>
      <c r="DQ137" s="18"/>
      <c r="DR137" s="18"/>
      <c r="DS137" s="18"/>
      <c r="DT137" s="18"/>
      <c r="DU137" s="18"/>
      <c r="DV137" s="18"/>
      <c r="DW137" s="18"/>
      <c r="DX137" s="18"/>
      <c r="DY137" s="18"/>
      <c r="DZ137" s="18"/>
      <c r="EA137" s="18"/>
      <c r="EB137" s="18"/>
      <c r="EC137" s="18"/>
      <c r="ED137" s="18"/>
      <c r="EE137" s="18"/>
      <c r="EF137" s="18"/>
      <c r="EG137" s="18"/>
      <c r="EH137" s="18"/>
      <c r="EI137" s="18"/>
      <c r="EJ137" s="18"/>
      <c r="EK137" s="18"/>
      <c r="EL137" s="18"/>
      <c r="EM137" s="18"/>
      <c r="EN137" s="18"/>
      <c r="EO137" s="18"/>
      <c r="EP137" s="18"/>
      <c r="EQ137" s="18"/>
      <c r="ER137" s="18"/>
      <c r="ES137" s="18"/>
      <c r="ET137" s="18"/>
      <c r="EU137" s="18"/>
      <c r="EV137" s="18"/>
      <c r="EW137" s="18"/>
      <c r="EX137" s="18"/>
      <c r="EY137" s="18"/>
      <c r="EZ137" s="18"/>
      <c r="FA137" s="18"/>
      <c r="FB137" s="18"/>
      <c r="FC137" s="18"/>
      <c r="FD137" s="18"/>
      <c r="FE137" s="18"/>
      <c r="FF137" s="18"/>
      <c r="FG137" s="18"/>
      <c r="FH137" s="18"/>
      <c r="FI137" s="18"/>
      <c r="FJ137" s="18"/>
      <c r="FK137" s="18"/>
      <c r="FL137" s="18"/>
      <c r="FM137" s="18"/>
      <c r="FN137" s="18"/>
      <c r="FO137" s="18"/>
      <c r="FP137" s="18"/>
      <c r="FQ137" s="18"/>
      <c r="FR137" s="18"/>
      <c r="FS137" s="18"/>
    </row>
    <row r="138" spans="1:175">
      <c r="A138" s="19" t="s">
        <v>20</v>
      </c>
      <c r="B138" s="13"/>
      <c r="AJ138" s="18"/>
      <c r="AK138" s="18"/>
      <c r="AL138" s="18"/>
      <c r="AM138" s="18"/>
      <c r="AN138" s="18"/>
      <c r="AO138" s="18"/>
      <c r="AP138" s="18"/>
      <c r="AQ138" s="18"/>
      <c r="AR138" s="18"/>
      <c r="AS138" s="18"/>
      <c r="AT138" s="18"/>
      <c r="AU138" s="18"/>
      <c r="AV138" s="18"/>
      <c r="AW138" s="18"/>
      <c r="AX138" s="18"/>
      <c r="AY138" s="18"/>
      <c r="AZ138" s="18"/>
      <c r="BA138" s="18"/>
      <c r="BB138" s="18"/>
      <c r="BC138" s="18"/>
      <c r="BD138" s="18"/>
      <c r="BE138" s="18"/>
      <c r="BF138" s="18"/>
      <c r="BG138" s="18"/>
      <c r="BH138" s="18"/>
      <c r="BI138" s="18"/>
      <c r="BJ138" s="18"/>
      <c r="BK138" s="18"/>
      <c r="BL138" s="18"/>
      <c r="BM138" s="18"/>
      <c r="BN138" s="18"/>
      <c r="BO138" s="18"/>
      <c r="BP138" s="18"/>
      <c r="BQ138" s="18"/>
      <c r="BR138" s="18"/>
      <c r="BS138" s="18"/>
      <c r="BT138" s="18"/>
      <c r="BU138" s="18"/>
      <c r="BV138" s="18"/>
      <c r="BW138" s="18"/>
      <c r="BX138" s="18"/>
      <c r="BY138" s="18"/>
      <c r="BZ138" s="18"/>
      <c r="CA138" s="18"/>
      <c r="CB138" s="18"/>
      <c r="CC138" s="18"/>
      <c r="CD138" s="18"/>
      <c r="CE138" s="18"/>
      <c r="CF138" s="18"/>
      <c r="CG138" s="18"/>
      <c r="CH138" s="18"/>
      <c r="CI138" s="18"/>
      <c r="CJ138" s="18"/>
      <c r="CK138" s="18"/>
      <c r="CL138" s="18"/>
      <c r="CM138" s="18"/>
      <c r="CN138" s="18"/>
      <c r="CO138" s="18"/>
      <c r="CP138" s="18"/>
      <c r="CQ138" s="18"/>
      <c r="CR138" s="18"/>
      <c r="CS138" s="18"/>
      <c r="CT138" s="18"/>
      <c r="CU138" s="18"/>
      <c r="CV138" s="18"/>
      <c r="CW138" s="18"/>
      <c r="CX138" s="18"/>
      <c r="CY138" s="18"/>
      <c r="CZ138" s="18"/>
      <c r="DA138" s="18"/>
      <c r="DB138" s="18"/>
      <c r="DC138" s="18"/>
      <c r="DD138" s="18"/>
      <c r="DE138" s="18"/>
      <c r="DF138" s="18"/>
      <c r="DG138" s="18"/>
      <c r="DH138" s="18"/>
      <c r="DI138" s="18"/>
      <c r="DJ138" s="18"/>
      <c r="DK138" s="18"/>
      <c r="DL138" s="18"/>
      <c r="DM138" s="18"/>
      <c r="DN138" s="18"/>
      <c r="DO138" s="18"/>
      <c r="DP138" s="18"/>
      <c r="DQ138" s="18"/>
      <c r="DR138" s="18"/>
      <c r="DS138" s="18"/>
      <c r="DT138" s="18"/>
      <c r="DU138" s="18"/>
      <c r="DV138" s="18"/>
      <c r="DW138" s="18"/>
      <c r="DX138" s="18"/>
      <c r="DY138" s="18"/>
      <c r="DZ138" s="18"/>
      <c r="EA138" s="18"/>
      <c r="EB138" s="18"/>
      <c r="EC138" s="18"/>
      <c r="ED138" s="18"/>
      <c r="EE138" s="18"/>
      <c r="EF138" s="18"/>
      <c r="EG138" s="18"/>
      <c r="EH138" s="18"/>
      <c r="EI138" s="18"/>
      <c r="EJ138" s="18"/>
      <c r="EK138" s="18"/>
      <c r="EL138" s="18"/>
      <c r="EM138" s="18"/>
      <c r="EN138" s="18"/>
      <c r="EO138" s="18"/>
      <c r="EP138" s="18"/>
      <c r="EQ138" s="18"/>
      <c r="ER138" s="18"/>
      <c r="ES138" s="18"/>
      <c r="ET138" s="18"/>
      <c r="EU138" s="18"/>
      <c r="EV138" s="18"/>
      <c r="EW138" s="18"/>
      <c r="EX138" s="18"/>
      <c r="EY138" s="18"/>
      <c r="EZ138" s="18"/>
      <c r="FA138" s="18"/>
      <c r="FB138" s="18"/>
      <c r="FC138" s="18"/>
      <c r="FD138" s="18"/>
      <c r="FE138" s="18"/>
      <c r="FF138" s="18"/>
      <c r="FG138" s="18"/>
      <c r="FH138" s="18"/>
      <c r="FI138" s="18"/>
      <c r="FJ138" s="18"/>
      <c r="FK138" s="18"/>
      <c r="FL138" s="18"/>
      <c r="FM138" s="18"/>
      <c r="FN138" s="18"/>
      <c r="FO138" s="18"/>
      <c r="FP138" s="18"/>
      <c r="FQ138" s="18"/>
      <c r="FR138" s="18"/>
      <c r="FS138" s="18"/>
    </row>
    <row r="139" spans="1:175">
      <c r="A139" s="19" t="s">
        <v>21</v>
      </c>
      <c r="B139" s="13"/>
      <c r="AJ139" s="18"/>
      <c r="AK139" s="18"/>
      <c r="AL139" s="18"/>
      <c r="AM139" s="18"/>
      <c r="AN139" s="18"/>
      <c r="AO139" s="18"/>
      <c r="AP139" s="18"/>
      <c r="AQ139" s="18"/>
      <c r="AR139" s="18"/>
      <c r="AS139" s="18"/>
      <c r="AT139" s="18"/>
      <c r="AU139" s="18"/>
      <c r="AV139" s="18"/>
      <c r="AW139" s="18"/>
      <c r="AX139" s="18"/>
      <c r="AY139" s="18"/>
      <c r="AZ139" s="18"/>
      <c r="BA139" s="18"/>
      <c r="BB139" s="18"/>
      <c r="BC139" s="18"/>
      <c r="BD139" s="18"/>
      <c r="BE139" s="18"/>
      <c r="BF139" s="18"/>
      <c r="BG139" s="18"/>
      <c r="BH139" s="18"/>
      <c r="BI139" s="18"/>
      <c r="BJ139" s="18"/>
      <c r="BK139" s="18"/>
      <c r="BL139" s="18"/>
      <c r="BM139" s="18"/>
      <c r="BN139" s="18"/>
      <c r="BO139" s="18"/>
      <c r="BP139" s="18"/>
      <c r="BQ139" s="18"/>
      <c r="BR139" s="18"/>
      <c r="BS139" s="18"/>
      <c r="BT139" s="18"/>
      <c r="BU139" s="18"/>
      <c r="BV139" s="18"/>
      <c r="BW139" s="18"/>
      <c r="BX139" s="18"/>
      <c r="BY139" s="18"/>
      <c r="BZ139" s="18"/>
      <c r="CA139" s="18"/>
      <c r="CB139" s="18"/>
      <c r="CC139" s="18"/>
      <c r="CD139" s="18"/>
      <c r="CE139" s="18"/>
      <c r="CF139" s="18"/>
      <c r="CG139" s="18"/>
      <c r="CH139" s="18"/>
      <c r="CI139" s="18"/>
      <c r="CJ139" s="18"/>
      <c r="CK139" s="18"/>
      <c r="CL139" s="18"/>
      <c r="CM139" s="18"/>
      <c r="CN139" s="18"/>
      <c r="CO139" s="18"/>
      <c r="CP139" s="18"/>
      <c r="CQ139" s="18"/>
      <c r="CR139" s="18"/>
      <c r="CS139" s="18"/>
      <c r="CT139" s="18"/>
      <c r="CU139" s="18"/>
      <c r="CV139" s="18"/>
      <c r="CW139" s="18"/>
      <c r="CX139" s="18"/>
      <c r="CY139" s="18"/>
      <c r="CZ139" s="18"/>
      <c r="DA139" s="18"/>
      <c r="DB139" s="18"/>
      <c r="DC139" s="18"/>
      <c r="DD139" s="18"/>
      <c r="DE139" s="18"/>
      <c r="DF139" s="18"/>
      <c r="DG139" s="18"/>
      <c r="DH139" s="18"/>
      <c r="DI139" s="18"/>
      <c r="DJ139" s="18"/>
      <c r="DK139" s="18"/>
      <c r="DL139" s="18"/>
      <c r="DM139" s="18"/>
      <c r="DN139" s="18"/>
      <c r="DO139" s="18"/>
      <c r="DP139" s="18"/>
      <c r="DQ139" s="18"/>
      <c r="DR139" s="18"/>
      <c r="DS139" s="18"/>
      <c r="DT139" s="18"/>
      <c r="DU139" s="18"/>
      <c r="DV139" s="18"/>
      <c r="DW139" s="18"/>
      <c r="DX139" s="18"/>
      <c r="DY139" s="18"/>
      <c r="DZ139" s="18"/>
      <c r="EA139" s="18"/>
      <c r="EB139" s="18"/>
      <c r="EC139" s="18"/>
      <c r="ED139" s="18"/>
      <c r="EE139" s="18"/>
      <c r="EF139" s="18"/>
      <c r="EG139" s="18"/>
      <c r="EH139" s="18"/>
      <c r="EI139" s="18"/>
      <c r="EJ139" s="18"/>
      <c r="EK139" s="18"/>
      <c r="EL139" s="18"/>
      <c r="EM139" s="18"/>
      <c r="EN139" s="18"/>
      <c r="EO139" s="18"/>
      <c r="EP139" s="18"/>
      <c r="EQ139" s="18"/>
      <c r="ER139" s="18"/>
      <c r="ES139" s="18"/>
      <c r="ET139" s="18"/>
      <c r="EU139" s="18"/>
      <c r="EV139" s="18"/>
      <c r="EW139" s="18"/>
      <c r="EX139" s="18"/>
      <c r="EY139" s="18"/>
      <c r="EZ139" s="18"/>
      <c r="FA139" s="18"/>
      <c r="FB139" s="18"/>
      <c r="FC139" s="18"/>
      <c r="FD139" s="18"/>
      <c r="FE139" s="18"/>
      <c r="FF139" s="18"/>
      <c r="FG139" s="18"/>
      <c r="FH139" s="18"/>
      <c r="FI139" s="18"/>
      <c r="FJ139" s="18"/>
      <c r="FK139" s="18"/>
      <c r="FL139" s="18"/>
      <c r="FM139" s="18"/>
      <c r="FN139" s="18"/>
      <c r="FO139" s="18"/>
      <c r="FP139" s="18"/>
      <c r="FQ139" s="18"/>
      <c r="FR139" s="18"/>
      <c r="FS139" s="18"/>
    </row>
    <row r="140" spans="1:175">
      <c r="A140" s="19" t="s">
        <v>22</v>
      </c>
      <c r="B140" s="13"/>
      <c r="AJ140" s="18"/>
      <c r="AK140" s="18"/>
      <c r="AL140" s="18"/>
      <c r="AM140" s="18"/>
      <c r="AN140" s="18"/>
      <c r="AO140" s="18"/>
      <c r="AP140" s="18"/>
      <c r="AQ140" s="18"/>
      <c r="AR140" s="18"/>
      <c r="AS140" s="18"/>
      <c r="AT140" s="18"/>
      <c r="AU140" s="18"/>
      <c r="AV140" s="18"/>
      <c r="AW140" s="18"/>
      <c r="AX140" s="18"/>
      <c r="AY140" s="18"/>
      <c r="AZ140" s="18"/>
      <c r="BA140" s="18"/>
      <c r="BB140" s="18"/>
      <c r="BC140" s="18"/>
      <c r="BD140" s="18"/>
      <c r="BE140" s="18"/>
      <c r="BF140" s="18"/>
      <c r="BG140" s="18"/>
      <c r="BH140" s="18"/>
      <c r="BI140" s="18"/>
      <c r="BJ140" s="18"/>
      <c r="BK140" s="18"/>
      <c r="BL140" s="18"/>
      <c r="BM140" s="18"/>
      <c r="BN140" s="18"/>
      <c r="BO140" s="18"/>
      <c r="BP140" s="18"/>
      <c r="BQ140" s="18"/>
      <c r="BR140" s="18"/>
      <c r="BS140" s="18"/>
      <c r="BT140" s="18"/>
      <c r="BU140" s="18"/>
      <c r="BV140" s="18"/>
      <c r="BW140" s="18"/>
      <c r="BX140" s="18"/>
      <c r="BY140" s="18"/>
      <c r="BZ140" s="18"/>
      <c r="CA140" s="18"/>
      <c r="CB140" s="18"/>
      <c r="CC140" s="18"/>
      <c r="CD140" s="18"/>
      <c r="CE140" s="18"/>
      <c r="CF140" s="18"/>
      <c r="CG140" s="18"/>
      <c r="CH140" s="18"/>
      <c r="CI140" s="18"/>
      <c r="CJ140" s="18"/>
      <c r="CK140" s="18"/>
      <c r="CL140" s="18"/>
      <c r="CM140" s="18"/>
      <c r="CN140" s="18"/>
      <c r="CO140" s="18"/>
      <c r="CP140" s="18"/>
      <c r="CQ140" s="18"/>
      <c r="CR140" s="18"/>
      <c r="CS140" s="18"/>
      <c r="CT140" s="18"/>
      <c r="CU140" s="18"/>
      <c r="CV140" s="18"/>
      <c r="CW140" s="18"/>
      <c r="CX140" s="18"/>
      <c r="CY140" s="18"/>
      <c r="CZ140" s="18"/>
      <c r="DA140" s="18"/>
      <c r="DB140" s="18"/>
      <c r="DC140" s="18"/>
      <c r="DD140" s="18"/>
      <c r="DE140" s="18"/>
      <c r="DF140" s="18"/>
      <c r="DG140" s="18"/>
      <c r="DH140" s="18"/>
      <c r="DI140" s="18"/>
      <c r="DJ140" s="18"/>
      <c r="DK140" s="18"/>
      <c r="DL140" s="18"/>
      <c r="DM140" s="18"/>
      <c r="DN140" s="18"/>
      <c r="DO140" s="18"/>
      <c r="DP140" s="18"/>
      <c r="DQ140" s="18"/>
      <c r="DR140" s="18"/>
      <c r="DS140" s="18"/>
      <c r="DT140" s="18"/>
      <c r="DU140" s="18"/>
      <c r="DV140" s="18"/>
      <c r="DW140" s="18"/>
      <c r="DX140" s="18"/>
      <c r="DY140" s="18"/>
      <c r="DZ140" s="18"/>
      <c r="EA140" s="18"/>
      <c r="EB140" s="18"/>
      <c r="EC140" s="18"/>
      <c r="ED140" s="18"/>
      <c r="EE140" s="18"/>
      <c r="EF140" s="18"/>
      <c r="EG140" s="18"/>
      <c r="EH140" s="18"/>
      <c r="EI140" s="18"/>
      <c r="EJ140" s="18"/>
      <c r="EK140" s="18"/>
      <c r="EL140" s="18"/>
      <c r="EM140" s="18"/>
      <c r="EN140" s="18"/>
      <c r="EO140" s="18"/>
      <c r="EP140" s="18"/>
      <c r="EQ140" s="18"/>
      <c r="ER140" s="18"/>
      <c r="ES140" s="18"/>
      <c r="ET140" s="18"/>
      <c r="EU140" s="18"/>
      <c r="EV140" s="18"/>
      <c r="EW140" s="18"/>
      <c r="EX140" s="18"/>
      <c r="EY140" s="18"/>
      <c r="EZ140" s="18"/>
      <c r="FA140" s="18"/>
      <c r="FB140" s="18"/>
      <c r="FC140" s="18"/>
      <c r="FD140" s="18"/>
      <c r="FE140" s="18"/>
      <c r="FF140" s="18"/>
      <c r="FG140" s="18"/>
      <c r="FH140" s="18"/>
      <c r="FI140" s="18"/>
      <c r="FJ140" s="18"/>
      <c r="FK140" s="18"/>
      <c r="FL140" s="18"/>
      <c r="FM140" s="18"/>
      <c r="FN140" s="18"/>
      <c r="FO140" s="18"/>
      <c r="FP140" s="18"/>
      <c r="FQ140" s="18"/>
      <c r="FR140" s="18"/>
      <c r="FS140" s="18"/>
    </row>
    <row r="141" spans="1:175">
      <c r="AJ141" s="18"/>
      <c r="AK141" s="18"/>
      <c r="AL141" s="18"/>
      <c r="AM141" s="18"/>
      <c r="AN141" s="18"/>
      <c r="AO141" s="18"/>
      <c r="AP141" s="18"/>
      <c r="AQ141" s="18"/>
      <c r="AR141" s="18"/>
      <c r="AS141" s="18"/>
      <c r="AT141" s="18"/>
      <c r="AU141" s="18"/>
      <c r="AV141" s="18"/>
      <c r="AW141" s="18"/>
      <c r="AX141" s="18"/>
      <c r="AY141" s="18"/>
      <c r="AZ141" s="18"/>
      <c r="BA141" s="18"/>
      <c r="BB141" s="18"/>
      <c r="BC141" s="18"/>
      <c r="BD141" s="18"/>
      <c r="BE141" s="18"/>
      <c r="BF141" s="18"/>
      <c r="BG141" s="18"/>
      <c r="BH141" s="18"/>
      <c r="BI141" s="18"/>
      <c r="BJ141" s="18"/>
      <c r="BK141" s="18"/>
      <c r="BL141" s="18"/>
      <c r="BM141" s="18"/>
      <c r="BN141" s="18"/>
      <c r="BO141" s="18"/>
      <c r="BP141" s="18"/>
      <c r="BQ141" s="18"/>
      <c r="BR141" s="18"/>
      <c r="BS141" s="18"/>
      <c r="BT141" s="18"/>
      <c r="BU141" s="18"/>
      <c r="BV141" s="18"/>
      <c r="BW141" s="18"/>
      <c r="BX141" s="18"/>
      <c r="BY141" s="18"/>
      <c r="BZ141" s="18"/>
      <c r="CA141" s="18"/>
      <c r="CB141" s="18"/>
      <c r="CC141" s="18"/>
      <c r="CD141" s="18"/>
      <c r="CE141" s="18"/>
      <c r="CF141" s="18"/>
      <c r="CG141" s="18"/>
      <c r="CH141" s="18"/>
      <c r="CI141" s="18"/>
      <c r="CJ141" s="18"/>
      <c r="CK141" s="18"/>
      <c r="CL141" s="18"/>
      <c r="CM141" s="18"/>
      <c r="CN141" s="18"/>
      <c r="CO141" s="18"/>
      <c r="CP141" s="18"/>
      <c r="CQ141" s="18"/>
      <c r="CR141" s="18"/>
      <c r="CS141" s="18"/>
      <c r="CT141" s="18"/>
      <c r="CU141" s="18"/>
      <c r="CV141" s="18"/>
      <c r="CW141" s="18"/>
      <c r="CX141" s="18"/>
      <c r="CY141" s="18"/>
      <c r="CZ141" s="18"/>
      <c r="DA141" s="18"/>
      <c r="DB141" s="18"/>
      <c r="DC141" s="18"/>
      <c r="DD141" s="18"/>
      <c r="DE141" s="18"/>
      <c r="DF141" s="18"/>
      <c r="DG141" s="18"/>
      <c r="DH141" s="18"/>
      <c r="DI141" s="18"/>
      <c r="DJ141" s="18"/>
      <c r="DK141" s="18"/>
      <c r="DL141" s="18"/>
      <c r="DM141" s="18"/>
      <c r="DN141" s="18"/>
      <c r="DO141" s="18"/>
      <c r="DP141" s="18"/>
      <c r="DQ141" s="18"/>
      <c r="DR141" s="18"/>
      <c r="DS141" s="18"/>
      <c r="DT141" s="18"/>
      <c r="DU141" s="18"/>
      <c r="DV141" s="18"/>
      <c r="DW141" s="18"/>
      <c r="DX141" s="18"/>
      <c r="DY141" s="18"/>
      <c r="DZ141" s="18"/>
      <c r="EA141" s="18"/>
      <c r="EB141" s="18"/>
      <c r="EC141" s="18"/>
      <c r="ED141" s="18"/>
      <c r="EE141" s="18"/>
      <c r="EF141" s="18"/>
      <c r="EG141" s="18"/>
      <c r="EH141" s="18"/>
      <c r="EI141" s="18"/>
      <c r="EJ141" s="18"/>
      <c r="EK141" s="18"/>
      <c r="EL141" s="18"/>
      <c r="EM141" s="18"/>
      <c r="EN141" s="18"/>
      <c r="EO141" s="18"/>
      <c r="EP141" s="18"/>
      <c r="EQ141" s="18"/>
      <c r="ER141" s="18"/>
      <c r="ES141" s="18"/>
      <c r="ET141" s="18"/>
      <c r="EU141" s="18"/>
      <c r="EV141" s="18"/>
      <c r="EW141" s="18"/>
      <c r="EX141" s="18"/>
      <c r="EY141" s="18"/>
      <c r="EZ141" s="18"/>
      <c r="FA141" s="18"/>
      <c r="FB141" s="18"/>
      <c r="FC141" s="18"/>
      <c r="FD141" s="18"/>
      <c r="FE141" s="18"/>
      <c r="FF141" s="18"/>
      <c r="FG141" s="18"/>
      <c r="FH141" s="18"/>
      <c r="FI141" s="18"/>
      <c r="FJ141" s="18"/>
      <c r="FK141" s="18"/>
      <c r="FL141" s="18"/>
      <c r="FM141" s="18"/>
      <c r="FN141" s="18"/>
      <c r="FO141" s="18"/>
      <c r="FP141" s="18"/>
      <c r="FQ141" s="18"/>
      <c r="FR141" s="18"/>
      <c r="FS141" s="18"/>
    </row>
    <row r="142" spans="1:175">
      <c r="AJ142" s="18"/>
      <c r="AK142" s="18"/>
      <c r="AL142" s="18"/>
      <c r="AM142" s="18"/>
      <c r="AN142" s="18"/>
      <c r="AO142" s="18"/>
      <c r="AP142" s="18"/>
      <c r="AQ142" s="18"/>
      <c r="AR142" s="18"/>
      <c r="AS142" s="18"/>
      <c r="AT142" s="18"/>
      <c r="AU142" s="18"/>
      <c r="AV142" s="18"/>
      <c r="AW142" s="18"/>
      <c r="AX142" s="18"/>
      <c r="AY142" s="18"/>
      <c r="AZ142" s="18"/>
      <c r="BA142" s="18"/>
      <c r="BB142" s="18"/>
      <c r="BC142" s="18"/>
      <c r="BD142" s="18"/>
      <c r="BE142" s="18"/>
      <c r="BF142" s="18"/>
      <c r="BG142" s="18"/>
      <c r="BH142" s="18"/>
      <c r="BI142" s="18"/>
      <c r="BJ142" s="18"/>
      <c r="BK142" s="18"/>
      <c r="BL142" s="18"/>
      <c r="BM142" s="18"/>
      <c r="BN142" s="18"/>
      <c r="BO142" s="18"/>
      <c r="BP142" s="18"/>
      <c r="BQ142" s="18"/>
      <c r="BR142" s="18"/>
      <c r="BS142" s="18"/>
      <c r="BT142" s="18"/>
      <c r="BU142" s="18"/>
      <c r="BV142" s="18"/>
      <c r="BW142" s="18"/>
      <c r="BX142" s="18"/>
      <c r="BY142" s="18"/>
      <c r="BZ142" s="18"/>
      <c r="CA142" s="18"/>
      <c r="CB142" s="18"/>
      <c r="CC142" s="18"/>
      <c r="CD142" s="18"/>
      <c r="CE142" s="18"/>
      <c r="CF142" s="18"/>
      <c r="CG142" s="18"/>
      <c r="CH142" s="18"/>
      <c r="CI142" s="18"/>
      <c r="CJ142" s="18"/>
      <c r="CK142" s="18"/>
      <c r="CL142" s="18"/>
      <c r="CM142" s="18"/>
      <c r="CN142" s="18"/>
      <c r="CO142" s="18"/>
      <c r="CP142" s="18"/>
      <c r="CQ142" s="18"/>
      <c r="CR142" s="18"/>
      <c r="CS142" s="18"/>
      <c r="CT142" s="18"/>
      <c r="CU142" s="18"/>
      <c r="CV142" s="18"/>
      <c r="CW142" s="18"/>
      <c r="CX142" s="18"/>
      <c r="CY142" s="18"/>
      <c r="CZ142" s="18"/>
      <c r="DA142" s="18"/>
      <c r="DB142" s="18"/>
      <c r="DC142" s="18"/>
      <c r="DD142" s="18"/>
      <c r="DE142" s="18"/>
      <c r="DF142" s="18"/>
      <c r="DG142" s="18"/>
      <c r="DH142" s="18"/>
      <c r="DI142" s="18"/>
      <c r="DJ142" s="18"/>
      <c r="DK142" s="18"/>
      <c r="DL142" s="18"/>
      <c r="DM142" s="18"/>
      <c r="DN142" s="18"/>
      <c r="DO142" s="18"/>
      <c r="DP142" s="18"/>
      <c r="DQ142" s="18"/>
      <c r="DR142" s="18"/>
      <c r="DS142" s="18"/>
      <c r="DT142" s="18"/>
      <c r="DU142" s="18"/>
      <c r="DV142" s="18"/>
      <c r="DW142" s="18"/>
      <c r="DX142" s="18"/>
      <c r="DY142" s="18"/>
      <c r="DZ142" s="18"/>
      <c r="EA142" s="18"/>
      <c r="EB142" s="18"/>
      <c r="EC142" s="18"/>
      <c r="ED142" s="18"/>
      <c r="EE142" s="18"/>
      <c r="EF142" s="18"/>
      <c r="EG142" s="18"/>
      <c r="EH142" s="18"/>
      <c r="EI142" s="18"/>
      <c r="EJ142" s="18"/>
      <c r="EK142" s="18"/>
      <c r="EL142" s="18"/>
      <c r="EM142" s="18"/>
      <c r="EN142" s="18"/>
      <c r="EO142" s="18"/>
      <c r="EP142" s="18"/>
      <c r="EQ142" s="18"/>
      <c r="ER142" s="18"/>
      <c r="ES142" s="18"/>
      <c r="ET142" s="18"/>
      <c r="EU142" s="18"/>
      <c r="EV142" s="18"/>
      <c r="EW142" s="18"/>
      <c r="EX142" s="18"/>
      <c r="EY142" s="18"/>
      <c r="EZ142" s="18"/>
      <c r="FA142" s="18"/>
      <c r="FB142" s="18"/>
      <c r="FC142" s="18"/>
      <c r="FD142" s="18"/>
      <c r="FE142" s="18"/>
      <c r="FF142" s="18"/>
      <c r="FG142" s="18"/>
      <c r="FH142" s="18"/>
      <c r="FI142" s="18"/>
      <c r="FJ142" s="18"/>
      <c r="FK142" s="18"/>
      <c r="FL142" s="18"/>
      <c r="FM142" s="18"/>
      <c r="FN142" s="18"/>
      <c r="FO142" s="18"/>
      <c r="FP142" s="18"/>
      <c r="FQ142" s="18"/>
      <c r="FR142" s="18"/>
      <c r="FS142" s="18"/>
    </row>
    <row r="144" spans="1:175">
      <c r="B144" s="17"/>
    </row>
    <row r="145" spans="2:2">
      <c r="B145" s="17"/>
    </row>
    <row r="146" spans="2:2">
      <c r="B146" s="17"/>
    </row>
  </sheetData>
  <sheetProtection selectLockedCells="1" selectUnlockedCells="1"/>
  <autoFilter ref="A5:AG66">
    <filterColumn colId="28" showButton="0"/>
    <sortState ref="A8:AH99">
      <sortCondition ref="B5:B99"/>
    </sortState>
  </autoFilter>
  <mergeCells count="33">
    <mergeCell ref="G5:G6"/>
    <mergeCell ref="A126:B126"/>
    <mergeCell ref="F5:F6"/>
    <mergeCell ref="A5:A6"/>
    <mergeCell ref="B5:B6"/>
    <mergeCell ref="C5:C6"/>
    <mergeCell ref="D5:D6"/>
    <mergeCell ref="E5:E6"/>
    <mergeCell ref="S5:S6"/>
    <mergeCell ref="T5:T6"/>
    <mergeCell ref="H5:H6"/>
    <mergeCell ref="I5:I6"/>
    <mergeCell ref="J5:J6"/>
    <mergeCell ref="K5:K6"/>
    <mergeCell ref="N5:N6"/>
    <mergeCell ref="L5:L6"/>
    <mergeCell ref="M5:M6"/>
    <mergeCell ref="AG5:AG6"/>
    <mergeCell ref="A72:B72"/>
    <mergeCell ref="AB5:AB6"/>
    <mergeCell ref="AC5:AD5"/>
    <mergeCell ref="AE5:AE6"/>
    <mergeCell ref="AF5:AF6"/>
    <mergeCell ref="U5:U6"/>
    <mergeCell ref="V5:V6"/>
    <mergeCell ref="W5:W6"/>
    <mergeCell ref="X5:X6"/>
    <mergeCell ref="Y5:Y6"/>
    <mergeCell ref="Z5:Z6"/>
    <mergeCell ref="O5:O6"/>
    <mergeCell ref="P5:P6"/>
    <mergeCell ref="Q5:Q6"/>
    <mergeCell ref="R5:R6"/>
  </mergeCells>
  <pageMargins left="0.32708333333333334" right="8.4027777777777785E-2" top="0.29097222222222224" bottom="0.35277777777777775" header="2.5694444444444443E-2" footer="8.7499999999999994E-2"/>
  <pageSetup scale="42" orientation="portrait" useFirstPageNumber="1" horizontalDpi="300" verticalDpi="300" r:id="rId1"/>
  <headerFooter alignWithMargins="0">
    <oddHeader>&amp;C&amp;"Times New Roman,Normal"&amp;12&amp;A</oddHeader>
    <oddFooter>&amp;C&amp;"Times New Roman,Normal"&amp;12Página &amp;P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84"/>
  <sheetViews>
    <sheetView topLeftCell="A48" workbookViewId="0">
      <selection activeCell="C7" sqref="C7:E84"/>
    </sheetView>
  </sheetViews>
  <sheetFormatPr baseColWidth="10" defaultRowHeight="15"/>
  <cols>
    <col min="1" max="1" width="6.140625" style="18" bestFit="1" customWidth="1"/>
    <col min="2" max="2" width="27.140625" style="18" bestFit="1" customWidth="1"/>
    <col min="3" max="3" width="13.85546875" style="13" customWidth="1"/>
    <col min="4" max="4" width="13.5703125" style="13" customWidth="1"/>
    <col min="5" max="5" width="13.5703125" style="15" customWidth="1"/>
  </cols>
  <sheetData>
    <row r="1" spans="1:5">
      <c r="A1" s="6"/>
      <c r="B1" s="6"/>
      <c r="C1" s="4"/>
      <c r="D1" s="4"/>
      <c r="E1" s="4"/>
    </row>
    <row r="2" spans="1:5">
      <c r="A2" s="6"/>
      <c r="B2" s="6"/>
      <c r="C2" s="4"/>
      <c r="D2" s="4"/>
      <c r="E2" s="4"/>
    </row>
    <row r="3" spans="1:5">
      <c r="A3" s="6"/>
      <c r="B3" s="6"/>
      <c r="C3" s="4"/>
      <c r="D3" s="4"/>
      <c r="E3" s="4"/>
    </row>
    <row r="4" spans="1:5">
      <c r="A4" s="16"/>
      <c r="B4" s="16"/>
    </row>
    <row r="5" spans="1:5">
      <c r="A5" s="16"/>
      <c r="B5" s="16"/>
      <c r="C5" s="104" t="s">
        <v>32</v>
      </c>
      <c r="D5" s="103" t="s">
        <v>12</v>
      </c>
      <c r="E5" s="105" t="s">
        <v>46</v>
      </c>
    </row>
    <row r="6" spans="1:5">
      <c r="A6" s="69"/>
      <c r="B6" s="69"/>
      <c r="C6" s="109"/>
      <c r="D6" s="104"/>
      <c r="E6" s="106"/>
    </row>
    <row r="7" spans="1:5">
      <c r="A7" s="92" t="s">
        <v>210</v>
      </c>
      <c r="B7" s="91" t="s">
        <v>211</v>
      </c>
      <c r="C7" s="34">
        <v>61.5</v>
      </c>
      <c r="D7" s="34"/>
      <c r="E7" s="34"/>
    </row>
    <row r="8" spans="1:5">
      <c r="A8" s="92" t="s">
        <v>212</v>
      </c>
      <c r="B8" s="91" t="s">
        <v>213</v>
      </c>
      <c r="C8" s="34">
        <v>2922.68</v>
      </c>
      <c r="D8" s="34"/>
      <c r="E8" s="34"/>
    </row>
    <row r="9" spans="1:5">
      <c r="A9" s="92" t="s">
        <v>214</v>
      </c>
      <c r="B9" s="91" t="s">
        <v>215</v>
      </c>
      <c r="C9" s="34">
        <v>9215.69</v>
      </c>
      <c r="D9" s="34"/>
      <c r="E9" s="34"/>
    </row>
    <row r="10" spans="1:5">
      <c r="A10" s="92" t="s">
        <v>216</v>
      </c>
      <c r="B10" s="91" t="s">
        <v>217</v>
      </c>
      <c r="C10" s="34">
        <v>13011.36</v>
      </c>
      <c r="D10" s="34"/>
      <c r="E10" s="34"/>
    </row>
    <row r="11" spans="1:5">
      <c r="A11" s="92" t="s">
        <v>218</v>
      </c>
      <c r="B11" s="91" t="s">
        <v>219</v>
      </c>
      <c r="C11" s="34">
        <v>4473.09</v>
      </c>
      <c r="D11" s="34"/>
      <c r="E11" s="34"/>
    </row>
    <row r="12" spans="1:5">
      <c r="A12" s="92" t="s">
        <v>220</v>
      </c>
      <c r="B12" s="91" t="s">
        <v>221</v>
      </c>
      <c r="C12" s="34">
        <v>1350</v>
      </c>
      <c r="D12" s="34"/>
      <c r="E12" s="34"/>
    </row>
    <row r="13" spans="1:5">
      <c r="A13" s="92" t="s">
        <v>222</v>
      </c>
      <c r="B13" s="91" t="s">
        <v>223</v>
      </c>
      <c r="C13" s="34">
        <v>8645.61</v>
      </c>
      <c r="D13" s="34">
        <v>1250</v>
      </c>
      <c r="E13" s="34">
        <v>1000</v>
      </c>
    </row>
    <row r="14" spans="1:5">
      <c r="A14" s="92" t="s">
        <v>224</v>
      </c>
      <c r="B14" s="91" t="s">
        <v>225</v>
      </c>
      <c r="C14" s="34">
        <v>1527.62</v>
      </c>
      <c r="D14" s="34"/>
      <c r="E14" s="34"/>
    </row>
    <row r="15" spans="1:5">
      <c r="A15" s="92" t="s">
        <v>226</v>
      </c>
      <c r="B15" s="91" t="s">
        <v>227</v>
      </c>
      <c r="C15" s="34"/>
      <c r="D15" s="34"/>
      <c r="E15" s="34">
        <v>300</v>
      </c>
    </row>
    <row r="16" spans="1:5">
      <c r="A16" s="92" t="s">
        <v>228</v>
      </c>
      <c r="B16" s="91" t="s">
        <v>229</v>
      </c>
      <c r="C16" s="34">
        <v>8341.91</v>
      </c>
      <c r="D16" s="34"/>
      <c r="E16" s="34"/>
    </row>
    <row r="17" spans="1:5">
      <c r="A17" s="92" t="s">
        <v>230</v>
      </c>
      <c r="B17" s="91" t="s">
        <v>231</v>
      </c>
      <c r="C17" s="34">
        <v>8246.82</v>
      </c>
      <c r="D17" s="34"/>
      <c r="E17" s="34"/>
    </row>
    <row r="18" spans="1:5">
      <c r="A18" s="92" t="s">
        <v>232</v>
      </c>
      <c r="B18" s="91" t="s">
        <v>233</v>
      </c>
      <c r="C18" s="34">
        <v>8491.92</v>
      </c>
      <c r="D18" s="34"/>
      <c r="E18" s="34"/>
    </row>
    <row r="19" spans="1:5">
      <c r="A19" s="92" t="s">
        <v>234</v>
      </c>
      <c r="B19" s="91" t="s">
        <v>235</v>
      </c>
      <c r="C19" s="34">
        <v>3439.2</v>
      </c>
      <c r="D19" s="34"/>
      <c r="E19" s="34"/>
    </row>
    <row r="20" spans="1:5">
      <c r="A20" s="92" t="s">
        <v>236</v>
      </c>
      <c r="B20" s="91" t="s">
        <v>237</v>
      </c>
      <c r="C20" s="34">
        <v>21468.959999999999</v>
      </c>
      <c r="D20" s="34"/>
      <c r="E20" s="34"/>
    </row>
    <row r="21" spans="1:5">
      <c r="A21" s="92" t="s">
        <v>238</v>
      </c>
      <c r="B21" s="91" t="s">
        <v>239</v>
      </c>
      <c r="C21" s="34">
        <v>1425.81</v>
      </c>
      <c r="D21" s="34"/>
      <c r="E21" s="34"/>
    </row>
    <row r="22" spans="1:5">
      <c r="A22" s="92" t="s">
        <v>240</v>
      </c>
      <c r="B22" s="91" t="s">
        <v>241</v>
      </c>
      <c r="C22" s="34">
        <v>505.08</v>
      </c>
      <c r="D22" s="34"/>
      <c r="E22" s="34"/>
    </row>
    <row r="23" spans="1:5">
      <c r="A23" s="92" t="s">
        <v>242</v>
      </c>
      <c r="B23" s="91" t="s">
        <v>243</v>
      </c>
      <c r="C23" s="34">
        <v>7220.5</v>
      </c>
      <c r="D23" s="34"/>
      <c r="E23" s="34"/>
    </row>
    <row r="24" spans="1:5">
      <c r="A24" s="92" t="s">
        <v>244</v>
      </c>
      <c r="B24" s="91" t="s">
        <v>245</v>
      </c>
      <c r="C24" s="34"/>
      <c r="D24" s="34">
        <v>500</v>
      </c>
      <c r="E24" s="34"/>
    </row>
    <row r="25" spans="1:5">
      <c r="A25" s="92" t="s">
        <v>246</v>
      </c>
      <c r="B25" s="91" t="s">
        <v>247</v>
      </c>
      <c r="C25" s="34">
        <v>2076.0100000000002</v>
      </c>
      <c r="D25" s="34"/>
      <c r="E25" s="34"/>
    </row>
    <row r="26" spans="1:5">
      <c r="A26" s="92" t="s">
        <v>248</v>
      </c>
      <c r="B26" s="91" t="s">
        <v>249</v>
      </c>
      <c r="C26" s="34">
        <v>3268.31</v>
      </c>
      <c r="D26" s="34"/>
      <c r="E26" s="34"/>
    </row>
    <row r="27" spans="1:5">
      <c r="A27" s="92" t="s">
        <v>250</v>
      </c>
      <c r="B27" s="91" t="s">
        <v>251</v>
      </c>
      <c r="C27" s="34">
        <v>1173.79</v>
      </c>
      <c r="D27" s="34"/>
      <c r="E27" s="34"/>
    </row>
    <row r="28" spans="1:5">
      <c r="A28" s="92" t="s">
        <v>252</v>
      </c>
      <c r="B28" s="91" t="s">
        <v>253</v>
      </c>
      <c r="C28" s="34">
        <v>1731.86</v>
      </c>
      <c r="D28" s="34"/>
      <c r="E28" s="34"/>
    </row>
    <row r="29" spans="1:5">
      <c r="A29" s="92" t="s">
        <v>254</v>
      </c>
      <c r="B29" s="91" t="s">
        <v>255</v>
      </c>
      <c r="C29" s="34">
        <v>1343.36</v>
      </c>
      <c r="D29" s="34"/>
      <c r="E29" s="34"/>
    </row>
    <row r="30" spans="1:5">
      <c r="A30" s="92" t="s">
        <v>256</v>
      </c>
      <c r="B30" s="91" t="s">
        <v>257</v>
      </c>
      <c r="C30" s="34">
        <v>1071.77</v>
      </c>
      <c r="D30" s="34"/>
      <c r="E30" s="34"/>
    </row>
    <row r="31" spans="1:5">
      <c r="A31" s="92" t="s">
        <v>258</v>
      </c>
      <c r="B31" s="91" t="s">
        <v>259</v>
      </c>
      <c r="C31" s="34">
        <v>1434.61</v>
      </c>
      <c r="D31" s="34"/>
      <c r="E31" s="34"/>
    </row>
    <row r="32" spans="1:5">
      <c r="A32" s="92" t="s">
        <v>260</v>
      </c>
      <c r="B32" s="91" t="s">
        <v>261</v>
      </c>
      <c r="C32" s="34"/>
      <c r="D32" s="34">
        <v>187.5</v>
      </c>
      <c r="E32" s="34"/>
    </row>
    <row r="33" spans="1:5">
      <c r="A33" s="92" t="s">
        <v>262</v>
      </c>
      <c r="B33" s="91" t="s">
        <v>263</v>
      </c>
      <c r="C33" s="63"/>
      <c r="D33" s="34"/>
      <c r="E33" s="34"/>
    </row>
    <row r="34" spans="1:5">
      <c r="A34" s="92" t="s">
        <v>264</v>
      </c>
      <c r="B34" s="91" t="s">
        <v>265</v>
      </c>
      <c r="C34" s="34">
        <v>5237.55</v>
      </c>
      <c r="D34" s="34"/>
      <c r="E34" s="34"/>
    </row>
    <row r="35" spans="1:5">
      <c r="A35" s="92" t="s">
        <v>266</v>
      </c>
      <c r="B35" s="91" t="s">
        <v>267</v>
      </c>
      <c r="C35" s="34">
        <v>4.3099999999999996</v>
      </c>
      <c r="D35" s="34"/>
      <c r="E35" s="34"/>
    </row>
    <row r="36" spans="1:5">
      <c r="A36" s="92" t="s">
        <v>268</v>
      </c>
      <c r="B36" s="91" t="s">
        <v>269</v>
      </c>
      <c r="C36" s="34">
        <v>1290</v>
      </c>
      <c r="D36" s="34"/>
      <c r="E36" s="34"/>
    </row>
    <row r="37" spans="1:5">
      <c r="A37" s="92" t="s">
        <v>270</v>
      </c>
      <c r="B37" s="91" t="s">
        <v>271</v>
      </c>
      <c r="C37" s="34">
        <v>10971.82</v>
      </c>
      <c r="D37" s="34"/>
      <c r="E37" s="34"/>
    </row>
    <row r="38" spans="1:5">
      <c r="A38" s="92" t="s">
        <v>272</v>
      </c>
      <c r="B38" s="91" t="s">
        <v>273</v>
      </c>
      <c r="C38" s="34">
        <v>650</v>
      </c>
      <c r="D38" s="34">
        <v>300</v>
      </c>
      <c r="E38" s="34"/>
    </row>
    <row r="39" spans="1:5">
      <c r="A39" s="92" t="s">
        <v>274</v>
      </c>
      <c r="B39" s="91" t="s">
        <v>275</v>
      </c>
      <c r="C39" s="34">
        <v>2169.83</v>
      </c>
      <c r="D39" s="34"/>
      <c r="E39" s="34"/>
    </row>
    <row r="40" spans="1:5">
      <c r="A40" s="92" t="s">
        <v>276</v>
      </c>
      <c r="B40" s="91" t="s">
        <v>277</v>
      </c>
      <c r="C40" s="34">
        <v>3589.9630000000002</v>
      </c>
      <c r="D40" s="34"/>
      <c r="E40" s="34"/>
    </row>
    <row r="41" spans="1:5">
      <c r="A41" s="92" t="s">
        <v>278</v>
      </c>
      <c r="B41" s="91" t="s">
        <v>279</v>
      </c>
      <c r="C41" s="34">
        <v>2187.5810000000001</v>
      </c>
      <c r="D41" s="34"/>
      <c r="E41" s="34"/>
    </row>
    <row r="42" spans="1:5">
      <c r="A42" s="92" t="s">
        <v>280</v>
      </c>
      <c r="B42" s="91" t="s">
        <v>281</v>
      </c>
      <c r="C42" s="34">
        <v>5369.4670000000006</v>
      </c>
      <c r="D42" s="34"/>
      <c r="E42" s="34"/>
    </row>
    <row r="43" spans="1:5">
      <c r="A43" s="92" t="s">
        <v>282</v>
      </c>
      <c r="B43" s="91" t="s">
        <v>283</v>
      </c>
      <c r="C43" s="34">
        <v>2734.8739999999998</v>
      </c>
      <c r="D43" s="34"/>
      <c r="E43" s="32">
        <v>300</v>
      </c>
    </row>
    <row r="44" spans="1:5">
      <c r="A44" s="92" t="s">
        <v>284</v>
      </c>
      <c r="B44" s="91" t="s">
        <v>285</v>
      </c>
      <c r="C44" s="34">
        <v>635.79999999999995</v>
      </c>
      <c r="D44" s="34"/>
      <c r="E44" s="34"/>
    </row>
    <row r="45" spans="1:5">
      <c r="A45" s="92" t="s">
        <v>286</v>
      </c>
      <c r="B45" s="91" t="s">
        <v>287</v>
      </c>
      <c r="C45" s="34">
        <v>3418.0590000000002</v>
      </c>
      <c r="D45" s="34"/>
      <c r="E45" s="32">
        <v>700</v>
      </c>
    </row>
    <row r="46" spans="1:5">
      <c r="A46" s="92" t="s">
        <v>288</v>
      </c>
      <c r="B46" s="91" t="s">
        <v>289</v>
      </c>
      <c r="C46" s="34">
        <v>2564.1669999999999</v>
      </c>
      <c r="D46" s="34">
        <v>187.5</v>
      </c>
      <c r="E46" s="34"/>
    </row>
    <row r="47" spans="1:5">
      <c r="A47" s="92" t="s">
        <v>290</v>
      </c>
      <c r="B47" s="91" t="s">
        <v>291</v>
      </c>
      <c r="C47" s="34">
        <v>851.4</v>
      </c>
      <c r="D47" s="34"/>
      <c r="E47" s="34"/>
    </row>
    <row r="48" spans="1:5">
      <c r="A48" s="92" t="s">
        <v>292</v>
      </c>
      <c r="B48" s="91" t="s">
        <v>293</v>
      </c>
      <c r="C48" s="34">
        <v>3119.5889999999999</v>
      </c>
      <c r="D48" s="34"/>
      <c r="E48" s="34">
        <v>150</v>
      </c>
    </row>
    <row r="49" spans="1:5">
      <c r="A49" s="92" t="s">
        <v>294</v>
      </c>
      <c r="B49" s="91" t="s">
        <v>295</v>
      </c>
      <c r="C49" s="34">
        <v>2691.4209999999998</v>
      </c>
      <c r="D49" s="34"/>
      <c r="E49" s="32">
        <v>500</v>
      </c>
    </row>
    <row r="50" spans="1:5">
      <c r="A50" s="92" t="s">
        <v>296</v>
      </c>
      <c r="B50" s="91" t="s">
        <v>297</v>
      </c>
      <c r="C50" s="34">
        <v>5196.7629999999999</v>
      </c>
      <c r="D50" s="34"/>
      <c r="E50" s="34">
        <v>1000</v>
      </c>
    </row>
    <row r="51" spans="1:5">
      <c r="A51" s="92" t="s">
        <v>298</v>
      </c>
      <c r="B51" s="91" t="s">
        <v>299</v>
      </c>
      <c r="C51" s="34">
        <v>3803.9059999999999</v>
      </c>
      <c r="D51" s="34"/>
      <c r="E51" s="34"/>
    </row>
    <row r="52" spans="1:5">
      <c r="A52" s="92" t="s">
        <v>300</v>
      </c>
      <c r="B52" s="91" t="s">
        <v>301</v>
      </c>
      <c r="C52" s="34">
        <v>3494.415</v>
      </c>
      <c r="D52" s="34"/>
      <c r="E52" s="34"/>
    </row>
    <row r="53" spans="1:5">
      <c r="A53" s="92" t="s">
        <v>302</v>
      </c>
      <c r="B53" s="91" t="s">
        <v>303</v>
      </c>
      <c r="C53" s="34">
        <v>5153.4179999999997</v>
      </c>
      <c r="D53" s="34"/>
      <c r="E53" s="34"/>
    </row>
    <row r="54" spans="1:5">
      <c r="A54" s="92" t="s">
        <v>304</v>
      </c>
      <c r="B54" s="91" t="s">
        <v>305</v>
      </c>
      <c r="C54" s="34">
        <v>890</v>
      </c>
      <c r="D54" s="34"/>
      <c r="E54" s="34"/>
    </row>
    <row r="55" spans="1:5">
      <c r="A55" s="92" t="s">
        <v>306</v>
      </c>
      <c r="B55" s="91" t="s">
        <v>307</v>
      </c>
      <c r="C55" s="89">
        <v>65.697000000000003</v>
      </c>
      <c r="D55" s="34"/>
      <c r="E55" s="34"/>
    </row>
    <row r="56" spans="1:5">
      <c r="A56" s="92" t="s">
        <v>308</v>
      </c>
      <c r="B56" s="91" t="s">
        <v>309</v>
      </c>
      <c r="C56" s="34">
        <v>817.64600000000007</v>
      </c>
      <c r="D56" s="34">
        <v>200</v>
      </c>
      <c r="E56" s="34">
        <v>300</v>
      </c>
    </row>
    <row r="57" spans="1:5">
      <c r="A57" s="92" t="s">
        <v>310</v>
      </c>
      <c r="B57" s="91" t="s">
        <v>311</v>
      </c>
      <c r="C57" s="89">
        <v>858.35300000000007</v>
      </c>
      <c r="D57" s="34"/>
      <c r="E57" s="34"/>
    </row>
    <row r="58" spans="1:5">
      <c r="A58" s="92" t="s">
        <v>312</v>
      </c>
      <c r="B58" s="91" t="s">
        <v>313</v>
      </c>
      <c r="C58" s="34">
        <v>2168.2630000000004</v>
      </c>
      <c r="D58" s="34"/>
      <c r="E58" s="34"/>
    </row>
    <row r="59" spans="1:5">
      <c r="A59" s="92" t="s">
        <v>314</v>
      </c>
      <c r="B59" s="91" t="s">
        <v>315</v>
      </c>
      <c r="C59" s="34">
        <v>5293.2479999999996</v>
      </c>
      <c r="D59" s="34"/>
      <c r="E59" s="34"/>
    </row>
    <row r="60" spans="1:5">
      <c r="A60" s="92" t="s">
        <v>316</v>
      </c>
      <c r="B60" s="91" t="s">
        <v>317</v>
      </c>
      <c r="C60" s="34">
        <v>2304.4409999999998</v>
      </c>
      <c r="D60" s="34"/>
      <c r="E60" s="34"/>
    </row>
    <row r="61" spans="1:5">
      <c r="A61" s="92" t="s">
        <v>318</v>
      </c>
      <c r="B61" s="91" t="s">
        <v>319</v>
      </c>
      <c r="C61" s="34">
        <v>4966.4650000000001</v>
      </c>
      <c r="D61" s="34"/>
      <c r="E61" s="34"/>
    </row>
    <row r="62" spans="1:5">
      <c r="A62" s="92" t="s">
        <v>320</v>
      </c>
      <c r="B62" s="91" t="s">
        <v>321</v>
      </c>
      <c r="C62" s="34">
        <v>460.839</v>
      </c>
      <c r="D62" s="34"/>
      <c r="E62" s="34"/>
    </row>
    <row r="63" spans="1:5">
      <c r="A63" s="92" t="s">
        <v>322</v>
      </c>
      <c r="B63" s="91" t="s">
        <v>323</v>
      </c>
      <c r="C63" s="34">
        <v>4734.4399999999996</v>
      </c>
      <c r="D63" s="34"/>
      <c r="E63" s="34"/>
    </row>
    <row r="64" spans="1:5">
      <c r="A64" s="92" t="s">
        <v>324</v>
      </c>
      <c r="B64" s="91" t="s">
        <v>325</v>
      </c>
      <c r="C64" s="34">
        <v>3606.6480000000001</v>
      </c>
      <c r="D64" s="34"/>
      <c r="E64" s="34"/>
    </row>
    <row r="65" spans="1:5">
      <c r="A65" s="92" t="s">
        <v>326</v>
      </c>
      <c r="B65" s="91" t="s">
        <v>327</v>
      </c>
      <c r="C65" s="34">
        <v>1437.0709999999999</v>
      </c>
      <c r="D65" s="34"/>
      <c r="E65" s="34"/>
    </row>
    <row r="66" spans="1:5">
      <c r="A66" s="92" t="s">
        <v>328</v>
      </c>
      <c r="B66" s="91" t="s">
        <v>329</v>
      </c>
      <c r="C66" s="34">
        <v>3280.848</v>
      </c>
      <c r="D66" s="34"/>
      <c r="E66" s="34">
        <v>500</v>
      </c>
    </row>
    <row r="67" spans="1:5">
      <c r="A67" s="92" t="s">
        <v>330</v>
      </c>
      <c r="B67" s="91" t="s">
        <v>331</v>
      </c>
      <c r="C67" s="34">
        <v>6504.5339999999997</v>
      </c>
      <c r="D67" s="34"/>
      <c r="E67" s="34"/>
    </row>
    <row r="68" spans="1:5">
      <c r="A68" s="92" t="s">
        <v>332</v>
      </c>
      <c r="B68" s="91" t="s">
        <v>333</v>
      </c>
      <c r="C68" s="34">
        <v>207.4</v>
      </c>
      <c r="D68" s="34"/>
      <c r="E68" s="34"/>
    </row>
    <row r="69" spans="1:5">
      <c r="A69" s="92" t="s">
        <v>334</v>
      </c>
      <c r="B69" s="91" t="s">
        <v>335</v>
      </c>
      <c r="C69" s="34">
        <v>1815.7089999999998</v>
      </c>
      <c r="D69" s="34"/>
      <c r="E69" s="34"/>
    </row>
    <row r="70" spans="1:5">
      <c r="A70" s="92" t="s">
        <v>336</v>
      </c>
      <c r="B70" s="91" t="s">
        <v>337</v>
      </c>
      <c r="C70" s="34">
        <v>6364.5389999999998</v>
      </c>
      <c r="D70" s="34"/>
      <c r="E70" s="34"/>
    </row>
    <row r="71" spans="1:5">
      <c r="A71" s="92" t="s">
        <v>338</v>
      </c>
      <c r="B71" s="91" t="s">
        <v>339</v>
      </c>
      <c r="C71" s="34">
        <v>3208.9370000000004</v>
      </c>
      <c r="D71" s="34"/>
      <c r="E71" s="34">
        <v>200</v>
      </c>
    </row>
    <row r="72" spans="1:5">
      <c r="A72" s="92" t="s">
        <v>340</v>
      </c>
      <c r="B72" s="91" t="s">
        <v>341</v>
      </c>
      <c r="C72" s="34">
        <v>1727.462</v>
      </c>
      <c r="D72" s="34"/>
      <c r="E72" s="34"/>
    </row>
    <row r="73" spans="1:5">
      <c r="A73" s="92" t="s">
        <v>342</v>
      </c>
      <c r="B73" s="91" t="s">
        <v>343</v>
      </c>
      <c r="C73" s="34">
        <v>2025.6980000000001</v>
      </c>
      <c r="D73" s="34"/>
      <c r="E73" s="34"/>
    </row>
    <row r="74" spans="1:5">
      <c r="A74" s="92" t="s">
        <v>344</v>
      </c>
      <c r="B74" s="91" t="s">
        <v>345</v>
      </c>
      <c r="C74" s="34">
        <v>1136.5</v>
      </c>
      <c r="D74" s="34"/>
      <c r="E74" s="34"/>
    </row>
    <row r="75" spans="1:5">
      <c r="A75" s="92" t="s">
        <v>346</v>
      </c>
      <c r="B75" s="91" t="s">
        <v>347</v>
      </c>
      <c r="C75" s="34">
        <v>344.9</v>
      </c>
      <c r="D75" s="34"/>
      <c r="E75" s="34"/>
    </row>
    <row r="76" spans="1:5">
      <c r="A76" s="92" t="s">
        <v>348</v>
      </c>
      <c r="B76" s="91" t="s">
        <v>349</v>
      </c>
      <c r="C76" s="34">
        <v>4789.9539999999997</v>
      </c>
      <c r="D76" s="34"/>
      <c r="E76" s="34">
        <v>200</v>
      </c>
    </row>
    <row r="77" spans="1:5">
      <c r="A77" s="92" t="s">
        <v>350</v>
      </c>
      <c r="B77" s="91" t="s">
        <v>351</v>
      </c>
      <c r="C77" s="34">
        <v>4364.4470000000001</v>
      </c>
      <c r="D77" s="34"/>
      <c r="E77" s="34">
        <v>200</v>
      </c>
    </row>
    <row r="78" spans="1:5">
      <c r="A78" s="92" t="s">
        <v>352</v>
      </c>
      <c r="B78" s="91" t="s">
        <v>353</v>
      </c>
      <c r="C78" s="34">
        <v>4264.4250000000002</v>
      </c>
      <c r="D78" s="34"/>
      <c r="E78" s="34"/>
    </row>
    <row r="79" spans="1:5">
      <c r="A79" s="92" t="s">
        <v>354</v>
      </c>
      <c r="B79" s="91" t="s">
        <v>355</v>
      </c>
      <c r="C79" s="34">
        <v>3797.7309999999998</v>
      </c>
      <c r="D79" s="34"/>
      <c r="E79" s="34"/>
    </row>
    <row r="80" spans="1:5">
      <c r="A80" s="92" t="s">
        <v>356</v>
      </c>
      <c r="B80" s="91" t="s">
        <v>357</v>
      </c>
      <c r="C80" s="34">
        <v>739.5</v>
      </c>
      <c r="D80" s="34"/>
      <c r="E80" s="34"/>
    </row>
    <row r="81" spans="1:5">
      <c r="A81" s="92" t="s">
        <v>358</v>
      </c>
      <c r="B81" s="91" t="s">
        <v>359</v>
      </c>
      <c r="C81" s="34">
        <v>419.38900000000001</v>
      </c>
      <c r="D81" s="34"/>
      <c r="E81" s="34"/>
    </row>
    <row r="82" spans="1:5">
      <c r="A82" s="92" t="s">
        <v>360</v>
      </c>
      <c r="B82" s="91" t="s">
        <v>361</v>
      </c>
      <c r="C82" s="34">
        <v>5420.8739999999998</v>
      </c>
      <c r="D82" s="34"/>
      <c r="E82" s="34">
        <v>150</v>
      </c>
    </row>
    <row r="83" spans="1:5">
      <c r="A83" s="92" t="s">
        <v>362</v>
      </c>
      <c r="B83" s="91" t="s">
        <v>363</v>
      </c>
      <c r="C83" s="34">
        <v>5404.2640000000001</v>
      </c>
      <c r="D83" s="34"/>
      <c r="E83" s="34"/>
    </row>
    <row r="84" spans="1:5">
      <c r="A84" s="92" t="s">
        <v>364</v>
      </c>
      <c r="B84" s="91" t="s">
        <v>365</v>
      </c>
      <c r="C84" s="34">
        <v>6305.2039999999997</v>
      </c>
      <c r="D84" s="34"/>
      <c r="E84" s="34">
        <v>500</v>
      </c>
    </row>
  </sheetData>
  <mergeCells count="3">
    <mergeCell ref="C5:C6"/>
    <mergeCell ref="D5:D6"/>
    <mergeCell ref="E5:E6"/>
  </mergeCells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"/>
  <sheetViews>
    <sheetView workbookViewId="0">
      <selection activeCell="E30" sqref="E30"/>
    </sheetView>
  </sheetViews>
  <sheetFormatPr baseColWidth="10" defaultRowHeight="12.75"/>
  <cols>
    <col min="1" max="1" width="6" bestFit="1" customWidth="1"/>
    <col min="2" max="2" width="25.140625" bestFit="1" customWidth="1"/>
    <col min="3" max="3" width="7.85546875" bestFit="1" customWidth="1"/>
  </cols>
  <sheetData>
    <row r="1" spans="1:5" ht="15">
      <c r="A1" s="94" t="s">
        <v>278</v>
      </c>
      <c r="B1" s="93" t="s">
        <v>279</v>
      </c>
      <c r="C1" s="95">
        <v>2855.45</v>
      </c>
      <c r="D1" s="61">
        <v>139.91704999999999</v>
      </c>
      <c r="E1" s="61">
        <v>28.554499999999997</v>
      </c>
    </row>
    <row r="2" spans="1:5" ht="15">
      <c r="A2" s="94" t="s">
        <v>280</v>
      </c>
      <c r="B2" s="93" t="s">
        <v>281</v>
      </c>
      <c r="C2" s="95">
        <v>5996.6</v>
      </c>
      <c r="D2" s="61">
        <v>293.83340000000004</v>
      </c>
      <c r="E2" s="61">
        <v>59.966000000000008</v>
      </c>
    </row>
    <row r="3" spans="1:5" ht="15">
      <c r="A3" s="94" t="s">
        <v>282</v>
      </c>
      <c r="B3" s="93" t="s">
        <v>283</v>
      </c>
      <c r="C3" s="95">
        <v>3362</v>
      </c>
      <c r="D3" s="61">
        <v>164.738</v>
      </c>
      <c r="E3" s="61">
        <v>33.619999999999997</v>
      </c>
    </row>
    <row r="4" spans="1:5" ht="15">
      <c r="A4" s="94" t="s">
        <v>284</v>
      </c>
      <c r="B4" s="93" t="s">
        <v>285</v>
      </c>
      <c r="C4" s="95">
        <v>1254.32</v>
      </c>
      <c r="D4" s="61">
        <v>61.461680000000001</v>
      </c>
      <c r="E4" s="61">
        <v>12.543199999999999</v>
      </c>
    </row>
    <row r="5" spans="1:5" ht="15">
      <c r="A5" s="94" t="s">
        <v>286</v>
      </c>
      <c r="B5" s="93" t="s">
        <v>287</v>
      </c>
      <c r="C5" s="95">
        <v>4036.58</v>
      </c>
      <c r="D5" s="61">
        <v>197.79241999999999</v>
      </c>
      <c r="E5" s="61">
        <v>40.3658</v>
      </c>
    </row>
    <row r="6" spans="1:5" ht="15">
      <c r="A6" s="94" t="s">
        <v>290</v>
      </c>
      <c r="B6" s="93" t="s">
        <v>291</v>
      </c>
      <c r="C6" s="95">
        <v>1469.92</v>
      </c>
      <c r="D6" s="61">
        <v>72.026080000000007</v>
      </c>
      <c r="E6" s="61">
        <v>14.699200000000001</v>
      </c>
    </row>
    <row r="7" spans="1:5" ht="15">
      <c r="A7" s="94" t="s">
        <v>294</v>
      </c>
      <c r="B7" s="93" t="s">
        <v>295</v>
      </c>
      <c r="C7" s="95">
        <v>3214.03</v>
      </c>
      <c r="D7" s="61">
        <v>157.48747</v>
      </c>
      <c r="E7" s="61">
        <v>32.140300000000003</v>
      </c>
    </row>
    <row r="8" spans="1:5" ht="15">
      <c r="A8" s="94" t="s">
        <v>296</v>
      </c>
      <c r="B8" s="93" t="s">
        <v>297</v>
      </c>
      <c r="C8" s="95">
        <v>5823.89</v>
      </c>
      <c r="D8" s="61">
        <v>285.37061</v>
      </c>
      <c r="E8" s="61">
        <v>58.238900000000001</v>
      </c>
    </row>
    <row r="9" spans="1:5" ht="15">
      <c r="A9" s="94" t="s">
        <v>298</v>
      </c>
      <c r="B9" s="93" t="s">
        <v>299</v>
      </c>
      <c r="C9" s="95">
        <v>4422.43</v>
      </c>
      <c r="D9" s="61">
        <v>216.69907000000003</v>
      </c>
      <c r="E9" s="61">
        <v>44.224300000000007</v>
      </c>
    </row>
    <row r="10" spans="1:5" ht="15">
      <c r="A10" s="94" t="s">
        <v>304</v>
      </c>
      <c r="B10" s="93" t="s">
        <v>305</v>
      </c>
      <c r="C10" s="95">
        <v>1508.52</v>
      </c>
      <c r="D10" s="61">
        <v>73.917479999999998</v>
      </c>
      <c r="E10" s="61">
        <v>15.0852</v>
      </c>
    </row>
    <row r="11" spans="1:5" ht="15">
      <c r="A11" s="94" t="s">
        <v>308</v>
      </c>
      <c r="B11" s="93" t="s">
        <v>309</v>
      </c>
      <c r="C11" s="95">
        <v>1436.17</v>
      </c>
      <c r="D11" s="61">
        <v>70.372330000000005</v>
      </c>
      <c r="E11" s="61">
        <v>14.361700000000001</v>
      </c>
    </row>
    <row r="12" spans="1:5" ht="15">
      <c r="A12" s="94" t="s">
        <v>312</v>
      </c>
      <c r="B12" s="93" t="s">
        <v>313</v>
      </c>
      <c r="C12" s="95">
        <v>2795.39</v>
      </c>
      <c r="D12" s="61">
        <v>136.97411</v>
      </c>
      <c r="E12" s="61">
        <v>27.953900000000001</v>
      </c>
    </row>
    <row r="13" spans="1:5" ht="15">
      <c r="A13" s="94" t="s">
        <v>316</v>
      </c>
      <c r="B13" s="93" t="s">
        <v>317</v>
      </c>
      <c r="C13" s="95">
        <v>2931.57</v>
      </c>
      <c r="D13" s="61">
        <v>143.64693000000003</v>
      </c>
      <c r="E13" s="61">
        <v>29.315700000000003</v>
      </c>
    </row>
    <row r="14" spans="1:5" ht="15">
      <c r="A14" s="94" t="s">
        <v>320</v>
      </c>
      <c r="B14" s="93" t="s">
        <v>321</v>
      </c>
      <c r="C14" s="95">
        <v>1079.3599999999999</v>
      </c>
      <c r="D14" s="61">
        <v>52.888639999999995</v>
      </c>
      <c r="E14" s="61">
        <v>10.7936</v>
      </c>
    </row>
    <row r="15" spans="1:5" ht="15">
      <c r="A15" s="94" t="s">
        <v>326</v>
      </c>
      <c r="B15" s="93" t="s">
        <v>327</v>
      </c>
      <c r="C15" s="95">
        <v>2064.1999999999998</v>
      </c>
      <c r="D15" s="61">
        <v>101.14579999999999</v>
      </c>
      <c r="E15" s="61">
        <v>20.641999999999999</v>
      </c>
    </row>
    <row r="16" spans="1:5" ht="15">
      <c r="A16" s="94" t="s">
        <v>328</v>
      </c>
      <c r="B16" s="93" t="s">
        <v>329</v>
      </c>
      <c r="C16" s="95">
        <v>3899.37</v>
      </c>
      <c r="D16" s="61">
        <v>191.06913</v>
      </c>
      <c r="E16" s="61">
        <v>38.993699999999997</v>
      </c>
    </row>
    <row r="17" spans="1:5" ht="15">
      <c r="A17" s="94" t="s">
        <v>332</v>
      </c>
      <c r="B17" s="93" t="s">
        <v>333</v>
      </c>
      <c r="C17" s="95">
        <v>825.92</v>
      </c>
      <c r="D17" s="61">
        <v>40.470080000000003</v>
      </c>
      <c r="E17" s="61">
        <v>8.2591999999999999</v>
      </c>
    </row>
    <row r="18" spans="1:5" ht="15">
      <c r="A18" s="94" t="s">
        <v>334</v>
      </c>
      <c r="B18" s="93" t="s">
        <v>335</v>
      </c>
      <c r="C18" s="95">
        <v>2442.77</v>
      </c>
      <c r="D18" s="61">
        <v>119.69573</v>
      </c>
      <c r="E18" s="61">
        <v>24.427700000000002</v>
      </c>
    </row>
    <row r="19" spans="1:5" ht="15">
      <c r="A19" s="94" t="s">
        <v>338</v>
      </c>
      <c r="B19" s="93" t="s">
        <v>339</v>
      </c>
      <c r="C19" s="95">
        <v>3836.07</v>
      </c>
      <c r="D19" s="61">
        <v>187.96743000000001</v>
      </c>
      <c r="E19" s="61">
        <v>38.360700000000001</v>
      </c>
    </row>
    <row r="20" spans="1:5" ht="15">
      <c r="A20" s="94" t="s">
        <v>342</v>
      </c>
      <c r="B20" s="93" t="s">
        <v>343</v>
      </c>
      <c r="C20" s="95">
        <v>2644.22</v>
      </c>
      <c r="D20" s="61">
        <v>129.56677999999999</v>
      </c>
      <c r="E20" s="61">
        <v>26.4422</v>
      </c>
    </row>
    <row r="21" spans="1:5" ht="15">
      <c r="A21" s="94" t="s">
        <v>344</v>
      </c>
      <c r="B21" s="93" t="s">
        <v>345</v>
      </c>
      <c r="C21" s="95">
        <v>1759.85</v>
      </c>
      <c r="D21" s="61">
        <v>86.232649999999992</v>
      </c>
      <c r="E21" s="61">
        <v>17.598499999999998</v>
      </c>
    </row>
    <row r="22" spans="1:5" ht="15">
      <c r="A22" s="94" t="s">
        <v>346</v>
      </c>
      <c r="B22" s="93" t="s">
        <v>347</v>
      </c>
      <c r="C22" s="95">
        <v>757.25</v>
      </c>
      <c r="D22" s="61">
        <v>37.105249999999998</v>
      </c>
      <c r="E22" s="61">
        <v>7.5724999999999998</v>
      </c>
    </row>
    <row r="23" spans="1:5" ht="15">
      <c r="A23" s="94" t="s">
        <v>348</v>
      </c>
      <c r="B23" s="93" t="s">
        <v>349</v>
      </c>
      <c r="C23" s="95">
        <v>5417.08</v>
      </c>
      <c r="D23" s="61">
        <v>265.43691999999999</v>
      </c>
      <c r="E23" s="61">
        <v>54.1708</v>
      </c>
    </row>
    <row r="24" spans="1:5" ht="15">
      <c r="A24" s="94" t="s">
        <v>356</v>
      </c>
      <c r="B24" s="93" t="s">
        <v>357</v>
      </c>
      <c r="C24" s="95">
        <v>1358.02</v>
      </c>
      <c r="D24" s="61">
        <v>66.54298</v>
      </c>
      <c r="E24" s="61">
        <v>13.5802</v>
      </c>
    </row>
    <row r="25" spans="1:5" ht="15">
      <c r="A25" s="94" t="s">
        <v>358</v>
      </c>
      <c r="B25" s="93" t="s">
        <v>359</v>
      </c>
      <c r="C25" s="95">
        <v>934.82</v>
      </c>
      <c r="D25" s="61">
        <v>45.806180000000005</v>
      </c>
      <c r="E25" s="61">
        <v>9.3482000000000003</v>
      </c>
    </row>
    <row r="26" spans="1:5" ht="15">
      <c r="A26" s="94" t="s">
        <v>360</v>
      </c>
      <c r="B26" s="93" t="s">
        <v>361</v>
      </c>
      <c r="C26" s="95">
        <v>6048</v>
      </c>
      <c r="D26" s="61">
        <v>296.35200000000003</v>
      </c>
      <c r="E26" s="61">
        <v>60.480000000000004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FORMATO NOMINA</vt:lpstr>
      <vt:lpstr>Hoja1</vt:lpstr>
      <vt:lpstr>Hoja2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Humanos</dc:creator>
  <cp:lastModifiedBy>usuario</cp:lastModifiedBy>
  <cp:lastPrinted>2016-02-12T20:59:22Z</cp:lastPrinted>
  <dcterms:created xsi:type="dcterms:W3CDTF">2015-07-23T15:19:36Z</dcterms:created>
  <dcterms:modified xsi:type="dcterms:W3CDTF">2017-12-29T14:45:22Z</dcterms:modified>
</cp:coreProperties>
</file>