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595"/>
  </bookViews>
  <sheets>
    <sheet name="FORMATO NOMINA" sheetId="4" r:id="rId1"/>
  </sheets>
  <definedNames>
    <definedName name="_xlnm._FilterDatabase" localSheetId="0" hidden="1">'FORMATO NOMINA'!$A$5:$AG$67</definedName>
  </definedNames>
  <calcPr calcId="144525"/>
</workbook>
</file>

<file path=xl/calcChain.xml><?xml version="1.0" encoding="utf-8"?>
<calcChain xmlns="http://schemas.openxmlformats.org/spreadsheetml/2006/main">
  <c r="J120" i="4" l="1"/>
  <c r="K120" i="4"/>
  <c r="L120" i="4"/>
  <c r="M120" i="4"/>
  <c r="N120" i="4"/>
  <c r="O120" i="4"/>
  <c r="P120" i="4"/>
  <c r="Q120" i="4"/>
  <c r="R120" i="4"/>
  <c r="S120" i="4"/>
  <c r="T120" i="4"/>
  <c r="U120" i="4"/>
  <c r="F120" i="4"/>
  <c r="G120" i="4"/>
  <c r="H120" i="4"/>
  <c r="I120" i="4"/>
  <c r="E120" i="4"/>
  <c r="J68" i="4" l="1"/>
  <c r="J53" i="4"/>
  <c r="V53" i="4" s="1"/>
  <c r="J118" i="4"/>
  <c r="V118" i="4" s="1"/>
  <c r="J89" i="4"/>
  <c r="V89" i="4" s="1"/>
  <c r="F77" i="4"/>
  <c r="F100" i="4"/>
  <c r="F103" i="4"/>
  <c r="F80" i="4"/>
  <c r="F94" i="4"/>
  <c r="F92" i="4"/>
  <c r="F117" i="4"/>
  <c r="F110" i="4"/>
  <c r="F111" i="4"/>
  <c r="F83" i="4"/>
  <c r="F86" i="4"/>
  <c r="F82" i="4"/>
  <c r="F104" i="4"/>
  <c r="F84" i="4"/>
  <c r="F99" i="4"/>
  <c r="F79" i="4"/>
  <c r="F115" i="4"/>
  <c r="F95" i="4"/>
  <c r="F98" i="4"/>
  <c r="F76" i="4"/>
  <c r="F112" i="4"/>
  <c r="F116" i="4"/>
  <c r="F93" i="4"/>
  <c r="F102" i="4"/>
  <c r="F97" i="4"/>
  <c r="F105" i="4"/>
  <c r="F109" i="4"/>
  <c r="F87" i="4"/>
  <c r="F96" i="4"/>
  <c r="F85" i="4"/>
  <c r="F90" i="4"/>
  <c r="F91" i="4"/>
  <c r="F75" i="4"/>
  <c r="J15" i="4" l="1"/>
  <c r="J14" i="4"/>
  <c r="J41" i="4"/>
  <c r="V41" i="4" s="1"/>
  <c r="J35" i="4" l="1"/>
  <c r="V35" i="4" s="1"/>
  <c r="J9" i="4"/>
  <c r="V9" i="4" s="1"/>
  <c r="J21" i="4" l="1"/>
  <c r="J22" i="4"/>
  <c r="J108" i="4"/>
  <c r="V108" i="4" s="1"/>
  <c r="J109" i="4"/>
  <c r="U71" i="4" l="1"/>
  <c r="F71" i="4" l="1"/>
  <c r="J115" i="4" l="1"/>
  <c r="J114" i="4"/>
  <c r="J113" i="4"/>
  <c r="J112" i="4"/>
  <c r="J101" i="4"/>
  <c r="V101" i="4" s="1"/>
  <c r="J58" i="4"/>
  <c r="J39" i="4"/>
  <c r="J69" i="4"/>
  <c r="J74" i="4"/>
  <c r="G71" i="4"/>
  <c r="H71" i="4"/>
  <c r="I71" i="4"/>
  <c r="K71" i="4"/>
  <c r="L71" i="4"/>
  <c r="M71" i="4"/>
  <c r="N71" i="4"/>
  <c r="O71" i="4"/>
  <c r="P71" i="4"/>
  <c r="Q71" i="4"/>
  <c r="R71" i="4"/>
  <c r="S71" i="4"/>
  <c r="T71" i="4"/>
  <c r="E71" i="4"/>
  <c r="V74" i="4" l="1"/>
  <c r="J116" i="4"/>
  <c r="V116" i="4" s="1"/>
  <c r="J7" i="4"/>
  <c r="V7" i="4" l="1"/>
  <c r="J88" i="4"/>
  <c r="V88" i="4" s="1"/>
  <c r="J11" i="4" l="1"/>
  <c r="J27" i="4"/>
  <c r="V27" i="4" s="1"/>
  <c r="J52" i="4"/>
  <c r="V52" i="4" s="1"/>
  <c r="J28" i="4" l="1"/>
  <c r="V28" i="4" s="1"/>
  <c r="J13" i="4"/>
  <c r="J47" i="4"/>
  <c r="J130" i="4"/>
  <c r="V130" i="4" s="1"/>
  <c r="J18" i="4" l="1"/>
  <c r="V18" i="4" s="1"/>
  <c r="J19" i="4"/>
  <c r="J23" i="4"/>
  <c r="J24" i="4"/>
  <c r="J40" i="4"/>
  <c r="V40" i="4" s="1"/>
  <c r="J48" i="4" l="1"/>
  <c r="V48" i="4" s="1"/>
  <c r="J77" i="4" l="1"/>
  <c r="J10" i="4" l="1"/>
  <c r="J12" i="4"/>
  <c r="J16" i="4"/>
  <c r="J17" i="4"/>
  <c r="V23" i="4"/>
  <c r="V24" i="4"/>
  <c r="J25" i="4"/>
  <c r="V25" i="4" s="1"/>
  <c r="J26" i="4"/>
  <c r="J29" i="4"/>
  <c r="J30" i="4"/>
  <c r="J31" i="4"/>
  <c r="V31" i="4" s="1"/>
  <c r="J32" i="4"/>
  <c r="V32" i="4" s="1"/>
  <c r="J33" i="4"/>
  <c r="J34" i="4"/>
  <c r="J36" i="4"/>
  <c r="J37" i="4"/>
  <c r="J38" i="4"/>
  <c r="V38" i="4" s="1"/>
  <c r="J42" i="4"/>
  <c r="V42" i="4" s="1"/>
  <c r="J43" i="4"/>
  <c r="J44" i="4"/>
  <c r="J45" i="4"/>
  <c r="J46" i="4"/>
  <c r="V46" i="4" s="1"/>
  <c r="J49" i="4"/>
  <c r="V49" i="4" s="1"/>
  <c r="J50" i="4"/>
  <c r="J51" i="4"/>
  <c r="J54" i="4"/>
  <c r="J55" i="4"/>
  <c r="J56" i="4"/>
  <c r="J57" i="4"/>
  <c r="J59" i="4"/>
  <c r="J60" i="4"/>
  <c r="J61" i="4"/>
  <c r="J62" i="4"/>
  <c r="J63" i="4"/>
  <c r="J64" i="4"/>
  <c r="V64" i="4" s="1"/>
  <c r="J65" i="4"/>
  <c r="J66" i="4"/>
  <c r="J67" i="4"/>
  <c r="J8" i="4"/>
  <c r="J71" i="4" l="1"/>
  <c r="J102" i="4" l="1"/>
  <c r="V102" i="4" s="1"/>
  <c r="V120" i="4" s="1"/>
  <c r="J103" i="4"/>
  <c r="V103" i="4" s="1"/>
  <c r="J104" i="4"/>
  <c r="J95" i="4"/>
  <c r="V95" i="4" s="1"/>
  <c r="J96" i="4"/>
  <c r="V96" i="4" s="1"/>
  <c r="J97" i="4"/>
  <c r="V97" i="4" s="1"/>
  <c r="V50" i="4" l="1"/>
  <c r="V51" i="4"/>
  <c r="V54" i="4"/>
  <c r="V55" i="4"/>
  <c r="V17" i="4"/>
  <c r="V19" i="4"/>
  <c r="V22" i="4"/>
  <c r="V26" i="4"/>
  <c r="V29" i="4"/>
  <c r="V30" i="4"/>
  <c r="V33" i="4"/>
  <c r="J98" i="4"/>
  <c r="V98" i="4" s="1"/>
  <c r="J99" i="4"/>
  <c r="V99" i="4" s="1"/>
  <c r="J100" i="4"/>
  <c r="V100" i="4" s="1"/>
  <c r="J105" i="4"/>
  <c r="V105" i="4" s="1"/>
  <c r="J106" i="4"/>
  <c r="V106" i="4" s="1"/>
  <c r="J107" i="4"/>
  <c r="V107" i="4" s="1"/>
  <c r="V109" i="4"/>
  <c r="J79" i="4"/>
  <c r="V79" i="4" s="1"/>
  <c r="J80" i="4"/>
  <c r="V80" i="4" s="1"/>
  <c r="J81" i="4"/>
  <c r="V81" i="4" s="1"/>
  <c r="J82" i="4"/>
  <c r="V82" i="4" s="1"/>
  <c r="J83" i="4"/>
  <c r="V83" i="4" s="1"/>
  <c r="V16" i="4" l="1"/>
  <c r="J87" i="4"/>
  <c r="V87" i="4" s="1"/>
  <c r="J94" i="4" l="1"/>
  <c r="V94" i="4" s="1"/>
  <c r="J92" i="4"/>
  <c r="V92" i="4" s="1"/>
  <c r="J93" i="4" l="1"/>
  <c r="V93" i="4" s="1"/>
  <c r="J90" i="4"/>
  <c r="V90" i="4" s="1"/>
  <c r="J91" i="4"/>
  <c r="V91" i="4" s="1"/>
  <c r="AA96" i="4" l="1"/>
  <c r="Y31" i="4"/>
  <c r="W31" i="4" l="1"/>
  <c r="V45" i="4" l="1"/>
  <c r="V62" i="4" l="1"/>
  <c r="J85" i="4" l="1"/>
  <c r="V85" i="4" s="1"/>
  <c r="J129" i="4" l="1"/>
  <c r="V129" i="4" s="1"/>
  <c r="J126" i="4"/>
  <c r="V126" i="4" s="1"/>
  <c r="J127" i="4"/>
  <c r="V127" i="4" s="1"/>
  <c r="J128" i="4"/>
  <c r="V128" i="4" s="1"/>
  <c r="J76" i="4"/>
  <c r="V77" i="4"/>
  <c r="J78" i="4"/>
  <c r="V78" i="4" s="1"/>
  <c r="J84" i="4"/>
  <c r="V84" i="4" s="1"/>
  <c r="J86" i="4"/>
  <c r="V86" i="4" s="1"/>
  <c r="V44" i="4"/>
  <c r="J110" i="4"/>
  <c r="V110" i="4" s="1"/>
  <c r="J111" i="4"/>
  <c r="V111" i="4" s="1"/>
  <c r="V113" i="4"/>
  <c r="V115" i="4"/>
  <c r="J117" i="4"/>
  <c r="V117" i="4" s="1"/>
  <c r="J119" i="4"/>
  <c r="V34" i="4"/>
  <c r="V76" i="4" l="1"/>
  <c r="V104" i="4"/>
  <c r="W100" i="4" l="1"/>
  <c r="X44" i="4"/>
  <c r="Y44" i="4"/>
  <c r="AB44" i="4" s="1"/>
  <c r="W44" i="4"/>
  <c r="X100" i="4" l="1"/>
  <c r="W113" i="4"/>
  <c r="X113" i="4" l="1"/>
  <c r="W96" i="4" l="1"/>
  <c r="X96" i="4" l="1"/>
  <c r="W67" i="4" l="1"/>
  <c r="V67" i="4" l="1"/>
  <c r="X67" i="4" s="1"/>
  <c r="W46" i="4"/>
  <c r="X46" i="4" l="1"/>
  <c r="W33" i="4" l="1"/>
  <c r="X33" i="4" l="1"/>
  <c r="W82" i="4" l="1"/>
  <c r="X82" i="4" s="1"/>
  <c r="W26" i="4" l="1"/>
  <c r="X26" i="4" l="1"/>
  <c r="W55" i="4"/>
  <c r="X55" i="4" l="1"/>
  <c r="W106" i="4"/>
  <c r="X106" i="4" l="1"/>
  <c r="V59" i="4" l="1"/>
  <c r="W59" i="4" l="1"/>
  <c r="X59" i="4" s="1"/>
  <c r="Y59" i="4"/>
  <c r="W66" i="4" l="1"/>
  <c r="V66" i="4" l="1"/>
  <c r="X66" i="4" s="1"/>
  <c r="Y42" i="4" l="1"/>
  <c r="AA42" i="4"/>
  <c r="V63" i="4"/>
  <c r="AA63" i="4"/>
  <c r="AB42" i="4" l="1"/>
  <c r="W42" i="4"/>
  <c r="Y63" i="4"/>
  <c r="AB63" i="4" s="1"/>
  <c r="W63" i="4"/>
  <c r="X63" i="4" s="1"/>
  <c r="X42" i="4" l="1"/>
  <c r="AA29" i="4" l="1"/>
  <c r="AA30" i="4"/>
  <c r="AA86" i="4"/>
  <c r="AA34" i="4"/>
  <c r="AA36" i="4"/>
  <c r="Y36" i="4" l="1"/>
  <c r="AB36" i="4" s="1"/>
  <c r="V36" i="4"/>
  <c r="W36" i="4"/>
  <c r="X36" i="4" l="1"/>
  <c r="W86" i="4" l="1"/>
  <c r="Y86" i="4"/>
  <c r="AB86" i="4" s="1"/>
  <c r="X86" i="4" l="1"/>
  <c r="AA65" i="4" l="1"/>
  <c r="AA51" i="4"/>
  <c r="Y30" i="4" l="1"/>
  <c r="AB30" i="4" s="1"/>
  <c r="W30" i="4"/>
  <c r="V65" i="4"/>
  <c r="Y65" i="4"/>
  <c r="AB65" i="4" s="1"/>
  <c r="W51" i="4"/>
  <c r="Y51" i="4"/>
  <c r="AB51" i="4" s="1"/>
  <c r="W65" i="4"/>
  <c r="AA54" i="4"/>
  <c r="Y54" i="4"/>
  <c r="X30" i="4" l="1"/>
  <c r="AE30" i="4" s="1"/>
  <c r="X65" i="4"/>
  <c r="X51" i="4"/>
  <c r="AB54" i="4"/>
  <c r="W54" i="4"/>
  <c r="X54" i="4" l="1"/>
  <c r="AE65" i="4" l="1"/>
  <c r="AE51" i="4" l="1"/>
  <c r="AA60" i="4"/>
  <c r="W95" i="4" l="1"/>
  <c r="Y95" i="4"/>
  <c r="AA95" i="4"/>
  <c r="AB95" i="4" l="1"/>
  <c r="X95" i="4"/>
  <c r="AE95" i="4" s="1"/>
  <c r="AA23" i="4" l="1"/>
  <c r="W23" i="4" l="1"/>
  <c r="Y23" i="4"/>
  <c r="AB23" i="4" s="1"/>
  <c r="X23" i="4" l="1"/>
  <c r="AE23" i="4" l="1"/>
  <c r="AA61" i="4" l="1"/>
  <c r="Y61" i="4" l="1"/>
  <c r="W61" i="4" l="1"/>
  <c r="V61" i="4"/>
  <c r="AB61" i="4"/>
  <c r="X61" i="4" l="1"/>
  <c r="AE61" i="4" s="1"/>
  <c r="W104" i="4" l="1"/>
  <c r="Y104" i="4"/>
  <c r="AA117" i="4"/>
  <c r="AA110" i="4"/>
  <c r="AA57" i="4"/>
  <c r="AA56" i="4"/>
  <c r="AA103" i="4"/>
  <c r="AA100" i="4"/>
  <c r="AA43" i="4"/>
  <c r="AA94" i="4"/>
  <c r="AA37" i="4"/>
  <c r="AA22" i="4"/>
  <c r="AA80" i="4"/>
  <c r="AA19" i="4"/>
  <c r="AA12" i="4"/>
  <c r="AA10" i="4"/>
  <c r="AA8" i="4"/>
  <c r="AA104" i="4" l="1"/>
  <c r="AB104" i="4" l="1"/>
  <c r="X104" i="4"/>
  <c r="AE104" i="4" s="1"/>
  <c r="W103" i="4" l="1"/>
  <c r="Y103" i="4"/>
  <c r="AB103" i="4" s="1"/>
  <c r="Z71" i="4"/>
  <c r="J75" i="4"/>
  <c r="AD71" i="4"/>
  <c r="AC71" i="4"/>
  <c r="Y60" i="4"/>
  <c r="X103" i="4" l="1"/>
  <c r="AE103" i="4" s="1"/>
  <c r="W34" i="4"/>
  <c r="Y34" i="4"/>
  <c r="AB34" i="4" s="1"/>
  <c r="W37" i="4"/>
  <c r="Y37" i="4"/>
  <c r="W43" i="4"/>
  <c r="Y43" i="4"/>
  <c r="W10" i="4"/>
  <c r="Y10" i="4"/>
  <c r="AB10" i="4" s="1"/>
  <c r="W19" i="4"/>
  <c r="Y19" i="4"/>
  <c r="AB19" i="4" s="1"/>
  <c r="W77" i="4"/>
  <c r="Y77" i="4"/>
  <c r="Y100" i="4"/>
  <c r="AB100" i="4" s="1"/>
  <c r="W80" i="4"/>
  <c r="Y80" i="4"/>
  <c r="AB80" i="4" s="1"/>
  <c r="W79" i="4"/>
  <c r="Y79" i="4"/>
  <c r="W98" i="4"/>
  <c r="Y98" i="4"/>
  <c r="W76" i="4"/>
  <c r="Y76" i="4"/>
  <c r="W90" i="4"/>
  <c r="Y90" i="4"/>
  <c r="W83" i="4"/>
  <c r="Y83" i="4"/>
  <c r="W94" i="4"/>
  <c r="Y94" i="4"/>
  <c r="AB94" i="4" s="1"/>
  <c r="W57" i="4"/>
  <c r="Y57" i="4"/>
  <c r="W115" i="4"/>
  <c r="Y115" i="4"/>
  <c r="W110" i="4"/>
  <c r="Y110" i="4"/>
  <c r="AB110" i="4" s="1"/>
  <c r="W117" i="4"/>
  <c r="Y117" i="4"/>
  <c r="AB117" i="4" s="1"/>
  <c r="W56" i="4"/>
  <c r="Y56" i="4"/>
  <c r="AB56" i="4" s="1"/>
  <c r="W109" i="4"/>
  <c r="Y109" i="4"/>
  <c r="W107" i="4"/>
  <c r="Y107" i="4"/>
  <c r="W99" i="4"/>
  <c r="Y99" i="4"/>
  <c r="W93" i="4"/>
  <c r="Y93" i="4"/>
  <c r="W91" i="4"/>
  <c r="Y91" i="4"/>
  <c r="W84" i="4"/>
  <c r="Y84" i="4"/>
  <c r="W60" i="4"/>
  <c r="AA91" i="4"/>
  <c r="AB60" i="4"/>
  <c r="AA83" i="4"/>
  <c r="AA79" i="4"/>
  <c r="V10" i="4"/>
  <c r="AA93" i="4"/>
  <c r="AA90" i="4"/>
  <c r="AA77" i="4"/>
  <c r="AA84" i="4"/>
  <c r="AA76" i="4"/>
  <c r="AE54" i="4"/>
  <c r="AA98" i="4"/>
  <c r="AA99" i="4"/>
  <c r="AA115" i="4"/>
  <c r="V56" i="4"/>
  <c r="AA107" i="4"/>
  <c r="AA109" i="4"/>
  <c r="V60" i="4"/>
  <c r="Y29" i="4" l="1"/>
  <c r="AB29" i="4" s="1"/>
  <c r="W29" i="4"/>
  <c r="X34" i="4"/>
  <c r="X117" i="4"/>
  <c r="AE117" i="4" s="1"/>
  <c r="X94" i="4"/>
  <c r="AE94" i="4" s="1"/>
  <c r="W22" i="4"/>
  <c r="Y22" i="4"/>
  <c r="AB22" i="4" s="1"/>
  <c r="Y12" i="4"/>
  <c r="AB12" i="4" s="1"/>
  <c r="W8" i="4"/>
  <c r="Y8" i="4"/>
  <c r="AB8" i="4" s="1"/>
  <c r="V75" i="4"/>
  <c r="V12" i="4"/>
  <c r="W12" i="4"/>
  <c r="AE86" i="4"/>
  <c r="X19" i="4"/>
  <c r="AE19" i="4" s="1"/>
  <c r="AE100" i="4"/>
  <c r="X80" i="4"/>
  <c r="AE80" i="4" s="1"/>
  <c r="X110" i="4"/>
  <c r="AE110" i="4" s="1"/>
  <c r="X56" i="4"/>
  <c r="AE56" i="4" s="1"/>
  <c r="X10" i="4"/>
  <c r="AE10" i="4" s="1"/>
  <c r="X60" i="4"/>
  <c r="AE60" i="4" s="1"/>
  <c r="AB84" i="4"/>
  <c r="AB115" i="4"/>
  <c r="AB109" i="4"/>
  <c r="AB91" i="4"/>
  <c r="AB90" i="4"/>
  <c r="AB93" i="4"/>
  <c r="AB79" i="4"/>
  <c r="AB76" i="4"/>
  <c r="AB98" i="4"/>
  <c r="AB83" i="4"/>
  <c r="AB77" i="4"/>
  <c r="AB99" i="4"/>
  <c r="AB107" i="4"/>
  <c r="AA71" i="4"/>
  <c r="X91" i="4"/>
  <c r="AE91" i="4" s="1"/>
  <c r="X93" i="4"/>
  <c r="AE93" i="4" s="1"/>
  <c r="X109" i="4"/>
  <c r="AE109" i="4" s="1"/>
  <c r="X83" i="4"/>
  <c r="AE83" i="4" s="1"/>
  <c r="V37" i="4"/>
  <c r="AB37" i="4"/>
  <c r="AB57" i="4"/>
  <c r="V43" i="4"/>
  <c r="AB43" i="4"/>
  <c r="X79" i="4"/>
  <c r="AE79" i="4" s="1"/>
  <c r="X98" i="4"/>
  <c r="AE98" i="4" s="1"/>
  <c r="X99" i="4"/>
  <c r="AE99" i="4" s="1"/>
  <c r="X90" i="4"/>
  <c r="AE90" i="4" s="1"/>
  <c r="X84" i="4"/>
  <c r="AE84" i="4" s="1"/>
  <c r="X77" i="4"/>
  <c r="AE77" i="4" s="1"/>
  <c r="X115" i="4"/>
  <c r="AE115" i="4" s="1"/>
  <c r="V8" i="4"/>
  <c r="V57" i="4"/>
  <c r="X76" i="4"/>
  <c r="AE76" i="4" s="1"/>
  <c r="X107" i="4"/>
  <c r="AE107" i="4" s="1"/>
  <c r="W75" i="4" l="1"/>
  <c r="W120" i="4" s="1"/>
  <c r="X29" i="4"/>
  <c r="AE29" i="4" s="1"/>
  <c r="X22" i="4"/>
  <c r="AE22" i="4" s="1"/>
  <c r="X75" i="4"/>
  <c r="X120" i="4" s="1"/>
  <c r="Y75" i="4"/>
  <c r="AB75" i="4" s="1"/>
  <c r="AB121" i="4" s="1"/>
  <c r="X12" i="4"/>
  <c r="AE12" i="4" s="1"/>
  <c r="AE34" i="4"/>
  <c r="X37" i="4"/>
  <c r="AE37" i="4" s="1"/>
  <c r="X57" i="4"/>
  <c r="AE57" i="4" s="1"/>
  <c r="X43" i="4"/>
  <c r="AE43" i="4" s="1"/>
  <c r="X8" i="4"/>
  <c r="AE8" i="4" s="1"/>
  <c r="Y71" i="4" l="1"/>
  <c r="W71" i="4"/>
  <c r="V71" i="4" l="1"/>
  <c r="AB71" i="4"/>
  <c r="X71" i="4" l="1"/>
  <c r="AE71" i="4"/>
  <c r="AB72" i="4"/>
  <c r="AB73" i="4" s="1"/>
</calcChain>
</file>

<file path=xl/comments1.xml><?xml version="1.0" encoding="utf-8"?>
<comments xmlns="http://schemas.openxmlformats.org/spreadsheetml/2006/main">
  <authors>
    <author>usuario</author>
  </authors>
  <commentList>
    <comment ref="N7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91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DE PRIMA VACACIONAL PERIODO 4</t>
        </r>
      </text>
    </comment>
  </commentList>
</comments>
</file>

<file path=xl/sharedStrings.xml><?xml version="1.0" encoding="utf-8"?>
<sst xmlns="http://schemas.openxmlformats.org/spreadsheetml/2006/main" count="455" uniqueCount="209">
  <si>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</si>
  <si>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</si>
  <si>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</si>
  <si>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</si>
  <si>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</si>
  <si>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</si>
  <si>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</si>
  <si>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</si>
  <si>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</si>
  <si>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</si>
  <si>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</si>
  <si>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</si>
  <si>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</si>
  <si>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</si>
  <si>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</si>
  <si>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</si>
  <si>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</si>
  <si>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</si>
  <si>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</si>
  <si>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</si>
  <si>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</si>
  <si>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</si>
  <si>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</si>
  <si>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</si>
  <si>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</si>
  <si>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</si>
  <si>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</si>
  <si>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</si>
  <si>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</si>
  <si>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</si>
  <si>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</si>
  <si>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</si>
  <si>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</si>
  <si>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</si>
  <si>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</si>
  <si>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</si>
  <si>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</si>
  <si>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</si>
  <si>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</si>
  <si>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</si>
  <si>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</si>
  <si>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</si>
  <si>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</si>
  <si>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</si>
  <si>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</si>
  <si>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</si>
  <si>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</si>
  <si>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</si>
  <si>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</si>
  <si>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</si>
  <si>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</si>
  <si>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</si>
  <si>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</si>
  <si>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</si>
  <si>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</si>
  <si>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</si>
  <si>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</si>
  <si>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</si>
  <si>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</si>
  <si>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</si>
  <si>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</si>
  <si>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</si>
  <si>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</si>
  <si>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</si>
  <si>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</si>
  <si>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</si>
  <si>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</si>
  <si>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</si>
  <si>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</si>
  <si>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</si>
  <si>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</si>
  <si>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</si>
  <si>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</si>
  <si>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</si>
  <si>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</si>
  <si>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</si>
  <si>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</si>
  <si>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</si>
  <si>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</si>
  <si>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</si>
  <si>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</si>
  <si>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</si>
  <si>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</si>
  <si>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</si>
  <si>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</si>
  <si>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</si>
  <si>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</si>
  <si>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</si>
  <si>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</si>
  <si>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</si>
  <si>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</si>
  <si>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</si>
  <si>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</si>
  <si>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</si>
  <si>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</si>
  <si>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</si>
  <si>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</si>
  <si>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</si>
  <si>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</si>
  <si>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</si>
  <si>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</si>
  <si>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</si>
  <si>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</si>
  <si>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</si>
  <si>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</si>
  <si>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</si>
  <si>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</si>
  <si>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</si>
  <si>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</si>
  <si>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</si>
  <si>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</si>
  <si>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</si>
  <si>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</si>
  <si>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</si>
  <si>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</si>
  <si>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</si>
  <si>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</si>
  <si>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</si>
  <si>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</si>
  <si>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</si>
  <si>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</si>
  <si>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</si>
  <si>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</si>
  <si>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</si>
  <si>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</si>
  <si>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</si>
  <si>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</si>
  <si>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</si>
  <si>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</si>
  <si>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</si>
  <si>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</si>
  <si>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</si>
  <si>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</si>
  <si>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</si>
  <si>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</si>
  <si>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</si>
  <si>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</si>
  <si>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</si>
  <si>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</si>
  <si>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</si>
  <si>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</si>
  <si>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</si>
  <si>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</si>
  <si>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</si>
  <si>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</si>
  <si>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</si>
  <si>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</si>
  <si>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</si>
  <si>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</si>
  <si>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</si>
  <si>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</si>
  <si>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</si>
  <si>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</si>
  <si>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</si>
  <si>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</si>
  <si>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</si>
  <si>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</si>
  <si>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</si>
  <si>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</si>
  <si>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</si>
  <si>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DESCUENTO POR PRESTAMO</t>
  </si>
  <si>
    <t>OCHOA PALACIOS RAUL ALEJANDRO</t>
  </si>
  <si>
    <t>ARTEAGA SILVA ALFREDO</t>
  </si>
  <si>
    <t>GARZON SALAZAR DIEGO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</si>
  <si>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</si>
  <si>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</si>
  <si>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</si>
  <si>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</si>
  <si>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</si>
  <si>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</si>
  <si>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</si>
  <si>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</si>
  <si>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</si>
  <si>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</si>
  <si>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</si>
  <si>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</si>
  <si>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</si>
  <si>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</si>
  <si>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</si>
  <si>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</si>
  <si>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</si>
  <si>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</si>
  <si>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</si>
  <si>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ZERMEÑO ALEX JOHNATHAN</t>
  </si>
  <si>
    <t>LOPEZ PEDROZA MIROSLAVA</t>
  </si>
  <si>
    <t>PEREZ TORRES VICENTE DANIEL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</si>
  <si>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</si>
  <si>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</si>
  <si>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</si>
  <si>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</si>
  <si>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</si>
  <si>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</si>
  <si>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AVALOS DURAMAS MARTHA KATHERINE</t>
  </si>
  <si>
    <t>CASTRUITA AGUILAR DAVID ARTURO</t>
  </si>
  <si>
    <t>DESC CTA 254 4/8 OPTICA</t>
  </si>
  <si>
    <t>LOZANO PEREZ JOSE ENRIQUE</t>
  </si>
  <si>
    <t>TECNICO MANTENIMIENTO</t>
  </si>
  <si>
    <t>AVILES PALAZUELOS ALFREDO</t>
  </si>
  <si>
    <t>Periodo Semana 49</t>
  </si>
  <si>
    <t>29/11/17 AL 05/12/17</t>
  </si>
  <si>
    <t>DESC CTA 254 4/12 PRESTAMO</t>
  </si>
  <si>
    <t>DESC CTA 254 5/8 CONCEPTO CELULAR</t>
  </si>
  <si>
    <t>DESC CTA 254 4/16 PRESTAMO</t>
  </si>
  <si>
    <t>PAGO DE 12 HORAS EXTRAS</t>
  </si>
  <si>
    <t>LEON LUNA ARTURO</t>
  </si>
  <si>
    <t>AYUDANTE GENERAL</t>
  </si>
  <si>
    <t>VILLEGAS CRUZ ANDRES</t>
  </si>
  <si>
    <t>RAMOS GARDUÑO KRISTAL</t>
  </si>
  <si>
    <t>VILLARREAL LOPEZ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</si>
</sst>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43" fontId="6" fillId="9" borderId="7" xfId="2" applyFont="1" applyFill="1" applyBorder="1"/>
    <xf numFmtId="0" fontId="6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5" fillId="9" borderId="7" xfId="2" applyFont="1" applyFill="1" applyBorder="1" applyAlignment="1">
      <alignment horizontal="center"/>
    </xf>
    <xf numFmtId="0" fontId="11" fillId="9" borderId="7" xfId="0" applyFont="1" applyFill="1" applyBorder="1" applyAlignment="1">
      <alignment wrapText="1"/>
    </xf>
    <xf numFmtId="4" fontId="11" fillId="9" borderId="7" xfId="0" applyNumberFormat="1" applyFont="1" applyFill="1" applyBorder="1" applyAlignment="1">
      <alignment wrapText="1"/>
    </xf>
    <xf numFmtId="43" fontId="11" fillId="9" borderId="7" xfId="2" applyFont="1" applyFill="1" applyBorder="1"/>
    <xf numFmtId="0" fontId="6" fillId="9" borderId="7" xfId="0" applyFont="1" applyFill="1" applyBorder="1"/>
    <xf numFmtId="0" fontId="5" fillId="9" borderId="0" xfId="0" applyFont="1" applyFill="1"/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0" fontId="6" fillId="10" borderId="7" xfId="0" applyFont="1" applyFill="1" applyBorder="1"/>
    <xf numFmtId="43" fontId="6" fillId="5" borderId="2" xfId="2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43" fontId="6" fillId="5" borderId="1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E14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47" width="11.5703125" style="18"/>
    <col min="48" max="16384" width="11.5703125" style="19"/>
  </cols>
  <sheetData>
    <row r="1" spans="1:47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7" customFormat="1">
      <c r="A3" s="10" t="s">
        <v>198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12" customFormat="1">
      <c r="A4" s="12" t="s">
        <v>199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2" customFormat="1" ht="28.5" customHeight="1">
      <c r="A5" s="94" t="s">
        <v>13</v>
      </c>
      <c r="B5" s="94" t="s">
        <v>14</v>
      </c>
      <c r="C5" s="94" t="s">
        <v>0</v>
      </c>
      <c r="D5" s="96" t="s">
        <v>67</v>
      </c>
      <c r="E5" s="96" t="s">
        <v>147</v>
      </c>
      <c r="F5" s="90" t="s">
        <v>32</v>
      </c>
      <c r="G5" s="90" t="s">
        <v>173</v>
      </c>
      <c r="H5" s="98" t="s">
        <v>9</v>
      </c>
      <c r="I5" s="98" t="s">
        <v>10</v>
      </c>
      <c r="J5" s="98" t="s">
        <v>11</v>
      </c>
      <c r="K5" s="98" t="s">
        <v>12</v>
      </c>
      <c r="L5" s="90" t="s">
        <v>92</v>
      </c>
      <c r="M5" s="90" t="s">
        <v>74</v>
      </c>
      <c r="N5" s="99" t="s">
        <v>46</v>
      </c>
      <c r="O5" s="99" t="s">
        <v>60</v>
      </c>
      <c r="P5" s="99" t="s">
        <v>59</v>
      </c>
      <c r="Q5" s="99" t="s">
        <v>47</v>
      </c>
      <c r="R5" s="98" t="s">
        <v>6</v>
      </c>
      <c r="S5" s="98" t="s">
        <v>16</v>
      </c>
      <c r="T5" s="98" t="s">
        <v>15</v>
      </c>
      <c r="U5" s="98" t="s">
        <v>8</v>
      </c>
      <c r="V5" s="98" t="s">
        <v>23</v>
      </c>
      <c r="W5" s="103" t="s">
        <v>3</v>
      </c>
      <c r="X5" s="103" t="s">
        <v>7</v>
      </c>
      <c r="Y5" s="103" t="s">
        <v>2</v>
      </c>
      <c r="Z5" s="103" t="s">
        <v>4</v>
      </c>
      <c r="AA5" s="23"/>
      <c r="AB5" s="103" t="s">
        <v>5</v>
      </c>
      <c r="AC5" s="105" t="s">
        <v>78</v>
      </c>
      <c r="AD5" s="106"/>
      <c r="AE5" s="107" t="s">
        <v>48</v>
      </c>
      <c r="AF5" s="101" t="s">
        <v>69</v>
      </c>
      <c r="AG5" s="101" t="s">
        <v>70</v>
      </c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70" customFormat="1" ht="39" customHeight="1">
      <c r="A6" s="95"/>
      <c r="B6" s="95"/>
      <c r="C6" s="95"/>
      <c r="D6" s="97"/>
      <c r="E6" s="97"/>
      <c r="F6" s="93"/>
      <c r="G6" s="91"/>
      <c r="H6" s="90"/>
      <c r="I6" s="90"/>
      <c r="J6" s="90"/>
      <c r="K6" s="90"/>
      <c r="L6" s="91"/>
      <c r="M6" s="91"/>
      <c r="N6" s="100"/>
      <c r="O6" s="100"/>
      <c r="P6" s="100"/>
      <c r="Q6" s="100"/>
      <c r="R6" s="90"/>
      <c r="S6" s="90"/>
      <c r="T6" s="90"/>
      <c r="U6" s="90"/>
      <c r="V6" s="90"/>
      <c r="W6" s="104"/>
      <c r="X6" s="104"/>
      <c r="Y6" s="104"/>
      <c r="Z6" s="104"/>
      <c r="AA6" s="67"/>
      <c r="AB6" s="104"/>
      <c r="AC6" s="68" t="s">
        <v>24</v>
      </c>
      <c r="AD6" s="68" t="s">
        <v>25</v>
      </c>
      <c r="AE6" s="107"/>
      <c r="AF6" s="101"/>
      <c r="AG6" s="101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</row>
    <row r="7" spans="1:47" s="18" customFormat="1">
      <c r="A7" s="71" t="s">
        <v>28</v>
      </c>
      <c r="B7" s="33" t="s">
        <v>175</v>
      </c>
      <c r="C7" s="33" t="s">
        <v>30</v>
      </c>
      <c r="D7" s="49">
        <v>42685</v>
      </c>
      <c r="E7" s="34">
        <v>1026.69</v>
      </c>
      <c r="F7" s="34">
        <v>180.36</v>
      </c>
      <c r="G7" s="34"/>
      <c r="H7" s="34"/>
      <c r="I7" s="34"/>
      <c r="J7" s="46">
        <f t="shared" ref="J7:J22" si="0">SUM(F7:I7)</f>
        <v>180.36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5" si="1">+J7-SUM(K7:U7)</f>
        <v>180.36</v>
      </c>
      <c r="W7" s="32"/>
      <c r="X7" s="46"/>
      <c r="Y7" s="32"/>
      <c r="Z7" s="32"/>
      <c r="AA7" s="32"/>
      <c r="AB7" s="46"/>
      <c r="AC7" s="50"/>
      <c r="AD7" s="51"/>
      <c r="AE7" s="47"/>
      <c r="AF7" s="35">
        <v>56710784500</v>
      </c>
      <c r="AG7" s="33"/>
    </row>
    <row r="8" spans="1:47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1733.27</v>
      </c>
      <c r="G8" s="34"/>
      <c r="H8" s="34"/>
      <c r="I8" s="34"/>
      <c r="J8" s="46">
        <f t="shared" si="0"/>
        <v>1733.27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1733.27</v>
      </c>
      <c r="W8" s="32">
        <f t="shared" ref="W8:W29" si="2">IF(J8&gt;2250,J8*0.1,0)</f>
        <v>0</v>
      </c>
      <c r="X8" s="46">
        <f t="shared" ref="X8:X29" si="3">+V8-W8</f>
        <v>1733.27</v>
      </c>
      <c r="Y8" s="32">
        <f t="shared" ref="Y8:Y29" si="4">IF(J8&lt;2250,J8*0.1,0)</f>
        <v>173.327</v>
      </c>
      <c r="Z8" s="32">
        <v>10.23</v>
      </c>
      <c r="AA8" s="32">
        <f t="shared" ref="AA8:AA29" si="5">+O8</f>
        <v>0</v>
      </c>
      <c r="AB8" s="46">
        <f t="shared" ref="AB8:AB29" si="6">+J8+Y8+Z8+AA8</f>
        <v>1916.827</v>
      </c>
      <c r="AC8" s="50"/>
      <c r="AD8" s="51"/>
      <c r="AE8" s="47">
        <f t="shared" ref="AE8:AE12" si="7">+AC8+AD8-X8</f>
        <v>-1733.27</v>
      </c>
      <c r="AF8" s="35">
        <v>56708844887</v>
      </c>
      <c r="AG8" s="33"/>
    </row>
    <row r="9" spans="1:47" s="18" customFormat="1">
      <c r="A9" s="71" t="s">
        <v>28</v>
      </c>
      <c r="B9" s="33" t="s">
        <v>190</v>
      </c>
      <c r="C9" s="33" t="s">
        <v>30</v>
      </c>
      <c r="D9" s="49">
        <v>43052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0</v>
      </c>
      <c r="W9" s="32"/>
      <c r="X9" s="46"/>
      <c r="Y9" s="32"/>
      <c r="Z9" s="32"/>
      <c r="AA9" s="32"/>
      <c r="AB9" s="46"/>
      <c r="AC9" s="50"/>
      <c r="AD9" s="51"/>
      <c r="AE9" s="47"/>
      <c r="AF9" s="35">
        <v>60597137212</v>
      </c>
      <c r="AG9" s="33"/>
    </row>
    <row r="10" spans="1:47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>
        <v>640.73</v>
      </c>
      <c r="G10" s="34"/>
      <c r="H10" s="34"/>
      <c r="I10" s="34"/>
      <c r="J10" s="46">
        <f t="shared" si="0"/>
        <v>640.73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33">
        <v>193.42</v>
      </c>
      <c r="V10" s="46">
        <f t="shared" si="1"/>
        <v>447.31000000000006</v>
      </c>
      <c r="W10" s="32">
        <f t="shared" si="2"/>
        <v>0</v>
      </c>
      <c r="X10" s="46">
        <f t="shared" si="3"/>
        <v>447.31000000000006</v>
      </c>
      <c r="Y10" s="32">
        <f t="shared" si="4"/>
        <v>64.073000000000008</v>
      </c>
      <c r="Z10" s="32">
        <v>10.23</v>
      </c>
      <c r="AA10" s="32">
        <f t="shared" si="5"/>
        <v>0</v>
      </c>
      <c r="AB10" s="46">
        <f t="shared" si="6"/>
        <v>715.03300000000002</v>
      </c>
      <c r="AC10" s="50"/>
      <c r="AD10" s="51"/>
      <c r="AE10" s="47">
        <f t="shared" si="7"/>
        <v>-447.31000000000006</v>
      </c>
      <c r="AF10" s="35">
        <v>56708881292</v>
      </c>
      <c r="AG10" s="33"/>
    </row>
    <row r="11" spans="1:47" s="18" customFormat="1">
      <c r="A11" s="71" t="s">
        <v>27</v>
      </c>
      <c r="B11" s="33" t="s">
        <v>172</v>
      </c>
      <c r="C11" s="33" t="s">
        <v>44</v>
      </c>
      <c r="D11" s="49">
        <v>43017</v>
      </c>
      <c r="E11" s="34">
        <v>1026.69</v>
      </c>
      <c r="F11" s="34">
        <v>10000</v>
      </c>
      <c r="G11" s="34"/>
      <c r="H11" s="34"/>
      <c r="I11" s="34"/>
      <c r="J11" s="46">
        <f t="shared" si="0"/>
        <v>10000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171</v>
      </c>
      <c r="AG11" s="35"/>
    </row>
    <row r="12" spans="1:47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>
        <v>358.34</v>
      </c>
      <c r="V12" s="46">
        <f t="shared" si="1"/>
        <v>-358.34</v>
      </c>
      <c r="W12" s="32">
        <f t="shared" si="2"/>
        <v>0</v>
      </c>
      <c r="X12" s="46">
        <f t="shared" si="3"/>
        <v>-358.34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10.23</v>
      </c>
      <c r="AC12" s="50"/>
      <c r="AD12" s="51"/>
      <c r="AE12" s="47">
        <f t="shared" si="7"/>
        <v>358.34</v>
      </c>
      <c r="AF12" s="35">
        <v>56708881304</v>
      </c>
      <c r="AG12" s="33"/>
    </row>
    <row r="13" spans="1:47" s="18" customFormat="1">
      <c r="A13" s="71" t="s">
        <v>27</v>
      </c>
      <c r="B13" s="33" t="s">
        <v>162</v>
      </c>
      <c r="C13" s="33" t="s">
        <v>30</v>
      </c>
      <c r="D13" s="49">
        <v>42991</v>
      </c>
      <c r="E13" s="34">
        <v>1026.69</v>
      </c>
      <c r="F13" s="34">
        <v>1311.5</v>
      </c>
      <c r="G13" s="34"/>
      <c r="H13" s="34"/>
      <c r="I13" s="34"/>
      <c r="J13" s="46">
        <f t="shared" si="0"/>
        <v>1311.5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33">
        <v>467.79</v>
      </c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56708881318</v>
      </c>
      <c r="AG13" s="33"/>
    </row>
    <row r="14" spans="1:47" s="18" customFormat="1">
      <c r="A14" s="71" t="s">
        <v>37</v>
      </c>
      <c r="B14" s="33" t="s">
        <v>192</v>
      </c>
      <c r="C14" s="33" t="s">
        <v>182</v>
      </c>
      <c r="D14" s="49">
        <v>43054</v>
      </c>
      <c r="E14" s="34">
        <v>1400</v>
      </c>
      <c r="F14" s="34"/>
      <c r="G14" s="34"/>
      <c r="H14" s="34"/>
      <c r="I14" s="34"/>
      <c r="J14" s="46">
        <f t="shared" si="0"/>
        <v>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46"/>
      <c r="W14" s="32"/>
      <c r="X14" s="46"/>
      <c r="Y14" s="32"/>
      <c r="Z14" s="32"/>
      <c r="AA14" s="32"/>
      <c r="AB14" s="46"/>
      <c r="AC14" s="50"/>
      <c r="AD14" s="51"/>
      <c r="AE14" s="47"/>
      <c r="AF14" s="35">
        <v>60597130077</v>
      </c>
      <c r="AG14" s="33"/>
    </row>
    <row r="15" spans="1:47" s="18" customFormat="1">
      <c r="A15" s="71" t="s">
        <v>28</v>
      </c>
      <c r="B15" s="33" t="s">
        <v>197</v>
      </c>
      <c r="C15" s="33" t="s">
        <v>30</v>
      </c>
      <c r="D15" s="49">
        <v>43062</v>
      </c>
      <c r="E15" s="34">
        <v>1026.69</v>
      </c>
      <c r="F15" s="34"/>
      <c r="G15" s="34"/>
      <c r="H15" s="34"/>
      <c r="I15" s="34"/>
      <c r="J15" s="46">
        <f t="shared" si="0"/>
        <v>0</v>
      </c>
      <c r="K15" s="34"/>
      <c r="L15" s="60"/>
      <c r="M15" s="34"/>
      <c r="N15" s="34"/>
      <c r="O15" s="61"/>
      <c r="P15" s="61"/>
      <c r="Q15" s="34"/>
      <c r="R15" s="32"/>
      <c r="S15" s="32"/>
      <c r="T15" s="33"/>
      <c r="U15" s="33"/>
      <c r="V15" s="46"/>
      <c r="W15" s="32"/>
      <c r="X15" s="46"/>
      <c r="Y15" s="32"/>
      <c r="Z15" s="32"/>
      <c r="AA15" s="32"/>
      <c r="AB15" s="46"/>
      <c r="AC15" s="50"/>
      <c r="AD15" s="51"/>
      <c r="AE15" s="47"/>
      <c r="AF15" s="35">
        <v>1522786230</v>
      </c>
      <c r="AG15" s="33"/>
      <c r="AH15" s="18" t="s">
        <v>127</v>
      </c>
    </row>
    <row r="16" spans="1:47" s="18" customFormat="1" ht="15.75">
      <c r="A16" s="71" t="s">
        <v>28</v>
      </c>
      <c r="B16" s="33" t="s">
        <v>135</v>
      </c>
      <c r="C16" s="33" t="s">
        <v>30</v>
      </c>
      <c r="D16" s="49">
        <v>42878</v>
      </c>
      <c r="E16" s="34">
        <v>1026.69</v>
      </c>
      <c r="F16" s="34"/>
      <c r="G16" s="34"/>
      <c r="H16" s="34"/>
      <c r="I16" s="34"/>
      <c r="J16" s="46">
        <f t="shared" si="0"/>
        <v>0</v>
      </c>
      <c r="K16" s="34"/>
      <c r="L16" s="60"/>
      <c r="M16" s="34"/>
      <c r="N16" s="34"/>
      <c r="O16" s="61"/>
      <c r="P16" s="61"/>
      <c r="Q16" s="34"/>
      <c r="R16" s="32"/>
      <c r="S16" s="66">
        <v>0.3</v>
      </c>
      <c r="T16" s="33"/>
      <c r="U16" s="33">
        <v>500</v>
      </c>
      <c r="V16" s="46">
        <f t="shared" si="1"/>
        <v>-500.3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53917427816</v>
      </c>
      <c r="AG16" s="33"/>
    </row>
    <row r="17" spans="1:34" s="18" customFormat="1">
      <c r="A17" s="71" t="s">
        <v>27</v>
      </c>
      <c r="B17" s="33" t="s">
        <v>139</v>
      </c>
      <c r="C17" s="33" t="s">
        <v>168</v>
      </c>
      <c r="D17" s="49">
        <v>42908</v>
      </c>
      <c r="E17" s="34">
        <v>1499.96</v>
      </c>
      <c r="F17" s="34"/>
      <c r="G17" s="34"/>
      <c r="H17" s="34"/>
      <c r="I17" s="34"/>
      <c r="J17" s="46">
        <f t="shared" si="0"/>
        <v>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46">
        <f t="shared" si="1"/>
        <v>0</v>
      </c>
      <c r="W17" s="32"/>
      <c r="X17" s="46"/>
      <c r="Y17" s="32"/>
      <c r="Z17" s="32"/>
      <c r="AA17" s="32"/>
      <c r="AB17" s="46"/>
      <c r="AC17" s="50"/>
      <c r="AD17" s="51"/>
      <c r="AE17" s="47"/>
      <c r="AF17" s="35">
        <v>60592545278</v>
      </c>
      <c r="AG17" s="33"/>
    </row>
    <row r="18" spans="1:34" s="18" customFormat="1">
      <c r="A18" s="71" t="s">
        <v>37</v>
      </c>
      <c r="B18" s="33" t="s">
        <v>157</v>
      </c>
      <c r="C18" s="33" t="s">
        <v>42</v>
      </c>
      <c r="D18" s="49">
        <v>42977</v>
      </c>
      <c r="E18" s="34">
        <v>933.31</v>
      </c>
      <c r="F18" s="34">
        <v>1560</v>
      </c>
      <c r="G18" s="34"/>
      <c r="H18" s="34"/>
      <c r="I18" s="34"/>
      <c r="J18" s="46">
        <f t="shared" si="0"/>
        <v>1560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/>
      <c r="V18" s="46">
        <f t="shared" si="1"/>
        <v>1560</v>
      </c>
      <c r="W18" s="32"/>
      <c r="X18" s="46"/>
      <c r="Y18" s="32"/>
      <c r="Z18" s="32"/>
      <c r="AA18" s="32"/>
      <c r="AB18" s="46"/>
      <c r="AC18" s="50"/>
      <c r="AD18" s="51"/>
      <c r="AE18" s="47"/>
      <c r="AF18" s="35">
        <v>60594701908</v>
      </c>
      <c r="AG18" s="33"/>
    </row>
    <row r="19" spans="1:34" s="18" customFormat="1">
      <c r="A19" s="71" t="s">
        <v>28</v>
      </c>
      <c r="B19" s="33" t="s">
        <v>72</v>
      </c>
      <c r="C19" s="33" t="s">
        <v>31</v>
      </c>
      <c r="D19" s="49">
        <v>39699</v>
      </c>
      <c r="E19" s="34">
        <v>4666.6899999999996</v>
      </c>
      <c r="F19" s="34">
        <v>4318.08</v>
      </c>
      <c r="G19" s="34"/>
      <c r="H19" s="34"/>
      <c r="I19" s="34"/>
      <c r="J19" s="46">
        <f t="shared" si="0"/>
        <v>4318.08</v>
      </c>
      <c r="K19" s="34">
        <v>1250</v>
      </c>
      <c r="L19" s="60"/>
      <c r="M19" s="34"/>
      <c r="N19" s="34">
        <v>1000</v>
      </c>
      <c r="O19" s="61"/>
      <c r="P19" s="61"/>
      <c r="Q19" s="34"/>
      <c r="R19" s="32">
        <v>2000</v>
      </c>
      <c r="S19" s="32"/>
      <c r="T19" s="33"/>
      <c r="U19" s="33"/>
      <c r="V19" s="46">
        <f t="shared" si="1"/>
        <v>68.079999999999927</v>
      </c>
      <c r="W19" s="32">
        <f t="shared" si="2"/>
        <v>431.80799999999999</v>
      </c>
      <c r="X19" s="46">
        <f t="shared" si="3"/>
        <v>-363.72800000000007</v>
      </c>
      <c r="Y19" s="32">
        <f t="shared" si="4"/>
        <v>0</v>
      </c>
      <c r="Z19" s="32">
        <v>10.23</v>
      </c>
      <c r="AA19" s="32">
        <f t="shared" si="5"/>
        <v>0</v>
      </c>
      <c r="AB19" s="46">
        <f t="shared" si="6"/>
        <v>4328.3099999999995</v>
      </c>
      <c r="AC19" s="50"/>
      <c r="AD19" s="51"/>
      <c r="AE19" s="47">
        <f t="shared" ref="AE19" si="8">+AC19+AD19-X19</f>
        <v>363.72800000000007</v>
      </c>
      <c r="AF19" s="35">
        <v>56708881349</v>
      </c>
      <c r="AG19" s="35" t="s">
        <v>202</v>
      </c>
    </row>
    <row r="20" spans="1:34" s="18" customFormat="1">
      <c r="A20" s="71" t="s">
        <v>28</v>
      </c>
      <c r="B20" s="33" t="s">
        <v>193</v>
      </c>
      <c r="C20" s="33" t="s">
        <v>30</v>
      </c>
      <c r="D20" s="49">
        <v>43055</v>
      </c>
      <c r="E20" s="34">
        <v>1026.69</v>
      </c>
      <c r="F20" s="34"/>
      <c r="G20" s="34"/>
      <c r="H20" s="34"/>
      <c r="I20" s="34"/>
      <c r="J20" s="46"/>
      <c r="K20" s="34"/>
      <c r="L20" s="60"/>
      <c r="M20" s="34"/>
      <c r="N20" s="34"/>
      <c r="O20" s="61"/>
      <c r="P20" s="61"/>
      <c r="Q20" s="34"/>
      <c r="R20" s="32"/>
      <c r="S20" s="32"/>
      <c r="T20" s="33"/>
      <c r="U20" s="33"/>
      <c r="V20" s="46"/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60597155367</v>
      </c>
      <c r="AG20" s="33"/>
    </row>
    <row r="21" spans="1:34" s="18" customFormat="1" ht="15.75">
      <c r="A21" s="71" t="s">
        <v>27</v>
      </c>
      <c r="B21" s="33" t="s">
        <v>165</v>
      </c>
      <c r="C21" s="33" t="s">
        <v>30</v>
      </c>
      <c r="D21" s="49">
        <v>43005</v>
      </c>
      <c r="E21" s="34">
        <v>1026.69</v>
      </c>
      <c r="F21" s="34">
        <v>1792.42</v>
      </c>
      <c r="G21" s="34"/>
      <c r="H21" s="34"/>
      <c r="I21" s="34"/>
      <c r="J21" s="46">
        <f t="shared" si="0"/>
        <v>1792.42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>
        <v>302.99</v>
      </c>
      <c r="V21" s="46"/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60595911850</v>
      </c>
      <c r="AG21" s="33"/>
    </row>
    <row r="22" spans="1:34" s="18" customFormat="1" ht="15.75">
      <c r="A22" s="71" t="s">
        <v>68</v>
      </c>
      <c r="B22" s="33" t="s">
        <v>55</v>
      </c>
      <c r="C22" s="33" t="s">
        <v>43</v>
      </c>
      <c r="D22" s="49">
        <v>42205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>
        <v>300</v>
      </c>
      <c r="O22" s="61"/>
      <c r="P22" s="61"/>
      <c r="Q22" s="34"/>
      <c r="R22" s="32"/>
      <c r="S22" s="66">
        <v>0.3</v>
      </c>
      <c r="T22" s="33"/>
      <c r="U22" s="33"/>
      <c r="V22" s="46">
        <f t="shared" si="1"/>
        <v>-300.3</v>
      </c>
      <c r="W22" s="32">
        <f t="shared" si="2"/>
        <v>0</v>
      </c>
      <c r="X22" s="46">
        <f t="shared" si="3"/>
        <v>-300.3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>
        <f t="shared" ref="AE22" si="9">+AC22+AD22-X22</f>
        <v>300.3</v>
      </c>
      <c r="AF22" s="35">
        <v>56708844950</v>
      </c>
      <c r="AG22" s="35"/>
    </row>
    <row r="23" spans="1:34" s="18" customFormat="1" ht="15.75">
      <c r="A23" s="71" t="s">
        <v>68</v>
      </c>
      <c r="B23" s="33" t="s">
        <v>85</v>
      </c>
      <c r="C23" s="33" t="s">
        <v>43</v>
      </c>
      <c r="D23" s="49">
        <v>42476</v>
      </c>
      <c r="E23" s="34">
        <v>1869</v>
      </c>
      <c r="F23" s="34"/>
      <c r="G23" s="34"/>
      <c r="H23" s="34"/>
      <c r="I23" s="34"/>
      <c r="J23" s="46">
        <f t="shared" ref="J23:J69" si="10">SUM(F23:I23)</f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0</v>
      </c>
      <c r="W23" s="32">
        <f t="shared" ref="W23" si="11">IF(J23&gt;2250,J23*0.1,0)</f>
        <v>0</v>
      </c>
      <c r="X23" s="46">
        <f t="shared" ref="X23" si="12">+V23-W23</f>
        <v>0</v>
      </c>
      <c r="Y23" s="32">
        <f t="shared" si="4"/>
        <v>0</v>
      </c>
      <c r="Z23" s="32">
        <v>10.23</v>
      </c>
      <c r="AA23" s="32">
        <f t="shared" si="5"/>
        <v>0</v>
      </c>
      <c r="AB23" s="46">
        <f t="shared" si="6"/>
        <v>10.23</v>
      </c>
      <c r="AC23" s="50"/>
      <c r="AD23" s="51"/>
      <c r="AE23" s="47" t="e">
        <f>+AC23+AD23-#REF!</f>
        <v>#REF!</v>
      </c>
      <c r="AF23" s="35">
        <v>56708844964</v>
      </c>
      <c r="AG23" s="35" t="s">
        <v>203</v>
      </c>
    </row>
    <row r="24" spans="1:34" s="18" customFormat="1" ht="15.75">
      <c r="A24" s="71" t="s">
        <v>28</v>
      </c>
      <c r="B24" s="33" t="s">
        <v>143</v>
      </c>
      <c r="C24" s="33" t="s">
        <v>30</v>
      </c>
      <c r="D24" s="49">
        <v>42916</v>
      </c>
      <c r="E24" s="34">
        <v>1026.69</v>
      </c>
      <c r="F24" s="34">
        <v>956.76</v>
      </c>
      <c r="G24" s="34"/>
      <c r="H24" s="34"/>
      <c r="I24" s="34"/>
      <c r="J24" s="46">
        <f t="shared" si="10"/>
        <v>956.76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>
        <v>470.86</v>
      </c>
      <c r="V24" s="46">
        <f t="shared" si="1"/>
        <v>485.9</v>
      </c>
      <c r="W24" s="32"/>
      <c r="X24" s="46"/>
      <c r="Y24" s="32"/>
      <c r="Z24" s="32"/>
      <c r="AA24" s="32"/>
      <c r="AB24" s="46"/>
      <c r="AC24" s="50"/>
      <c r="AD24" s="51"/>
      <c r="AE24" s="47"/>
      <c r="AF24" s="35">
        <v>60592609882</v>
      </c>
      <c r="AG24" s="33"/>
    </row>
    <row r="25" spans="1:34" s="18" customFormat="1" ht="15.75">
      <c r="A25" s="71" t="s">
        <v>28</v>
      </c>
      <c r="B25" s="33" t="s">
        <v>137</v>
      </c>
      <c r="C25" s="33" t="s">
        <v>30</v>
      </c>
      <c r="D25" s="49">
        <v>42899</v>
      </c>
      <c r="E25" s="34">
        <v>1026.69</v>
      </c>
      <c r="F25" s="34">
        <v>1863.83</v>
      </c>
      <c r="G25" s="34"/>
      <c r="H25" s="34"/>
      <c r="I25" s="34"/>
      <c r="J25" s="46">
        <f t="shared" si="10"/>
        <v>1863.83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46">
        <f t="shared" si="1"/>
        <v>1863.83</v>
      </c>
      <c r="W25" s="32"/>
      <c r="X25" s="46"/>
      <c r="Y25" s="32"/>
      <c r="Z25" s="32"/>
      <c r="AA25" s="32"/>
      <c r="AB25" s="46"/>
      <c r="AC25" s="50"/>
      <c r="AD25" s="51"/>
      <c r="AE25" s="47"/>
      <c r="AF25" s="35">
        <v>60592030048</v>
      </c>
      <c r="AG25" s="33"/>
    </row>
    <row r="26" spans="1:34" s="18" customFormat="1" ht="15.75">
      <c r="A26" s="71" t="s">
        <v>28</v>
      </c>
      <c r="B26" s="33" t="s">
        <v>109</v>
      </c>
      <c r="C26" s="33" t="s">
        <v>110</v>
      </c>
      <c r="D26" s="49">
        <v>41359</v>
      </c>
      <c r="E26" s="34">
        <v>4666.6899999999996</v>
      </c>
      <c r="F26" s="34">
        <v>786.15</v>
      </c>
      <c r="G26" s="34"/>
      <c r="H26" s="34"/>
      <c r="I26" s="34"/>
      <c r="J26" s="46">
        <f t="shared" si="10"/>
        <v>786.15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46">
        <f t="shared" si="1"/>
        <v>786.15</v>
      </c>
      <c r="W26" s="32">
        <f t="shared" ref="W26" si="13">IF(J26&gt;2250,J26*0.1,0)</f>
        <v>0</v>
      </c>
      <c r="X26" s="46">
        <f t="shared" ref="X26" si="14">+V26-W26</f>
        <v>786.15</v>
      </c>
      <c r="Y26" s="32"/>
      <c r="Z26" s="32"/>
      <c r="AA26" s="32"/>
      <c r="AB26" s="46"/>
      <c r="AC26" s="50"/>
      <c r="AD26" s="51"/>
      <c r="AE26" s="47"/>
      <c r="AF26" s="35">
        <v>56708881383</v>
      </c>
      <c r="AG26" s="33"/>
    </row>
    <row r="27" spans="1:34" s="18" customFormat="1">
      <c r="A27" s="71" t="s">
        <v>28</v>
      </c>
      <c r="B27" s="33" t="s">
        <v>170</v>
      </c>
      <c r="C27" s="33" t="s">
        <v>30</v>
      </c>
      <c r="D27" s="49">
        <v>43012</v>
      </c>
      <c r="E27" s="34">
        <v>1026.69</v>
      </c>
      <c r="F27" s="34"/>
      <c r="G27" s="34"/>
      <c r="H27" s="34"/>
      <c r="I27" s="34"/>
      <c r="J27" s="46">
        <f t="shared" si="10"/>
        <v>0</v>
      </c>
      <c r="K27" s="34"/>
      <c r="L27" s="60"/>
      <c r="M27" s="34"/>
      <c r="N27" s="34"/>
      <c r="O27" s="61"/>
      <c r="P27" s="61"/>
      <c r="Q27" s="34"/>
      <c r="R27" s="32"/>
      <c r="S27" s="32"/>
      <c r="T27" s="33"/>
      <c r="U27" s="72"/>
      <c r="V27" s="46">
        <f t="shared" si="1"/>
        <v>0</v>
      </c>
      <c r="W27" s="32"/>
      <c r="X27" s="46"/>
      <c r="Y27" s="32"/>
      <c r="Z27" s="32"/>
      <c r="AA27" s="32"/>
      <c r="AB27" s="46"/>
      <c r="AC27" s="50"/>
      <c r="AD27" s="51"/>
      <c r="AE27" s="47"/>
      <c r="AF27" s="73" t="s">
        <v>169</v>
      </c>
      <c r="AG27" s="35"/>
      <c r="AH27" s="18" t="s">
        <v>127</v>
      </c>
    </row>
    <row r="28" spans="1:34" s="85" customFormat="1">
      <c r="A28" s="74" t="s">
        <v>28</v>
      </c>
      <c r="B28" s="74" t="s">
        <v>163</v>
      </c>
      <c r="C28" s="74" t="s">
        <v>30</v>
      </c>
      <c r="D28" s="75">
        <v>42990</v>
      </c>
      <c r="E28" s="76">
        <v>1026.69</v>
      </c>
      <c r="F28" s="76"/>
      <c r="G28" s="76"/>
      <c r="H28" s="76"/>
      <c r="I28" s="76"/>
      <c r="J28" s="77">
        <f t="shared" si="10"/>
        <v>0</v>
      </c>
      <c r="K28" s="76"/>
      <c r="L28" s="78"/>
      <c r="M28" s="76"/>
      <c r="N28" s="76"/>
      <c r="O28" s="79"/>
      <c r="P28" s="79"/>
      <c r="Q28" s="76"/>
      <c r="R28" s="80"/>
      <c r="S28" s="80"/>
      <c r="T28" s="74"/>
      <c r="U28" s="74"/>
      <c r="V28" s="77">
        <f t="shared" si="1"/>
        <v>0</v>
      </c>
      <c r="W28" s="80"/>
      <c r="X28" s="77"/>
      <c r="Y28" s="80"/>
      <c r="Z28" s="80"/>
      <c r="AA28" s="80"/>
      <c r="AB28" s="77"/>
      <c r="AC28" s="81"/>
      <c r="AD28" s="82"/>
      <c r="AE28" s="83"/>
      <c r="AF28" s="84">
        <v>60595209110</v>
      </c>
      <c r="AG28" s="74"/>
    </row>
    <row r="29" spans="1:34" s="18" customFormat="1" ht="15.75">
      <c r="A29" s="71" t="s">
        <v>28</v>
      </c>
      <c r="B29" s="33" t="s">
        <v>84</v>
      </c>
      <c r="C29" s="33" t="s">
        <v>30</v>
      </c>
      <c r="D29" s="49">
        <v>42413</v>
      </c>
      <c r="E29" s="34">
        <v>1026.69</v>
      </c>
      <c r="F29" s="34"/>
      <c r="G29" s="34"/>
      <c r="H29" s="34"/>
      <c r="I29" s="34"/>
      <c r="J29" s="46">
        <f t="shared" si="1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46">
        <f t="shared" si="1"/>
        <v>0</v>
      </c>
      <c r="W29" s="32">
        <f t="shared" si="2"/>
        <v>0</v>
      </c>
      <c r="X29" s="46">
        <f t="shared" si="3"/>
        <v>0</v>
      </c>
      <c r="Y29" s="32">
        <f t="shared" si="4"/>
        <v>0</v>
      </c>
      <c r="Z29" s="32">
        <v>13.23</v>
      </c>
      <c r="AA29" s="32">
        <f t="shared" si="5"/>
        <v>0</v>
      </c>
      <c r="AB29" s="46">
        <f t="shared" si="6"/>
        <v>13.23</v>
      </c>
      <c r="AC29" s="50"/>
      <c r="AD29" s="51"/>
      <c r="AE29" s="47">
        <f>+AC29+AD29-X29</f>
        <v>0</v>
      </c>
      <c r="AF29" s="35">
        <v>60590329504</v>
      </c>
      <c r="AG29" s="33"/>
    </row>
    <row r="30" spans="1:34" s="18" customFormat="1" ht="15.75">
      <c r="A30" s="71" t="s">
        <v>28</v>
      </c>
      <c r="B30" s="33" t="s">
        <v>90</v>
      </c>
      <c r="C30" s="33" t="s">
        <v>100</v>
      </c>
      <c r="D30" s="49">
        <v>42480</v>
      </c>
      <c r="E30" s="34">
        <v>2800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ref="W30:W51" si="15">IF(J30&gt;2250,J30*0.1,0)</f>
        <v>0</v>
      </c>
      <c r="X30" s="46">
        <f t="shared" ref="X30:X51" si="16">+V30-W30</f>
        <v>0</v>
      </c>
      <c r="Y30" s="32">
        <f t="shared" ref="Y30:Y51" si="17">IF(J30&lt;2250,J30*0.1,0)</f>
        <v>0</v>
      </c>
      <c r="Z30" s="32">
        <v>17.23</v>
      </c>
      <c r="AA30" s="32">
        <f t="shared" ref="AA30:AA51" si="18">+O30</f>
        <v>0</v>
      </c>
      <c r="AB30" s="46">
        <f t="shared" ref="AB30:AB51" si="19">+J30+Y30+Z30+AA30</f>
        <v>17.23</v>
      </c>
      <c r="AC30" s="50"/>
      <c r="AD30" s="51"/>
      <c r="AE30" s="47">
        <f>+AC30+AD30-X30</f>
        <v>0</v>
      </c>
      <c r="AF30" s="35">
        <v>56708845010</v>
      </c>
      <c r="AG30" s="33"/>
    </row>
    <row r="31" spans="1:34" s="18" customFormat="1" ht="15.75">
      <c r="A31" s="71" t="s">
        <v>39</v>
      </c>
      <c r="B31" s="33" t="s">
        <v>128</v>
      </c>
      <c r="C31" s="33" t="s">
        <v>43</v>
      </c>
      <c r="D31" s="49">
        <v>42826</v>
      </c>
      <c r="E31" s="34">
        <v>1633.31</v>
      </c>
      <c r="F31" s="34"/>
      <c r="G31" s="34"/>
      <c r="H31" s="34"/>
      <c r="I31" s="34"/>
      <c r="J31" s="46">
        <f t="shared" si="1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46">
        <f t="shared" si="1"/>
        <v>0</v>
      </c>
      <c r="W31" s="32">
        <f t="shared" si="15"/>
        <v>0</v>
      </c>
      <c r="X31" s="46"/>
      <c r="Y31" s="32">
        <f t="shared" si="17"/>
        <v>0</v>
      </c>
      <c r="Z31" s="32"/>
      <c r="AA31" s="32"/>
      <c r="AB31" s="46"/>
      <c r="AC31" s="50"/>
      <c r="AD31" s="51"/>
      <c r="AE31" s="47"/>
      <c r="AF31" s="35">
        <v>60590035118</v>
      </c>
      <c r="AG31" s="35"/>
    </row>
    <row r="32" spans="1:34" s="18" customFormat="1" ht="15.75">
      <c r="A32" s="71" t="s">
        <v>27</v>
      </c>
      <c r="B32" s="33" t="s">
        <v>142</v>
      </c>
      <c r="C32" s="33" t="s">
        <v>44</v>
      </c>
      <c r="D32" s="49">
        <v>42916</v>
      </c>
      <c r="E32" s="34">
        <v>1026.69</v>
      </c>
      <c r="F32" s="34">
        <v>4396.8</v>
      </c>
      <c r="G32" s="34"/>
      <c r="H32" s="34"/>
      <c r="I32" s="34"/>
      <c r="J32" s="46">
        <f t="shared" si="10"/>
        <v>4396.8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>
        <v>649.46</v>
      </c>
      <c r="V32" s="46">
        <f t="shared" si="1"/>
        <v>3747.34</v>
      </c>
      <c r="W32" s="32"/>
      <c r="X32" s="46"/>
      <c r="Y32" s="32"/>
      <c r="Z32" s="32"/>
      <c r="AA32" s="32"/>
      <c r="AB32" s="46"/>
      <c r="AC32" s="50"/>
      <c r="AD32" s="51"/>
      <c r="AE32" s="47"/>
      <c r="AF32" s="35">
        <v>60584074827</v>
      </c>
      <c r="AG32" s="33"/>
    </row>
    <row r="33" spans="1:34" s="18" customFormat="1" ht="15.75">
      <c r="A33" s="71" t="s">
        <v>28</v>
      </c>
      <c r="B33" s="33" t="s">
        <v>113</v>
      </c>
      <c r="C33" s="33" t="s">
        <v>30</v>
      </c>
      <c r="D33" s="49">
        <v>42415</v>
      </c>
      <c r="E33" s="34">
        <v>1026.69</v>
      </c>
      <c r="F33" s="34"/>
      <c r="G33" s="34"/>
      <c r="H33" s="34"/>
      <c r="I33" s="34"/>
      <c r="J33" s="46">
        <f t="shared" si="10"/>
        <v>0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0</v>
      </c>
      <c r="W33" s="32">
        <f t="shared" ref="W33" si="20">IF(J33&gt;2250,J33*0.1,0)</f>
        <v>0</v>
      </c>
      <c r="X33" s="46">
        <f t="shared" ref="X33" si="21">+V33-W33</f>
        <v>0</v>
      </c>
      <c r="Y33" s="32"/>
      <c r="Z33" s="32"/>
      <c r="AA33" s="32"/>
      <c r="AB33" s="46"/>
      <c r="AC33" s="50"/>
      <c r="AD33" s="51"/>
      <c r="AE33" s="47"/>
      <c r="AF33" s="35">
        <v>56708881656</v>
      </c>
      <c r="AG33" s="33"/>
    </row>
    <row r="34" spans="1:34" s="18" customFormat="1" ht="15.75">
      <c r="A34" s="71" t="s">
        <v>28</v>
      </c>
      <c r="B34" s="33" t="s">
        <v>132</v>
      </c>
      <c r="C34" s="33" t="s">
        <v>30</v>
      </c>
      <c r="D34" s="49">
        <v>41463</v>
      </c>
      <c r="E34" s="34">
        <v>1026.69</v>
      </c>
      <c r="F34" s="34">
        <v>1775.85</v>
      </c>
      <c r="G34" s="34"/>
      <c r="H34" s="34"/>
      <c r="I34" s="34"/>
      <c r="J34" s="46">
        <f t="shared" si="10"/>
        <v>1775.85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si="1"/>
        <v>1775.85</v>
      </c>
      <c r="W34" s="32">
        <f t="shared" si="15"/>
        <v>0</v>
      </c>
      <c r="X34" s="46">
        <f t="shared" si="16"/>
        <v>1775.85</v>
      </c>
      <c r="Y34" s="32">
        <f t="shared" si="17"/>
        <v>177.58500000000001</v>
      </c>
      <c r="Z34" s="32">
        <v>20.23</v>
      </c>
      <c r="AA34" s="32">
        <f t="shared" si="18"/>
        <v>0</v>
      </c>
      <c r="AB34" s="46">
        <f t="shared" si="19"/>
        <v>1973.665</v>
      </c>
      <c r="AC34" s="50"/>
      <c r="AD34" s="51"/>
      <c r="AE34" s="47">
        <f>+AC34+AD34-X34</f>
        <v>-1775.85</v>
      </c>
      <c r="AF34" s="35">
        <v>56708881457</v>
      </c>
      <c r="AG34" s="33"/>
    </row>
    <row r="35" spans="1:34" s="18" customFormat="1" ht="15.75">
      <c r="A35" s="71" t="s">
        <v>28</v>
      </c>
      <c r="B35" s="33" t="s">
        <v>191</v>
      </c>
      <c r="C35" s="33" t="s">
        <v>30</v>
      </c>
      <c r="D35" s="49">
        <v>43052</v>
      </c>
      <c r="E35" s="34">
        <v>1026.69</v>
      </c>
      <c r="F35" s="34"/>
      <c r="G35" s="34"/>
      <c r="H35" s="34"/>
      <c r="I35" s="34"/>
      <c r="J35" s="46">
        <f t="shared" si="10"/>
        <v>0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si="1"/>
        <v>0</v>
      </c>
      <c r="W35" s="32"/>
      <c r="X35" s="46"/>
      <c r="Y35" s="32"/>
      <c r="Z35" s="32"/>
      <c r="AA35" s="32"/>
      <c r="AB35" s="46"/>
      <c r="AC35" s="50"/>
      <c r="AD35" s="51"/>
      <c r="AE35" s="47"/>
      <c r="AF35" s="35">
        <v>60597082882</v>
      </c>
      <c r="AG35" s="33"/>
    </row>
    <row r="36" spans="1:34" s="18" customFormat="1" ht="15.75">
      <c r="A36" s="71" t="s">
        <v>26</v>
      </c>
      <c r="B36" s="33" t="s">
        <v>129</v>
      </c>
      <c r="C36" s="33" t="s">
        <v>91</v>
      </c>
      <c r="D36" s="49">
        <v>40618</v>
      </c>
      <c r="E36" s="34">
        <v>1633.31</v>
      </c>
      <c r="F36" s="34">
        <v>3573.52</v>
      </c>
      <c r="G36" s="34"/>
      <c r="H36" s="34"/>
      <c r="I36" s="34"/>
      <c r="J36" s="46">
        <f t="shared" si="10"/>
        <v>3573.52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46">
        <f t="shared" ref="V36:V43" si="22">+J36-SUM(K36:U36)</f>
        <v>3573.52</v>
      </c>
      <c r="W36" s="32">
        <f t="shared" si="15"/>
        <v>357.35200000000003</v>
      </c>
      <c r="X36" s="46">
        <f t="shared" si="16"/>
        <v>3216.1680000000001</v>
      </c>
      <c r="Y36" s="32">
        <f t="shared" si="17"/>
        <v>0</v>
      </c>
      <c r="Z36" s="32">
        <v>21.23</v>
      </c>
      <c r="AA36" s="32">
        <f t="shared" si="18"/>
        <v>0</v>
      </c>
      <c r="AB36" s="46">
        <f t="shared" si="19"/>
        <v>3594.75</v>
      </c>
      <c r="AC36" s="50"/>
      <c r="AD36" s="51"/>
      <c r="AE36" s="47"/>
      <c r="AF36" s="35">
        <v>56708845038</v>
      </c>
      <c r="AG36" s="33"/>
    </row>
    <row r="37" spans="1:34" s="18" customFormat="1" ht="15.75">
      <c r="A37" s="71" t="s">
        <v>28</v>
      </c>
      <c r="B37" s="33" t="s">
        <v>83</v>
      </c>
      <c r="C37" s="33" t="s">
        <v>30</v>
      </c>
      <c r="D37" s="49">
        <v>42296</v>
      </c>
      <c r="E37" s="34">
        <v>1026.69</v>
      </c>
      <c r="F37" s="34">
        <v>132.12</v>
      </c>
      <c r="G37" s="34"/>
      <c r="H37" s="34"/>
      <c r="I37" s="34"/>
      <c r="J37" s="46">
        <f t="shared" si="10"/>
        <v>132.12</v>
      </c>
      <c r="K37" s="34"/>
      <c r="L37" s="60"/>
      <c r="M37" s="34"/>
      <c r="N37" s="34"/>
      <c r="O37" s="61"/>
      <c r="P37" s="61"/>
      <c r="Q37" s="34"/>
      <c r="R37" s="32">
        <v>200</v>
      </c>
      <c r="S37" s="66"/>
      <c r="T37" s="33"/>
      <c r="U37" s="33">
        <v>802.69</v>
      </c>
      <c r="V37" s="46">
        <f t="shared" si="22"/>
        <v>-870.57</v>
      </c>
      <c r="W37" s="32">
        <f t="shared" si="15"/>
        <v>0</v>
      </c>
      <c r="X37" s="46">
        <f t="shared" si="16"/>
        <v>-870.57</v>
      </c>
      <c r="Y37" s="32">
        <f t="shared" si="17"/>
        <v>13.212000000000002</v>
      </c>
      <c r="Z37" s="32">
        <v>10.23</v>
      </c>
      <c r="AA37" s="32">
        <f t="shared" si="18"/>
        <v>0</v>
      </c>
      <c r="AB37" s="46">
        <f t="shared" si="19"/>
        <v>155.56199999999998</v>
      </c>
      <c r="AC37" s="50"/>
      <c r="AD37" s="51"/>
      <c r="AE37" s="47">
        <f>+AC37+AD37-X37</f>
        <v>870.57</v>
      </c>
      <c r="AF37" s="35">
        <v>56708881460</v>
      </c>
      <c r="AG37" s="33"/>
    </row>
    <row r="38" spans="1:34" s="18" customFormat="1" ht="15.75">
      <c r="A38" s="71" t="s">
        <v>27</v>
      </c>
      <c r="B38" s="33" t="s">
        <v>144</v>
      </c>
      <c r="C38" s="33" t="s">
        <v>44</v>
      </c>
      <c r="D38" s="49">
        <v>42916</v>
      </c>
      <c r="E38" s="34">
        <v>1026.69</v>
      </c>
      <c r="F38" s="34"/>
      <c r="G38" s="34"/>
      <c r="H38" s="34"/>
      <c r="I38" s="34"/>
      <c r="J38" s="46">
        <f t="shared" si="10"/>
        <v>0</v>
      </c>
      <c r="K38" s="34"/>
      <c r="L38" s="60"/>
      <c r="M38" s="34"/>
      <c r="N38" s="34"/>
      <c r="O38" s="61"/>
      <c r="P38" s="61"/>
      <c r="Q38" s="34"/>
      <c r="R38" s="32"/>
      <c r="S38" s="66"/>
      <c r="T38" s="33"/>
      <c r="U38" s="33"/>
      <c r="V38" s="46">
        <f t="shared" si="22"/>
        <v>0</v>
      </c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60592636121</v>
      </c>
      <c r="AG38" s="33"/>
    </row>
    <row r="39" spans="1:34" s="18" customFormat="1" ht="15.75">
      <c r="A39" s="71" t="s">
        <v>28</v>
      </c>
      <c r="B39" s="33" t="s">
        <v>184</v>
      </c>
      <c r="C39" s="33" t="s">
        <v>182</v>
      </c>
      <c r="D39" s="49">
        <v>43035</v>
      </c>
      <c r="E39" s="34">
        <v>1400</v>
      </c>
      <c r="F39" s="34"/>
      <c r="G39" s="34"/>
      <c r="H39" s="34"/>
      <c r="I39" s="34"/>
      <c r="J39" s="46">
        <f>SUM(F39:I39)</f>
        <v>0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/>
      <c r="W39" s="32"/>
      <c r="X39" s="46"/>
      <c r="Y39" s="32"/>
      <c r="Z39" s="32"/>
      <c r="AA39" s="32"/>
      <c r="AB39" s="46"/>
      <c r="AC39" s="50"/>
      <c r="AD39" s="51"/>
      <c r="AE39" s="47"/>
      <c r="AF39" s="35">
        <v>60596635649</v>
      </c>
      <c r="AG39" s="33"/>
    </row>
    <row r="40" spans="1:34" s="18" customFormat="1" ht="15.75">
      <c r="A40" s="71" t="s">
        <v>37</v>
      </c>
      <c r="B40" s="33" t="s">
        <v>156</v>
      </c>
      <c r="C40" s="33" t="s">
        <v>29</v>
      </c>
      <c r="D40" s="49">
        <v>42978</v>
      </c>
      <c r="E40" s="34">
        <v>1166.6199999999999</v>
      </c>
      <c r="F40" s="34">
        <v>694.27</v>
      </c>
      <c r="G40" s="34"/>
      <c r="H40" s="34"/>
      <c r="I40" s="34"/>
      <c r="J40" s="46">
        <f t="shared" si="10"/>
        <v>694.27</v>
      </c>
      <c r="K40" s="34"/>
      <c r="L40" s="60"/>
      <c r="M40" s="34"/>
      <c r="N40" s="34"/>
      <c r="O40" s="61"/>
      <c r="P40" s="61"/>
      <c r="Q40" s="34"/>
      <c r="R40" s="32"/>
      <c r="S40" s="66"/>
      <c r="T40" s="33"/>
      <c r="U40" s="33"/>
      <c r="V40" s="46">
        <f t="shared" si="22"/>
        <v>694.27</v>
      </c>
      <c r="W40" s="32"/>
      <c r="X40" s="46"/>
      <c r="Y40" s="32"/>
      <c r="Z40" s="32"/>
      <c r="AA40" s="32"/>
      <c r="AB40" s="46"/>
      <c r="AC40" s="50"/>
      <c r="AD40" s="51"/>
      <c r="AE40" s="47"/>
      <c r="AF40" s="35">
        <v>60594750506</v>
      </c>
      <c r="AG40" s="33"/>
    </row>
    <row r="41" spans="1:34" s="18" customFormat="1" ht="15.75">
      <c r="A41" s="71" t="s">
        <v>28</v>
      </c>
      <c r="B41" s="33" t="s">
        <v>195</v>
      </c>
      <c r="C41" s="33" t="s">
        <v>196</v>
      </c>
      <c r="D41" s="49">
        <v>43063</v>
      </c>
      <c r="E41" s="34">
        <v>2333.31</v>
      </c>
      <c r="F41" s="34"/>
      <c r="G41" s="34"/>
      <c r="H41" s="34"/>
      <c r="I41" s="34"/>
      <c r="J41" s="46">
        <f t="shared" si="10"/>
        <v>0</v>
      </c>
      <c r="K41" s="34"/>
      <c r="L41" s="60"/>
      <c r="M41" s="34"/>
      <c r="N41" s="34"/>
      <c r="O41" s="61"/>
      <c r="P41" s="61"/>
      <c r="Q41" s="34"/>
      <c r="R41" s="32"/>
      <c r="S41" s="66"/>
      <c r="T41" s="33"/>
      <c r="U41" s="33"/>
      <c r="V41" s="46">
        <f t="shared" si="22"/>
        <v>0</v>
      </c>
      <c r="W41" s="32"/>
      <c r="X41" s="46"/>
      <c r="Y41" s="32"/>
      <c r="Z41" s="32"/>
      <c r="AA41" s="32"/>
      <c r="AB41" s="46"/>
      <c r="AC41" s="50"/>
      <c r="AD41" s="51"/>
      <c r="AE41" s="47"/>
      <c r="AF41" s="35">
        <v>56701660014</v>
      </c>
      <c r="AG41" s="33"/>
    </row>
    <row r="42" spans="1:34" s="18" customFormat="1">
      <c r="A42" s="71" t="s">
        <v>27</v>
      </c>
      <c r="B42" s="33" t="s">
        <v>95</v>
      </c>
      <c r="C42" s="33" t="s">
        <v>44</v>
      </c>
      <c r="D42" s="49">
        <v>42576</v>
      </c>
      <c r="E42" s="34">
        <v>1026.69</v>
      </c>
      <c r="F42" s="34"/>
      <c r="G42" s="34"/>
      <c r="H42" s="34"/>
      <c r="I42" s="34"/>
      <c r="J42" s="46">
        <f t="shared" si="10"/>
        <v>0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46">
        <f t="shared" si="22"/>
        <v>0</v>
      </c>
      <c r="W42" s="33">
        <f t="shared" si="15"/>
        <v>0</v>
      </c>
      <c r="X42" s="33">
        <f t="shared" si="16"/>
        <v>0</v>
      </c>
      <c r="Y42" s="32">
        <f t="shared" si="17"/>
        <v>0</v>
      </c>
      <c r="Z42" s="32">
        <v>11.23</v>
      </c>
      <c r="AA42" s="32">
        <f t="shared" si="18"/>
        <v>0</v>
      </c>
      <c r="AB42" s="46">
        <f t="shared" si="19"/>
        <v>11.23</v>
      </c>
      <c r="AC42" s="50"/>
      <c r="AD42" s="50"/>
      <c r="AE42" s="47"/>
      <c r="AF42" s="35">
        <v>56708845072</v>
      </c>
      <c r="AG42" s="35"/>
    </row>
    <row r="43" spans="1:34" s="18" customFormat="1">
      <c r="A43" s="71" t="s">
        <v>28</v>
      </c>
      <c r="B43" s="33" t="s">
        <v>86</v>
      </c>
      <c r="C43" s="33" t="s">
        <v>30</v>
      </c>
      <c r="D43" s="49">
        <v>37834</v>
      </c>
      <c r="E43" s="34">
        <v>1026.69</v>
      </c>
      <c r="F43" s="34"/>
      <c r="G43" s="34"/>
      <c r="H43" s="34"/>
      <c r="I43" s="34"/>
      <c r="J43" s="46">
        <f t="shared" si="1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33"/>
      <c r="U43" s="33"/>
      <c r="V43" s="46">
        <f t="shared" si="22"/>
        <v>0</v>
      </c>
      <c r="W43" s="32">
        <f t="shared" si="15"/>
        <v>0</v>
      </c>
      <c r="X43" s="46">
        <f t="shared" si="16"/>
        <v>0</v>
      </c>
      <c r="Y43" s="32">
        <f t="shared" si="17"/>
        <v>0</v>
      </c>
      <c r="Z43" s="32">
        <v>10.23</v>
      </c>
      <c r="AA43" s="32">
        <f t="shared" si="18"/>
        <v>0</v>
      </c>
      <c r="AB43" s="46">
        <f t="shared" si="19"/>
        <v>10.23</v>
      </c>
      <c r="AC43" s="50"/>
      <c r="AD43" s="51"/>
      <c r="AE43" s="47">
        <f t="shared" ref="AE43" si="23">+AC43+AD43-X43</f>
        <v>0</v>
      </c>
      <c r="AF43" s="35">
        <v>56708881503</v>
      </c>
      <c r="AG43" s="35"/>
    </row>
    <row r="44" spans="1:34" s="18" customFormat="1">
      <c r="A44" s="71" t="s">
        <v>28</v>
      </c>
      <c r="B44" s="33" t="s">
        <v>76</v>
      </c>
      <c r="C44" s="33" t="s">
        <v>43</v>
      </c>
      <c r="D44" s="49">
        <v>40813</v>
      </c>
      <c r="E44" s="34">
        <v>1869</v>
      </c>
      <c r="F44" s="63"/>
      <c r="G44" s="63"/>
      <c r="H44" s="34"/>
      <c r="I44" s="34"/>
      <c r="J44" s="46">
        <f t="shared" si="10"/>
        <v>0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ref="V44:V55" si="24">+J44-SUM(K44:U44)</f>
        <v>0</v>
      </c>
      <c r="W44" s="32">
        <f t="shared" ref="W44" si="25">+V44*0.05</f>
        <v>0</v>
      </c>
      <c r="X44" s="46">
        <f t="shared" ref="X44" si="26">+V44-R44-U44</f>
        <v>0</v>
      </c>
      <c r="Y44" s="32">
        <f t="shared" ref="Y44" si="27">IF(V44&lt;3000,V44*0.1,0)</f>
        <v>0</v>
      </c>
      <c r="Z44" s="32"/>
      <c r="AA44" s="32"/>
      <c r="AB44" s="46">
        <f t="shared" ref="AB44" si="28">+V44+Y44+Z44</f>
        <v>0</v>
      </c>
      <c r="AC44" s="50"/>
      <c r="AD44" s="51"/>
      <c r="AE44" s="47"/>
      <c r="AF44" s="35">
        <v>60589552237</v>
      </c>
      <c r="AG44" s="35"/>
    </row>
    <row r="45" spans="1:34" s="18" customFormat="1">
      <c r="A45" s="71" t="s">
        <v>27</v>
      </c>
      <c r="B45" s="33" t="s">
        <v>145</v>
      </c>
      <c r="C45" s="33" t="s">
        <v>30</v>
      </c>
      <c r="D45" s="49">
        <v>42852</v>
      </c>
      <c r="E45" s="34">
        <v>1026.69</v>
      </c>
      <c r="F45" s="34">
        <v>2060</v>
      </c>
      <c r="G45" s="34"/>
      <c r="H45" s="34"/>
      <c r="I45" s="34"/>
      <c r="J45" s="46">
        <f t="shared" si="10"/>
        <v>2060</v>
      </c>
      <c r="K45" s="34"/>
      <c r="L45" s="60"/>
      <c r="M45" s="34"/>
      <c r="N45" s="34"/>
      <c r="O45" s="61"/>
      <c r="P45" s="61"/>
      <c r="Q45" s="34"/>
      <c r="R45" s="32"/>
      <c r="S45" s="32"/>
      <c r="T45" s="48"/>
      <c r="U45" s="48"/>
      <c r="V45" s="46">
        <f t="shared" si="24"/>
        <v>2060</v>
      </c>
      <c r="W45" s="32"/>
      <c r="X45" s="46"/>
      <c r="Y45" s="32"/>
      <c r="Z45" s="32"/>
      <c r="AA45" s="32"/>
      <c r="AB45" s="46"/>
      <c r="AC45" s="50"/>
      <c r="AD45" s="51"/>
      <c r="AE45" s="47"/>
      <c r="AF45" s="35">
        <v>60590678030</v>
      </c>
      <c r="AG45" s="35"/>
    </row>
    <row r="46" spans="1:34" s="18" customFormat="1">
      <c r="A46" s="71" t="s">
        <v>27</v>
      </c>
      <c r="B46" s="33" t="s">
        <v>114</v>
      </c>
      <c r="C46" s="33" t="s">
        <v>138</v>
      </c>
      <c r="D46" s="49">
        <v>42644</v>
      </c>
      <c r="E46" s="34">
        <v>1633.38</v>
      </c>
      <c r="F46" s="34"/>
      <c r="G46" s="34"/>
      <c r="H46" s="34"/>
      <c r="I46" s="34"/>
      <c r="J46" s="46">
        <f t="shared" si="10"/>
        <v>0</v>
      </c>
      <c r="K46" s="34">
        <v>500</v>
      </c>
      <c r="L46" s="60"/>
      <c r="M46" s="34"/>
      <c r="N46" s="34"/>
      <c r="O46" s="61"/>
      <c r="P46" s="61"/>
      <c r="Q46" s="34"/>
      <c r="R46" s="32">
        <v>845.43</v>
      </c>
      <c r="S46" s="32"/>
      <c r="T46" s="48"/>
      <c r="U46" s="48"/>
      <c r="V46" s="46">
        <f t="shared" si="24"/>
        <v>-1345.4299999999998</v>
      </c>
      <c r="W46" s="32">
        <f t="shared" ref="W46" si="29">IF(J46&gt;2250,J46*0.1,0)</f>
        <v>0</v>
      </c>
      <c r="X46" s="46">
        <f t="shared" ref="X46" si="30">+V46-W46</f>
        <v>-1345.4299999999998</v>
      </c>
      <c r="Y46" s="32"/>
      <c r="Z46" s="32"/>
      <c r="AA46" s="32"/>
      <c r="AB46" s="46"/>
      <c r="AC46" s="50"/>
      <c r="AD46" s="51"/>
      <c r="AE46" s="47"/>
      <c r="AF46" s="35">
        <v>56708845530</v>
      </c>
      <c r="AG46" s="35" t="s">
        <v>201</v>
      </c>
    </row>
    <row r="47" spans="1:34" s="18" customFormat="1">
      <c r="A47" s="71" t="s">
        <v>26</v>
      </c>
      <c r="B47" s="33" t="s">
        <v>161</v>
      </c>
      <c r="C47" s="33" t="s">
        <v>29</v>
      </c>
      <c r="D47" s="49">
        <v>42991</v>
      </c>
      <c r="E47" s="34">
        <v>1166.6199999999999</v>
      </c>
      <c r="F47" s="34">
        <v>1971.09</v>
      </c>
      <c r="G47" s="34"/>
      <c r="H47" s="34"/>
      <c r="I47" s="34"/>
      <c r="J47" s="46">
        <f t="shared" si="10"/>
        <v>1971.09</v>
      </c>
      <c r="K47" s="34"/>
      <c r="L47" s="60"/>
      <c r="M47" s="34"/>
      <c r="N47" s="34"/>
      <c r="O47" s="61"/>
      <c r="P47" s="61"/>
      <c r="Q47" s="34"/>
      <c r="R47" s="32"/>
      <c r="S47" s="32"/>
      <c r="T47" s="33"/>
      <c r="U47" s="33"/>
      <c r="V47" s="46"/>
      <c r="W47" s="32"/>
      <c r="X47" s="46"/>
      <c r="Y47" s="32"/>
      <c r="Z47" s="32"/>
      <c r="AA47" s="32"/>
      <c r="AB47" s="46"/>
      <c r="AC47" s="50"/>
      <c r="AD47" s="51"/>
      <c r="AE47" s="47"/>
      <c r="AF47" s="35">
        <v>1168500843</v>
      </c>
      <c r="AG47" s="33"/>
      <c r="AH47" s="18" t="s">
        <v>127</v>
      </c>
    </row>
    <row r="48" spans="1:34" s="18" customFormat="1">
      <c r="A48" s="71" t="s">
        <v>28</v>
      </c>
      <c r="B48" s="33" t="s">
        <v>155</v>
      </c>
      <c r="C48" s="33" t="s">
        <v>30</v>
      </c>
      <c r="D48" s="49">
        <v>42961</v>
      </c>
      <c r="E48" s="34">
        <v>1022.56</v>
      </c>
      <c r="F48" s="34"/>
      <c r="G48" s="34"/>
      <c r="H48" s="34"/>
      <c r="I48" s="34"/>
      <c r="J48" s="46">
        <f t="shared" si="10"/>
        <v>0</v>
      </c>
      <c r="K48" s="34"/>
      <c r="L48" s="60"/>
      <c r="M48" s="34"/>
      <c r="N48" s="34"/>
      <c r="O48" s="61"/>
      <c r="P48" s="61"/>
      <c r="Q48" s="34"/>
      <c r="R48" s="32"/>
      <c r="S48" s="32"/>
      <c r="T48" s="48"/>
      <c r="U48" s="48"/>
      <c r="V48" s="46">
        <f t="shared" si="24"/>
        <v>0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60589665774</v>
      </c>
      <c r="AG48" s="35"/>
    </row>
    <row r="49" spans="1:34" s="18" customFormat="1">
      <c r="A49" s="71" t="s">
        <v>28</v>
      </c>
      <c r="B49" s="33" t="s">
        <v>146</v>
      </c>
      <c r="C49" s="33" t="s">
        <v>30</v>
      </c>
      <c r="D49" s="49">
        <v>42921</v>
      </c>
      <c r="E49" s="34">
        <v>1022.56</v>
      </c>
      <c r="F49" s="34">
        <v>4399.57</v>
      </c>
      <c r="G49" s="34"/>
      <c r="H49" s="34"/>
      <c r="I49" s="34"/>
      <c r="J49" s="46">
        <f t="shared" si="10"/>
        <v>4399.57</v>
      </c>
      <c r="K49" s="34"/>
      <c r="L49" s="60"/>
      <c r="M49" s="34"/>
      <c r="N49" s="34"/>
      <c r="O49" s="61"/>
      <c r="P49" s="61"/>
      <c r="Q49" s="34"/>
      <c r="R49" s="32">
        <v>260</v>
      </c>
      <c r="S49" s="32"/>
      <c r="T49" s="33"/>
      <c r="U49" s="33"/>
      <c r="V49" s="46">
        <f t="shared" si="24"/>
        <v>4139.57</v>
      </c>
      <c r="W49" s="32"/>
      <c r="X49" s="46"/>
      <c r="Y49" s="32"/>
      <c r="Z49" s="32"/>
      <c r="AA49" s="32"/>
      <c r="AB49" s="46"/>
      <c r="AC49" s="50"/>
      <c r="AD49" s="51"/>
      <c r="AE49" s="47"/>
      <c r="AF49" s="35">
        <v>56708881702</v>
      </c>
      <c r="AG49" s="33"/>
    </row>
    <row r="50" spans="1:34" s="18" customFormat="1">
      <c r="A50" s="71" t="s">
        <v>39</v>
      </c>
      <c r="B50" s="33" t="s">
        <v>136</v>
      </c>
      <c r="C50" s="33" t="s">
        <v>43</v>
      </c>
      <c r="D50" s="49">
        <v>42891</v>
      </c>
      <c r="E50" s="34">
        <v>1633.31</v>
      </c>
      <c r="F50" s="34"/>
      <c r="G50" s="34"/>
      <c r="H50" s="34"/>
      <c r="I50" s="34"/>
      <c r="J50" s="46">
        <f t="shared" si="10"/>
        <v>0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0</v>
      </c>
      <c r="W50" s="32"/>
      <c r="X50" s="46"/>
      <c r="Y50" s="32"/>
      <c r="Z50" s="32"/>
      <c r="AA50" s="32"/>
      <c r="AB50" s="46"/>
      <c r="AC50" s="50"/>
      <c r="AD50" s="51"/>
      <c r="AE50" s="47"/>
      <c r="AF50" s="35">
        <v>60590340221</v>
      </c>
      <c r="AG50" s="35"/>
    </row>
    <row r="51" spans="1:34" s="18" customFormat="1">
      <c r="A51" s="71" t="s">
        <v>37</v>
      </c>
      <c r="B51" s="33" t="s">
        <v>89</v>
      </c>
      <c r="C51" s="33" t="s">
        <v>29</v>
      </c>
      <c r="D51" s="49">
        <v>42506</v>
      </c>
      <c r="E51" s="34">
        <v>1166.27</v>
      </c>
      <c r="F51" s="34">
        <v>502.78</v>
      </c>
      <c r="G51" s="34"/>
      <c r="H51" s="34"/>
      <c r="I51" s="34"/>
      <c r="J51" s="46">
        <f t="shared" si="10"/>
        <v>502.78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46">
        <f t="shared" si="24"/>
        <v>502.78</v>
      </c>
      <c r="W51" s="32">
        <f t="shared" si="15"/>
        <v>0</v>
      </c>
      <c r="X51" s="46">
        <f t="shared" si="16"/>
        <v>502.78</v>
      </c>
      <c r="Y51" s="32">
        <f t="shared" si="17"/>
        <v>50.277999999999999</v>
      </c>
      <c r="Z51" s="32">
        <v>10.23</v>
      </c>
      <c r="AA51" s="32">
        <f t="shared" si="18"/>
        <v>0</v>
      </c>
      <c r="AB51" s="46">
        <f t="shared" si="19"/>
        <v>563.28800000000001</v>
      </c>
      <c r="AC51" s="50"/>
      <c r="AD51" s="50"/>
      <c r="AE51" s="47">
        <f t="shared" ref="AE51" si="31">+AC51+AD51-X51</f>
        <v>-502.78</v>
      </c>
      <c r="AF51" s="35">
        <v>56708881551</v>
      </c>
      <c r="AG51" s="35"/>
    </row>
    <row r="52" spans="1:34" s="18" customFormat="1" ht="15.75">
      <c r="A52" s="71" t="s">
        <v>37</v>
      </c>
      <c r="B52" s="33" t="s">
        <v>164</v>
      </c>
      <c r="C52" s="33" t="s">
        <v>29</v>
      </c>
      <c r="D52" s="49">
        <v>43006</v>
      </c>
      <c r="E52" s="34">
        <v>1166.6199999999999</v>
      </c>
      <c r="F52" s="34">
        <v>1587.93</v>
      </c>
      <c r="G52" s="34"/>
      <c r="H52" s="34"/>
      <c r="I52" s="34"/>
      <c r="J52" s="46">
        <f t="shared" si="10"/>
        <v>1587.93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46">
        <f t="shared" si="24"/>
        <v>1587.93</v>
      </c>
      <c r="W52" s="32"/>
      <c r="X52" s="46"/>
      <c r="Y52" s="32"/>
      <c r="Z52" s="32"/>
      <c r="AA52" s="32"/>
      <c r="AB52" s="46"/>
      <c r="AC52" s="50"/>
      <c r="AD52" s="51"/>
      <c r="AE52" s="47"/>
      <c r="AF52" s="35">
        <v>60595911850</v>
      </c>
      <c r="AG52" s="33"/>
    </row>
    <row r="53" spans="1:34" s="18" customFormat="1">
      <c r="A53" s="86" t="s">
        <v>28</v>
      </c>
      <c r="B53" s="86" t="s">
        <v>207</v>
      </c>
      <c r="C53" s="86" t="s">
        <v>182</v>
      </c>
      <c r="D53" s="87">
        <v>43074</v>
      </c>
      <c r="E53" s="88">
        <v>1400</v>
      </c>
      <c r="F53" s="88"/>
      <c r="G53" s="88"/>
      <c r="H53" s="88"/>
      <c r="I53" s="88"/>
      <c r="J53" s="46">
        <f t="shared" si="1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46">
        <f t="shared" si="24"/>
        <v>0</v>
      </c>
      <c r="W53" s="32"/>
      <c r="X53" s="46"/>
      <c r="Y53" s="32"/>
      <c r="Z53" s="32"/>
      <c r="AA53" s="32"/>
      <c r="AB53" s="46"/>
      <c r="AC53" s="50"/>
      <c r="AD53" s="51"/>
      <c r="AE53" s="47"/>
      <c r="AF53" s="89">
        <v>60568120718</v>
      </c>
      <c r="AG53" s="89"/>
    </row>
    <row r="54" spans="1:34" s="18" customFormat="1">
      <c r="A54" s="71" t="s">
        <v>37</v>
      </c>
      <c r="B54" s="33" t="s">
        <v>66</v>
      </c>
      <c r="C54" s="33" t="s">
        <v>43</v>
      </c>
      <c r="D54" s="49">
        <v>42321</v>
      </c>
      <c r="E54" s="34">
        <v>1869</v>
      </c>
      <c r="F54" s="63"/>
      <c r="G54" s="63"/>
      <c r="H54" s="34"/>
      <c r="I54" s="34"/>
      <c r="J54" s="46">
        <f t="shared" si="10"/>
        <v>0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4"/>
        <v>0</v>
      </c>
      <c r="W54" s="32">
        <f t="shared" ref="W54:W57" si="32">IF(J54&gt;2250,J54*0.1,0)</f>
        <v>0</v>
      </c>
      <c r="X54" s="46">
        <f t="shared" ref="X54:X66" si="33">+V54-W54</f>
        <v>0</v>
      </c>
      <c r="Y54" s="32">
        <f t="shared" ref="Y54:Y65" si="34">IF(J54&lt;2250,J54*0.1,0)</f>
        <v>0</v>
      </c>
      <c r="Z54" s="32">
        <v>10.23</v>
      </c>
      <c r="AA54" s="32">
        <f t="shared" ref="AA54:AA65" si="35">+O54</f>
        <v>0</v>
      </c>
      <c r="AB54" s="46">
        <f t="shared" ref="AB54:AB65" si="36">+J54+Y54+Z54+AA54</f>
        <v>10.23</v>
      </c>
      <c r="AC54" s="50"/>
      <c r="AD54" s="51"/>
      <c r="AE54" s="47">
        <f t="shared" ref="AE54:AE57" si="37">+AC54+AD54-X54</f>
        <v>0</v>
      </c>
      <c r="AF54" s="35">
        <v>56708845240</v>
      </c>
      <c r="AG54" s="33"/>
    </row>
    <row r="55" spans="1:34" s="18" customFormat="1">
      <c r="A55" s="71" t="s">
        <v>37</v>
      </c>
      <c r="B55" s="33" t="s">
        <v>108</v>
      </c>
      <c r="C55" s="33" t="s">
        <v>91</v>
      </c>
      <c r="D55" s="49">
        <v>42646</v>
      </c>
      <c r="E55" s="34">
        <v>1166.27</v>
      </c>
      <c r="F55" s="34">
        <v>3384.72</v>
      </c>
      <c r="G55" s="34"/>
      <c r="H55" s="34"/>
      <c r="I55" s="34"/>
      <c r="J55" s="46">
        <f t="shared" si="10"/>
        <v>3384.72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si="24"/>
        <v>3384.72</v>
      </c>
      <c r="W55" s="32">
        <f t="shared" ref="W55" si="38">IF(J55&gt;2250,J55*0.1,0)</f>
        <v>338.47199999999998</v>
      </c>
      <c r="X55" s="46">
        <f t="shared" ref="X55" si="39">+V55-W55</f>
        <v>3046.2479999999996</v>
      </c>
      <c r="Y55" s="32"/>
      <c r="Z55" s="32"/>
      <c r="AA55" s="32"/>
      <c r="AB55" s="46"/>
      <c r="AC55" s="50"/>
      <c r="AD55" s="51"/>
      <c r="AE55" s="47"/>
      <c r="AF55" s="35">
        <v>56708881582</v>
      </c>
      <c r="AG55" s="35"/>
    </row>
    <row r="56" spans="1:34" s="18" customFormat="1">
      <c r="A56" s="71" t="s">
        <v>37</v>
      </c>
      <c r="B56" s="33" t="s">
        <v>150</v>
      </c>
      <c r="C56" s="33" t="s">
        <v>29</v>
      </c>
      <c r="D56" s="49">
        <v>42065</v>
      </c>
      <c r="E56" s="34">
        <v>1166.27</v>
      </c>
      <c r="F56" s="34">
        <v>4321.8</v>
      </c>
      <c r="G56" s="34"/>
      <c r="H56" s="34"/>
      <c r="I56" s="34"/>
      <c r="J56" s="46">
        <f t="shared" si="10"/>
        <v>4321.8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46">
        <f t="shared" ref="V56:V66" si="40">+J56-SUM(K56:U56)</f>
        <v>4321.8</v>
      </c>
      <c r="W56" s="32">
        <f t="shared" si="32"/>
        <v>432.18000000000006</v>
      </c>
      <c r="X56" s="46">
        <f t="shared" si="33"/>
        <v>3889.62</v>
      </c>
      <c r="Y56" s="32">
        <f t="shared" si="34"/>
        <v>0</v>
      </c>
      <c r="Z56" s="32">
        <v>10.23</v>
      </c>
      <c r="AA56" s="32">
        <f t="shared" si="35"/>
        <v>0</v>
      </c>
      <c r="AB56" s="46">
        <f t="shared" si="36"/>
        <v>4332.03</v>
      </c>
      <c r="AC56" s="50"/>
      <c r="AD56" s="51"/>
      <c r="AE56" s="47">
        <f t="shared" si="37"/>
        <v>-3889.62</v>
      </c>
      <c r="AF56" s="35">
        <v>56708845254</v>
      </c>
      <c r="AG56" s="35"/>
    </row>
    <row r="57" spans="1:34" s="18" customFormat="1">
      <c r="A57" s="71" t="s">
        <v>28</v>
      </c>
      <c r="B57" s="33" t="s">
        <v>36</v>
      </c>
      <c r="C57" s="33" t="s">
        <v>30</v>
      </c>
      <c r="D57" s="49">
        <v>41218</v>
      </c>
      <c r="E57" s="34">
        <v>1026.69</v>
      </c>
      <c r="F57" s="34">
        <v>849.77</v>
      </c>
      <c r="G57" s="34"/>
      <c r="H57" s="34"/>
      <c r="I57" s="34"/>
      <c r="J57" s="46">
        <f t="shared" si="10"/>
        <v>849.77</v>
      </c>
      <c r="K57" s="34"/>
      <c r="L57" s="60"/>
      <c r="M57" s="34"/>
      <c r="N57" s="34"/>
      <c r="O57" s="61"/>
      <c r="P57" s="61"/>
      <c r="Q57" s="34"/>
      <c r="R57" s="32">
        <v>800</v>
      </c>
      <c r="S57" s="32"/>
      <c r="T57" s="33"/>
      <c r="U57" s="72">
        <v>547.32000000000005</v>
      </c>
      <c r="V57" s="46">
        <f t="shared" si="40"/>
        <v>-497.55000000000018</v>
      </c>
      <c r="W57" s="32">
        <f t="shared" si="32"/>
        <v>0</v>
      </c>
      <c r="X57" s="46">
        <f t="shared" si="33"/>
        <v>-497.55000000000018</v>
      </c>
      <c r="Y57" s="32">
        <f t="shared" si="34"/>
        <v>84.977000000000004</v>
      </c>
      <c r="Z57" s="32">
        <v>10.23</v>
      </c>
      <c r="AA57" s="32">
        <f t="shared" si="35"/>
        <v>0</v>
      </c>
      <c r="AB57" s="46">
        <f t="shared" si="36"/>
        <v>944.97699999999998</v>
      </c>
      <c r="AC57" s="50"/>
      <c r="AD57" s="51"/>
      <c r="AE57" s="47">
        <f t="shared" si="37"/>
        <v>497.55000000000018</v>
      </c>
      <c r="AF57" s="35">
        <v>56708881596</v>
      </c>
      <c r="AG57" s="33"/>
    </row>
    <row r="58" spans="1:34" s="18" customFormat="1">
      <c r="A58" s="71" t="s">
        <v>28</v>
      </c>
      <c r="B58" s="33" t="s">
        <v>181</v>
      </c>
      <c r="C58" s="33" t="s">
        <v>182</v>
      </c>
      <c r="D58" s="49">
        <v>43038</v>
      </c>
      <c r="E58" s="34">
        <v>1400</v>
      </c>
      <c r="F58" s="34"/>
      <c r="G58" s="34"/>
      <c r="H58" s="34"/>
      <c r="I58" s="34"/>
      <c r="J58" s="46">
        <f t="shared" si="1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72"/>
      <c r="V58" s="46"/>
      <c r="W58" s="32"/>
      <c r="X58" s="46"/>
      <c r="Y58" s="32"/>
      <c r="Z58" s="32"/>
      <c r="AA58" s="32"/>
      <c r="AB58" s="46"/>
      <c r="AC58" s="50"/>
      <c r="AD58" s="51"/>
      <c r="AE58" s="47"/>
      <c r="AF58" s="35">
        <v>1539992200</v>
      </c>
      <c r="AG58" s="33"/>
      <c r="AH58" s="18" t="s">
        <v>127</v>
      </c>
    </row>
    <row r="59" spans="1:34" s="18" customFormat="1">
      <c r="A59" s="71" t="s">
        <v>26</v>
      </c>
      <c r="B59" s="33" t="s">
        <v>106</v>
      </c>
      <c r="C59" s="33" t="s">
        <v>104</v>
      </c>
      <c r="D59" s="49">
        <v>42241</v>
      </c>
      <c r="E59" s="34">
        <v>1250.02</v>
      </c>
      <c r="F59" s="34">
        <v>1104.94</v>
      </c>
      <c r="G59" s="34"/>
      <c r="H59" s="34"/>
      <c r="I59" s="34"/>
      <c r="J59" s="46">
        <f t="shared" si="10"/>
        <v>1104.94</v>
      </c>
      <c r="K59" s="34">
        <v>187.5</v>
      </c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46">
        <f t="shared" ref="V59" si="41">+J59-SUM(K59:U59)</f>
        <v>917.44</v>
      </c>
      <c r="W59" s="32">
        <f t="shared" ref="W59" si="42">IF(J59&gt;2250,J59*0.1,0)</f>
        <v>0</v>
      </c>
      <c r="X59" s="46">
        <f t="shared" ref="X59" si="43">+V59-W59</f>
        <v>917.44</v>
      </c>
      <c r="Y59" s="32">
        <f t="shared" si="34"/>
        <v>110.49400000000001</v>
      </c>
      <c r="Z59" s="32"/>
      <c r="AA59" s="32"/>
      <c r="AB59" s="46"/>
      <c r="AC59" s="50"/>
      <c r="AD59" s="51"/>
      <c r="AE59" s="47"/>
      <c r="AF59" s="35">
        <v>56708845268</v>
      </c>
      <c r="AG59" s="35" t="s">
        <v>194</v>
      </c>
    </row>
    <row r="60" spans="1:34" s="18" customFormat="1">
      <c r="A60" s="71" t="s">
        <v>39</v>
      </c>
      <c r="B60" s="33" t="s">
        <v>77</v>
      </c>
      <c r="C60" s="33" t="s">
        <v>43</v>
      </c>
      <c r="D60" s="49">
        <v>42333</v>
      </c>
      <c r="E60" s="34">
        <v>1869</v>
      </c>
      <c r="F60" s="63"/>
      <c r="G60" s="63"/>
      <c r="H60" s="34"/>
      <c r="I60" s="34"/>
      <c r="J60" s="46">
        <f t="shared" si="10"/>
        <v>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>
        <v>356.04</v>
      </c>
      <c r="V60" s="46">
        <f t="shared" si="40"/>
        <v>-356.04</v>
      </c>
      <c r="W60" s="32">
        <f t="shared" ref="W60:W66" si="44">IF(J60&gt;2250,J60*0.1,0)</f>
        <v>0</v>
      </c>
      <c r="X60" s="46">
        <f t="shared" si="33"/>
        <v>-356.04</v>
      </c>
      <c r="Y60" s="32">
        <f t="shared" si="34"/>
        <v>0</v>
      </c>
      <c r="Z60" s="32">
        <v>10.23</v>
      </c>
      <c r="AA60" s="32">
        <f t="shared" si="35"/>
        <v>0</v>
      </c>
      <c r="AB60" s="46">
        <f t="shared" si="36"/>
        <v>10.23</v>
      </c>
      <c r="AC60" s="50"/>
      <c r="AD60" s="51"/>
      <c r="AE60" s="47">
        <f>+AC60+AD60-X60</f>
        <v>356.04</v>
      </c>
      <c r="AF60" s="35">
        <v>60589939521</v>
      </c>
      <c r="AG60" s="35"/>
    </row>
    <row r="61" spans="1:34" s="18" customFormat="1">
      <c r="A61" s="71" t="s">
        <v>28</v>
      </c>
      <c r="B61" s="33" t="s">
        <v>96</v>
      </c>
      <c r="C61" s="33" t="s">
        <v>30</v>
      </c>
      <c r="D61" s="49">
        <v>42459</v>
      </c>
      <c r="E61" s="34">
        <v>1026.69</v>
      </c>
      <c r="F61" s="34"/>
      <c r="G61" s="34"/>
      <c r="H61" s="34"/>
      <c r="I61" s="34"/>
      <c r="J61" s="46">
        <f t="shared" si="10"/>
        <v>0</v>
      </c>
      <c r="K61" s="34"/>
      <c r="L61" s="60"/>
      <c r="M61" s="34"/>
      <c r="N61" s="34"/>
      <c r="O61" s="61"/>
      <c r="P61" s="61"/>
      <c r="Q61" s="34"/>
      <c r="R61" s="32">
        <v>500</v>
      </c>
      <c r="S61" s="32"/>
      <c r="T61" s="33"/>
      <c r="U61" s="33"/>
      <c r="V61" s="46">
        <f t="shared" si="40"/>
        <v>-500</v>
      </c>
      <c r="W61" s="32">
        <f t="shared" si="44"/>
        <v>0</v>
      </c>
      <c r="X61" s="46">
        <f t="shared" si="33"/>
        <v>-500</v>
      </c>
      <c r="Y61" s="32">
        <f t="shared" si="34"/>
        <v>0</v>
      </c>
      <c r="Z61" s="32">
        <v>10.23</v>
      </c>
      <c r="AA61" s="32">
        <f t="shared" si="35"/>
        <v>0</v>
      </c>
      <c r="AB61" s="46">
        <f t="shared" si="36"/>
        <v>10.23</v>
      </c>
      <c r="AC61" s="55"/>
      <c r="AD61" s="51"/>
      <c r="AE61" s="47">
        <f>+AC61+AD61-X61</f>
        <v>500</v>
      </c>
      <c r="AF61" s="35">
        <v>60589627948</v>
      </c>
      <c r="AG61" s="35"/>
    </row>
    <row r="62" spans="1:34" s="18" customFormat="1">
      <c r="A62" s="71" t="s">
        <v>26</v>
      </c>
      <c r="B62" s="33" t="s">
        <v>131</v>
      </c>
      <c r="C62" s="33" t="s">
        <v>29</v>
      </c>
      <c r="D62" s="49">
        <v>42849</v>
      </c>
      <c r="E62" s="34">
        <v>1166.27</v>
      </c>
      <c r="F62" s="34">
        <v>1950.67</v>
      </c>
      <c r="G62" s="34"/>
      <c r="H62" s="34"/>
      <c r="I62" s="34"/>
      <c r="J62" s="46">
        <f t="shared" si="10"/>
        <v>1950.67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40"/>
        <v>1950.67</v>
      </c>
      <c r="W62" s="32"/>
      <c r="X62" s="46"/>
      <c r="Y62" s="32"/>
      <c r="Z62" s="32"/>
      <c r="AA62" s="32"/>
      <c r="AB62" s="46"/>
      <c r="AC62" s="55"/>
      <c r="AD62" s="51"/>
      <c r="AE62" s="47"/>
      <c r="AF62" s="35">
        <v>60590412629</v>
      </c>
      <c r="AG62" s="35"/>
    </row>
    <row r="63" spans="1:34" s="18" customFormat="1">
      <c r="A63" s="71" t="s">
        <v>26</v>
      </c>
      <c r="B63" s="33" t="s">
        <v>93</v>
      </c>
      <c r="C63" s="33" t="s">
        <v>42</v>
      </c>
      <c r="D63" s="49">
        <v>42566</v>
      </c>
      <c r="E63" s="34">
        <v>933.31</v>
      </c>
      <c r="F63" s="34">
        <v>1860</v>
      </c>
      <c r="G63" s="34"/>
      <c r="H63" s="34"/>
      <c r="I63" s="34"/>
      <c r="J63" s="46">
        <f t="shared" si="10"/>
        <v>1860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40"/>
        <v>1860</v>
      </c>
      <c r="W63" s="32">
        <f t="shared" si="44"/>
        <v>0</v>
      </c>
      <c r="X63" s="46">
        <f t="shared" si="33"/>
        <v>1860</v>
      </c>
      <c r="Y63" s="32">
        <f t="shared" si="34"/>
        <v>186</v>
      </c>
      <c r="Z63" s="32">
        <v>21.23</v>
      </c>
      <c r="AA63" s="32">
        <f t="shared" si="35"/>
        <v>0</v>
      </c>
      <c r="AB63" s="46">
        <f t="shared" si="36"/>
        <v>2067.23</v>
      </c>
      <c r="AC63" s="55"/>
      <c r="AD63" s="51"/>
      <c r="AE63" s="47"/>
      <c r="AF63" s="35">
        <v>56708845709</v>
      </c>
      <c r="AG63" s="35"/>
    </row>
    <row r="64" spans="1:34" s="18" customFormat="1">
      <c r="A64" s="71" t="s">
        <v>28</v>
      </c>
      <c r="B64" s="33" t="s">
        <v>151</v>
      </c>
      <c r="C64" s="33" t="s">
        <v>30</v>
      </c>
      <c r="D64" s="49">
        <v>42842</v>
      </c>
      <c r="E64" s="34">
        <v>1026.69</v>
      </c>
      <c r="F64" s="34"/>
      <c r="G64" s="34"/>
      <c r="H64" s="34"/>
      <c r="I64" s="34"/>
      <c r="J64" s="46">
        <f t="shared" si="10"/>
        <v>0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46">
        <f t="shared" si="40"/>
        <v>0</v>
      </c>
      <c r="W64" s="32"/>
      <c r="X64" s="46"/>
      <c r="Y64" s="32"/>
      <c r="Z64" s="32"/>
      <c r="AA64" s="32"/>
      <c r="AB64" s="46"/>
      <c r="AC64" s="55"/>
      <c r="AD64" s="56"/>
      <c r="AE64" s="47"/>
      <c r="AF64" s="35">
        <v>60590199370</v>
      </c>
      <c r="AG64" s="35"/>
    </row>
    <row r="65" spans="1:187" s="18" customFormat="1">
      <c r="A65" s="71" t="s">
        <v>27</v>
      </c>
      <c r="B65" s="33" t="s">
        <v>88</v>
      </c>
      <c r="C65" s="33" t="s">
        <v>138</v>
      </c>
      <c r="D65" s="49">
        <v>42506</v>
      </c>
      <c r="E65" s="34">
        <v>1633.38</v>
      </c>
      <c r="F65" s="34"/>
      <c r="G65" s="34"/>
      <c r="H65" s="34"/>
      <c r="I65" s="34"/>
      <c r="J65" s="46">
        <f t="shared" si="10"/>
        <v>0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58">
        <v>209.3</v>
      </c>
      <c r="V65" s="46">
        <f t="shared" si="40"/>
        <v>-209.3</v>
      </c>
      <c r="W65" s="32">
        <f t="shared" si="44"/>
        <v>0</v>
      </c>
      <c r="X65" s="46">
        <f t="shared" si="33"/>
        <v>-209.3</v>
      </c>
      <c r="Y65" s="32">
        <f t="shared" si="34"/>
        <v>0</v>
      </c>
      <c r="Z65" s="32">
        <v>10.23</v>
      </c>
      <c r="AA65" s="32">
        <f t="shared" si="35"/>
        <v>0</v>
      </c>
      <c r="AB65" s="46">
        <f t="shared" si="36"/>
        <v>10.23</v>
      </c>
      <c r="AC65" s="55"/>
      <c r="AD65" s="55"/>
      <c r="AE65" s="47">
        <f t="shared" ref="AE65" si="45">+AC65+AD65-X65</f>
        <v>209.3</v>
      </c>
      <c r="AF65" s="35">
        <v>1179675078</v>
      </c>
      <c r="AG65" s="35"/>
      <c r="AH65" s="18" t="s">
        <v>127</v>
      </c>
    </row>
    <row r="66" spans="1:187" s="18" customFormat="1">
      <c r="A66" s="71" t="s">
        <v>26</v>
      </c>
      <c r="B66" s="33" t="s">
        <v>122</v>
      </c>
      <c r="C66" s="33" t="s">
        <v>42</v>
      </c>
      <c r="D66" s="49">
        <v>42597</v>
      </c>
      <c r="E66" s="34">
        <v>933.31</v>
      </c>
      <c r="F66" s="34">
        <v>1320</v>
      </c>
      <c r="G66" s="34"/>
      <c r="H66" s="34"/>
      <c r="I66" s="34"/>
      <c r="J66" s="46">
        <f t="shared" si="10"/>
        <v>1320</v>
      </c>
      <c r="K66" s="34">
        <v>300</v>
      </c>
      <c r="L66" s="60"/>
      <c r="M66" s="34"/>
      <c r="N66" s="34"/>
      <c r="O66" s="61"/>
      <c r="P66" s="61"/>
      <c r="Q66" s="34"/>
      <c r="R66" s="32"/>
      <c r="S66" s="32"/>
      <c r="T66" s="33"/>
      <c r="U66" s="58"/>
      <c r="V66" s="46">
        <f t="shared" si="40"/>
        <v>1020</v>
      </c>
      <c r="W66" s="32">
        <f t="shared" si="44"/>
        <v>0</v>
      </c>
      <c r="X66" s="46">
        <f t="shared" si="33"/>
        <v>1020</v>
      </c>
      <c r="Y66" s="32"/>
      <c r="Z66" s="32"/>
      <c r="AA66" s="32"/>
      <c r="AB66" s="46"/>
      <c r="AC66" s="55"/>
      <c r="AD66" s="55"/>
      <c r="AE66" s="47"/>
      <c r="AF66" s="35">
        <v>60594462438</v>
      </c>
      <c r="AG66" s="35" t="s">
        <v>194</v>
      </c>
    </row>
    <row r="67" spans="1:187" s="18" customFormat="1">
      <c r="A67" s="71" t="s">
        <v>37</v>
      </c>
      <c r="B67" s="33" t="s">
        <v>115</v>
      </c>
      <c r="C67" s="33" t="s">
        <v>29</v>
      </c>
      <c r="D67" s="49">
        <v>42696</v>
      </c>
      <c r="E67" s="34">
        <v>1166.27</v>
      </c>
      <c r="F67" s="34">
        <v>5412.9</v>
      </c>
      <c r="G67" s="34"/>
      <c r="H67" s="34"/>
      <c r="I67" s="34"/>
      <c r="J67" s="46">
        <f t="shared" si="10"/>
        <v>5412.9</v>
      </c>
      <c r="K67" s="34"/>
      <c r="L67" s="60"/>
      <c r="M67" s="34"/>
      <c r="N67" s="34"/>
      <c r="O67" s="61"/>
      <c r="P67" s="61"/>
      <c r="Q67" s="34"/>
      <c r="R67" s="32"/>
      <c r="S67" s="32"/>
      <c r="T67" s="33"/>
      <c r="U67" s="58"/>
      <c r="V67" s="46">
        <f t="shared" ref="V67" si="46">+J67-SUM(K67:U67)</f>
        <v>5412.9</v>
      </c>
      <c r="W67" s="32">
        <f t="shared" ref="W67" si="47">IF(J67&gt;2250,J67*0.1,0)</f>
        <v>541.29</v>
      </c>
      <c r="X67" s="46">
        <f t="shared" ref="X67" si="48">+V67-W67</f>
        <v>4871.6099999999997</v>
      </c>
      <c r="Y67" s="32"/>
      <c r="Z67" s="32"/>
      <c r="AA67" s="32"/>
      <c r="AB67" s="46"/>
      <c r="AC67" s="55"/>
      <c r="AD67" s="55"/>
      <c r="AE67" s="47"/>
      <c r="AF67" s="35">
        <v>56710784605</v>
      </c>
      <c r="AG67" s="35"/>
    </row>
    <row r="68" spans="1:187" s="18" customFormat="1">
      <c r="A68" s="86" t="s">
        <v>28</v>
      </c>
      <c r="B68" s="86" t="s">
        <v>208</v>
      </c>
      <c r="C68" s="86" t="s">
        <v>30</v>
      </c>
      <c r="D68" s="87">
        <v>43068</v>
      </c>
      <c r="E68" s="88">
        <v>1026.69</v>
      </c>
      <c r="F68" s="88"/>
      <c r="G68" s="88"/>
      <c r="H68" s="88"/>
      <c r="I68" s="88"/>
      <c r="J68" s="46">
        <f t="shared" si="10"/>
        <v>0</v>
      </c>
      <c r="K68" s="34"/>
      <c r="L68" s="60"/>
      <c r="M68" s="34"/>
      <c r="N68" s="34"/>
      <c r="O68" s="61"/>
      <c r="P68" s="61"/>
      <c r="Q68" s="34"/>
      <c r="R68" s="32"/>
      <c r="S68" s="32"/>
      <c r="T68" s="33"/>
      <c r="U68" s="33"/>
      <c r="V68" s="46"/>
      <c r="W68" s="32"/>
      <c r="X68" s="46"/>
      <c r="Y68" s="32"/>
      <c r="Z68" s="32"/>
      <c r="AA68" s="32"/>
      <c r="AB68" s="46"/>
      <c r="AC68" s="50"/>
      <c r="AD68" s="51"/>
      <c r="AE68" s="47"/>
      <c r="AF68" s="89">
        <v>60597479727</v>
      </c>
      <c r="AG68" s="89"/>
    </row>
    <row r="69" spans="1:187" s="18" customFormat="1">
      <c r="A69" s="71" t="s">
        <v>28</v>
      </c>
      <c r="B69" s="33" t="s">
        <v>183</v>
      </c>
      <c r="C69" s="33" t="s">
        <v>182</v>
      </c>
      <c r="D69" s="49">
        <v>43038</v>
      </c>
      <c r="E69" s="34">
        <v>1400</v>
      </c>
      <c r="F69" s="34"/>
      <c r="G69" s="34"/>
      <c r="H69" s="34"/>
      <c r="I69" s="34"/>
      <c r="J69" s="46">
        <f t="shared" si="10"/>
        <v>0</v>
      </c>
      <c r="K69" s="34"/>
      <c r="L69" s="60"/>
      <c r="M69" s="34"/>
      <c r="N69" s="34"/>
      <c r="O69" s="61"/>
      <c r="P69" s="61"/>
      <c r="Q69" s="34"/>
      <c r="R69" s="32"/>
      <c r="S69" s="32"/>
      <c r="T69" s="33"/>
      <c r="U69" s="58"/>
      <c r="V69" s="46"/>
      <c r="W69" s="32"/>
      <c r="X69" s="46"/>
      <c r="Y69" s="32"/>
      <c r="Z69" s="32"/>
      <c r="AA69" s="32"/>
      <c r="AB69" s="46"/>
      <c r="AC69" s="55"/>
      <c r="AD69" s="55"/>
      <c r="AE69" s="47"/>
      <c r="AF69" s="35">
        <v>1514177835</v>
      </c>
      <c r="AG69" s="35"/>
      <c r="AH69" s="18" t="s">
        <v>127</v>
      </c>
    </row>
    <row r="70" spans="1:187" s="18" customFormat="1">
      <c r="A70" s="24"/>
      <c r="B70" s="25"/>
      <c r="C70" s="25"/>
      <c r="D70" s="25"/>
      <c r="E70" s="25"/>
      <c r="F70" s="26"/>
      <c r="G70" s="26"/>
      <c r="H70" s="26"/>
      <c r="I70" s="26"/>
      <c r="J70" s="27"/>
      <c r="K70" s="26"/>
      <c r="L70" s="26"/>
      <c r="M70" s="26"/>
      <c r="N70" s="26"/>
      <c r="O70" s="26"/>
      <c r="P70" s="26"/>
      <c r="Q70" s="26"/>
      <c r="R70" s="36"/>
      <c r="S70" s="36"/>
      <c r="T70" s="36"/>
      <c r="U70" s="36"/>
      <c r="V70" s="27"/>
      <c r="W70" s="36"/>
      <c r="X70" s="27"/>
      <c r="Y70" s="36"/>
      <c r="Z70" s="36"/>
      <c r="AA70" s="36"/>
      <c r="AB70" s="27"/>
      <c r="AC70" s="43"/>
      <c r="AD70" s="43"/>
      <c r="AE70" s="22"/>
    </row>
    <row r="71" spans="1:187">
      <c r="B71" s="37" t="s">
        <v>1</v>
      </c>
      <c r="C71" s="37"/>
      <c r="D71" s="37"/>
      <c r="E71" s="38">
        <f t="shared" ref="E71:U71" si="49">SUM(E7:E70)</f>
        <v>89458.21000000005</v>
      </c>
      <c r="F71" s="38">
        <f t="shared" si="49"/>
        <v>66441.829999999987</v>
      </c>
      <c r="G71" s="38">
        <f t="shared" si="49"/>
        <v>0</v>
      </c>
      <c r="H71" s="38">
        <f t="shared" si="49"/>
        <v>0</v>
      </c>
      <c r="I71" s="38">
        <f t="shared" si="49"/>
        <v>0</v>
      </c>
      <c r="J71" s="38">
        <f t="shared" si="49"/>
        <v>66441.829999999987</v>
      </c>
      <c r="K71" s="38">
        <f t="shared" si="49"/>
        <v>2237.5</v>
      </c>
      <c r="L71" s="38">
        <f t="shared" si="49"/>
        <v>0</v>
      </c>
      <c r="M71" s="38">
        <f t="shared" si="49"/>
        <v>0</v>
      </c>
      <c r="N71" s="38">
        <f t="shared" si="49"/>
        <v>1300</v>
      </c>
      <c r="O71" s="38">
        <f t="shared" si="49"/>
        <v>0</v>
      </c>
      <c r="P71" s="38">
        <f t="shared" si="49"/>
        <v>0</v>
      </c>
      <c r="Q71" s="38">
        <f t="shared" si="49"/>
        <v>0</v>
      </c>
      <c r="R71" s="38">
        <f t="shared" si="49"/>
        <v>4605.43</v>
      </c>
      <c r="S71" s="38">
        <f t="shared" si="49"/>
        <v>0.6</v>
      </c>
      <c r="T71" s="38">
        <f t="shared" si="49"/>
        <v>0</v>
      </c>
      <c r="U71" s="38">
        <f t="shared" si="49"/>
        <v>4858.21</v>
      </c>
      <c r="V71" s="38">
        <f t="shared" ref="V71:AE71" si="50">SUM(V8:V70)</f>
        <v>38955.500000000007</v>
      </c>
      <c r="W71" s="38">
        <f t="shared" si="50"/>
        <v>2101.1019999999999</v>
      </c>
      <c r="X71" s="38">
        <f t="shared" si="50"/>
        <v>19265.187999999998</v>
      </c>
      <c r="Y71" s="38">
        <f t="shared" si="50"/>
        <v>859.94600000000003</v>
      </c>
      <c r="Z71" s="38">
        <f t="shared" si="50"/>
        <v>257.82999999999993</v>
      </c>
      <c r="AA71" s="38">
        <f t="shared" si="50"/>
        <v>0</v>
      </c>
      <c r="AB71" s="38">
        <f t="shared" si="50"/>
        <v>20715.201999999994</v>
      </c>
      <c r="AC71" s="44">
        <f t="shared" si="50"/>
        <v>0</v>
      </c>
      <c r="AD71" s="44">
        <f t="shared" si="50"/>
        <v>0</v>
      </c>
      <c r="AE71" s="39" t="e">
        <f t="shared" si="50"/>
        <v>#REF!</v>
      </c>
      <c r="AF71" s="28"/>
      <c r="AG71" s="2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</row>
    <row r="72" spans="1:187">
      <c r="AB72" s="14">
        <f>AB71*0.16</f>
        <v>3314.432319999999</v>
      </c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</row>
    <row r="73" spans="1:187">
      <c r="A73" s="102" t="s">
        <v>75</v>
      </c>
      <c r="B73" s="102"/>
      <c r="C73" s="28"/>
      <c r="D73" s="28"/>
      <c r="E73" s="28"/>
      <c r="F73" s="30"/>
      <c r="G73" s="30"/>
      <c r="H73" s="30"/>
      <c r="I73" s="30"/>
      <c r="J73" s="38"/>
      <c r="K73" s="30"/>
      <c r="L73" s="30"/>
      <c r="M73" s="30"/>
      <c r="N73" s="34"/>
      <c r="O73" s="34"/>
      <c r="P73" s="34"/>
      <c r="Q73" s="34"/>
      <c r="R73" s="30"/>
      <c r="S73" s="30"/>
      <c r="T73" s="30"/>
      <c r="U73" s="30"/>
      <c r="V73" s="38"/>
      <c r="W73" s="30"/>
      <c r="X73" s="38"/>
      <c r="Y73" s="30"/>
      <c r="Z73" s="30"/>
      <c r="AA73" s="30"/>
      <c r="AB73" s="38">
        <f>+AB71+AB72</f>
        <v>24029.634319999994</v>
      </c>
      <c r="AC73" s="44"/>
      <c r="AD73" s="44"/>
      <c r="AE73" s="39"/>
      <c r="AF73" s="28"/>
      <c r="AG73" s="2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</row>
    <row r="74" spans="1:187">
      <c r="A74" s="33" t="s">
        <v>38</v>
      </c>
      <c r="B74" s="33" t="s">
        <v>178</v>
      </c>
      <c r="C74" s="29" t="s">
        <v>179</v>
      </c>
      <c r="D74" s="49">
        <v>43038</v>
      </c>
      <c r="E74" s="34">
        <v>638.96</v>
      </c>
      <c r="F74" s="34">
        <v>2084.3879999999999</v>
      </c>
      <c r="G74" s="34"/>
      <c r="H74" s="31"/>
      <c r="I74" s="31"/>
      <c r="J74" s="46">
        <f>SUM(F74:I74)</f>
        <v>2084.3879999999999</v>
      </c>
      <c r="K74" s="34"/>
      <c r="L74" s="60"/>
      <c r="M74" s="34"/>
      <c r="N74" s="34"/>
      <c r="O74" s="61"/>
      <c r="P74" s="61"/>
      <c r="Q74" s="34"/>
      <c r="R74" s="32"/>
      <c r="S74" s="32"/>
      <c r="T74" s="33"/>
      <c r="U74" s="33">
        <v>553.23</v>
      </c>
      <c r="V74" s="46">
        <f>+J74-SUM(K74:U74)</f>
        <v>1531.1579999999999</v>
      </c>
      <c r="W74" s="32"/>
      <c r="X74" s="46"/>
      <c r="Y74" s="54"/>
      <c r="Z74" s="54"/>
      <c r="AA74" s="54"/>
      <c r="AB74" s="53"/>
      <c r="AC74" s="45"/>
      <c r="AD74" s="45"/>
      <c r="AE74" s="40"/>
      <c r="AF74" s="35">
        <v>56697905731</v>
      </c>
      <c r="AG74" s="35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</row>
    <row r="75" spans="1:187">
      <c r="A75" s="33" t="s">
        <v>40</v>
      </c>
      <c r="B75" s="33" t="s">
        <v>152</v>
      </c>
      <c r="C75" s="29" t="s">
        <v>102</v>
      </c>
      <c r="D75" s="49">
        <v>41142</v>
      </c>
      <c r="E75" s="34">
        <v>667.87</v>
      </c>
      <c r="F75" s="34">
        <f>2486.758+5.571</f>
        <v>2492.3289999999997</v>
      </c>
      <c r="G75" s="34"/>
      <c r="H75" s="31"/>
      <c r="I75" s="31"/>
      <c r="J75" s="46">
        <f>SUM(F75:I75)</f>
        <v>2492.3289999999997</v>
      </c>
      <c r="K75" s="34"/>
      <c r="L75" s="60"/>
      <c r="M75" s="34"/>
      <c r="N75" s="34"/>
      <c r="O75" s="61" t="s">
        <v>133</v>
      </c>
      <c r="P75" s="61" t="s">
        <v>133</v>
      </c>
      <c r="Q75" s="34"/>
      <c r="R75" s="32"/>
      <c r="S75" s="32"/>
      <c r="T75" s="33"/>
      <c r="U75" s="33"/>
      <c r="V75" s="46">
        <f>+J75-SUM(K75:U75)</f>
        <v>2492.3289999999997</v>
      </c>
      <c r="W75" s="32">
        <f>+V75*0.05</f>
        <v>124.61644999999999</v>
      </c>
      <c r="X75" s="46">
        <f>+V75-R75-U75</f>
        <v>2492.3289999999997</v>
      </c>
      <c r="Y75" s="54">
        <f>IF(V75&lt;3000,V75*0.1,0)</f>
        <v>249.23289999999997</v>
      </c>
      <c r="Z75" s="54">
        <v>0</v>
      </c>
      <c r="AA75" s="54"/>
      <c r="AB75" s="53">
        <f>+V75+Y75+Z75</f>
        <v>2741.5618999999997</v>
      </c>
      <c r="AC75" s="45"/>
      <c r="AD75" s="45"/>
      <c r="AE75" s="40"/>
      <c r="AF75" s="35">
        <v>56708845760</v>
      </c>
      <c r="AG75" s="35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</row>
    <row r="76" spans="1:187" s="18" customFormat="1">
      <c r="A76" s="33" t="s">
        <v>40</v>
      </c>
      <c r="B76" s="33" t="s">
        <v>52</v>
      </c>
      <c r="C76" s="33" t="s">
        <v>102</v>
      </c>
      <c r="D76" s="49">
        <v>41381</v>
      </c>
      <c r="E76" s="34">
        <v>627.13</v>
      </c>
      <c r="F76" s="34">
        <f>5640.738+2.599</f>
        <v>5643.3370000000004</v>
      </c>
      <c r="G76" s="34"/>
      <c r="H76" s="34"/>
      <c r="I76" s="34"/>
      <c r="J76" s="46">
        <f t="shared" ref="J76:J119" si="51">SUM(F76:I76)</f>
        <v>5643.3370000000004</v>
      </c>
      <c r="K76" s="34"/>
      <c r="L76" s="60"/>
      <c r="M76" s="34"/>
      <c r="N76" s="34"/>
      <c r="O76" s="61" t="s">
        <v>133</v>
      </c>
      <c r="P76" s="61" t="s">
        <v>133</v>
      </c>
      <c r="Q76" s="34"/>
      <c r="R76" s="32"/>
      <c r="S76" s="32"/>
      <c r="T76" s="33"/>
      <c r="U76" s="33"/>
      <c r="V76" s="46">
        <f t="shared" ref="V76:V118" si="52">+J76-SUM(K76:U76)</f>
        <v>5643.3370000000004</v>
      </c>
      <c r="W76" s="32">
        <f t="shared" ref="W76:W84" si="53">IF(J76&gt;2250,J76*0.1,0)</f>
        <v>564.33370000000002</v>
      </c>
      <c r="X76" s="46">
        <f t="shared" ref="X76:X84" si="54">+V76-W76</f>
        <v>5079.0033000000003</v>
      </c>
      <c r="Y76" s="32">
        <f t="shared" ref="Y76:Y84" si="55">IF(J76&lt;2250,J76*0.1,0)</f>
        <v>0</v>
      </c>
      <c r="Z76" s="32">
        <v>10.23</v>
      </c>
      <c r="AA76" s="32" t="str">
        <f t="shared" ref="AA76:AA84" si="56">+O76</f>
        <v>XX</v>
      </c>
      <c r="AB76" s="46" t="e">
        <f t="shared" ref="AB76:AB84" si="57">+J76+Y76+Z76+AA76</f>
        <v>#VALUE!</v>
      </c>
      <c r="AC76" s="50"/>
      <c r="AD76" s="51"/>
      <c r="AE76" s="47">
        <f t="shared" ref="AE76:AE79" si="58">+AC76+AD76-X76</f>
        <v>-5079.0033000000003</v>
      </c>
      <c r="AF76" s="35">
        <v>56708845774</v>
      </c>
      <c r="AG76" s="35"/>
    </row>
    <row r="77" spans="1:187" s="18" customFormat="1">
      <c r="A77" s="33" t="s">
        <v>40</v>
      </c>
      <c r="B77" s="33" t="s">
        <v>82</v>
      </c>
      <c r="C77" s="33" t="s">
        <v>102</v>
      </c>
      <c r="D77" s="49">
        <v>41740</v>
      </c>
      <c r="E77" s="34">
        <v>627.13</v>
      </c>
      <c r="F77" s="34">
        <f>2369.513+5.571</f>
        <v>2375.0839999999998</v>
      </c>
      <c r="G77" s="34"/>
      <c r="H77" s="34"/>
      <c r="I77" s="34"/>
      <c r="J77" s="46">
        <f t="shared" si="51"/>
        <v>2375.0839999999998</v>
      </c>
      <c r="K77" s="34"/>
      <c r="L77" s="60"/>
      <c r="M77" s="34"/>
      <c r="N77" s="32">
        <v>300</v>
      </c>
      <c r="O77" s="61" t="s">
        <v>133</v>
      </c>
      <c r="P77" s="61" t="s">
        <v>133</v>
      </c>
      <c r="Q77" s="34"/>
      <c r="R77" s="32"/>
      <c r="S77" s="32"/>
      <c r="T77" s="33"/>
      <c r="U77" s="33"/>
      <c r="V77" s="46">
        <f t="shared" si="52"/>
        <v>2075.0839999999998</v>
      </c>
      <c r="W77" s="32">
        <f t="shared" si="53"/>
        <v>237.50839999999999</v>
      </c>
      <c r="X77" s="46">
        <f t="shared" si="54"/>
        <v>1837.5755999999999</v>
      </c>
      <c r="Y77" s="32">
        <f t="shared" si="55"/>
        <v>0</v>
      </c>
      <c r="Z77" s="32">
        <v>10.23</v>
      </c>
      <c r="AA77" s="32" t="str">
        <f t="shared" si="56"/>
        <v>XX</v>
      </c>
      <c r="AB77" s="46" t="e">
        <f t="shared" si="57"/>
        <v>#VALUE!</v>
      </c>
      <c r="AC77" s="50"/>
      <c r="AD77" s="51"/>
      <c r="AE77" s="47">
        <f t="shared" si="58"/>
        <v>-1837.5755999999999</v>
      </c>
      <c r="AF77" s="35">
        <v>56708845788</v>
      </c>
      <c r="AG77" s="35"/>
    </row>
    <row r="78" spans="1:187" s="18" customFormat="1">
      <c r="A78" s="33" t="s">
        <v>40</v>
      </c>
      <c r="B78" s="33" t="s">
        <v>123</v>
      </c>
      <c r="C78" s="33" t="s">
        <v>98</v>
      </c>
      <c r="D78" s="49">
        <v>42779</v>
      </c>
      <c r="E78" s="34">
        <v>618.45000000000005</v>
      </c>
      <c r="F78" s="34">
        <v>660.8</v>
      </c>
      <c r="G78" s="34"/>
      <c r="H78" s="34"/>
      <c r="I78" s="34"/>
      <c r="J78" s="46">
        <f t="shared" si="51"/>
        <v>660.8</v>
      </c>
      <c r="K78" s="34"/>
      <c r="L78" s="60"/>
      <c r="M78" s="34"/>
      <c r="N78" s="34"/>
      <c r="O78" s="61" t="s">
        <v>133</v>
      </c>
      <c r="P78" s="61" t="s">
        <v>133</v>
      </c>
      <c r="Q78" s="34"/>
      <c r="R78" s="32"/>
      <c r="S78" s="32"/>
      <c r="T78" s="33"/>
      <c r="U78" s="33"/>
      <c r="V78" s="46">
        <f t="shared" si="52"/>
        <v>660.8</v>
      </c>
      <c r="W78" s="32"/>
      <c r="X78" s="46"/>
      <c r="Y78" s="32"/>
      <c r="Z78" s="32"/>
      <c r="AA78" s="32"/>
      <c r="AB78" s="46"/>
      <c r="AC78" s="50"/>
      <c r="AD78" s="51"/>
      <c r="AE78" s="47"/>
      <c r="AF78" s="35">
        <v>60589582591</v>
      </c>
      <c r="AG78" s="35"/>
    </row>
    <row r="79" spans="1:187" s="18" customFormat="1">
      <c r="A79" s="33" t="s">
        <v>40</v>
      </c>
      <c r="B79" s="33" t="s">
        <v>53</v>
      </c>
      <c r="C79" s="33" t="s">
        <v>45</v>
      </c>
      <c r="D79" s="49">
        <v>41227</v>
      </c>
      <c r="E79" s="34">
        <v>618.45000000000005</v>
      </c>
      <c r="F79" s="34">
        <f>5565.8+13.099</f>
        <v>5578.8990000000003</v>
      </c>
      <c r="G79" s="34"/>
      <c r="H79" s="34"/>
      <c r="I79" s="34"/>
      <c r="J79" s="46">
        <f t="shared" si="51"/>
        <v>5578.8990000000003</v>
      </c>
      <c r="K79" s="34"/>
      <c r="L79" s="60"/>
      <c r="M79" s="34"/>
      <c r="N79" s="32">
        <v>700</v>
      </c>
      <c r="O79" s="61" t="s">
        <v>133</v>
      </c>
      <c r="P79" s="61" t="s">
        <v>133</v>
      </c>
      <c r="Q79" s="34"/>
      <c r="R79" s="32"/>
      <c r="S79" s="32"/>
      <c r="T79" s="33"/>
      <c r="U79" s="33"/>
      <c r="V79" s="46">
        <f t="shared" si="52"/>
        <v>4878.8990000000003</v>
      </c>
      <c r="W79" s="32">
        <f t="shared" si="53"/>
        <v>557.88990000000001</v>
      </c>
      <c r="X79" s="46">
        <f t="shared" si="54"/>
        <v>4321.0091000000002</v>
      </c>
      <c r="Y79" s="32">
        <f t="shared" si="55"/>
        <v>0</v>
      </c>
      <c r="Z79" s="32">
        <v>10.23</v>
      </c>
      <c r="AA79" s="32" t="str">
        <f t="shared" si="56"/>
        <v>XX</v>
      </c>
      <c r="AB79" s="46" t="e">
        <f t="shared" si="57"/>
        <v>#VALUE!</v>
      </c>
      <c r="AC79" s="50"/>
      <c r="AD79" s="51"/>
      <c r="AE79" s="47">
        <f t="shared" si="58"/>
        <v>-4321.0091000000002</v>
      </c>
      <c r="AF79" s="35">
        <v>56708845791</v>
      </c>
      <c r="AG79" s="35"/>
    </row>
    <row r="80" spans="1:187" s="18" customFormat="1">
      <c r="A80" s="33" t="s">
        <v>38</v>
      </c>
      <c r="B80" s="33" t="s">
        <v>79</v>
      </c>
      <c r="C80" s="33" t="s">
        <v>166</v>
      </c>
      <c r="D80" s="49">
        <v>42338</v>
      </c>
      <c r="E80" s="34">
        <v>739.2</v>
      </c>
      <c r="F80" s="34">
        <f>2396.272+7.428</f>
        <v>2403.6999999999998</v>
      </c>
      <c r="G80" s="34"/>
      <c r="H80" s="34"/>
      <c r="I80" s="34"/>
      <c r="J80" s="46">
        <f t="shared" si="51"/>
        <v>2403.6999999999998</v>
      </c>
      <c r="K80" s="34">
        <v>187.5</v>
      </c>
      <c r="L80" s="60"/>
      <c r="M80" s="34"/>
      <c r="N80" s="34"/>
      <c r="O80" s="61"/>
      <c r="P80" s="61"/>
      <c r="Q80" s="34"/>
      <c r="R80" s="32"/>
      <c r="S80" s="32"/>
      <c r="T80" s="33"/>
      <c r="U80" s="33"/>
      <c r="V80" s="46">
        <f t="shared" si="52"/>
        <v>2216.1999999999998</v>
      </c>
      <c r="W80" s="32">
        <f t="shared" si="53"/>
        <v>240.37</v>
      </c>
      <c r="X80" s="46">
        <f t="shared" si="54"/>
        <v>1975.83</v>
      </c>
      <c r="Y80" s="32">
        <f t="shared" si="55"/>
        <v>0</v>
      </c>
      <c r="Z80" s="32">
        <v>10.23</v>
      </c>
      <c r="AA80" s="32">
        <f t="shared" si="56"/>
        <v>0</v>
      </c>
      <c r="AB80" s="46">
        <f t="shared" si="57"/>
        <v>2413.9299999999998</v>
      </c>
      <c r="AC80" s="50"/>
      <c r="AD80" s="51"/>
      <c r="AE80" s="47">
        <f>+AC80+AD80-X80</f>
        <v>-1975.83</v>
      </c>
      <c r="AF80" s="35">
        <v>56708881872</v>
      </c>
      <c r="AG80" s="35" t="s">
        <v>194</v>
      </c>
    </row>
    <row r="81" spans="1:33" s="18" customFormat="1">
      <c r="A81" s="33" t="s">
        <v>40</v>
      </c>
      <c r="B81" s="33" t="s">
        <v>125</v>
      </c>
      <c r="C81" s="33" t="s">
        <v>98</v>
      </c>
      <c r="D81" s="49">
        <v>42807</v>
      </c>
      <c r="E81" s="34">
        <v>618.45000000000005</v>
      </c>
      <c r="F81" s="34">
        <v>777.6</v>
      </c>
      <c r="G81" s="34"/>
      <c r="H81" s="34"/>
      <c r="I81" s="34"/>
      <c r="J81" s="46">
        <f t="shared" si="51"/>
        <v>777.6</v>
      </c>
      <c r="K81" s="34"/>
      <c r="L81" s="60">
        <v>1</v>
      </c>
      <c r="M81" s="34"/>
      <c r="N81" s="34"/>
      <c r="O81" s="61" t="s">
        <v>133</v>
      </c>
      <c r="P81" s="61" t="s">
        <v>133</v>
      </c>
      <c r="Q81" s="34"/>
      <c r="R81" s="32"/>
      <c r="S81" s="32"/>
      <c r="T81" s="33"/>
      <c r="U81" s="33"/>
      <c r="V81" s="46">
        <f t="shared" si="52"/>
        <v>776.6</v>
      </c>
      <c r="W81" s="32"/>
      <c r="X81" s="46"/>
      <c r="Y81" s="32"/>
      <c r="Z81" s="32"/>
      <c r="AA81" s="32"/>
      <c r="AB81" s="46"/>
      <c r="AC81" s="50"/>
      <c r="AD81" s="51"/>
      <c r="AE81" s="47"/>
      <c r="AF81" s="35">
        <v>60589642468</v>
      </c>
      <c r="AG81" s="35"/>
    </row>
    <row r="82" spans="1:33" s="18" customFormat="1">
      <c r="A82" s="33" t="s">
        <v>38</v>
      </c>
      <c r="B82" s="33" t="s">
        <v>112</v>
      </c>
      <c r="C82" s="33" t="s">
        <v>41</v>
      </c>
      <c r="D82" s="49">
        <v>42681</v>
      </c>
      <c r="E82" s="34">
        <v>738.99</v>
      </c>
      <c r="F82" s="34">
        <f>2962.97+13.099</f>
        <v>2976.069</v>
      </c>
      <c r="G82" s="34"/>
      <c r="H82" s="34"/>
      <c r="I82" s="34"/>
      <c r="J82" s="46">
        <f t="shared" si="51"/>
        <v>2976.069</v>
      </c>
      <c r="K82" s="34"/>
      <c r="L82" s="60"/>
      <c r="M82" s="34"/>
      <c r="N82" s="34">
        <v>150</v>
      </c>
      <c r="O82" s="61"/>
      <c r="P82" s="61"/>
      <c r="Q82" s="34"/>
      <c r="R82" s="32"/>
      <c r="S82" s="32"/>
      <c r="T82" s="33"/>
      <c r="U82" s="33"/>
      <c r="V82" s="46">
        <f t="shared" si="52"/>
        <v>2826.069</v>
      </c>
      <c r="W82" s="32">
        <f t="shared" ref="W82" si="59">IF(J82&gt;2250,J82*0.1,0)</f>
        <v>297.6069</v>
      </c>
      <c r="X82" s="46">
        <f t="shared" ref="X82" si="60">+V82-W82</f>
        <v>2528.4620999999997</v>
      </c>
      <c r="Y82" s="32"/>
      <c r="Z82" s="32"/>
      <c r="AA82" s="32"/>
      <c r="AB82" s="46"/>
      <c r="AC82" s="50"/>
      <c r="AD82" s="51"/>
      <c r="AE82" s="47"/>
      <c r="AF82" s="35">
        <v>56710773131</v>
      </c>
      <c r="AG82" s="35"/>
    </row>
    <row r="83" spans="1:33" s="18" customFormat="1">
      <c r="A83" s="33" t="s">
        <v>40</v>
      </c>
      <c r="B83" s="33" t="s">
        <v>87</v>
      </c>
      <c r="C83" s="33" t="s">
        <v>102</v>
      </c>
      <c r="D83" s="49">
        <v>41227</v>
      </c>
      <c r="E83" s="34">
        <v>627.13</v>
      </c>
      <c r="F83" s="34">
        <f>2459.773+2.599</f>
        <v>2462.3720000000003</v>
      </c>
      <c r="G83" s="34"/>
      <c r="H83" s="34"/>
      <c r="I83" s="34"/>
      <c r="J83" s="46">
        <f t="shared" si="51"/>
        <v>2462.3720000000003</v>
      </c>
      <c r="K83" s="34"/>
      <c r="L83" s="60"/>
      <c r="M83" s="34"/>
      <c r="N83" s="32">
        <v>500</v>
      </c>
      <c r="O83" s="61" t="s">
        <v>133</v>
      </c>
      <c r="P83" s="61" t="s">
        <v>133</v>
      </c>
      <c r="Q83" s="34"/>
      <c r="R83" s="32"/>
      <c r="S83" s="32"/>
      <c r="T83" s="33"/>
      <c r="U83" s="33"/>
      <c r="V83" s="46">
        <f t="shared" si="52"/>
        <v>1962.3720000000003</v>
      </c>
      <c r="W83" s="32">
        <f t="shared" si="53"/>
        <v>246.23720000000003</v>
      </c>
      <c r="X83" s="46">
        <f t="shared" si="54"/>
        <v>1716.1348000000003</v>
      </c>
      <c r="Y83" s="32">
        <f t="shared" si="55"/>
        <v>0</v>
      </c>
      <c r="Z83" s="32">
        <v>10.23</v>
      </c>
      <c r="AA83" s="32" t="str">
        <f t="shared" si="56"/>
        <v>XX</v>
      </c>
      <c r="AB83" s="46" t="e">
        <f t="shared" si="57"/>
        <v>#VALUE!</v>
      </c>
      <c r="AC83" s="50"/>
      <c r="AD83" s="51"/>
      <c r="AE83" s="47">
        <f>+AC83+AD83-X83</f>
        <v>-1716.1348000000003</v>
      </c>
      <c r="AF83" s="35">
        <v>56708845820</v>
      </c>
      <c r="AG83" s="35"/>
    </row>
    <row r="84" spans="1:33" s="18" customFormat="1">
      <c r="A84" s="33" t="s">
        <v>40</v>
      </c>
      <c r="B84" s="33" t="s">
        <v>62</v>
      </c>
      <c r="C84" s="33" t="s">
        <v>102</v>
      </c>
      <c r="D84" s="49">
        <v>41227</v>
      </c>
      <c r="E84" s="34">
        <v>627.13</v>
      </c>
      <c r="F84" s="34">
        <f>5019.6+5.571</f>
        <v>5025.1710000000003</v>
      </c>
      <c r="G84" s="34"/>
      <c r="H84" s="34"/>
      <c r="I84" s="34"/>
      <c r="J84" s="46">
        <f t="shared" si="51"/>
        <v>5025.1710000000003</v>
      </c>
      <c r="K84" s="34"/>
      <c r="L84" s="60"/>
      <c r="M84" s="34"/>
      <c r="N84" s="34">
        <v>1000</v>
      </c>
      <c r="O84" s="61" t="s">
        <v>133</v>
      </c>
      <c r="P84" s="61" t="s">
        <v>133</v>
      </c>
      <c r="Q84" s="34"/>
      <c r="R84" s="32"/>
      <c r="S84" s="32"/>
      <c r="T84" s="33"/>
      <c r="U84" s="33"/>
      <c r="V84" s="46">
        <f t="shared" si="52"/>
        <v>4025.1710000000003</v>
      </c>
      <c r="W84" s="32">
        <f t="shared" si="53"/>
        <v>502.51710000000003</v>
      </c>
      <c r="X84" s="46">
        <f t="shared" si="54"/>
        <v>3522.6539000000002</v>
      </c>
      <c r="Y84" s="32">
        <f t="shared" si="55"/>
        <v>0</v>
      </c>
      <c r="Z84" s="32">
        <v>10.23</v>
      </c>
      <c r="AA84" s="32" t="str">
        <f t="shared" si="56"/>
        <v>XX</v>
      </c>
      <c r="AB84" s="46" t="e">
        <f t="shared" si="57"/>
        <v>#VALUE!</v>
      </c>
      <c r="AC84" s="50"/>
      <c r="AD84" s="51"/>
      <c r="AE84" s="47">
        <f>+AC84+AD84-X84</f>
        <v>-3522.6539000000002</v>
      </c>
      <c r="AF84" s="35">
        <v>56708845834</v>
      </c>
      <c r="AG84" s="35"/>
    </row>
    <row r="85" spans="1:33" s="18" customFormat="1">
      <c r="A85" s="33" t="s">
        <v>40</v>
      </c>
      <c r="B85" s="33" t="s">
        <v>130</v>
      </c>
      <c r="C85" s="33" t="s">
        <v>117</v>
      </c>
      <c r="D85" s="49">
        <v>42842</v>
      </c>
      <c r="E85" s="34">
        <v>618.45000000000005</v>
      </c>
      <c r="F85" s="34">
        <f>3458.547+5.571</f>
        <v>3464.1179999999999</v>
      </c>
      <c r="G85" s="34"/>
      <c r="H85" s="34"/>
      <c r="I85" s="34"/>
      <c r="J85" s="46">
        <f t="shared" si="51"/>
        <v>3464.1179999999999</v>
      </c>
      <c r="K85" s="34"/>
      <c r="L85" s="60"/>
      <c r="M85" s="34"/>
      <c r="N85" s="34"/>
      <c r="O85" s="61" t="s">
        <v>133</v>
      </c>
      <c r="P85" s="61" t="s">
        <v>133</v>
      </c>
      <c r="Q85" s="34"/>
      <c r="R85" s="32"/>
      <c r="S85" s="32"/>
      <c r="T85" s="33"/>
      <c r="U85" s="33"/>
      <c r="V85" s="46">
        <f t="shared" si="52"/>
        <v>3464.1179999999999</v>
      </c>
      <c r="W85" s="32"/>
      <c r="X85" s="46"/>
      <c r="Y85" s="32"/>
      <c r="Z85" s="32"/>
      <c r="AA85" s="32"/>
      <c r="AB85" s="46"/>
      <c r="AC85" s="50"/>
      <c r="AD85" s="51"/>
      <c r="AE85" s="47"/>
      <c r="AF85" s="35">
        <v>60590100738</v>
      </c>
      <c r="AG85" s="35"/>
    </row>
    <row r="86" spans="1:33" s="18" customFormat="1">
      <c r="A86" s="33" t="s">
        <v>38</v>
      </c>
      <c r="B86" s="33" t="s">
        <v>63</v>
      </c>
      <c r="C86" s="33" t="s">
        <v>41</v>
      </c>
      <c r="D86" s="49">
        <v>42319</v>
      </c>
      <c r="E86" s="34">
        <v>739.2</v>
      </c>
      <c r="F86" s="34">
        <f>3790.965+13.099</f>
        <v>3804.0640000000003</v>
      </c>
      <c r="G86" s="34"/>
      <c r="H86" s="34"/>
      <c r="I86" s="34"/>
      <c r="J86" s="46">
        <f t="shared" si="51"/>
        <v>3804.0640000000003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46">
        <f t="shared" si="52"/>
        <v>3804.0640000000003</v>
      </c>
      <c r="W86" s="32">
        <f t="shared" ref="W86:W115" si="61">IF(J86&gt;2250,J86*0.1,0)</f>
        <v>380.40640000000008</v>
      </c>
      <c r="X86" s="46">
        <f t="shared" ref="X86:X115" si="62">+V86-W86</f>
        <v>3423.6576000000005</v>
      </c>
      <c r="Y86" s="32">
        <f t="shared" ref="Y86:Y115" si="63">IF(J86&lt;2250,J86*0.1,0)</f>
        <v>0</v>
      </c>
      <c r="Z86" s="32">
        <v>19.23</v>
      </c>
      <c r="AA86" s="32">
        <f t="shared" ref="AA86:AA115" si="64">+O86</f>
        <v>0</v>
      </c>
      <c r="AB86" s="46">
        <f t="shared" ref="AB86:AB115" si="65">+J86+Y86+Z86+AA86</f>
        <v>3823.2940000000003</v>
      </c>
      <c r="AC86" s="50"/>
      <c r="AD86" s="51"/>
      <c r="AE86" s="47">
        <f>+AC86+AD86-X86</f>
        <v>-3423.6576000000005</v>
      </c>
      <c r="AF86" s="35">
        <v>56708881901</v>
      </c>
      <c r="AG86" s="35"/>
    </row>
    <row r="87" spans="1:33" s="18" customFormat="1">
      <c r="A87" s="33" t="s">
        <v>38</v>
      </c>
      <c r="B87" s="33" t="s">
        <v>134</v>
      </c>
      <c r="C87" s="33" t="s">
        <v>41</v>
      </c>
      <c r="D87" s="49">
        <v>42884</v>
      </c>
      <c r="E87" s="34">
        <v>739.27</v>
      </c>
      <c r="F87" s="34">
        <f>2908.057+7.428</f>
        <v>2915.4849999999997</v>
      </c>
      <c r="G87" s="34"/>
      <c r="H87" s="34"/>
      <c r="I87" s="34"/>
      <c r="J87" s="46">
        <f t="shared" si="51"/>
        <v>2915.4849999999997</v>
      </c>
      <c r="K87" s="34"/>
      <c r="L87" s="60"/>
      <c r="M87" s="34"/>
      <c r="N87" s="34"/>
      <c r="O87" s="61"/>
      <c r="P87" s="61"/>
      <c r="Q87" s="34"/>
      <c r="R87" s="32"/>
      <c r="S87" s="32"/>
      <c r="T87" s="33"/>
      <c r="U87" s="33"/>
      <c r="V87" s="46">
        <f t="shared" si="52"/>
        <v>2915.4849999999997</v>
      </c>
      <c r="W87" s="32"/>
      <c r="X87" s="46"/>
      <c r="Y87" s="32"/>
      <c r="Z87" s="32"/>
      <c r="AA87" s="32"/>
      <c r="AB87" s="46"/>
      <c r="AC87" s="50"/>
      <c r="AD87" s="51"/>
      <c r="AE87" s="47"/>
      <c r="AF87" s="35">
        <v>60592118015</v>
      </c>
      <c r="AG87" s="35"/>
    </row>
    <row r="88" spans="1:33" s="18" customFormat="1">
      <c r="A88" s="33" t="s">
        <v>40</v>
      </c>
      <c r="B88" s="33" t="s">
        <v>124</v>
      </c>
      <c r="C88" s="33" t="s">
        <v>98</v>
      </c>
      <c r="D88" s="49">
        <v>42807</v>
      </c>
      <c r="E88" s="34">
        <v>618.45000000000005</v>
      </c>
      <c r="F88" s="34">
        <v>1258.6389999999999</v>
      </c>
      <c r="G88" s="34"/>
      <c r="H88" s="34"/>
      <c r="I88" s="34"/>
      <c r="J88" s="46">
        <f t="shared" si="51"/>
        <v>1258.6389999999999</v>
      </c>
      <c r="K88" s="34"/>
      <c r="L88" s="60">
        <v>1</v>
      </c>
      <c r="M88" s="34"/>
      <c r="N88" s="34"/>
      <c r="O88" s="61" t="s">
        <v>133</v>
      </c>
      <c r="P88" s="61" t="s">
        <v>133</v>
      </c>
      <c r="Q88" s="34"/>
      <c r="R88" s="32"/>
      <c r="S88" s="32"/>
      <c r="T88" s="33"/>
      <c r="U88" s="33"/>
      <c r="V88" s="46">
        <f t="shared" si="52"/>
        <v>1257.6389999999999</v>
      </c>
      <c r="W88" s="32"/>
      <c r="X88" s="46"/>
      <c r="Y88" s="32"/>
      <c r="Z88" s="32"/>
      <c r="AA88" s="32"/>
      <c r="AB88" s="46"/>
      <c r="AC88" s="50"/>
      <c r="AD88" s="51"/>
      <c r="AE88" s="47"/>
      <c r="AF88" s="35" t="s">
        <v>148</v>
      </c>
      <c r="AG88" s="35"/>
    </row>
    <row r="89" spans="1:33" s="18" customFormat="1">
      <c r="A89" s="86" t="s">
        <v>38</v>
      </c>
      <c r="B89" s="86" t="s">
        <v>204</v>
      </c>
      <c r="C89" s="86" t="s">
        <v>205</v>
      </c>
      <c r="D89" s="87">
        <v>43070</v>
      </c>
      <c r="E89" s="88">
        <v>1199.94</v>
      </c>
      <c r="F89" s="88"/>
      <c r="G89" s="88"/>
      <c r="H89" s="88"/>
      <c r="I89" s="88"/>
      <c r="J89" s="46">
        <f t="shared" si="51"/>
        <v>0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46">
        <f t="shared" si="52"/>
        <v>0</v>
      </c>
      <c r="W89" s="32"/>
      <c r="X89" s="46"/>
      <c r="Y89" s="32"/>
      <c r="Z89" s="32"/>
      <c r="AA89" s="32"/>
      <c r="AB89" s="46"/>
      <c r="AC89" s="50"/>
      <c r="AD89" s="51"/>
      <c r="AE89" s="47"/>
      <c r="AF89" s="89">
        <v>60597618992</v>
      </c>
      <c r="AG89" s="89"/>
    </row>
    <row r="90" spans="1:33" s="18" customFormat="1">
      <c r="A90" s="33" t="s">
        <v>40</v>
      </c>
      <c r="B90" s="33" t="s">
        <v>49</v>
      </c>
      <c r="C90" s="33" t="s">
        <v>117</v>
      </c>
      <c r="D90" s="49">
        <v>41981</v>
      </c>
      <c r="E90" s="34">
        <v>618.45000000000005</v>
      </c>
      <c r="F90" s="34">
        <f>906.188+2.599</f>
        <v>908.78700000000003</v>
      </c>
      <c r="G90" s="34"/>
      <c r="H90" s="34"/>
      <c r="I90" s="34"/>
      <c r="J90" s="46">
        <f t="shared" si="51"/>
        <v>908.78700000000003</v>
      </c>
      <c r="K90" s="34">
        <v>200</v>
      </c>
      <c r="L90" s="60">
        <v>1</v>
      </c>
      <c r="M90" s="34"/>
      <c r="N90" s="34">
        <v>300</v>
      </c>
      <c r="O90" s="61" t="s">
        <v>133</v>
      </c>
      <c r="P90" s="61" t="s">
        <v>133</v>
      </c>
      <c r="Q90" s="34"/>
      <c r="R90" s="32"/>
      <c r="S90" s="32"/>
      <c r="T90" s="33"/>
      <c r="U90" s="33"/>
      <c r="V90" s="46">
        <f t="shared" si="52"/>
        <v>407.78700000000003</v>
      </c>
      <c r="W90" s="32">
        <f t="shared" si="61"/>
        <v>0</v>
      </c>
      <c r="X90" s="46">
        <f t="shared" si="62"/>
        <v>407.78700000000003</v>
      </c>
      <c r="Y90" s="32">
        <f t="shared" si="63"/>
        <v>90.878700000000009</v>
      </c>
      <c r="Z90" s="32">
        <v>10.23</v>
      </c>
      <c r="AA90" s="32" t="str">
        <f t="shared" si="64"/>
        <v>XX</v>
      </c>
      <c r="AB90" s="46" t="e">
        <f t="shared" si="65"/>
        <v>#VALUE!</v>
      </c>
      <c r="AC90" s="50"/>
      <c r="AD90" s="51"/>
      <c r="AE90" s="47">
        <f t="shared" ref="AE90:AE115" si="66">+AC90+AD90-X90</f>
        <v>-407.78700000000003</v>
      </c>
      <c r="AF90" s="35">
        <v>56708845851</v>
      </c>
      <c r="AG90" s="35" t="s">
        <v>160</v>
      </c>
    </row>
    <row r="91" spans="1:33" s="18" customFormat="1">
      <c r="A91" s="33" t="s">
        <v>40</v>
      </c>
      <c r="B91" s="33" t="s">
        <v>71</v>
      </c>
      <c r="C91" s="33" t="s">
        <v>102</v>
      </c>
      <c r="D91" s="49">
        <v>41284</v>
      </c>
      <c r="E91" s="34">
        <v>627.13</v>
      </c>
      <c r="F91" s="34">
        <f>4108.498+2.599</f>
        <v>4111.0969999999998</v>
      </c>
      <c r="G91" s="34"/>
      <c r="H91" s="34">
        <v>1722.15</v>
      </c>
      <c r="I91" s="34"/>
      <c r="J91" s="46">
        <f t="shared" si="51"/>
        <v>5833.2469999999994</v>
      </c>
      <c r="K91" s="34"/>
      <c r="L91" s="60"/>
      <c r="M91" s="34"/>
      <c r="N91" s="34"/>
      <c r="O91" s="61" t="s">
        <v>133</v>
      </c>
      <c r="P91" s="61" t="s">
        <v>133</v>
      </c>
      <c r="Q91" s="34"/>
      <c r="R91" s="32"/>
      <c r="S91" s="32"/>
      <c r="T91" s="33"/>
      <c r="U91" s="33"/>
      <c r="V91" s="46">
        <f t="shared" si="52"/>
        <v>5833.2469999999994</v>
      </c>
      <c r="W91" s="32">
        <f t="shared" si="61"/>
        <v>583.32470000000001</v>
      </c>
      <c r="X91" s="46">
        <f t="shared" si="62"/>
        <v>5249.9222999999993</v>
      </c>
      <c r="Y91" s="32">
        <f t="shared" si="63"/>
        <v>0</v>
      </c>
      <c r="Z91" s="32">
        <v>10.23</v>
      </c>
      <c r="AA91" s="32" t="str">
        <f t="shared" si="64"/>
        <v>XX</v>
      </c>
      <c r="AB91" s="46" t="e">
        <f t="shared" si="65"/>
        <v>#VALUE!</v>
      </c>
      <c r="AC91" s="50"/>
      <c r="AD91" s="51"/>
      <c r="AE91" s="47">
        <f t="shared" si="66"/>
        <v>-5249.9222999999993</v>
      </c>
      <c r="AF91" s="35">
        <v>56708881915</v>
      </c>
      <c r="AG91" s="35"/>
    </row>
    <row r="92" spans="1:33" s="18" customFormat="1">
      <c r="A92" s="33" t="s">
        <v>38</v>
      </c>
      <c r="B92" s="33" t="s">
        <v>153</v>
      </c>
      <c r="C92" s="33" t="s">
        <v>41</v>
      </c>
      <c r="D92" s="49">
        <v>42823</v>
      </c>
      <c r="E92" s="34">
        <v>618.45000000000005</v>
      </c>
      <c r="F92" s="34">
        <f>5898.879+13.099</f>
        <v>5911.9780000000001</v>
      </c>
      <c r="G92" s="34"/>
      <c r="H92" s="34"/>
      <c r="I92" s="34"/>
      <c r="J92" s="46">
        <f t="shared" si="51"/>
        <v>5911.9780000000001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46">
        <f t="shared" si="52"/>
        <v>5911.9780000000001</v>
      </c>
      <c r="W92" s="32"/>
      <c r="X92" s="46"/>
      <c r="Y92" s="32"/>
      <c r="Z92" s="32"/>
      <c r="AA92" s="32"/>
      <c r="AB92" s="46"/>
      <c r="AC92" s="50"/>
      <c r="AD92" s="51"/>
      <c r="AE92" s="47"/>
      <c r="AF92" s="35">
        <v>60589704184</v>
      </c>
      <c r="AG92" s="35"/>
    </row>
    <row r="93" spans="1:33" s="18" customFormat="1">
      <c r="A93" s="33" t="s">
        <v>40</v>
      </c>
      <c r="B93" s="33" t="s">
        <v>51</v>
      </c>
      <c r="C93" s="33" t="s">
        <v>102</v>
      </c>
      <c r="D93" s="49">
        <v>41227</v>
      </c>
      <c r="E93" s="34">
        <v>627.13</v>
      </c>
      <c r="F93" s="34">
        <f>2336.197+5.571</f>
        <v>2341.768</v>
      </c>
      <c r="G93" s="34"/>
      <c r="H93" s="34"/>
      <c r="I93" s="34"/>
      <c r="J93" s="46">
        <f t="shared" si="51"/>
        <v>2341.768</v>
      </c>
      <c r="K93" s="34"/>
      <c r="L93" s="60"/>
      <c r="M93" s="34"/>
      <c r="N93" s="34"/>
      <c r="O93" s="61" t="s">
        <v>133</v>
      </c>
      <c r="P93" s="61" t="s">
        <v>133</v>
      </c>
      <c r="Q93" s="34"/>
      <c r="R93" s="32"/>
      <c r="S93" s="32"/>
      <c r="T93" s="33"/>
      <c r="U93" s="33"/>
      <c r="V93" s="46">
        <f t="shared" si="52"/>
        <v>2341.768</v>
      </c>
      <c r="W93" s="32">
        <f t="shared" si="61"/>
        <v>234.17680000000001</v>
      </c>
      <c r="X93" s="46">
        <f t="shared" si="62"/>
        <v>2107.5911999999998</v>
      </c>
      <c r="Y93" s="32">
        <f t="shared" si="63"/>
        <v>0</v>
      </c>
      <c r="Z93" s="32">
        <v>10.23</v>
      </c>
      <c r="AA93" s="32" t="str">
        <f t="shared" si="64"/>
        <v>XX</v>
      </c>
      <c r="AB93" s="46" t="e">
        <f t="shared" si="65"/>
        <v>#VALUE!</v>
      </c>
      <c r="AC93" s="50"/>
      <c r="AD93" s="51"/>
      <c r="AE93" s="47">
        <f t="shared" si="66"/>
        <v>-2107.5911999999998</v>
      </c>
      <c r="AF93" s="35">
        <v>56708845865</v>
      </c>
      <c r="AG93" s="35"/>
    </row>
    <row r="94" spans="1:33" s="18" customFormat="1">
      <c r="A94" s="33" t="s">
        <v>38</v>
      </c>
      <c r="B94" s="33" t="s">
        <v>64</v>
      </c>
      <c r="C94" s="33" t="s">
        <v>41</v>
      </c>
      <c r="D94" s="49">
        <v>41493</v>
      </c>
      <c r="E94" s="34">
        <v>739.2</v>
      </c>
      <c r="F94" s="34">
        <f>5041.109+13.099</f>
        <v>5054.2080000000005</v>
      </c>
      <c r="G94" s="34"/>
      <c r="H94" s="34"/>
      <c r="I94" s="34"/>
      <c r="J94" s="46">
        <f t="shared" si="51"/>
        <v>5054.2080000000005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46">
        <f t="shared" si="52"/>
        <v>5054.2080000000005</v>
      </c>
      <c r="W94" s="32">
        <f t="shared" si="61"/>
        <v>505.4208000000001</v>
      </c>
      <c r="X94" s="46">
        <f t="shared" si="62"/>
        <v>4548.7872000000007</v>
      </c>
      <c r="Y94" s="32">
        <f t="shared" si="63"/>
        <v>0</v>
      </c>
      <c r="Z94" s="32">
        <v>10.23</v>
      </c>
      <c r="AA94" s="32">
        <f t="shared" si="64"/>
        <v>0</v>
      </c>
      <c r="AB94" s="46">
        <f t="shared" si="65"/>
        <v>5064.4380000000001</v>
      </c>
      <c r="AC94" s="50"/>
      <c r="AD94" s="51"/>
      <c r="AE94" s="47">
        <f t="shared" si="66"/>
        <v>-4548.7872000000007</v>
      </c>
      <c r="AF94" s="35">
        <v>56708845879</v>
      </c>
      <c r="AG94" s="35"/>
    </row>
    <row r="95" spans="1:33" s="18" customFormat="1">
      <c r="A95" s="33" t="s">
        <v>40</v>
      </c>
      <c r="B95" s="33" t="s">
        <v>94</v>
      </c>
      <c r="C95" s="33" t="s">
        <v>117</v>
      </c>
      <c r="D95" s="49">
        <v>42493</v>
      </c>
      <c r="E95" s="34">
        <v>618.45000000000005</v>
      </c>
      <c r="F95" s="34">
        <f>482.853+2.599</f>
        <v>485.452</v>
      </c>
      <c r="G95" s="34"/>
      <c r="H95" s="34"/>
      <c r="I95" s="34"/>
      <c r="J95" s="46">
        <f t="shared" si="51"/>
        <v>485.452</v>
      </c>
      <c r="K95" s="34"/>
      <c r="L95" s="60"/>
      <c r="M95" s="34"/>
      <c r="N95" s="34"/>
      <c r="O95" s="61" t="s">
        <v>133</v>
      </c>
      <c r="P95" s="61" t="s">
        <v>133</v>
      </c>
      <c r="Q95" s="34"/>
      <c r="R95" s="32"/>
      <c r="S95" s="32"/>
      <c r="T95" s="33"/>
      <c r="U95" s="33"/>
      <c r="V95" s="46">
        <f t="shared" si="52"/>
        <v>485.452</v>
      </c>
      <c r="W95" s="32">
        <f t="shared" si="61"/>
        <v>0</v>
      </c>
      <c r="X95" s="46">
        <f t="shared" si="62"/>
        <v>485.452</v>
      </c>
      <c r="Y95" s="32">
        <f t="shared" si="63"/>
        <v>48.545200000000001</v>
      </c>
      <c r="Z95" s="32">
        <v>10.23</v>
      </c>
      <c r="AA95" s="32" t="str">
        <f t="shared" si="64"/>
        <v>XX</v>
      </c>
      <c r="AB95" s="46" t="e">
        <f t="shared" si="65"/>
        <v>#VALUE!</v>
      </c>
      <c r="AC95" s="50"/>
      <c r="AD95" s="51"/>
      <c r="AE95" s="47">
        <f t="shared" si="66"/>
        <v>-485.452</v>
      </c>
      <c r="AF95" s="35">
        <v>56708845882</v>
      </c>
      <c r="AG95" s="35"/>
    </row>
    <row r="96" spans="1:33" s="18" customFormat="1">
      <c r="A96" s="33" t="s">
        <v>38</v>
      </c>
      <c r="B96" s="33" t="s">
        <v>149</v>
      </c>
      <c r="C96" s="33" t="s">
        <v>41</v>
      </c>
      <c r="D96" s="49">
        <v>42716</v>
      </c>
      <c r="E96" s="34">
        <v>1200.01</v>
      </c>
      <c r="F96" s="34">
        <f>4857.584+5.571</f>
        <v>4863.1549999999997</v>
      </c>
      <c r="G96" s="34"/>
      <c r="H96" s="34"/>
      <c r="I96" s="34"/>
      <c r="J96" s="46">
        <f t="shared" si="51"/>
        <v>4863.1549999999997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33">
        <v>301.08999999999997</v>
      </c>
      <c r="V96" s="46">
        <f t="shared" si="52"/>
        <v>4562.0649999999996</v>
      </c>
      <c r="W96" s="32">
        <f t="shared" ref="W96" si="67">IF(J96&gt;2250,J96*0.1,0)</f>
        <v>486.31549999999999</v>
      </c>
      <c r="X96" s="46">
        <f t="shared" ref="X96" si="68">+V96-W96</f>
        <v>4075.7494999999994</v>
      </c>
      <c r="Y96" s="32"/>
      <c r="Z96" s="32"/>
      <c r="AA96" s="32">
        <f t="shared" si="64"/>
        <v>0</v>
      </c>
      <c r="AB96" s="46"/>
      <c r="AC96" s="50"/>
      <c r="AD96" s="51"/>
      <c r="AE96" s="47"/>
      <c r="AF96" s="35">
        <v>60589845501</v>
      </c>
      <c r="AG96" s="35"/>
    </row>
    <row r="97" spans="1:33" s="18" customFormat="1">
      <c r="A97" s="33" t="s">
        <v>38</v>
      </c>
      <c r="B97" s="33" t="s">
        <v>154</v>
      </c>
      <c r="C97" s="33" t="s">
        <v>41</v>
      </c>
      <c r="D97" s="49">
        <v>42909</v>
      </c>
      <c r="E97" s="34">
        <v>738.99</v>
      </c>
      <c r="F97" s="34">
        <f>4358.589+5.571</f>
        <v>4364.16</v>
      </c>
      <c r="G97" s="34"/>
      <c r="H97" s="34"/>
      <c r="I97" s="34"/>
      <c r="J97" s="46">
        <f t="shared" si="51"/>
        <v>4364.16</v>
      </c>
      <c r="K97" s="34"/>
      <c r="L97" s="60"/>
      <c r="M97" s="34"/>
      <c r="N97" s="34"/>
      <c r="O97" s="61"/>
      <c r="P97" s="61"/>
      <c r="Q97" s="34"/>
      <c r="R97" s="32"/>
      <c r="S97" s="32"/>
      <c r="T97" s="33"/>
      <c r="U97" s="58"/>
      <c r="V97" s="46">
        <f t="shared" si="52"/>
        <v>4364.16</v>
      </c>
      <c r="W97" s="32"/>
      <c r="X97" s="46"/>
      <c r="Y97" s="32"/>
      <c r="Z97" s="32"/>
      <c r="AA97" s="32"/>
      <c r="AB97" s="46"/>
      <c r="AC97" s="50"/>
      <c r="AD97" s="50"/>
      <c r="AE97" s="47"/>
      <c r="AF97" s="35">
        <v>60592420864</v>
      </c>
      <c r="AG97" s="35"/>
    </row>
    <row r="98" spans="1:33" s="18" customFormat="1">
      <c r="A98" s="33" t="s">
        <v>40</v>
      </c>
      <c r="B98" s="33" t="s">
        <v>56</v>
      </c>
      <c r="C98" s="33" t="s">
        <v>101</v>
      </c>
      <c r="D98" s="49">
        <v>36868</v>
      </c>
      <c r="E98" s="34">
        <v>627.13</v>
      </c>
      <c r="F98" s="34">
        <f>1895.777+13.099</f>
        <v>1908.876</v>
      </c>
      <c r="G98" s="34"/>
      <c r="H98" s="34"/>
      <c r="I98" s="34"/>
      <c r="J98" s="46">
        <f t="shared" si="51"/>
        <v>1908.876</v>
      </c>
      <c r="K98" s="34"/>
      <c r="L98" s="60"/>
      <c r="M98" s="34"/>
      <c r="N98" s="34"/>
      <c r="O98" s="61" t="s">
        <v>133</v>
      </c>
      <c r="P98" s="61" t="s">
        <v>133</v>
      </c>
      <c r="Q98" s="34"/>
      <c r="R98" s="32"/>
      <c r="S98" s="32"/>
      <c r="T98" s="33"/>
      <c r="U98" s="33"/>
      <c r="V98" s="46">
        <f t="shared" si="52"/>
        <v>1908.876</v>
      </c>
      <c r="W98" s="32">
        <f t="shared" si="61"/>
        <v>0</v>
      </c>
      <c r="X98" s="46">
        <f t="shared" si="62"/>
        <v>1908.876</v>
      </c>
      <c r="Y98" s="32">
        <f t="shared" si="63"/>
        <v>190.88760000000002</v>
      </c>
      <c r="Z98" s="32">
        <v>10.23</v>
      </c>
      <c r="AA98" s="32" t="str">
        <f t="shared" si="64"/>
        <v>XX</v>
      </c>
      <c r="AB98" s="46" t="e">
        <f t="shared" si="65"/>
        <v>#VALUE!</v>
      </c>
      <c r="AC98" s="50"/>
      <c r="AD98" s="50"/>
      <c r="AE98" s="47">
        <f t="shared" si="66"/>
        <v>-1908.876</v>
      </c>
      <c r="AF98" s="35">
        <v>56708845911</v>
      </c>
      <c r="AG98" s="35"/>
    </row>
    <row r="99" spans="1:33" s="18" customFormat="1">
      <c r="A99" s="33" t="s">
        <v>40</v>
      </c>
      <c r="B99" s="33" t="s">
        <v>54</v>
      </c>
      <c r="C99" s="33" t="s">
        <v>99</v>
      </c>
      <c r="D99" s="49">
        <v>41949</v>
      </c>
      <c r="E99" s="34">
        <v>618.45000000000005</v>
      </c>
      <c r="F99" s="34">
        <f>748.134+2.972</f>
        <v>751.10599999999999</v>
      </c>
      <c r="G99" s="34"/>
      <c r="H99" s="34"/>
      <c r="I99" s="34"/>
      <c r="J99" s="46">
        <f t="shared" si="51"/>
        <v>751.10599999999999</v>
      </c>
      <c r="K99" s="34"/>
      <c r="L99" s="60"/>
      <c r="M99" s="34"/>
      <c r="N99" s="34">
        <v>500</v>
      </c>
      <c r="O99" s="61" t="s">
        <v>133</v>
      </c>
      <c r="P99" s="61" t="s">
        <v>133</v>
      </c>
      <c r="Q99" s="34"/>
      <c r="R99" s="32"/>
      <c r="S99" s="32"/>
      <c r="T99" s="33"/>
      <c r="U99" s="33"/>
      <c r="V99" s="46">
        <f t="shared" si="52"/>
        <v>251.10599999999999</v>
      </c>
      <c r="W99" s="32">
        <f t="shared" si="61"/>
        <v>0</v>
      </c>
      <c r="X99" s="46">
        <f t="shared" si="62"/>
        <v>251.10599999999999</v>
      </c>
      <c r="Y99" s="32">
        <f t="shared" si="63"/>
        <v>75.110600000000005</v>
      </c>
      <c r="Z99" s="32">
        <v>10.23</v>
      </c>
      <c r="AA99" s="32" t="str">
        <f t="shared" si="64"/>
        <v>XX</v>
      </c>
      <c r="AB99" s="46" t="e">
        <f t="shared" si="65"/>
        <v>#VALUE!</v>
      </c>
      <c r="AC99" s="50"/>
      <c r="AD99" s="51"/>
      <c r="AE99" s="47">
        <f t="shared" si="66"/>
        <v>-251.10599999999999</v>
      </c>
      <c r="AF99" s="35">
        <v>56708845925</v>
      </c>
      <c r="AG99" s="33"/>
    </row>
    <row r="100" spans="1:33" s="18" customFormat="1">
      <c r="A100" s="33" t="s">
        <v>38</v>
      </c>
      <c r="B100" s="33" t="s">
        <v>34</v>
      </c>
      <c r="C100" s="33" t="s">
        <v>41</v>
      </c>
      <c r="D100" s="49">
        <v>42129</v>
      </c>
      <c r="E100" s="34">
        <v>739.2</v>
      </c>
      <c r="F100" s="34">
        <f>6122.123+13.099</f>
        <v>6135.2219999999998</v>
      </c>
      <c r="G100" s="34"/>
      <c r="H100" s="34"/>
      <c r="I100" s="34"/>
      <c r="J100" s="46">
        <f t="shared" si="51"/>
        <v>6135.2219999999998</v>
      </c>
      <c r="K100" s="34"/>
      <c r="L100" s="60"/>
      <c r="M100" s="34"/>
      <c r="N100" s="34"/>
      <c r="O100" s="61"/>
      <c r="P100" s="61"/>
      <c r="Q100" s="34"/>
      <c r="R100" s="32"/>
      <c r="S100" s="32"/>
      <c r="T100" s="33"/>
      <c r="U100" s="33">
        <v>1340.34</v>
      </c>
      <c r="V100" s="46">
        <f t="shared" si="52"/>
        <v>4794.8819999999996</v>
      </c>
      <c r="W100" s="32">
        <f t="shared" ref="W100" si="69">IF(J100&gt;2250,J100*0.1,0)</f>
        <v>613.5222</v>
      </c>
      <c r="X100" s="46">
        <f t="shared" ref="X100" si="70">+V100-W100</f>
        <v>4181.3597999999993</v>
      </c>
      <c r="Y100" s="32">
        <f t="shared" si="63"/>
        <v>0</v>
      </c>
      <c r="Z100" s="32">
        <v>10.23</v>
      </c>
      <c r="AA100" s="32">
        <f t="shared" si="64"/>
        <v>0</v>
      </c>
      <c r="AB100" s="46">
        <f t="shared" si="65"/>
        <v>6145.4519999999993</v>
      </c>
      <c r="AC100" s="50"/>
      <c r="AD100" s="51"/>
      <c r="AE100" s="47">
        <f t="shared" si="66"/>
        <v>-4181.3597999999993</v>
      </c>
      <c r="AF100" s="35">
        <v>56708845939</v>
      </c>
      <c r="AG100" s="35"/>
    </row>
    <row r="101" spans="1:33" s="18" customFormat="1">
      <c r="A101" s="33" t="s">
        <v>40</v>
      </c>
      <c r="B101" s="33" t="s">
        <v>185</v>
      </c>
      <c r="C101" s="33" t="s">
        <v>186</v>
      </c>
      <c r="D101" s="49">
        <v>43033</v>
      </c>
      <c r="E101" s="34">
        <v>618.45000000000005</v>
      </c>
      <c r="F101" s="34">
        <v>188.7</v>
      </c>
      <c r="G101" s="34"/>
      <c r="H101" s="34"/>
      <c r="I101" s="34"/>
      <c r="J101" s="46">
        <f t="shared" si="51"/>
        <v>188.7</v>
      </c>
      <c r="K101" s="34"/>
      <c r="L101" s="60">
        <v>1</v>
      </c>
      <c r="M101" s="34"/>
      <c r="N101" s="34"/>
      <c r="O101" s="61" t="s">
        <v>133</v>
      </c>
      <c r="P101" s="61" t="s">
        <v>133</v>
      </c>
      <c r="Q101" s="34"/>
      <c r="R101" s="32"/>
      <c r="S101" s="32"/>
      <c r="T101" s="33"/>
      <c r="U101" s="33"/>
      <c r="V101" s="46">
        <f t="shared" si="52"/>
        <v>187.7</v>
      </c>
      <c r="W101" s="32"/>
      <c r="X101" s="46"/>
      <c r="Y101" s="32"/>
      <c r="Z101" s="32"/>
      <c r="AA101" s="32"/>
      <c r="AB101" s="46"/>
      <c r="AC101" s="50"/>
      <c r="AD101" s="51"/>
      <c r="AE101" s="47"/>
      <c r="AF101" s="35">
        <v>56727513569</v>
      </c>
      <c r="AG101" s="35"/>
    </row>
    <row r="102" spans="1:33" s="18" customFormat="1">
      <c r="A102" s="33" t="s">
        <v>40</v>
      </c>
      <c r="B102" s="33" t="s">
        <v>141</v>
      </c>
      <c r="C102" s="33" t="s">
        <v>140</v>
      </c>
      <c r="D102" s="49">
        <v>42912</v>
      </c>
      <c r="E102" s="34">
        <v>627.05999999999995</v>
      </c>
      <c r="F102" s="34">
        <f>1542.98+5.571</f>
        <v>1548.5509999999999</v>
      </c>
      <c r="G102" s="34"/>
      <c r="H102" s="34"/>
      <c r="I102" s="34"/>
      <c r="J102" s="46">
        <f t="shared" si="51"/>
        <v>1548.5509999999999</v>
      </c>
      <c r="K102" s="34"/>
      <c r="L102" s="60"/>
      <c r="M102" s="34"/>
      <c r="N102" s="34"/>
      <c r="O102" s="61" t="s">
        <v>133</v>
      </c>
      <c r="P102" s="61" t="s">
        <v>133</v>
      </c>
      <c r="Q102" s="34"/>
      <c r="R102" s="32"/>
      <c r="S102" s="32"/>
      <c r="T102" s="33"/>
      <c r="U102" s="33"/>
      <c r="V102" s="46">
        <f t="shared" si="52"/>
        <v>1548.5509999999999</v>
      </c>
      <c r="W102" s="32"/>
      <c r="X102" s="46"/>
      <c r="Y102" s="32"/>
      <c r="Z102" s="32"/>
      <c r="AA102" s="32"/>
      <c r="AB102" s="46"/>
      <c r="AC102" s="50"/>
      <c r="AD102" s="51"/>
      <c r="AE102" s="47"/>
      <c r="AF102" s="35">
        <v>60592585699</v>
      </c>
      <c r="AG102" s="35"/>
    </row>
    <row r="103" spans="1:33" s="18" customFormat="1">
      <c r="A103" s="33" t="s">
        <v>38</v>
      </c>
      <c r="B103" s="33" t="s">
        <v>73</v>
      </c>
      <c r="C103" s="33" t="s">
        <v>41</v>
      </c>
      <c r="D103" s="49">
        <v>42422</v>
      </c>
      <c r="E103" s="34">
        <v>739.2</v>
      </c>
      <c r="F103" s="34">
        <f>6298.899+13.099</f>
        <v>6311.9980000000005</v>
      </c>
      <c r="G103" s="34"/>
      <c r="H103" s="34"/>
      <c r="I103" s="34"/>
      <c r="J103" s="46">
        <f t="shared" si="51"/>
        <v>6311.9980000000005</v>
      </c>
      <c r="K103" s="34"/>
      <c r="L103" s="60"/>
      <c r="M103" s="34"/>
      <c r="N103" s="34"/>
      <c r="O103" s="61"/>
      <c r="P103" s="61"/>
      <c r="Q103" s="34"/>
      <c r="R103" s="32"/>
      <c r="S103" s="32"/>
      <c r="T103" s="33"/>
      <c r="U103" s="33"/>
      <c r="V103" s="46">
        <f t="shared" si="52"/>
        <v>6311.9980000000005</v>
      </c>
      <c r="W103" s="32">
        <f t="shared" ref="W103" si="71">IF(J103&gt;2250,J103*0.1,0)</f>
        <v>631.1998000000001</v>
      </c>
      <c r="X103" s="46">
        <f t="shared" ref="X103" si="72">+V103-W103</f>
        <v>5680.7982000000002</v>
      </c>
      <c r="Y103" s="32">
        <f t="shared" si="63"/>
        <v>0</v>
      </c>
      <c r="Z103" s="32">
        <v>10.23</v>
      </c>
      <c r="AA103" s="32">
        <f t="shared" si="64"/>
        <v>0</v>
      </c>
      <c r="AB103" s="46">
        <f t="shared" si="65"/>
        <v>6322.2280000000001</v>
      </c>
      <c r="AC103" s="50"/>
      <c r="AD103" s="51"/>
      <c r="AE103" s="47">
        <f t="shared" si="66"/>
        <v>-5680.7982000000002</v>
      </c>
      <c r="AF103" s="35">
        <v>56708845942</v>
      </c>
      <c r="AG103" s="35"/>
    </row>
    <row r="104" spans="1:33" s="18" customFormat="1">
      <c r="A104" s="33" t="s">
        <v>40</v>
      </c>
      <c r="B104" s="33" t="s">
        <v>80</v>
      </c>
      <c r="C104" s="33" t="s">
        <v>102</v>
      </c>
      <c r="D104" s="49">
        <v>41227</v>
      </c>
      <c r="E104" s="34">
        <v>627.13</v>
      </c>
      <c r="F104" s="34">
        <f>4121.923+3.736</f>
        <v>4125.6589999999997</v>
      </c>
      <c r="G104" s="34"/>
      <c r="H104" s="34"/>
      <c r="I104" s="34"/>
      <c r="J104" s="46">
        <f t="shared" si="51"/>
        <v>4125.6589999999997</v>
      </c>
      <c r="K104" s="34"/>
      <c r="L104" s="60"/>
      <c r="M104" s="34"/>
      <c r="N104" s="34">
        <v>200</v>
      </c>
      <c r="O104" s="61" t="s">
        <v>133</v>
      </c>
      <c r="P104" s="61" t="s">
        <v>133</v>
      </c>
      <c r="Q104" s="34"/>
      <c r="R104" s="32"/>
      <c r="S104" s="32"/>
      <c r="T104" s="33"/>
      <c r="U104" s="33">
        <v>1010.83</v>
      </c>
      <c r="V104" s="46">
        <f t="shared" si="52"/>
        <v>2914.8289999999997</v>
      </c>
      <c r="W104" s="32">
        <f t="shared" si="61"/>
        <v>412.5659</v>
      </c>
      <c r="X104" s="46">
        <f t="shared" si="62"/>
        <v>2502.2630999999997</v>
      </c>
      <c r="Y104" s="32">
        <f t="shared" si="63"/>
        <v>0</v>
      </c>
      <c r="Z104" s="32">
        <v>10.23</v>
      </c>
      <c r="AA104" s="32" t="str">
        <f t="shared" si="64"/>
        <v>XX</v>
      </c>
      <c r="AB104" s="46" t="e">
        <f t="shared" si="65"/>
        <v>#VALUE!</v>
      </c>
      <c r="AC104" s="50"/>
      <c r="AD104" s="51"/>
      <c r="AE104" s="47">
        <f t="shared" si="66"/>
        <v>-2502.2630999999997</v>
      </c>
      <c r="AF104" s="35">
        <v>56708881946</v>
      </c>
      <c r="AG104" s="35"/>
    </row>
    <row r="105" spans="1:33" s="18" customFormat="1">
      <c r="A105" s="33" t="s">
        <v>38</v>
      </c>
      <c r="B105" s="33" t="s">
        <v>174</v>
      </c>
      <c r="C105" s="33" t="s">
        <v>41</v>
      </c>
      <c r="D105" s="49">
        <v>42907</v>
      </c>
      <c r="E105" s="34">
        <v>738.99</v>
      </c>
      <c r="F105" s="34">
        <f>2199.239+5.571</f>
        <v>2204.81</v>
      </c>
      <c r="G105" s="34"/>
      <c r="H105" s="34"/>
      <c r="I105" s="34"/>
      <c r="J105" s="46">
        <f t="shared" si="51"/>
        <v>2204.81</v>
      </c>
      <c r="K105" s="34"/>
      <c r="L105" s="60"/>
      <c r="M105" s="34"/>
      <c r="N105" s="34"/>
      <c r="O105" s="61"/>
      <c r="P105" s="61"/>
      <c r="Q105" s="34"/>
      <c r="R105" s="32"/>
      <c r="S105" s="32"/>
      <c r="T105" s="33"/>
      <c r="U105" s="33"/>
      <c r="V105" s="46">
        <f t="shared" si="52"/>
        <v>2204.81</v>
      </c>
      <c r="W105" s="32"/>
      <c r="X105" s="46"/>
      <c r="Y105" s="32"/>
      <c r="Z105" s="32"/>
      <c r="AA105" s="32"/>
      <c r="AB105" s="46"/>
      <c r="AC105" s="50"/>
      <c r="AD105" s="51"/>
      <c r="AE105" s="47"/>
      <c r="AF105" s="35">
        <v>60592492890</v>
      </c>
      <c r="AG105" s="35"/>
    </row>
    <row r="106" spans="1:33" s="18" customFormat="1">
      <c r="A106" s="33" t="s">
        <v>40</v>
      </c>
      <c r="B106" s="33" t="s">
        <v>107</v>
      </c>
      <c r="C106" s="33" t="s">
        <v>167</v>
      </c>
      <c r="D106" s="49">
        <v>42635</v>
      </c>
      <c r="E106" s="34">
        <v>618.45000000000005</v>
      </c>
      <c r="F106" s="34">
        <v>2110.5230000000001</v>
      </c>
      <c r="G106" s="34"/>
      <c r="H106" s="34"/>
      <c r="I106" s="34"/>
      <c r="J106" s="46">
        <f t="shared" si="51"/>
        <v>2110.5230000000001</v>
      </c>
      <c r="K106" s="34"/>
      <c r="L106" s="60"/>
      <c r="M106" s="34"/>
      <c r="N106" s="34"/>
      <c r="O106" s="61" t="s">
        <v>133</v>
      </c>
      <c r="P106" s="61" t="s">
        <v>133</v>
      </c>
      <c r="Q106" s="34"/>
      <c r="R106" s="32"/>
      <c r="S106" s="32"/>
      <c r="T106" s="33"/>
      <c r="U106" s="33"/>
      <c r="V106" s="46">
        <f t="shared" si="52"/>
        <v>2110.5230000000001</v>
      </c>
      <c r="W106" s="32">
        <f t="shared" ref="W106" si="73">IF(J106&gt;2250,J106*0.1,0)</f>
        <v>0</v>
      </c>
      <c r="X106" s="46">
        <f t="shared" ref="X106" si="74">+V106-W106</f>
        <v>2110.5230000000001</v>
      </c>
      <c r="Y106" s="32"/>
      <c r="Z106" s="32"/>
      <c r="AA106" s="32"/>
      <c r="AB106" s="46"/>
      <c r="AC106" s="50"/>
      <c r="AD106" s="51"/>
      <c r="AE106" s="47"/>
      <c r="AF106" s="35">
        <v>56708881608</v>
      </c>
      <c r="AG106" s="35"/>
    </row>
    <row r="107" spans="1:33" s="18" customFormat="1">
      <c r="A107" s="33" t="s">
        <v>40</v>
      </c>
      <c r="B107" s="33" t="s">
        <v>81</v>
      </c>
      <c r="C107" s="33" t="s">
        <v>102</v>
      </c>
      <c r="D107" s="49">
        <v>41703</v>
      </c>
      <c r="E107" s="34">
        <v>623.35</v>
      </c>
      <c r="F107" s="34">
        <v>1121.0999999999999</v>
      </c>
      <c r="G107" s="34"/>
      <c r="H107" s="34"/>
      <c r="I107" s="34"/>
      <c r="J107" s="46">
        <f t="shared" si="51"/>
        <v>1121.0999999999999</v>
      </c>
      <c r="K107" s="34"/>
      <c r="L107" s="60"/>
      <c r="M107" s="34"/>
      <c r="N107" s="34"/>
      <c r="O107" s="61" t="s">
        <v>133</v>
      </c>
      <c r="P107" s="61" t="s">
        <v>133</v>
      </c>
      <c r="Q107" s="34"/>
      <c r="R107" s="32"/>
      <c r="S107" s="32"/>
      <c r="T107" s="33"/>
      <c r="U107" s="33"/>
      <c r="V107" s="46">
        <f t="shared" si="52"/>
        <v>1121.0999999999999</v>
      </c>
      <c r="W107" s="32">
        <f t="shared" si="61"/>
        <v>0</v>
      </c>
      <c r="X107" s="46">
        <f t="shared" si="62"/>
        <v>1121.0999999999999</v>
      </c>
      <c r="Y107" s="32">
        <f t="shared" si="63"/>
        <v>112.11</v>
      </c>
      <c r="Z107" s="32">
        <v>10.23</v>
      </c>
      <c r="AA107" s="32" t="str">
        <f t="shared" si="64"/>
        <v>XX</v>
      </c>
      <c r="AB107" s="46" t="e">
        <f t="shared" si="65"/>
        <v>#VALUE!</v>
      </c>
      <c r="AC107" s="50"/>
      <c r="AD107" s="51"/>
      <c r="AE107" s="47">
        <f t="shared" si="66"/>
        <v>-1121.0999999999999</v>
      </c>
      <c r="AF107" s="35">
        <v>56708845973</v>
      </c>
      <c r="AG107" s="35"/>
    </row>
    <row r="108" spans="1:33" s="18" customFormat="1">
      <c r="A108" s="33" t="s">
        <v>40</v>
      </c>
      <c r="B108" s="33" t="s">
        <v>189</v>
      </c>
      <c r="C108" s="33" t="s">
        <v>188</v>
      </c>
      <c r="D108" s="49">
        <v>43040</v>
      </c>
      <c r="E108" s="34">
        <v>618.45000000000005</v>
      </c>
      <c r="F108" s="34">
        <v>365.5</v>
      </c>
      <c r="G108" s="34"/>
      <c r="H108" s="34"/>
      <c r="I108" s="34"/>
      <c r="J108" s="46">
        <f t="shared" si="51"/>
        <v>365.5</v>
      </c>
      <c r="K108" s="34"/>
      <c r="L108" s="60"/>
      <c r="M108" s="34"/>
      <c r="N108" s="34"/>
      <c r="O108" s="61" t="s">
        <v>133</v>
      </c>
      <c r="P108" s="61" t="s">
        <v>133</v>
      </c>
      <c r="Q108" s="34"/>
      <c r="R108" s="32"/>
      <c r="S108" s="32"/>
      <c r="T108" s="33"/>
      <c r="U108" s="33"/>
      <c r="V108" s="46">
        <f t="shared" si="52"/>
        <v>365.5</v>
      </c>
      <c r="W108" s="32"/>
      <c r="X108" s="46"/>
      <c r="Y108" s="32"/>
      <c r="Z108" s="32"/>
      <c r="AA108" s="32"/>
      <c r="AB108" s="46"/>
      <c r="AC108" s="50"/>
      <c r="AD108" s="51"/>
      <c r="AE108" s="47"/>
      <c r="AF108" s="35">
        <v>60596755422</v>
      </c>
      <c r="AG108" s="35"/>
    </row>
    <row r="109" spans="1:33" s="18" customFormat="1">
      <c r="A109" s="33" t="s">
        <v>40</v>
      </c>
      <c r="B109" s="33" t="s">
        <v>50</v>
      </c>
      <c r="C109" s="33" t="s">
        <v>102</v>
      </c>
      <c r="D109" s="49">
        <v>41291</v>
      </c>
      <c r="E109" s="34">
        <v>627.13</v>
      </c>
      <c r="F109" s="34">
        <f>3927.26+2.599</f>
        <v>3929.8590000000004</v>
      </c>
      <c r="G109" s="34"/>
      <c r="H109" s="34"/>
      <c r="I109" s="34"/>
      <c r="J109" s="46">
        <f t="shared" si="51"/>
        <v>3929.8590000000004</v>
      </c>
      <c r="K109" s="34"/>
      <c r="L109" s="60"/>
      <c r="M109" s="34"/>
      <c r="N109" s="34">
        <v>200</v>
      </c>
      <c r="O109" s="61" t="s">
        <v>133</v>
      </c>
      <c r="P109" s="61" t="s">
        <v>133</v>
      </c>
      <c r="Q109" s="34"/>
      <c r="R109" s="32"/>
      <c r="S109" s="32"/>
      <c r="T109" s="33"/>
      <c r="U109" s="33"/>
      <c r="V109" s="46">
        <f t="shared" si="52"/>
        <v>3729.8590000000004</v>
      </c>
      <c r="W109" s="32">
        <f t="shared" si="61"/>
        <v>392.98590000000007</v>
      </c>
      <c r="X109" s="46">
        <f t="shared" si="62"/>
        <v>3336.8731000000002</v>
      </c>
      <c r="Y109" s="32">
        <f t="shared" si="63"/>
        <v>0</v>
      </c>
      <c r="Z109" s="32">
        <v>10.23</v>
      </c>
      <c r="AA109" s="32" t="str">
        <f t="shared" si="64"/>
        <v>XX</v>
      </c>
      <c r="AB109" s="46" t="e">
        <f t="shared" si="65"/>
        <v>#VALUE!</v>
      </c>
      <c r="AC109" s="50"/>
      <c r="AD109" s="51"/>
      <c r="AE109" s="47">
        <f t="shared" si="66"/>
        <v>-3336.8731000000002</v>
      </c>
      <c r="AF109" s="35">
        <v>56708881963</v>
      </c>
      <c r="AG109" s="35"/>
    </row>
    <row r="110" spans="1:33" s="18" customFormat="1">
      <c r="A110" s="33" t="s">
        <v>38</v>
      </c>
      <c r="B110" s="33" t="s">
        <v>58</v>
      </c>
      <c r="C110" s="33" t="s">
        <v>41</v>
      </c>
      <c r="D110" s="49">
        <v>41666</v>
      </c>
      <c r="E110" s="34">
        <v>739.2</v>
      </c>
      <c r="F110" s="34">
        <f>4143.146+7.428</f>
        <v>4150.5739999999996</v>
      </c>
      <c r="G110" s="34"/>
      <c r="H110" s="34"/>
      <c r="I110" s="34"/>
      <c r="J110" s="46">
        <f t="shared" si="51"/>
        <v>4150.5739999999996</v>
      </c>
      <c r="K110" s="34"/>
      <c r="L110" s="60"/>
      <c r="M110" s="34"/>
      <c r="N110" s="34">
        <v>200</v>
      </c>
      <c r="O110" s="61"/>
      <c r="P110" s="61"/>
      <c r="Q110" s="34"/>
      <c r="R110" s="32"/>
      <c r="S110" s="32"/>
      <c r="T110" s="33"/>
      <c r="U110" s="33">
        <v>442.08</v>
      </c>
      <c r="V110" s="46">
        <f t="shared" si="52"/>
        <v>3508.4939999999997</v>
      </c>
      <c r="W110" s="32">
        <f t="shared" si="61"/>
        <v>415.05739999999997</v>
      </c>
      <c r="X110" s="46">
        <f t="shared" si="62"/>
        <v>3093.4365999999995</v>
      </c>
      <c r="Y110" s="32">
        <f t="shared" si="63"/>
        <v>0</v>
      </c>
      <c r="Z110" s="32">
        <v>10.23</v>
      </c>
      <c r="AA110" s="32">
        <f t="shared" si="64"/>
        <v>0</v>
      </c>
      <c r="AB110" s="46">
        <f t="shared" si="65"/>
        <v>4160.8039999999992</v>
      </c>
      <c r="AC110" s="50"/>
      <c r="AD110" s="51"/>
      <c r="AE110" s="47">
        <f t="shared" si="66"/>
        <v>-3093.4365999999995</v>
      </c>
      <c r="AF110" s="35">
        <v>56708845990</v>
      </c>
      <c r="AG110" s="35"/>
    </row>
    <row r="111" spans="1:33" s="18" customFormat="1">
      <c r="A111" s="33" t="s">
        <v>38</v>
      </c>
      <c r="B111" s="33" t="s">
        <v>126</v>
      </c>
      <c r="C111" s="33" t="s">
        <v>41</v>
      </c>
      <c r="D111" s="49">
        <v>42809</v>
      </c>
      <c r="E111" s="34">
        <v>618.45000000000005</v>
      </c>
      <c r="F111" s="34">
        <f>4359.789+13.099</f>
        <v>4372.8879999999999</v>
      </c>
      <c r="G111" s="34"/>
      <c r="H111" s="34"/>
      <c r="I111" s="34"/>
      <c r="J111" s="46">
        <f t="shared" si="51"/>
        <v>4372.8879999999999</v>
      </c>
      <c r="K111" s="34"/>
      <c r="L111" s="60">
        <v>1</v>
      </c>
      <c r="M111" s="34"/>
      <c r="N111" s="34"/>
      <c r="O111" s="61"/>
      <c r="P111" s="61"/>
      <c r="Q111" s="34"/>
      <c r="R111" s="32"/>
      <c r="S111" s="32"/>
      <c r="T111" s="33"/>
      <c r="U111" s="33"/>
      <c r="V111" s="46">
        <f t="shared" si="52"/>
        <v>4371.8879999999999</v>
      </c>
      <c r="W111" s="32"/>
      <c r="X111" s="46"/>
      <c r="Y111" s="32"/>
      <c r="Z111" s="32"/>
      <c r="AA111" s="32"/>
      <c r="AB111" s="46"/>
      <c r="AC111" s="50"/>
      <c r="AD111" s="51"/>
      <c r="AE111" s="47"/>
      <c r="AF111" s="35">
        <v>60589597089</v>
      </c>
      <c r="AG111" s="35"/>
    </row>
    <row r="112" spans="1:33" s="18" customFormat="1">
      <c r="A112" s="33" t="s">
        <v>38</v>
      </c>
      <c r="B112" s="33" t="s">
        <v>180</v>
      </c>
      <c r="C112" s="33" t="s">
        <v>41</v>
      </c>
      <c r="D112" s="49">
        <v>43052</v>
      </c>
      <c r="E112" s="34">
        <v>638.96</v>
      </c>
      <c r="F112" s="34">
        <f>4752.669+13.099</f>
        <v>4765.768</v>
      </c>
      <c r="G112" s="34"/>
      <c r="H112" s="34"/>
      <c r="I112" s="34"/>
      <c r="J112" s="46">
        <f t="shared" si="51"/>
        <v>4765.768</v>
      </c>
      <c r="K112" s="34"/>
      <c r="L112" s="60"/>
      <c r="M112" s="34"/>
      <c r="N112" s="34"/>
      <c r="O112" s="61"/>
      <c r="P112" s="61"/>
      <c r="Q112" s="34"/>
      <c r="R112" s="32"/>
      <c r="S112" s="32"/>
      <c r="T112" s="33"/>
      <c r="U112" s="33"/>
      <c r="V112" s="46"/>
      <c r="W112" s="32"/>
      <c r="X112" s="46"/>
      <c r="Y112" s="32"/>
      <c r="Z112" s="32"/>
      <c r="AA112" s="32"/>
      <c r="AB112" s="46"/>
      <c r="AC112" s="50"/>
      <c r="AD112" s="51"/>
      <c r="AE112" s="47"/>
      <c r="AF112" s="35">
        <v>56714607256</v>
      </c>
      <c r="AG112" s="35"/>
    </row>
    <row r="113" spans="1:187" s="18" customFormat="1">
      <c r="A113" s="33" t="s">
        <v>40</v>
      </c>
      <c r="B113" s="33" t="s">
        <v>118</v>
      </c>
      <c r="C113" s="33" t="s">
        <v>98</v>
      </c>
      <c r="D113" s="49">
        <v>42752</v>
      </c>
      <c r="E113" s="34">
        <v>618.45000000000005</v>
      </c>
      <c r="F113" s="34">
        <v>537.70000000000005</v>
      </c>
      <c r="G113" s="34"/>
      <c r="H113" s="34"/>
      <c r="I113" s="34"/>
      <c r="J113" s="46">
        <f t="shared" si="51"/>
        <v>537.70000000000005</v>
      </c>
      <c r="K113" s="34"/>
      <c r="L113" s="60"/>
      <c r="M113" s="34"/>
      <c r="N113" s="34"/>
      <c r="O113" s="61" t="s">
        <v>133</v>
      </c>
      <c r="P113" s="61" t="s">
        <v>133</v>
      </c>
      <c r="Q113" s="34"/>
      <c r="R113" s="32"/>
      <c r="S113" s="32"/>
      <c r="T113" s="33"/>
      <c r="U113" s="33"/>
      <c r="V113" s="46">
        <f t="shared" si="52"/>
        <v>537.70000000000005</v>
      </c>
      <c r="W113" s="32">
        <f t="shared" ref="W113" si="75">IF(J113&gt;2250,J113*0.1,0)</f>
        <v>0</v>
      </c>
      <c r="X113" s="46">
        <f t="shared" ref="X113" si="76">+V113-W113</f>
        <v>537.70000000000005</v>
      </c>
      <c r="Y113" s="32"/>
      <c r="Z113" s="32"/>
      <c r="AA113" s="32"/>
      <c r="AB113" s="46"/>
      <c r="AC113" s="50"/>
      <c r="AD113" s="51"/>
      <c r="AE113" s="47"/>
      <c r="AF113" s="35">
        <v>60589634536</v>
      </c>
      <c r="AG113" s="35"/>
    </row>
    <row r="114" spans="1:187" s="18" customFormat="1">
      <c r="A114" s="33" t="s">
        <v>40</v>
      </c>
      <c r="B114" s="33" t="s">
        <v>187</v>
      </c>
      <c r="C114" s="33" t="s">
        <v>186</v>
      </c>
      <c r="D114" s="49">
        <v>43034</v>
      </c>
      <c r="E114" s="34">
        <v>618.45000000000005</v>
      </c>
      <c r="F114" s="34">
        <v>758.1</v>
      </c>
      <c r="G114" s="34"/>
      <c r="H114" s="34"/>
      <c r="I114" s="34"/>
      <c r="J114" s="46">
        <f t="shared" si="51"/>
        <v>758.1</v>
      </c>
      <c r="K114" s="34"/>
      <c r="L114" s="60">
        <v>1</v>
      </c>
      <c r="M114" s="34"/>
      <c r="N114" s="34"/>
      <c r="O114" s="61" t="s">
        <v>133</v>
      </c>
      <c r="P114" s="61" t="s">
        <v>133</v>
      </c>
      <c r="Q114" s="34"/>
      <c r="R114" s="32"/>
      <c r="S114" s="32"/>
      <c r="T114" s="33"/>
      <c r="U114" s="33"/>
      <c r="V114" s="46"/>
      <c r="W114" s="32"/>
      <c r="X114" s="46"/>
      <c r="Y114" s="32"/>
      <c r="Z114" s="32"/>
      <c r="AA114" s="32"/>
      <c r="AB114" s="46"/>
      <c r="AC114" s="50"/>
      <c r="AD114" s="51"/>
      <c r="AE114" s="47"/>
      <c r="AF114" s="35">
        <v>60596596065</v>
      </c>
      <c r="AG114" s="35"/>
    </row>
    <row r="115" spans="1:187" s="18" customFormat="1">
      <c r="A115" s="33" t="s">
        <v>40</v>
      </c>
      <c r="B115" s="33" t="s">
        <v>97</v>
      </c>
      <c r="C115" s="33" t="s">
        <v>101</v>
      </c>
      <c r="D115" s="49">
        <v>29733</v>
      </c>
      <c r="E115" s="34">
        <v>627.13</v>
      </c>
      <c r="F115" s="34">
        <f>4536.454+3.714</f>
        <v>4540.1679999999997</v>
      </c>
      <c r="G115" s="34"/>
      <c r="H115" s="34"/>
      <c r="I115" s="34"/>
      <c r="J115" s="46">
        <f t="shared" si="51"/>
        <v>4540.1679999999997</v>
      </c>
      <c r="K115" s="34"/>
      <c r="L115" s="60"/>
      <c r="M115" s="34"/>
      <c r="N115" s="34">
        <v>150</v>
      </c>
      <c r="O115" s="61" t="s">
        <v>133</v>
      </c>
      <c r="P115" s="61" t="s">
        <v>133</v>
      </c>
      <c r="Q115" s="34"/>
      <c r="R115" s="32"/>
      <c r="S115" s="32"/>
      <c r="T115" s="33"/>
      <c r="U115" s="33"/>
      <c r="V115" s="46">
        <f t="shared" si="52"/>
        <v>4390.1679999999997</v>
      </c>
      <c r="W115" s="32">
        <f t="shared" si="61"/>
        <v>454.01679999999999</v>
      </c>
      <c r="X115" s="46">
        <f t="shared" si="62"/>
        <v>3936.1511999999998</v>
      </c>
      <c r="Y115" s="32">
        <f t="shared" si="63"/>
        <v>0</v>
      </c>
      <c r="Z115" s="32">
        <v>10.23</v>
      </c>
      <c r="AA115" s="32" t="str">
        <f t="shared" si="64"/>
        <v>XX</v>
      </c>
      <c r="AB115" s="46" t="e">
        <f t="shared" si="65"/>
        <v>#VALUE!</v>
      </c>
      <c r="AC115" s="50"/>
      <c r="AD115" s="51"/>
      <c r="AE115" s="47">
        <f t="shared" si="66"/>
        <v>-3936.1511999999998</v>
      </c>
      <c r="AF115" s="35">
        <v>60589747903</v>
      </c>
      <c r="AG115" s="35"/>
    </row>
    <row r="116" spans="1:187" s="18" customFormat="1">
      <c r="A116" s="33" t="s">
        <v>38</v>
      </c>
      <c r="B116" s="33" t="s">
        <v>176</v>
      </c>
      <c r="C116" s="33" t="s">
        <v>177</v>
      </c>
      <c r="D116" s="49">
        <v>43026</v>
      </c>
      <c r="E116" s="34">
        <v>638.96</v>
      </c>
      <c r="F116" s="34">
        <f>4587.963+7.428</f>
        <v>4595.3909999999996</v>
      </c>
      <c r="G116" s="34"/>
      <c r="H116" s="34"/>
      <c r="I116" s="34"/>
      <c r="J116" s="46">
        <f t="shared" si="51"/>
        <v>4595.3909999999996</v>
      </c>
      <c r="K116" s="34"/>
      <c r="L116" s="60"/>
      <c r="M116" s="34"/>
      <c r="N116" s="34"/>
      <c r="O116" s="61"/>
      <c r="P116" s="61"/>
      <c r="Q116" s="34"/>
      <c r="R116" s="32"/>
      <c r="S116" s="32"/>
      <c r="T116" s="33"/>
      <c r="U116" s="33">
        <v>545.02</v>
      </c>
      <c r="V116" s="46">
        <f t="shared" si="52"/>
        <v>4050.3709999999996</v>
      </c>
      <c r="W116" s="32"/>
      <c r="X116" s="46"/>
      <c r="Y116" s="32"/>
      <c r="Z116" s="32"/>
      <c r="AA116" s="32"/>
      <c r="AB116" s="46"/>
      <c r="AC116" s="50"/>
      <c r="AD116" s="51"/>
      <c r="AE116" s="47"/>
      <c r="AF116" s="35">
        <v>60578682154</v>
      </c>
      <c r="AG116" s="35"/>
    </row>
    <row r="117" spans="1:187" s="18" customFormat="1">
      <c r="A117" s="33" t="s">
        <v>38</v>
      </c>
      <c r="B117" s="33" t="s">
        <v>57</v>
      </c>
      <c r="C117" s="33" t="s">
        <v>41</v>
      </c>
      <c r="D117" s="49">
        <v>41549</v>
      </c>
      <c r="E117" s="34">
        <v>739.2</v>
      </c>
      <c r="F117" s="34">
        <f>6189.579+13.099</f>
        <v>6202.6779999999999</v>
      </c>
      <c r="G117" s="34"/>
      <c r="H117" s="34"/>
      <c r="I117" s="34"/>
      <c r="J117" s="46">
        <f t="shared" si="51"/>
        <v>6202.6779999999999</v>
      </c>
      <c r="K117" s="34"/>
      <c r="L117" s="60"/>
      <c r="M117" s="34"/>
      <c r="N117" s="34">
        <v>500</v>
      </c>
      <c r="O117" s="61"/>
      <c r="P117" s="61"/>
      <c r="Q117" s="34"/>
      <c r="R117" s="32"/>
      <c r="S117" s="32"/>
      <c r="T117" s="33"/>
      <c r="U117" s="33"/>
      <c r="V117" s="46">
        <f t="shared" si="52"/>
        <v>5702.6779999999999</v>
      </c>
      <c r="W117" s="32">
        <f>IF(J117&gt;2250,J117*0.1,0)</f>
        <v>620.26780000000008</v>
      </c>
      <c r="X117" s="46">
        <f>+V117-W117</f>
        <v>5082.4102000000003</v>
      </c>
      <c r="Y117" s="32">
        <f>IF(J117&lt;2250,J117*0.1,0)</f>
        <v>0</v>
      </c>
      <c r="Z117" s="32">
        <v>10.23</v>
      </c>
      <c r="AA117" s="32">
        <f>+O117</f>
        <v>0</v>
      </c>
      <c r="AB117" s="46">
        <f>+J117+Y117+Z117+AA117</f>
        <v>6212.9079999999994</v>
      </c>
      <c r="AC117" s="50"/>
      <c r="AD117" s="51"/>
      <c r="AE117" s="47">
        <f>+AC117+AD117-X117</f>
        <v>-5082.4102000000003</v>
      </c>
      <c r="AF117" s="35">
        <v>56708846050</v>
      </c>
      <c r="AG117" s="35"/>
    </row>
    <row r="118" spans="1:187" s="18" customFormat="1">
      <c r="A118" s="86" t="s">
        <v>38</v>
      </c>
      <c r="B118" s="86" t="s">
        <v>206</v>
      </c>
      <c r="C118" s="86" t="s">
        <v>205</v>
      </c>
      <c r="D118" s="87">
        <v>43069</v>
      </c>
      <c r="E118" s="88">
        <v>1199.94</v>
      </c>
      <c r="F118" s="88"/>
      <c r="G118" s="88"/>
      <c r="H118" s="88"/>
      <c r="I118" s="88"/>
      <c r="J118" s="46">
        <f t="shared" si="51"/>
        <v>0</v>
      </c>
      <c r="K118" s="34"/>
      <c r="L118" s="60"/>
      <c r="M118" s="34"/>
      <c r="N118" s="34"/>
      <c r="O118" s="61"/>
      <c r="P118" s="61"/>
      <c r="Q118" s="34"/>
      <c r="R118" s="32"/>
      <c r="S118" s="32"/>
      <c r="T118" s="33"/>
      <c r="U118" s="33"/>
      <c r="V118" s="46">
        <f t="shared" si="52"/>
        <v>0</v>
      </c>
      <c r="W118" s="32"/>
      <c r="X118" s="46"/>
      <c r="Y118" s="32"/>
      <c r="Z118" s="32"/>
      <c r="AA118" s="32"/>
      <c r="AB118" s="46"/>
      <c r="AC118" s="50"/>
      <c r="AD118" s="51"/>
      <c r="AE118" s="47"/>
      <c r="AF118" s="89">
        <v>60597522863</v>
      </c>
      <c r="AG118" s="89"/>
    </row>
    <row r="119" spans="1:187">
      <c r="A119" s="28"/>
      <c r="B119" s="33"/>
      <c r="C119" s="28"/>
      <c r="D119" s="59"/>
      <c r="E119" s="59"/>
      <c r="F119" s="30"/>
      <c r="G119" s="30"/>
      <c r="H119" s="30"/>
      <c r="I119" s="30"/>
      <c r="J119" s="46">
        <f t="shared" si="51"/>
        <v>0</v>
      </c>
      <c r="K119" s="34"/>
      <c r="L119" s="34"/>
      <c r="M119" s="34"/>
      <c r="N119" s="34"/>
      <c r="O119" s="34"/>
      <c r="P119" s="34"/>
      <c r="Q119" s="34"/>
      <c r="R119" s="32"/>
      <c r="S119" s="32"/>
      <c r="T119" s="32"/>
      <c r="U119" s="32"/>
      <c r="V119" s="46"/>
      <c r="W119" s="32"/>
      <c r="X119" s="46"/>
      <c r="Y119" s="54"/>
      <c r="Z119" s="54"/>
      <c r="AA119" s="54"/>
      <c r="AB119" s="53"/>
      <c r="AC119" s="44"/>
      <c r="AD119" s="44"/>
      <c r="AE119" s="39"/>
      <c r="AF119" s="28"/>
      <c r="AG119" s="2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</row>
    <row r="120" spans="1:187">
      <c r="A120" s="28"/>
      <c r="B120" s="35" t="s">
        <v>121</v>
      </c>
      <c r="C120" s="28"/>
      <c r="D120" s="59"/>
      <c r="E120" s="38">
        <f>SUM(E74:E118)</f>
        <v>31113.740000000013</v>
      </c>
      <c r="F120" s="38">
        <f t="shared" ref="F120:V120" si="77">SUM(F74:F118)</f>
        <v>132587.83100000001</v>
      </c>
      <c r="G120" s="38">
        <f t="shared" si="77"/>
        <v>0</v>
      </c>
      <c r="H120" s="38">
        <f t="shared" si="77"/>
        <v>1722.15</v>
      </c>
      <c r="I120" s="38">
        <f t="shared" si="77"/>
        <v>0</v>
      </c>
      <c r="J120" s="38">
        <f t="shared" si="77"/>
        <v>134309.98100000003</v>
      </c>
      <c r="K120" s="38">
        <f t="shared" si="77"/>
        <v>387.5</v>
      </c>
      <c r="L120" s="38">
        <f t="shared" si="77"/>
        <v>6</v>
      </c>
      <c r="M120" s="38">
        <f t="shared" si="77"/>
        <v>0</v>
      </c>
      <c r="N120" s="38">
        <f t="shared" si="77"/>
        <v>4700</v>
      </c>
      <c r="O120" s="38">
        <f t="shared" si="77"/>
        <v>0</v>
      </c>
      <c r="P120" s="38">
        <f t="shared" si="77"/>
        <v>0</v>
      </c>
      <c r="Q120" s="38">
        <f t="shared" si="77"/>
        <v>0</v>
      </c>
      <c r="R120" s="38">
        <f t="shared" si="77"/>
        <v>0</v>
      </c>
      <c r="S120" s="38">
        <f t="shared" si="77"/>
        <v>0</v>
      </c>
      <c r="T120" s="38">
        <f t="shared" si="77"/>
        <v>0</v>
      </c>
      <c r="U120" s="38">
        <f t="shared" si="77"/>
        <v>4192.59</v>
      </c>
      <c r="V120" s="38">
        <f t="shared" si="77"/>
        <v>119501.02300000002</v>
      </c>
      <c r="W120" s="38">
        <f>SUM(W75:W117)</f>
        <v>8500.3396499999999</v>
      </c>
      <c r="X120" s="38">
        <f>SUM(X75:X117)</f>
        <v>77514.541799999963</v>
      </c>
      <c r="Y120" s="54"/>
      <c r="Z120" s="54"/>
      <c r="AA120" s="54"/>
      <c r="AB120" s="53"/>
      <c r="AC120" s="44"/>
      <c r="AD120" s="44"/>
      <c r="AE120" s="39"/>
      <c r="AF120" s="28"/>
      <c r="AG120" s="2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</row>
    <row r="121" spans="1:187">
      <c r="B121" s="20"/>
      <c r="AB121" s="14" t="e">
        <f>+#REF!*0.16</f>
        <v>#REF!</v>
      </c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</row>
    <row r="122" spans="1:187"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</row>
    <row r="123" spans="1:187"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</row>
    <row r="124" spans="1:187"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</row>
    <row r="125" spans="1:187" ht="23.25">
      <c r="A125" s="92" t="s">
        <v>25</v>
      </c>
      <c r="B125" s="92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</row>
    <row r="126" spans="1:187" s="18" customFormat="1" ht="15.75">
      <c r="A126" s="64" t="s">
        <v>39</v>
      </c>
      <c r="B126" s="64" t="s">
        <v>111</v>
      </c>
      <c r="C126" s="64" t="s">
        <v>43</v>
      </c>
      <c r="D126" s="49">
        <v>42199</v>
      </c>
      <c r="E126" s="34">
        <v>1633</v>
      </c>
      <c r="F126" s="34">
        <v>1200</v>
      </c>
      <c r="G126" s="34"/>
      <c r="H126" s="34"/>
      <c r="I126" s="34"/>
      <c r="J126" s="46">
        <f t="shared" ref="J126:J130" si="78">SUM(F126:I126)</f>
        <v>1200</v>
      </c>
      <c r="K126" s="34"/>
      <c r="L126" s="60"/>
      <c r="M126" s="34"/>
      <c r="N126" s="34">
        <v>150</v>
      </c>
      <c r="O126" s="61"/>
      <c r="P126" s="61"/>
      <c r="Q126" s="34"/>
      <c r="R126" s="32"/>
      <c r="S126" s="62"/>
      <c r="T126" s="33"/>
      <c r="U126" s="57"/>
      <c r="V126" s="46">
        <f t="shared" ref="V126:V130" si="79">+J126-SUM(K126:U126)</f>
        <v>1050</v>
      </c>
      <c r="W126" s="32">
        <v>0</v>
      </c>
      <c r="X126" s="46">
        <v>-150</v>
      </c>
      <c r="Y126" s="32"/>
      <c r="Z126" s="32"/>
      <c r="AA126" s="32"/>
      <c r="AB126" s="46"/>
      <c r="AC126" s="52"/>
      <c r="AD126" s="50"/>
      <c r="AE126" s="47"/>
      <c r="AF126" s="33">
        <v>60590405464</v>
      </c>
      <c r="AG126" s="65"/>
    </row>
    <row r="127" spans="1:187">
      <c r="A127" s="64" t="s">
        <v>37</v>
      </c>
      <c r="B127" s="64" t="s">
        <v>103</v>
      </c>
      <c r="C127" s="64" t="s">
        <v>43</v>
      </c>
      <c r="D127" s="49">
        <v>34275</v>
      </c>
      <c r="E127" s="34">
        <v>1633</v>
      </c>
      <c r="F127" s="34"/>
      <c r="G127" s="34"/>
      <c r="H127" s="34"/>
      <c r="I127" s="34"/>
      <c r="J127" s="46">
        <f t="shared" si="78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46">
        <f t="shared" si="79"/>
        <v>0</v>
      </c>
      <c r="W127" s="32">
        <v>0</v>
      </c>
      <c r="X127" s="46">
        <v>0</v>
      </c>
      <c r="Y127" s="54"/>
      <c r="Z127" s="54"/>
      <c r="AA127" s="54"/>
      <c r="AB127" s="53"/>
      <c r="AC127" s="44"/>
      <c r="AD127" s="44"/>
      <c r="AE127" s="39"/>
      <c r="AF127" s="28">
        <v>60590317373</v>
      </c>
      <c r="AG127" s="65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</row>
    <row r="128" spans="1:187">
      <c r="A128" s="64" t="s">
        <v>39</v>
      </c>
      <c r="B128" s="64" t="s">
        <v>119</v>
      </c>
      <c r="C128" s="64" t="s">
        <v>120</v>
      </c>
      <c r="D128" s="49">
        <v>38825</v>
      </c>
      <c r="E128" s="34">
        <v>2100</v>
      </c>
      <c r="F128" s="34"/>
      <c r="G128" s="34"/>
      <c r="H128" s="34"/>
      <c r="I128" s="34"/>
      <c r="J128" s="46">
        <f t="shared" si="78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46">
        <f t="shared" si="79"/>
        <v>0</v>
      </c>
      <c r="W128" s="32"/>
      <c r="X128" s="46"/>
      <c r="Y128" s="54"/>
      <c r="Z128" s="54"/>
      <c r="AA128" s="54"/>
      <c r="AB128" s="53"/>
      <c r="AC128" s="44"/>
      <c r="AD128" s="44"/>
      <c r="AE128" s="39"/>
      <c r="AF128" s="28">
        <v>56708845376</v>
      </c>
      <c r="AG128" s="65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</row>
    <row r="129" spans="1:187">
      <c r="A129" s="64" t="s">
        <v>37</v>
      </c>
      <c r="B129" s="64" t="s">
        <v>105</v>
      </c>
      <c r="C129" s="64" t="s">
        <v>104</v>
      </c>
      <c r="D129" s="49">
        <v>42809</v>
      </c>
      <c r="E129" s="34">
        <v>937.5</v>
      </c>
      <c r="F129" s="34"/>
      <c r="G129" s="34"/>
      <c r="H129" s="34"/>
      <c r="I129" s="34"/>
      <c r="J129" s="46">
        <f t="shared" si="78"/>
        <v>0</v>
      </c>
      <c r="K129" s="34">
        <v>208.34</v>
      </c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46">
        <f t="shared" si="79"/>
        <v>-208.34</v>
      </c>
      <c r="W129" s="32"/>
      <c r="X129" s="46"/>
      <c r="Y129" s="54"/>
      <c r="Z129" s="54"/>
      <c r="AA129" s="54"/>
      <c r="AB129" s="53"/>
      <c r="AC129" s="44"/>
      <c r="AD129" s="44"/>
      <c r="AE129" s="39"/>
      <c r="AF129" s="28">
        <v>60590314454</v>
      </c>
      <c r="AG129" s="65" t="s">
        <v>200</v>
      </c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</row>
    <row r="130" spans="1:187">
      <c r="A130" s="64" t="s">
        <v>39</v>
      </c>
      <c r="B130" s="64" t="s">
        <v>158</v>
      </c>
      <c r="C130" s="64" t="s">
        <v>159</v>
      </c>
      <c r="D130" s="49">
        <v>40147</v>
      </c>
      <c r="E130" s="34">
        <v>1900</v>
      </c>
      <c r="F130" s="34"/>
      <c r="G130" s="34"/>
      <c r="H130" s="34"/>
      <c r="I130" s="34"/>
      <c r="J130" s="46">
        <f t="shared" si="78"/>
        <v>0</v>
      </c>
      <c r="K130" s="34"/>
      <c r="L130" s="60"/>
      <c r="M130" s="34"/>
      <c r="N130" s="34"/>
      <c r="O130" s="61"/>
      <c r="P130" s="61"/>
      <c r="Q130" s="34"/>
      <c r="R130" s="32"/>
      <c r="S130" s="32"/>
      <c r="T130" s="33"/>
      <c r="U130" s="33"/>
      <c r="V130" s="46">
        <f t="shared" si="79"/>
        <v>0</v>
      </c>
      <c r="W130" s="32"/>
      <c r="X130" s="46"/>
      <c r="Y130" s="54"/>
      <c r="Z130" s="54"/>
      <c r="AA130" s="54"/>
      <c r="AB130" s="53"/>
      <c r="AC130" s="44"/>
      <c r="AD130" s="44"/>
      <c r="AE130" s="39"/>
      <c r="AF130" s="28">
        <v>60590324373</v>
      </c>
      <c r="AG130" s="65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</row>
    <row r="131" spans="1:187"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</row>
    <row r="132" spans="1:187"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</row>
    <row r="133" spans="1:187"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</row>
    <row r="134" spans="1:187">
      <c r="A134" s="19" t="s">
        <v>17</v>
      </c>
      <c r="B134" s="13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</row>
    <row r="135" spans="1:187">
      <c r="A135" s="19" t="s">
        <v>18</v>
      </c>
      <c r="B135" s="13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</row>
    <row r="136" spans="1:187">
      <c r="A136" s="19" t="s">
        <v>19</v>
      </c>
      <c r="B136" s="13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</row>
    <row r="137" spans="1:187">
      <c r="A137" s="19" t="s">
        <v>20</v>
      </c>
      <c r="B137" s="13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</row>
    <row r="138" spans="1:187">
      <c r="A138" s="19" t="s">
        <v>21</v>
      </c>
      <c r="B138" s="13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</row>
    <row r="139" spans="1:187">
      <c r="A139" s="19" t="s">
        <v>22</v>
      </c>
      <c r="B139" s="13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</row>
    <row r="140" spans="1:187"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</row>
    <row r="141" spans="1:187"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</row>
    <row r="143" spans="1:187">
      <c r="B143" s="17"/>
    </row>
    <row r="144" spans="1:187">
      <c r="B144" s="17"/>
    </row>
    <row r="145" spans="2:2">
      <c r="B145" s="17"/>
    </row>
  </sheetData>
  <sheetProtection selectLockedCells="1" selectUnlockedCells="1"/>
  <autoFilter ref="A5:AG67">
    <filterColumn colId="28" showButton="0"/>
    <sortState ref="A8:AH99">
      <sortCondition ref="B5:B99"/>
    </sortState>
  </autoFilter>
  <mergeCells count="33">
    <mergeCell ref="AG5:AG6"/>
    <mergeCell ref="A73:B73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G5:G6"/>
    <mergeCell ref="A125:B125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2017-12-08T21:59:22Z</dcterms:modified>
</cp:coreProperties>
</file>