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Semanal/"/>
    </mc:Choice>
  </mc:AlternateContent>
  <bookViews>
    <workbookView xWindow="0" yWindow="0" windowWidth="19200" windowHeight="11595"/>
  </bookViews>
  <sheets>
    <sheet name="FORMATO NOMINA" sheetId="4" r:id="rId1"/>
  </sheets>
  <definedNames>
    <definedName name="_xlnm._FilterDatabase" localSheetId="0" hidden="1">'FORMATO NOMINA'!$A$5:$AG$66</definedName>
  </definedNames>
  <calcPr calcId="152511"/>
</workbook>
</file>

<file path=xl/calcChain.xml><?xml version="1.0" encoding="utf-8"?>
<calcChain xmlns="http://schemas.openxmlformats.org/spreadsheetml/2006/main">
  <c r="F75" i="4" l="1"/>
  <c r="F97" i="4"/>
  <c r="F100" i="4"/>
  <c r="F78" i="4"/>
  <c r="F91" i="4"/>
  <c r="F89" i="4"/>
  <c r="F114" i="4"/>
  <c r="F107" i="4"/>
  <c r="F108" i="4"/>
  <c r="F81" i="4"/>
  <c r="F84" i="4"/>
  <c r="F80" i="4"/>
  <c r="F101" i="4"/>
  <c r="F82" i="4"/>
  <c r="F96" i="4"/>
  <c r="F77" i="4"/>
  <c r="F112" i="4"/>
  <c r="F92" i="4"/>
  <c r="F95" i="4"/>
  <c r="F74" i="4"/>
  <c r="F109" i="4"/>
  <c r="F113" i="4"/>
  <c r="F90" i="4"/>
  <c r="F99" i="4"/>
  <c r="F94" i="4"/>
  <c r="F102" i="4"/>
  <c r="F106" i="4"/>
  <c r="F85" i="4"/>
  <c r="F93" i="4"/>
  <c r="F83" i="4"/>
  <c r="F87" i="4"/>
  <c r="F88" i="4"/>
  <c r="F73" i="4"/>
  <c r="J34" i="4" l="1"/>
  <c r="V34" i="4" s="1"/>
  <c r="J9" i="4"/>
  <c r="V9" i="4" s="1"/>
  <c r="J20" i="4" l="1"/>
  <c r="J21" i="4"/>
  <c r="J105" i="4"/>
  <c r="V105" i="4" s="1"/>
  <c r="J106" i="4"/>
  <c r="U69" i="4" l="1"/>
  <c r="G116" i="4"/>
  <c r="H116" i="4"/>
  <c r="I116" i="4"/>
  <c r="K116" i="4"/>
  <c r="L116" i="4"/>
  <c r="M116" i="4"/>
  <c r="N116" i="4"/>
  <c r="O116" i="4"/>
  <c r="P116" i="4"/>
  <c r="Q116" i="4"/>
  <c r="R116" i="4"/>
  <c r="S116" i="4"/>
  <c r="T116" i="4"/>
  <c r="U116" i="4"/>
  <c r="F116" i="4" l="1"/>
  <c r="F69" i="4"/>
  <c r="J112" i="4" l="1"/>
  <c r="J111" i="4"/>
  <c r="J110" i="4"/>
  <c r="J109" i="4"/>
  <c r="J98" i="4"/>
  <c r="V98" i="4" s="1"/>
  <c r="J56" i="4"/>
  <c r="J38" i="4"/>
  <c r="J67" i="4"/>
  <c r="J72" i="4"/>
  <c r="G69" i="4"/>
  <c r="H69" i="4"/>
  <c r="I69" i="4"/>
  <c r="K69" i="4"/>
  <c r="L69" i="4"/>
  <c r="M69" i="4"/>
  <c r="N69" i="4"/>
  <c r="O69" i="4"/>
  <c r="P69" i="4"/>
  <c r="Q69" i="4"/>
  <c r="R69" i="4"/>
  <c r="S69" i="4"/>
  <c r="T69" i="4"/>
  <c r="E69" i="4"/>
  <c r="V72" i="4" l="1"/>
  <c r="J113" i="4"/>
  <c r="V113" i="4" s="1"/>
  <c r="J7" i="4"/>
  <c r="V7" i="4" l="1"/>
  <c r="J86" i="4"/>
  <c r="V86" i="4" s="1"/>
  <c r="J11" i="4" l="1"/>
  <c r="J26" i="4"/>
  <c r="V26" i="4" s="1"/>
  <c r="J50" i="4"/>
  <c r="J27" i="4" l="1"/>
  <c r="V27" i="4" s="1"/>
  <c r="J13" i="4"/>
  <c r="J45" i="4"/>
  <c r="J126" i="4"/>
  <c r="V126" i="4" s="1"/>
  <c r="J17" i="4" l="1"/>
  <c r="V17" i="4" s="1"/>
  <c r="J18" i="4"/>
  <c r="J22" i="4"/>
  <c r="J23" i="4"/>
  <c r="J39" i="4"/>
  <c r="V39" i="4" s="1"/>
  <c r="J46" i="4" l="1"/>
  <c r="V46" i="4" s="1"/>
  <c r="J75" i="4" l="1"/>
  <c r="E116" i="4" l="1"/>
  <c r="J10" i="4" l="1"/>
  <c r="J12" i="4"/>
  <c r="J15" i="4"/>
  <c r="J16" i="4"/>
  <c r="V22" i="4"/>
  <c r="V23" i="4"/>
  <c r="J24" i="4"/>
  <c r="V24" i="4" s="1"/>
  <c r="J25" i="4"/>
  <c r="J28" i="4"/>
  <c r="J29" i="4"/>
  <c r="J30" i="4"/>
  <c r="V30" i="4" s="1"/>
  <c r="J31" i="4"/>
  <c r="V31" i="4" s="1"/>
  <c r="J32" i="4"/>
  <c r="J33" i="4"/>
  <c r="J35" i="4"/>
  <c r="J36" i="4"/>
  <c r="J37" i="4"/>
  <c r="V37" i="4" s="1"/>
  <c r="J40" i="4"/>
  <c r="V40" i="4" s="1"/>
  <c r="J41" i="4"/>
  <c r="J42" i="4"/>
  <c r="J43" i="4"/>
  <c r="J44" i="4"/>
  <c r="V44" i="4" s="1"/>
  <c r="J47" i="4"/>
  <c r="V47" i="4" s="1"/>
  <c r="J48" i="4"/>
  <c r="J49" i="4"/>
  <c r="J51" i="4"/>
  <c r="J52" i="4"/>
  <c r="J53" i="4"/>
  <c r="J54" i="4"/>
  <c r="J55" i="4"/>
  <c r="J57" i="4"/>
  <c r="J58" i="4"/>
  <c r="J59" i="4"/>
  <c r="J60" i="4"/>
  <c r="J61" i="4"/>
  <c r="J62" i="4"/>
  <c r="V62" i="4" s="1"/>
  <c r="J63" i="4"/>
  <c r="V63" i="4" s="1"/>
  <c r="J64" i="4"/>
  <c r="J65" i="4"/>
  <c r="J66" i="4"/>
  <c r="J8" i="4"/>
  <c r="J69" i="4" l="1"/>
  <c r="J99" i="4" l="1"/>
  <c r="V99" i="4" s="1"/>
  <c r="J100" i="4"/>
  <c r="V100" i="4" s="1"/>
  <c r="J101" i="4"/>
  <c r="J92" i="4"/>
  <c r="V92" i="4" s="1"/>
  <c r="J93" i="4"/>
  <c r="V93" i="4" s="1"/>
  <c r="J94" i="4"/>
  <c r="V94" i="4" s="1"/>
  <c r="V48" i="4" l="1"/>
  <c r="V49" i="4"/>
  <c r="V51" i="4"/>
  <c r="V52" i="4"/>
  <c r="V53" i="4"/>
  <c r="V16" i="4"/>
  <c r="V18" i="4"/>
  <c r="V21" i="4"/>
  <c r="V25" i="4"/>
  <c r="V28" i="4"/>
  <c r="V29" i="4"/>
  <c r="V32" i="4"/>
  <c r="J95" i="4"/>
  <c r="V95" i="4" s="1"/>
  <c r="J96" i="4"/>
  <c r="V96" i="4" s="1"/>
  <c r="J97" i="4"/>
  <c r="V97" i="4" s="1"/>
  <c r="J102" i="4"/>
  <c r="V102" i="4" s="1"/>
  <c r="J103" i="4"/>
  <c r="V103" i="4" s="1"/>
  <c r="J104" i="4"/>
  <c r="V104" i="4" s="1"/>
  <c r="V106" i="4"/>
  <c r="J77" i="4"/>
  <c r="V77" i="4" s="1"/>
  <c r="J78" i="4"/>
  <c r="V78" i="4" s="1"/>
  <c r="J79" i="4"/>
  <c r="V79" i="4" s="1"/>
  <c r="J80" i="4"/>
  <c r="V80" i="4" s="1"/>
  <c r="J81" i="4"/>
  <c r="V81" i="4" s="1"/>
  <c r="V15" i="4" l="1"/>
  <c r="J85" i="4"/>
  <c r="V85" i="4" s="1"/>
  <c r="J91" i="4" l="1"/>
  <c r="V91" i="4" s="1"/>
  <c r="J89" i="4"/>
  <c r="V89" i="4" s="1"/>
  <c r="J90" i="4" l="1"/>
  <c r="V90" i="4" s="1"/>
  <c r="J87" i="4"/>
  <c r="V87" i="4" s="1"/>
  <c r="J88" i="4"/>
  <c r="V88" i="4" s="1"/>
  <c r="AA93" i="4" l="1"/>
  <c r="Y30" i="4"/>
  <c r="W30" i="4" l="1"/>
  <c r="V43" i="4" l="1"/>
  <c r="V60" i="4" l="1"/>
  <c r="J83" i="4" l="1"/>
  <c r="V83" i="4" s="1"/>
  <c r="J125" i="4" l="1"/>
  <c r="V125" i="4" s="1"/>
  <c r="J122" i="4"/>
  <c r="V122" i="4" s="1"/>
  <c r="J123" i="4"/>
  <c r="V123" i="4" s="1"/>
  <c r="J124" i="4"/>
  <c r="V124" i="4" s="1"/>
  <c r="J74" i="4"/>
  <c r="V74" i="4" s="1"/>
  <c r="V75" i="4"/>
  <c r="J76" i="4"/>
  <c r="V76" i="4" s="1"/>
  <c r="J82" i="4"/>
  <c r="V82" i="4" s="1"/>
  <c r="J84" i="4"/>
  <c r="V84" i="4" s="1"/>
  <c r="V42" i="4"/>
  <c r="J107" i="4"/>
  <c r="V107" i="4" s="1"/>
  <c r="J108" i="4"/>
  <c r="V108" i="4" s="1"/>
  <c r="V110" i="4"/>
  <c r="V112" i="4"/>
  <c r="J114" i="4"/>
  <c r="V114" i="4" s="1"/>
  <c r="J115" i="4"/>
  <c r="V33" i="4"/>
  <c r="V101" i="4" l="1"/>
  <c r="W97" i="4" l="1"/>
  <c r="X42" i="4"/>
  <c r="Y42" i="4"/>
  <c r="AB42" i="4" s="1"/>
  <c r="W42" i="4"/>
  <c r="X97" i="4" l="1"/>
  <c r="W110" i="4"/>
  <c r="X110" i="4" l="1"/>
  <c r="W93" i="4" l="1"/>
  <c r="X93" i="4" l="1"/>
  <c r="W66" i="4" l="1"/>
  <c r="V66" i="4" l="1"/>
  <c r="X66" i="4" s="1"/>
  <c r="W44" i="4"/>
  <c r="X44" i="4" l="1"/>
  <c r="W32" i="4" l="1"/>
  <c r="X32" i="4" l="1"/>
  <c r="W80" i="4" l="1"/>
  <c r="X80" i="4" s="1"/>
  <c r="W25" i="4" l="1"/>
  <c r="X25" i="4" l="1"/>
  <c r="W53" i="4"/>
  <c r="X53" i="4" l="1"/>
  <c r="W103" i="4"/>
  <c r="X103" i="4" l="1"/>
  <c r="V57" i="4" l="1"/>
  <c r="W57" i="4" l="1"/>
  <c r="X57" i="4" s="1"/>
  <c r="Y57" i="4"/>
  <c r="W65" i="4" l="1"/>
  <c r="V65" i="4" l="1"/>
  <c r="X65" i="4" s="1"/>
  <c r="Y40" i="4" l="1"/>
  <c r="AA40" i="4"/>
  <c r="V61" i="4"/>
  <c r="AA61" i="4"/>
  <c r="AB40" i="4" l="1"/>
  <c r="W40" i="4"/>
  <c r="Y61" i="4"/>
  <c r="AB61" i="4" s="1"/>
  <c r="W61" i="4"/>
  <c r="X61" i="4" s="1"/>
  <c r="X40" i="4" l="1"/>
  <c r="AA51" i="4" l="1"/>
  <c r="Y51" i="4" l="1"/>
  <c r="AB51" i="4" s="1"/>
  <c r="W51" i="4"/>
  <c r="X51" i="4" s="1"/>
  <c r="AA28" i="4" l="1"/>
  <c r="AA29" i="4"/>
  <c r="AA84" i="4"/>
  <c r="AA33" i="4"/>
  <c r="AA35" i="4"/>
  <c r="Y35" i="4" l="1"/>
  <c r="AB35" i="4" s="1"/>
  <c r="V35" i="4"/>
  <c r="W35" i="4"/>
  <c r="X35" i="4" l="1"/>
  <c r="W84" i="4" l="1"/>
  <c r="Y84" i="4"/>
  <c r="AB84" i="4" s="1"/>
  <c r="X84" i="4" l="1"/>
  <c r="AA64" i="4" l="1"/>
  <c r="AA49" i="4"/>
  <c r="Y29" i="4" l="1"/>
  <c r="AB29" i="4" s="1"/>
  <c r="W29" i="4"/>
  <c r="V64" i="4"/>
  <c r="Y64" i="4"/>
  <c r="AB64" i="4" s="1"/>
  <c r="W49" i="4"/>
  <c r="Y49" i="4"/>
  <c r="AB49" i="4" s="1"/>
  <c r="W64" i="4"/>
  <c r="AA52" i="4"/>
  <c r="Y52" i="4"/>
  <c r="X29" i="4" l="1"/>
  <c r="AE29" i="4" s="1"/>
  <c r="X64" i="4"/>
  <c r="X49" i="4"/>
  <c r="AB52" i="4"/>
  <c r="W52" i="4"/>
  <c r="X52" i="4" l="1"/>
  <c r="AE64" i="4" l="1"/>
  <c r="AE49" i="4" l="1"/>
  <c r="AA58" i="4"/>
  <c r="W92" i="4" l="1"/>
  <c r="Y92" i="4"/>
  <c r="AA92" i="4"/>
  <c r="AB92" i="4" l="1"/>
  <c r="X92" i="4"/>
  <c r="AE92" i="4" s="1"/>
  <c r="AA22" i="4" l="1"/>
  <c r="W22" i="4" l="1"/>
  <c r="Y22" i="4"/>
  <c r="AB22" i="4" s="1"/>
  <c r="X22" i="4" l="1"/>
  <c r="AE22" i="4" l="1"/>
  <c r="AA59" i="4" l="1"/>
  <c r="Y59" i="4" l="1"/>
  <c r="W59" i="4" l="1"/>
  <c r="V59" i="4"/>
  <c r="AB59" i="4"/>
  <c r="X59" i="4" l="1"/>
  <c r="AE59" i="4" s="1"/>
  <c r="W101" i="4" l="1"/>
  <c r="Y101" i="4"/>
  <c r="AA114" i="4"/>
  <c r="AA107" i="4"/>
  <c r="AA55" i="4"/>
  <c r="AA54" i="4"/>
  <c r="AA100" i="4"/>
  <c r="AA97" i="4"/>
  <c r="AA41" i="4"/>
  <c r="AA91" i="4"/>
  <c r="AA36" i="4"/>
  <c r="AA21" i="4"/>
  <c r="AA78" i="4"/>
  <c r="AA18" i="4"/>
  <c r="AA12" i="4"/>
  <c r="AA10" i="4"/>
  <c r="AA8" i="4"/>
  <c r="AA101" i="4" l="1"/>
  <c r="AB101" i="4" l="1"/>
  <c r="X101" i="4"/>
  <c r="AE101" i="4" s="1"/>
  <c r="W100" i="4" l="1"/>
  <c r="Y100" i="4"/>
  <c r="AB100" i="4" s="1"/>
  <c r="Z69" i="4"/>
  <c r="J73" i="4"/>
  <c r="J116" i="4" s="1"/>
  <c r="AD69" i="4"/>
  <c r="AC69" i="4"/>
  <c r="Y58" i="4"/>
  <c r="X100" i="4" l="1"/>
  <c r="AE100" i="4" s="1"/>
  <c r="W33" i="4"/>
  <c r="Y33" i="4"/>
  <c r="AB33" i="4" s="1"/>
  <c r="W36" i="4"/>
  <c r="Y36" i="4"/>
  <c r="W41" i="4"/>
  <c r="Y41" i="4"/>
  <c r="W10" i="4"/>
  <c r="Y10" i="4"/>
  <c r="AB10" i="4" s="1"/>
  <c r="W18" i="4"/>
  <c r="Y18" i="4"/>
  <c r="AB18" i="4" s="1"/>
  <c r="W75" i="4"/>
  <c r="Y75" i="4"/>
  <c r="Y97" i="4"/>
  <c r="AB97" i="4" s="1"/>
  <c r="W78" i="4"/>
  <c r="Y78" i="4"/>
  <c r="AB78" i="4" s="1"/>
  <c r="W77" i="4"/>
  <c r="Y77" i="4"/>
  <c r="W95" i="4"/>
  <c r="Y95" i="4"/>
  <c r="W74" i="4"/>
  <c r="Y74" i="4"/>
  <c r="W87" i="4"/>
  <c r="Y87" i="4"/>
  <c r="W81" i="4"/>
  <c r="Y81" i="4"/>
  <c r="W91" i="4"/>
  <c r="Y91" i="4"/>
  <c r="AB91" i="4" s="1"/>
  <c r="W55" i="4"/>
  <c r="Y55" i="4"/>
  <c r="W112" i="4"/>
  <c r="Y112" i="4"/>
  <c r="W107" i="4"/>
  <c r="Y107" i="4"/>
  <c r="AB107" i="4" s="1"/>
  <c r="W114" i="4"/>
  <c r="Y114" i="4"/>
  <c r="AB114" i="4" s="1"/>
  <c r="W54" i="4"/>
  <c r="Y54" i="4"/>
  <c r="AB54" i="4" s="1"/>
  <c r="W106" i="4"/>
  <c r="Y106" i="4"/>
  <c r="W104" i="4"/>
  <c r="Y104" i="4"/>
  <c r="W96" i="4"/>
  <c r="Y96" i="4"/>
  <c r="W90" i="4"/>
  <c r="Y90" i="4"/>
  <c r="W88" i="4"/>
  <c r="Y88" i="4"/>
  <c r="W82" i="4"/>
  <c r="Y82" i="4"/>
  <c r="W58" i="4"/>
  <c r="AA88" i="4"/>
  <c r="AB58" i="4"/>
  <c r="AA81" i="4"/>
  <c r="AA77" i="4"/>
  <c r="V10" i="4"/>
  <c r="AA90" i="4"/>
  <c r="AA87" i="4"/>
  <c r="AA75" i="4"/>
  <c r="AA82" i="4"/>
  <c r="AA74" i="4"/>
  <c r="AE52" i="4"/>
  <c r="AA95" i="4"/>
  <c r="AA96" i="4"/>
  <c r="AA112" i="4"/>
  <c r="V54" i="4"/>
  <c r="AA104" i="4"/>
  <c r="AA106" i="4"/>
  <c r="V58" i="4"/>
  <c r="Y28" i="4" l="1"/>
  <c r="AB28" i="4" s="1"/>
  <c r="W28" i="4"/>
  <c r="X33" i="4"/>
  <c r="X114" i="4"/>
  <c r="AE114" i="4" s="1"/>
  <c r="X91" i="4"/>
  <c r="AE91" i="4" s="1"/>
  <c r="W21" i="4"/>
  <c r="Y21" i="4"/>
  <c r="AB21" i="4" s="1"/>
  <c r="Y12" i="4"/>
  <c r="AB12" i="4" s="1"/>
  <c r="W8" i="4"/>
  <c r="Y8" i="4"/>
  <c r="AB8" i="4" s="1"/>
  <c r="V73" i="4"/>
  <c r="V116" i="4" s="1"/>
  <c r="V12" i="4"/>
  <c r="W12" i="4"/>
  <c r="AE84" i="4"/>
  <c r="X18" i="4"/>
  <c r="AE18" i="4" s="1"/>
  <c r="AE97" i="4"/>
  <c r="X78" i="4"/>
  <c r="AE78" i="4" s="1"/>
  <c r="X107" i="4"/>
  <c r="AE107" i="4" s="1"/>
  <c r="X54" i="4"/>
  <c r="AE54" i="4" s="1"/>
  <c r="X10" i="4"/>
  <c r="AE10" i="4" s="1"/>
  <c r="X58" i="4"/>
  <c r="AE58" i="4" s="1"/>
  <c r="AB82" i="4"/>
  <c r="AB112" i="4"/>
  <c r="AB106" i="4"/>
  <c r="AB88" i="4"/>
  <c r="AB87" i="4"/>
  <c r="AB90" i="4"/>
  <c r="AB77" i="4"/>
  <c r="AB74" i="4"/>
  <c r="AB95" i="4"/>
  <c r="AB81" i="4"/>
  <c r="AB75" i="4"/>
  <c r="AB96" i="4"/>
  <c r="AB104" i="4"/>
  <c r="AA69" i="4"/>
  <c r="X88" i="4"/>
  <c r="AE88" i="4" s="1"/>
  <c r="X90" i="4"/>
  <c r="AE90" i="4" s="1"/>
  <c r="X106" i="4"/>
  <c r="AE106" i="4" s="1"/>
  <c r="X81" i="4"/>
  <c r="AE81" i="4" s="1"/>
  <c r="V36" i="4"/>
  <c r="AB36" i="4"/>
  <c r="AB55" i="4"/>
  <c r="V41" i="4"/>
  <c r="AB41" i="4"/>
  <c r="X77" i="4"/>
  <c r="AE77" i="4" s="1"/>
  <c r="X95" i="4"/>
  <c r="AE95" i="4" s="1"/>
  <c r="X96" i="4"/>
  <c r="AE96" i="4" s="1"/>
  <c r="X87" i="4"/>
  <c r="AE87" i="4" s="1"/>
  <c r="X82" i="4"/>
  <c r="AE82" i="4" s="1"/>
  <c r="X75" i="4"/>
  <c r="AE75" i="4" s="1"/>
  <c r="X112" i="4"/>
  <c r="AE112" i="4" s="1"/>
  <c r="V8" i="4"/>
  <c r="V55" i="4"/>
  <c r="X74" i="4"/>
  <c r="AE74" i="4" s="1"/>
  <c r="X104" i="4"/>
  <c r="AE104" i="4" s="1"/>
  <c r="W73" i="4" l="1"/>
  <c r="W116" i="4" s="1"/>
  <c r="X28" i="4"/>
  <c r="AE28" i="4" s="1"/>
  <c r="X21" i="4"/>
  <c r="AE21" i="4" s="1"/>
  <c r="X73" i="4"/>
  <c r="X116" i="4" s="1"/>
  <c r="Y73" i="4"/>
  <c r="AB73" i="4" s="1"/>
  <c r="AB117" i="4" s="1"/>
  <c r="X12" i="4"/>
  <c r="AE12" i="4" s="1"/>
  <c r="AE33" i="4"/>
  <c r="X36" i="4"/>
  <c r="AE36" i="4" s="1"/>
  <c r="X55" i="4"/>
  <c r="AE55" i="4" s="1"/>
  <c r="X41" i="4"/>
  <c r="AE41" i="4" s="1"/>
  <c r="X8" i="4"/>
  <c r="AE8" i="4" s="1"/>
  <c r="Y69" i="4" l="1"/>
  <c r="W69" i="4"/>
  <c r="V69" i="4" l="1"/>
  <c r="AB69" i="4"/>
  <c r="X69" i="4" l="1"/>
  <c r="AE69" i="4"/>
  <c r="AB70" i="4"/>
  <c r="AB71" i="4" s="1"/>
</calcChain>
</file>

<file path=xl/comments1.xml><?xml version="1.0" encoding="utf-8"?>
<comments xmlns="http://schemas.openxmlformats.org/spreadsheetml/2006/main">
  <authors>
    <author>Saul Pineda</author>
    <author>usuario</author>
  </authors>
  <commentList>
    <comment ref="H61" authorId="0" shapeId="0">
      <text>
        <r>
          <rPr>
            <b/>
            <sz val="9"/>
            <color indexed="81"/>
            <rFont val="Tahoma"/>
            <family val="2"/>
          </rPr>
          <t>Saul Pineda:</t>
        </r>
        <r>
          <rPr>
            <sz val="9"/>
            <color indexed="81"/>
            <rFont val="Tahoma"/>
            <family val="2"/>
          </rPr>
          <t xml:space="preserve">
PAGO DE PV PERIODO 1</t>
        </r>
      </text>
    </comment>
    <comment ref="N75" authorId="1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1" authorId="1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<sst xmlns="http://schemas.openxmlformats.org/spreadsheetml/2006/main" count="448" uniqueCount="207">
  <si>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</si>
  <si>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</si>
  <si>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</si>
  <si>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</si>
  <si>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</si>
  <si>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</si>
  <si>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</si>
  <si>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</si>
  <si>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</si>
  <si>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</si>
  <si>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</si>
  <si>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</si>
  <si>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</si>
  <si>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</si>
  <si>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</si>
  <si>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</si>
  <si>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</si>
  <si>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</si>
  <si>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</si>
  <si>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</si>
  <si>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</si>
  <si>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</si>
  <si>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</si>
  <si>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</si>
  <si>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</si>
  <si>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</si>
  <si>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</si>
  <si>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</si>
  <si>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</si>
  <si>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</si>
  <si>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</si>
  <si>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</si>
  <si>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</si>
  <si>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</si>
  <si>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</si>
  <si>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</si>
  <si>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</si>
  <si>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</si>
  <si>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</si>
  <si>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</si>
  <si>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</si>
  <si>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</si>
  <si>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</si>
  <si>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</si>
  <si>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</si>
  <si>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</si>
  <si>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</si>
  <si>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</si>
  <si>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</si>
  <si>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</si>
  <si>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</si>
  <si>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</si>
  <si>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</si>
  <si>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</si>
  <si>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</si>
  <si>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</si>
  <si>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</si>
  <si>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</si>
  <si>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</si>
  <si>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</si>
  <si>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</si>
  <si>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</si>
  <si>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</si>
  <si>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</si>
  <si>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</si>
  <si>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</si>
  <si>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</si>
  <si>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</si>
  <si>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</si>
  <si>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</si>
  <si>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</si>
  <si>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</si>
  <si>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</si>
  <si>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</si>
  <si>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</si>
  <si>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</si>
  <si>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</si>
  <si>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</si>
  <si>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</si>
  <si>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</si>
  <si>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</si>
  <si>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</si>
  <si>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</si>
  <si>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</si>
  <si>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</si>
  <si>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</si>
  <si>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</si>
  <si>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</si>
  <si>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</si>
  <si>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</si>
  <si>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</si>
  <si>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</si>
  <si>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</si>
  <si>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</si>
  <si>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</si>
  <si>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</si>
  <si>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</si>
  <si>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</si>
  <si>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</si>
  <si>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</si>
  <si>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</si>
  <si>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</si>
  <si>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</si>
  <si>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</si>
  <si>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</si>
  <si>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</si>
  <si>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</si>
  <si>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</si>
  <si>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</si>
  <si>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</si>
  <si>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</si>
  <si>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</si>
  <si>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</si>
  <si>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</si>
  <si>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</si>
  <si>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</si>
  <si>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</si>
  <si>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</si>
  <si>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</si>
  <si>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</si>
  <si>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</si>
  <si>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</si>
  <si>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</si>
  <si>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</si>
  <si>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</si>
  <si>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</si>
  <si>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</si>
  <si>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</si>
  <si>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</si>
  <si>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</si>
  <si>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</si>
  <si>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</si>
  <si>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</si>
  <si>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</si>
  <si>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</si>
  <si>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</si>
  <si>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</si>
  <si>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</si>
  <si>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</si>
  <si>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</si>
  <si>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</si>
  <si>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</si>
  <si>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</si>
  <si>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</si>
  <si>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</si>
  <si>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</si>
  <si>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</si>
  <si>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</si>
  <si>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</si>
  <si>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</si>
  <si>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</si>
  <si>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</si>
  <si>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</si>
  <si>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</si>
  <si>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</si>
  <si>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</si>
  <si>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</si>
  <si>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</si>
  <si>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</si>
  <si>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</si>
  <si>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</si>
  <si>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</si>
  <si>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</si>
  <si>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</si>
  <si>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</si>
  <si>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</si>
  <si>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</si>
  <si>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</si>
  <si>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</si>
  <si>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</si>
  <si>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</si>
  <si>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</si>
  <si>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</si>
  <si>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</si>
  <si>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</si>
  <si>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</si>
  <si>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</si>
  <si>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ACOSTA MORENO EDGAR ARMANDO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</si>
  <si>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</si>
  <si>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</si>
  <si>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</si>
  <si>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</si>
  <si>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</si>
  <si>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</si>
  <si>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</si>
  <si>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ZERMEÑO ALEX JOHNATHAN</t>
  </si>
  <si>
    <t>LOPEZ PEDROZA MIROSLAVA</t>
  </si>
  <si>
    <t>PEREZ TORRES VICENTE DANIEL</t>
  </si>
  <si>
    <t>MECANICO</t>
  </si>
  <si>
    <t>VALDEZ ESPINO JOSE JACOB</t>
  </si>
  <si>
    <t>AYUDANTE DE MECANICO</t>
  </si>
  <si>
    <t>SANCHEZ CABRERA ANGEL DAVID</t>
  </si>
  <si>
    <t>DESC CTA 254 2/8 OPTICA</t>
  </si>
  <si>
    <t>ANAYA OCHOA LEON FELIPE</t>
  </si>
  <si>
    <t>HURRLE SALZMANN CARLOS ABELARDO</t>
  </si>
  <si>
    <t>Periodo Semana 47</t>
  </si>
  <si>
    <t>15/11/17 AL 21/11/17</t>
  </si>
  <si>
    <t>DESC CTA 254 2/12 PRESTAMO</t>
  </si>
  <si>
    <t>DESC CTA 254 2/16 PRESTAMO</t>
  </si>
  <si>
    <t>DESC CTA 254 3/8 CONCEPTO CELULAR</t>
  </si>
  <si>
    <t>DESC CTA 254 3/8 OPTICA</t>
  </si>
  <si>
    <t>PAGO DE 9 HRS EXTRAS</t>
  </si>
  <si>
    <t>PAGO DE 7 HRS EXTRAS</t>
  </si>
  <si>
    <t>PAGO DE 5 HRS EXTRAS</t>
  </si>
  <si>
    <t>DESC CTA 254 1/6 CELULAR</t>
  </si>
  <si>
    <t>AVALOS DURAMAS MARTHA KATHERINE</t>
  </si>
  <si>
    <t>CASTRUITA AGUILAR DAVID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</si>
</sst>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0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0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0" fontId="11" fillId="9" borderId="7" xfId="0" applyFont="1" applyFill="1" applyBorder="1"/>
    <xf numFmtId="4" fontId="11" fillId="9" borderId="7" xfId="0" applyNumberFormat="1" applyFont="1" applyFill="1" applyBorder="1"/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5" fillId="9" borderId="7" xfId="0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0" fontId="6" fillId="10" borderId="7" xfId="0" applyFont="1" applyFill="1" applyBorder="1"/>
    <xf numFmtId="43" fontId="6" fillId="5" borderId="2" xfId="2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43" fontId="6" fillId="5" borderId="1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E14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47" width="11.5703125" style="18"/>
    <col min="48" max="16384" width="11.5703125" style="19"/>
  </cols>
  <sheetData>
    <row r="1" spans="1:47" s="7" customFormat="1">
      <c r="A1" s="2" t="s">
        <v>117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7" customFormat="1">
      <c r="A3" s="10" t="s">
        <v>195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12" customFormat="1">
      <c r="A4" s="12" t="s">
        <v>196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2" customFormat="1" ht="28.5" customHeight="1">
      <c r="A5" s="96" t="s">
        <v>13</v>
      </c>
      <c r="B5" s="96" t="s">
        <v>14</v>
      </c>
      <c r="C5" s="96" t="s">
        <v>0</v>
      </c>
      <c r="D5" s="98" t="s">
        <v>67</v>
      </c>
      <c r="E5" s="98" t="s">
        <v>149</v>
      </c>
      <c r="F5" s="92" t="s">
        <v>32</v>
      </c>
      <c r="G5" s="92" t="s">
        <v>175</v>
      </c>
      <c r="H5" s="100" t="s">
        <v>9</v>
      </c>
      <c r="I5" s="100" t="s">
        <v>10</v>
      </c>
      <c r="J5" s="100" t="s">
        <v>11</v>
      </c>
      <c r="K5" s="100" t="s">
        <v>12</v>
      </c>
      <c r="L5" s="92" t="s">
        <v>93</v>
      </c>
      <c r="M5" s="92" t="s">
        <v>74</v>
      </c>
      <c r="N5" s="101" t="s">
        <v>46</v>
      </c>
      <c r="O5" s="101" t="s">
        <v>60</v>
      </c>
      <c r="P5" s="101" t="s">
        <v>59</v>
      </c>
      <c r="Q5" s="101" t="s">
        <v>47</v>
      </c>
      <c r="R5" s="100" t="s">
        <v>6</v>
      </c>
      <c r="S5" s="100" t="s">
        <v>16</v>
      </c>
      <c r="T5" s="100" t="s">
        <v>15</v>
      </c>
      <c r="U5" s="100" t="s">
        <v>8</v>
      </c>
      <c r="V5" s="100" t="s">
        <v>23</v>
      </c>
      <c r="W5" s="105" t="s">
        <v>3</v>
      </c>
      <c r="X5" s="105" t="s">
        <v>7</v>
      </c>
      <c r="Y5" s="105" t="s">
        <v>2</v>
      </c>
      <c r="Z5" s="105" t="s">
        <v>4</v>
      </c>
      <c r="AA5" s="23"/>
      <c r="AB5" s="105" t="s">
        <v>5</v>
      </c>
      <c r="AC5" s="107" t="s">
        <v>78</v>
      </c>
      <c r="AD5" s="108"/>
      <c r="AE5" s="109" t="s">
        <v>48</v>
      </c>
      <c r="AF5" s="103" t="s">
        <v>69</v>
      </c>
      <c r="AG5" s="103" t="s">
        <v>70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70" customFormat="1" ht="39" customHeight="1">
      <c r="A6" s="97"/>
      <c r="B6" s="97"/>
      <c r="C6" s="97"/>
      <c r="D6" s="99"/>
      <c r="E6" s="99"/>
      <c r="F6" s="95"/>
      <c r="G6" s="93"/>
      <c r="H6" s="92"/>
      <c r="I6" s="92"/>
      <c r="J6" s="92"/>
      <c r="K6" s="92"/>
      <c r="L6" s="93"/>
      <c r="M6" s="93"/>
      <c r="N6" s="102"/>
      <c r="O6" s="102"/>
      <c r="P6" s="102"/>
      <c r="Q6" s="102"/>
      <c r="R6" s="92"/>
      <c r="S6" s="92"/>
      <c r="T6" s="92"/>
      <c r="U6" s="92"/>
      <c r="V6" s="92"/>
      <c r="W6" s="106"/>
      <c r="X6" s="106"/>
      <c r="Y6" s="106"/>
      <c r="Z6" s="106"/>
      <c r="AA6" s="67"/>
      <c r="AB6" s="106"/>
      <c r="AC6" s="68" t="s">
        <v>24</v>
      </c>
      <c r="AD6" s="68" t="s">
        <v>25</v>
      </c>
      <c r="AE6" s="109"/>
      <c r="AF6" s="103"/>
      <c r="AG6" s="103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</row>
    <row r="7" spans="1:47" s="18" customFormat="1">
      <c r="A7" s="71" t="s">
        <v>28</v>
      </c>
      <c r="B7" s="33" t="s">
        <v>177</v>
      </c>
      <c r="C7" s="33" t="s">
        <v>30</v>
      </c>
      <c r="D7" s="49">
        <v>42685</v>
      </c>
      <c r="E7" s="34">
        <v>1026.69</v>
      </c>
      <c r="F7" s="34"/>
      <c r="G7" s="34"/>
      <c r="H7" s="34"/>
      <c r="I7" s="34"/>
      <c r="J7" s="46">
        <f t="shared" ref="J7:J21" si="0">SUM(F7:I7)</f>
        <v>0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4" si="1">+J7-SUM(K7:U7)</f>
        <v>0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</row>
    <row r="8" spans="1:47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885.68</v>
      </c>
      <c r="G8" s="34"/>
      <c r="H8" s="34"/>
      <c r="I8" s="34"/>
      <c r="J8" s="46">
        <f t="shared" si="0"/>
        <v>885.68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885.68</v>
      </c>
      <c r="W8" s="32">
        <f t="shared" ref="W8:W28" si="2">IF(J8&gt;2250,J8*0.1,0)</f>
        <v>0</v>
      </c>
      <c r="X8" s="46">
        <f t="shared" ref="X8:X28" si="3">+V8-W8</f>
        <v>885.68</v>
      </c>
      <c r="Y8" s="32">
        <f t="shared" ref="Y8:Y28" si="4">IF(J8&lt;2250,J8*0.1,0)</f>
        <v>88.567999999999998</v>
      </c>
      <c r="Z8" s="32">
        <v>10.23</v>
      </c>
      <c r="AA8" s="32">
        <f t="shared" ref="AA8:AA28" si="5">+O8</f>
        <v>0</v>
      </c>
      <c r="AB8" s="46">
        <f t="shared" ref="AB8:AB28" si="6">+J8+Y8+Z8+AA8</f>
        <v>984.47799999999995</v>
      </c>
      <c r="AC8" s="50"/>
      <c r="AD8" s="51"/>
      <c r="AE8" s="47">
        <f t="shared" ref="AE8:AE12" si="7">+AC8+AD8-X8</f>
        <v>-885.68</v>
      </c>
      <c r="AF8" s="35">
        <v>56708844887</v>
      </c>
      <c r="AG8" s="33"/>
    </row>
    <row r="9" spans="1:47" s="18" customFormat="1">
      <c r="A9" s="71" t="s">
        <v>28</v>
      </c>
      <c r="B9" s="33" t="s">
        <v>193</v>
      </c>
      <c r="C9" s="33" t="s">
        <v>30</v>
      </c>
      <c r="D9" s="49">
        <v>43052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46">
        <f t="shared" si="1"/>
        <v>0</v>
      </c>
      <c r="W9" s="32"/>
      <c r="X9" s="46"/>
      <c r="Y9" s="32"/>
      <c r="Z9" s="32"/>
      <c r="AA9" s="32"/>
      <c r="AB9" s="46"/>
      <c r="AC9" s="50"/>
      <c r="AD9" s="51"/>
      <c r="AE9" s="47"/>
      <c r="AF9" s="35">
        <v>60597137212</v>
      </c>
      <c r="AG9" s="33"/>
    </row>
    <row r="10" spans="1:47" s="18" customFormat="1">
      <c r="A10" s="71" t="s">
        <v>28</v>
      </c>
      <c r="B10" s="33" t="s">
        <v>35</v>
      </c>
      <c r="C10" s="33" t="s">
        <v>31</v>
      </c>
      <c r="D10" s="49">
        <v>39508</v>
      </c>
      <c r="E10" s="34">
        <v>4666.6899999999996</v>
      </c>
      <c r="F10" s="34"/>
      <c r="G10" s="34"/>
      <c r="H10" s="34"/>
      <c r="I10" s="34"/>
      <c r="J10" s="46">
        <f t="shared" si="0"/>
        <v>0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33">
        <v>193.42</v>
      </c>
      <c r="V10" s="46">
        <f t="shared" si="1"/>
        <v>-193.42</v>
      </c>
      <c r="W10" s="32">
        <f t="shared" si="2"/>
        <v>0</v>
      </c>
      <c r="X10" s="46">
        <f t="shared" si="3"/>
        <v>-193.42</v>
      </c>
      <c r="Y10" s="32">
        <f t="shared" si="4"/>
        <v>0</v>
      </c>
      <c r="Z10" s="32">
        <v>10.23</v>
      </c>
      <c r="AA10" s="32">
        <f t="shared" si="5"/>
        <v>0</v>
      </c>
      <c r="AB10" s="46">
        <f t="shared" si="6"/>
        <v>10.23</v>
      </c>
      <c r="AC10" s="50"/>
      <c r="AD10" s="51"/>
      <c r="AE10" s="47">
        <f t="shared" si="7"/>
        <v>193.42</v>
      </c>
      <c r="AF10" s="35">
        <v>56708881292</v>
      </c>
      <c r="AG10" s="33"/>
    </row>
    <row r="11" spans="1:47" s="18" customFormat="1">
      <c r="A11" s="71" t="s">
        <v>27</v>
      </c>
      <c r="B11" s="33" t="s">
        <v>174</v>
      </c>
      <c r="C11" s="33" t="s">
        <v>44</v>
      </c>
      <c r="D11" s="49">
        <v>43017</v>
      </c>
      <c r="E11" s="34">
        <v>1026.69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72"/>
      <c r="V11" s="46"/>
      <c r="W11" s="32"/>
      <c r="X11" s="46"/>
      <c r="Y11" s="32"/>
      <c r="Z11" s="32"/>
      <c r="AA11" s="32"/>
      <c r="AB11" s="46"/>
      <c r="AC11" s="50"/>
      <c r="AD11" s="51"/>
      <c r="AE11" s="47"/>
      <c r="AF11" s="73" t="s">
        <v>173</v>
      </c>
      <c r="AG11" s="35"/>
    </row>
    <row r="12" spans="1:47" s="18" customFormat="1">
      <c r="A12" s="71" t="s">
        <v>28</v>
      </c>
      <c r="B12" s="33" t="s">
        <v>61</v>
      </c>
      <c r="C12" s="33" t="s">
        <v>30</v>
      </c>
      <c r="D12" s="49">
        <v>42383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>
        <v>358.34</v>
      </c>
      <c r="V12" s="46">
        <f t="shared" si="1"/>
        <v>-358.34</v>
      </c>
      <c r="W12" s="32">
        <f t="shared" si="2"/>
        <v>0</v>
      </c>
      <c r="X12" s="46">
        <f t="shared" si="3"/>
        <v>-358.34</v>
      </c>
      <c r="Y12" s="32">
        <f t="shared" si="4"/>
        <v>0</v>
      </c>
      <c r="Z12" s="32">
        <v>10.23</v>
      </c>
      <c r="AA12" s="32">
        <f t="shared" si="5"/>
        <v>0</v>
      </c>
      <c r="AB12" s="46">
        <f t="shared" si="6"/>
        <v>10.23</v>
      </c>
      <c r="AC12" s="50"/>
      <c r="AD12" s="51"/>
      <c r="AE12" s="47">
        <f t="shared" si="7"/>
        <v>358.34</v>
      </c>
      <c r="AF12" s="35">
        <v>56708881304</v>
      </c>
      <c r="AG12" s="33"/>
    </row>
    <row r="13" spans="1:47" s="18" customFormat="1">
      <c r="A13" s="71" t="s">
        <v>27</v>
      </c>
      <c r="B13" s="33" t="s">
        <v>164</v>
      </c>
      <c r="C13" s="33" t="s">
        <v>30</v>
      </c>
      <c r="D13" s="49">
        <v>42991</v>
      </c>
      <c r="E13" s="34">
        <v>1026.69</v>
      </c>
      <c r="F13" s="34"/>
      <c r="G13" s="34"/>
      <c r="H13" s="34"/>
      <c r="I13" s="34"/>
      <c r="J13" s="46">
        <f t="shared" si="0"/>
        <v>0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33">
        <v>467.79</v>
      </c>
      <c r="V13" s="46"/>
      <c r="W13" s="32"/>
      <c r="X13" s="46"/>
      <c r="Y13" s="32"/>
      <c r="Z13" s="32"/>
      <c r="AA13" s="32"/>
      <c r="AB13" s="46"/>
      <c r="AC13" s="50"/>
      <c r="AD13" s="51"/>
      <c r="AE13" s="47"/>
      <c r="AF13" s="35">
        <v>56708881318</v>
      </c>
      <c r="AG13" s="33"/>
    </row>
    <row r="14" spans="1:47" s="18" customFormat="1">
      <c r="A14" s="88" t="s">
        <v>37</v>
      </c>
      <c r="B14" s="88" t="s">
        <v>205</v>
      </c>
      <c r="C14" s="88" t="s">
        <v>184</v>
      </c>
      <c r="D14" s="89">
        <v>43054</v>
      </c>
      <c r="E14" s="90">
        <v>1400</v>
      </c>
      <c r="F14" s="90"/>
      <c r="G14" s="90"/>
      <c r="H14" s="90"/>
      <c r="I14" s="90"/>
      <c r="J14" s="46"/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46"/>
      <c r="W14" s="32"/>
      <c r="X14" s="46"/>
      <c r="Y14" s="32"/>
      <c r="Z14" s="32"/>
      <c r="AA14" s="32"/>
      <c r="AB14" s="46"/>
      <c r="AC14" s="50"/>
      <c r="AD14" s="51"/>
      <c r="AE14" s="47"/>
      <c r="AF14" s="91">
        <v>60597130077</v>
      </c>
      <c r="AG14" s="88"/>
    </row>
    <row r="15" spans="1:47" s="18" customFormat="1" ht="15.75">
      <c r="A15" s="71" t="s">
        <v>28</v>
      </c>
      <c r="B15" s="33" t="s">
        <v>136</v>
      </c>
      <c r="C15" s="33" t="s">
        <v>30</v>
      </c>
      <c r="D15" s="49">
        <v>42878</v>
      </c>
      <c r="E15" s="34">
        <v>1026.69</v>
      </c>
      <c r="F15" s="34"/>
      <c r="G15" s="34"/>
      <c r="H15" s="34"/>
      <c r="I15" s="34"/>
      <c r="J15" s="46">
        <f t="shared" si="0"/>
        <v>0</v>
      </c>
      <c r="K15" s="34"/>
      <c r="L15" s="60">
        <v>2</v>
      </c>
      <c r="M15" s="34"/>
      <c r="N15" s="34"/>
      <c r="O15" s="61"/>
      <c r="P15" s="61"/>
      <c r="Q15" s="34"/>
      <c r="R15" s="32"/>
      <c r="S15" s="66">
        <v>0.3</v>
      </c>
      <c r="T15" s="33"/>
      <c r="U15" s="33">
        <v>300</v>
      </c>
      <c r="V15" s="46">
        <f t="shared" si="1"/>
        <v>-302.3</v>
      </c>
      <c r="W15" s="32"/>
      <c r="X15" s="46"/>
      <c r="Y15" s="32"/>
      <c r="Z15" s="32"/>
      <c r="AA15" s="32"/>
      <c r="AB15" s="46"/>
      <c r="AC15" s="50"/>
      <c r="AD15" s="51"/>
      <c r="AE15" s="47"/>
      <c r="AF15" s="35">
        <v>53917427816</v>
      </c>
      <c r="AG15" s="33"/>
    </row>
    <row r="16" spans="1:47" s="18" customFormat="1" ht="15.75">
      <c r="A16" s="71" t="s">
        <v>27</v>
      </c>
      <c r="B16" s="33" t="s">
        <v>140</v>
      </c>
      <c r="C16" s="33" t="s">
        <v>170</v>
      </c>
      <c r="D16" s="49">
        <v>42908</v>
      </c>
      <c r="E16" s="34">
        <v>1499.96</v>
      </c>
      <c r="F16" s="34"/>
      <c r="G16" s="34"/>
      <c r="H16" s="34"/>
      <c r="I16" s="34"/>
      <c r="J16" s="46">
        <f t="shared" si="0"/>
        <v>0</v>
      </c>
      <c r="K16" s="34"/>
      <c r="L16" s="60"/>
      <c r="M16" s="34"/>
      <c r="N16" s="34"/>
      <c r="O16" s="61"/>
      <c r="P16" s="61"/>
      <c r="Q16" s="34"/>
      <c r="R16" s="32"/>
      <c r="S16" s="66"/>
      <c r="T16" s="33"/>
      <c r="U16" s="33"/>
      <c r="V16" s="46">
        <f t="shared" si="1"/>
        <v>0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60592545278</v>
      </c>
      <c r="AG16" s="35"/>
    </row>
    <row r="17" spans="1:34" s="18" customFormat="1" ht="15.75">
      <c r="A17" s="71" t="s">
        <v>37</v>
      </c>
      <c r="B17" s="33" t="s">
        <v>159</v>
      </c>
      <c r="C17" s="33" t="s">
        <v>42</v>
      </c>
      <c r="D17" s="49">
        <v>42977</v>
      </c>
      <c r="E17" s="34">
        <v>933.31</v>
      </c>
      <c r="F17" s="34">
        <v>1830</v>
      </c>
      <c r="G17" s="34"/>
      <c r="H17" s="34"/>
      <c r="I17" s="34"/>
      <c r="J17" s="46">
        <f t="shared" si="0"/>
        <v>1830</v>
      </c>
      <c r="K17" s="34">
        <v>248.84</v>
      </c>
      <c r="L17" s="60"/>
      <c r="M17" s="34"/>
      <c r="N17" s="34"/>
      <c r="O17" s="61"/>
      <c r="P17" s="61"/>
      <c r="Q17" s="34"/>
      <c r="R17" s="32"/>
      <c r="S17" s="66"/>
      <c r="T17" s="33"/>
      <c r="U17" s="33"/>
      <c r="V17" s="46">
        <f t="shared" si="1"/>
        <v>1581.16</v>
      </c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60594701908</v>
      </c>
      <c r="AG17" s="35" t="s">
        <v>204</v>
      </c>
    </row>
    <row r="18" spans="1:34" s="18" customFormat="1" ht="15.75">
      <c r="A18" s="71" t="s">
        <v>28</v>
      </c>
      <c r="B18" s="33" t="s">
        <v>72</v>
      </c>
      <c r="C18" s="33" t="s">
        <v>31</v>
      </c>
      <c r="D18" s="49">
        <v>39699</v>
      </c>
      <c r="E18" s="34">
        <v>4666.6899999999996</v>
      </c>
      <c r="F18" s="34">
        <v>10714.99</v>
      </c>
      <c r="G18" s="34"/>
      <c r="H18" s="34"/>
      <c r="I18" s="34"/>
      <c r="J18" s="46">
        <f t="shared" si="0"/>
        <v>10714.99</v>
      </c>
      <c r="K18" s="34">
        <v>1250</v>
      </c>
      <c r="L18" s="60"/>
      <c r="M18" s="34"/>
      <c r="N18" s="34">
        <v>1000</v>
      </c>
      <c r="O18" s="61"/>
      <c r="P18" s="61"/>
      <c r="Q18" s="34"/>
      <c r="R18" s="32">
        <v>2000</v>
      </c>
      <c r="S18" s="66"/>
      <c r="T18" s="33"/>
      <c r="U18" s="33"/>
      <c r="V18" s="46">
        <f t="shared" si="1"/>
        <v>6464.99</v>
      </c>
      <c r="W18" s="32">
        <f t="shared" si="2"/>
        <v>1071.499</v>
      </c>
      <c r="X18" s="46">
        <f t="shared" si="3"/>
        <v>5393.491</v>
      </c>
      <c r="Y18" s="32">
        <f t="shared" si="4"/>
        <v>0</v>
      </c>
      <c r="Z18" s="32">
        <v>10.23</v>
      </c>
      <c r="AA18" s="32">
        <f t="shared" si="5"/>
        <v>0</v>
      </c>
      <c r="AB18" s="46">
        <f t="shared" si="6"/>
        <v>10725.22</v>
      </c>
      <c r="AC18" s="50"/>
      <c r="AD18" s="51"/>
      <c r="AE18" s="47">
        <f t="shared" ref="AE18" si="8">+AC18+AD18-X18</f>
        <v>-5393.491</v>
      </c>
      <c r="AF18" s="35">
        <v>56708881349</v>
      </c>
      <c r="AG18" s="35" t="s">
        <v>198</v>
      </c>
    </row>
    <row r="19" spans="1:34" s="18" customFormat="1">
      <c r="A19" s="88" t="s">
        <v>28</v>
      </c>
      <c r="B19" s="88" t="s">
        <v>206</v>
      </c>
      <c r="C19" s="88" t="s">
        <v>30</v>
      </c>
      <c r="D19" s="89">
        <v>43055</v>
      </c>
      <c r="E19" s="90">
        <v>1026.69</v>
      </c>
      <c r="F19" s="90"/>
      <c r="G19" s="90"/>
      <c r="H19" s="90"/>
      <c r="I19" s="90"/>
      <c r="J19" s="46"/>
      <c r="K19" s="34"/>
      <c r="L19" s="60"/>
      <c r="M19" s="34"/>
      <c r="N19" s="34"/>
      <c r="O19" s="61"/>
      <c r="P19" s="61"/>
      <c r="Q19" s="34"/>
      <c r="R19" s="32"/>
      <c r="S19" s="32"/>
      <c r="T19" s="33"/>
      <c r="U19" s="33"/>
      <c r="V19" s="46"/>
      <c r="W19" s="32"/>
      <c r="X19" s="46"/>
      <c r="Y19" s="32"/>
      <c r="Z19" s="32"/>
      <c r="AA19" s="32"/>
      <c r="AB19" s="46"/>
      <c r="AC19" s="50"/>
      <c r="AD19" s="51"/>
      <c r="AE19" s="47"/>
      <c r="AF19" s="91">
        <v>60597155367</v>
      </c>
      <c r="AG19" s="88"/>
    </row>
    <row r="20" spans="1:34" s="18" customFormat="1" ht="15.75">
      <c r="A20" s="71" t="s">
        <v>27</v>
      </c>
      <c r="B20" s="33" t="s">
        <v>167</v>
      </c>
      <c r="C20" s="33" t="s">
        <v>30</v>
      </c>
      <c r="D20" s="49">
        <v>43005</v>
      </c>
      <c r="E20" s="34">
        <v>1026.69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/>
      <c r="O20" s="61"/>
      <c r="P20" s="61"/>
      <c r="Q20" s="34"/>
      <c r="R20" s="32"/>
      <c r="S20" s="66"/>
      <c r="T20" s="33"/>
      <c r="U20" s="33">
        <v>302.99</v>
      </c>
      <c r="V20" s="46"/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60595911850</v>
      </c>
      <c r="AG20" s="33"/>
    </row>
    <row r="21" spans="1:34" s="18" customFormat="1" ht="15.75">
      <c r="A21" s="71" t="s">
        <v>68</v>
      </c>
      <c r="B21" s="33" t="s">
        <v>55</v>
      </c>
      <c r="C21" s="33" t="s">
        <v>43</v>
      </c>
      <c r="D21" s="49">
        <v>42205</v>
      </c>
      <c r="E21" s="34">
        <v>1869</v>
      </c>
      <c r="F21" s="34"/>
      <c r="G21" s="34"/>
      <c r="H21" s="34"/>
      <c r="I21" s="34"/>
      <c r="J21" s="46">
        <f t="shared" si="0"/>
        <v>0</v>
      </c>
      <c r="K21" s="34"/>
      <c r="L21" s="60"/>
      <c r="M21" s="34"/>
      <c r="N21" s="34">
        <v>300</v>
      </c>
      <c r="O21" s="61"/>
      <c r="P21" s="61"/>
      <c r="Q21" s="34"/>
      <c r="R21" s="32"/>
      <c r="S21" s="66">
        <v>0.3</v>
      </c>
      <c r="T21" s="33"/>
      <c r="U21" s="33"/>
      <c r="V21" s="46">
        <f t="shared" si="1"/>
        <v>-300.3</v>
      </c>
      <c r="W21" s="32">
        <f t="shared" si="2"/>
        <v>0</v>
      </c>
      <c r="X21" s="46">
        <f t="shared" si="3"/>
        <v>-300.3</v>
      </c>
      <c r="Y21" s="32">
        <f t="shared" si="4"/>
        <v>0</v>
      </c>
      <c r="Z21" s="32">
        <v>10.23</v>
      </c>
      <c r="AA21" s="32">
        <f t="shared" si="5"/>
        <v>0</v>
      </c>
      <c r="AB21" s="46">
        <f t="shared" si="6"/>
        <v>10.23</v>
      </c>
      <c r="AC21" s="50"/>
      <c r="AD21" s="51"/>
      <c r="AE21" s="47">
        <f t="shared" ref="AE21" si="9">+AC21+AD21-X21</f>
        <v>300.3</v>
      </c>
      <c r="AF21" s="35">
        <v>56708844950</v>
      </c>
      <c r="AG21" s="33"/>
    </row>
    <row r="22" spans="1:34" s="18" customFormat="1" ht="15.75">
      <c r="A22" s="71" t="s">
        <v>68</v>
      </c>
      <c r="B22" s="33" t="s">
        <v>85</v>
      </c>
      <c r="C22" s="33" t="s">
        <v>43</v>
      </c>
      <c r="D22" s="49">
        <v>42476</v>
      </c>
      <c r="E22" s="34">
        <v>1869</v>
      </c>
      <c r="F22" s="34"/>
      <c r="G22" s="34"/>
      <c r="H22" s="34"/>
      <c r="I22" s="34"/>
      <c r="J22" s="46">
        <f t="shared" ref="J22:J67" si="10">SUM(F22:I22)</f>
        <v>0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46">
        <f t="shared" si="1"/>
        <v>0</v>
      </c>
      <c r="W22" s="32">
        <f t="shared" ref="W22" si="11">IF(J22&gt;2250,J22*0.1,0)</f>
        <v>0</v>
      </c>
      <c r="X22" s="46">
        <f t="shared" ref="X22" si="12">+V22-W22</f>
        <v>0</v>
      </c>
      <c r="Y22" s="32">
        <f t="shared" si="4"/>
        <v>0</v>
      </c>
      <c r="Z22" s="32">
        <v>10.23</v>
      </c>
      <c r="AA22" s="32">
        <f t="shared" si="5"/>
        <v>0</v>
      </c>
      <c r="AB22" s="46">
        <f t="shared" si="6"/>
        <v>10.23</v>
      </c>
      <c r="AC22" s="50"/>
      <c r="AD22" s="51"/>
      <c r="AE22" s="47" t="e">
        <f>+AC22+AD22-#REF!</f>
        <v>#REF!</v>
      </c>
      <c r="AF22" s="35">
        <v>56708844964</v>
      </c>
      <c r="AG22" s="35" t="s">
        <v>203</v>
      </c>
    </row>
    <row r="23" spans="1:34" s="18" customFormat="1" ht="15.75">
      <c r="A23" s="71" t="s">
        <v>28</v>
      </c>
      <c r="B23" s="33" t="s">
        <v>145</v>
      </c>
      <c r="C23" s="33" t="s">
        <v>30</v>
      </c>
      <c r="D23" s="49">
        <v>42916</v>
      </c>
      <c r="E23" s="34">
        <v>1026.69</v>
      </c>
      <c r="F23" s="34">
        <v>2545.58</v>
      </c>
      <c r="G23" s="34"/>
      <c r="H23" s="34"/>
      <c r="I23" s="34"/>
      <c r="J23" s="46">
        <f t="shared" si="10"/>
        <v>2545.58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>
        <v>470.86</v>
      </c>
      <c r="V23" s="46">
        <f t="shared" si="1"/>
        <v>2074.7199999999998</v>
      </c>
      <c r="W23" s="32"/>
      <c r="X23" s="46"/>
      <c r="Y23" s="32"/>
      <c r="Z23" s="32"/>
      <c r="AA23" s="32"/>
      <c r="AB23" s="46"/>
      <c r="AC23" s="50"/>
      <c r="AD23" s="51"/>
      <c r="AE23" s="47"/>
      <c r="AF23" s="35">
        <v>60592609882</v>
      </c>
      <c r="AG23" s="33"/>
    </row>
    <row r="24" spans="1:34" s="18" customFormat="1" ht="15.75">
      <c r="A24" s="71" t="s">
        <v>28</v>
      </c>
      <c r="B24" s="33" t="s">
        <v>138</v>
      </c>
      <c r="C24" s="33" t="s">
        <v>30</v>
      </c>
      <c r="D24" s="49">
        <v>42899</v>
      </c>
      <c r="E24" s="34">
        <v>1026.69</v>
      </c>
      <c r="F24" s="34"/>
      <c r="G24" s="34"/>
      <c r="H24" s="34"/>
      <c r="I24" s="34"/>
      <c r="J24" s="46">
        <f t="shared" si="10"/>
        <v>0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/>
      <c r="V24" s="46">
        <f t="shared" si="1"/>
        <v>0</v>
      </c>
      <c r="W24" s="32"/>
      <c r="X24" s="46"/>
      <c r="Y24" s="32"/>
      <c r="Z24" s="32"/>
      <c r="AA24" s="32"/>
      <c r="AB24" s="46"/>
      <c r="AC24" s="50"/>
      <c r="AD24" s="51"/>
      <c r="AE24" s="47"/>
      <c r="AF24" s="35">
        <v>60592030048</v>
      </c>
      <c r="AG24" s="33"/>
    </row>
    <row r="25" spans="1:34" s="18" customFormat="1" ht="15.75">
      <c r="A25" s="71" t="s">
        <v>28</v>
      </c>
      <c r="B25" s="33" t="s">
        <v>110</v>
      </c>
      <c r="C25" s="33" t="s">
        <v>111</v>
      </c>
      <c r="D25" s="49">
        <v>41359</v>
      </c>
      <c r="E25" s="34">
        <v>4666.6899999999996</v>
      </c>
      <c r="F25" s="34">
        <v>263.17</v>
      </c>
      <c r="G25" s="34"/>
      <c r="H25" s="34"/>
      <c r="I25" s="34"/>
      <c r="J25" s="46">
        <f t="shared" si="10"/>
        <v>263.17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46">
        <f t="shared" si="1"/>
        <v>263.17</v>
      </c>
      <c r="W25" s="32">
        <f t="shared" ref="W25" si="13">IF(J25&gt;2250,J25*0.1,0)</f>
        <v>0</v>
      </c>
      <c r="X25" s="46">
        <f t="shared" ref="X25" si="14">+V25-W25</f>
        <v>263.17</v>
      </c>
      <c r="Y25" s="32"/>
      <c r="Z25" s="32"/>
      <c r="AA25" s="32"/>
      <c r="AB25" s="46"/>
      <c r="AC25" s="50"/>
      <c r="AD25" s="51"/>
      <c r="AE25" s="47"/>
      <c r="AF25" s="35">
        <v>56708881383</v>
      </c>
      <c r="AG25" s="33"/>
    </row>
    <row r="26" spans="1:34" s="18" customFormat="1">
      <c r="A26" s="71" t="s">
        <v>28</v>
      </c>
      <c r="B26" s="33" t="s">
        <v>172</v>
      </c>
      <c r="C26" s="33" t="s">
        <v>30</v>
      </c>
      <c r="D26" s="49">
        <v>43012</v>
      </c>
      <c r="E26" s="34">
        <v>1026.69</v>
      </c>
      <c r="F26" s="34">
        <v>1219.04</v>
      </c>
      <c r="G26" s="34"/>
      <c r="H26" s="34"/>
      <c r="I26" s="34"/>
      <c r="J26" s="46">
        <f t="shared" si="10"/>
        <v>1219.04</v>
      </c>
      <c r="K26" s="34"/>
      <c r="L26" s="60"/>
      <c r="M26" s="34"/>
      <c r="N26" s="34"/>
      <c r="O26" s="61"/>
      <c r="P26" s="61"/>
      <c r="Q26" s="34"/>
      <c r="R26" s="32"/>
      <c r="S26" s="32"/>
      <c r="T26" s="33"/>
      <c r="U26" s="72"/>
      <c r="V26" s="46">
        <f t="shared" si="1"/>
        <v>1219.04</v>
      </c>
      <c r="W26" s="32"/>
      <c r="X26" s="46"/>
      <c r="Y26" s="32"/>
      <c r="Z26" s="32"/>
      <c r="AA26" s="32"/>
      <c r="AB26" s="46"/>
      <c r="AC26" s="50"/>
      <c r="AD26" s="51"/>
      <c r="AE26" s="47"/>
      <c r="AF26" s="73" t="s">
        <v>171</v>
      </c>
      <c r="AG26" s="35"/>
      <c r="AH26" s="18" t="s">
        <v>128</v>
      </c>
    </row>
    <row r="27" spans="1:34" s="18" customFormat="1">
      <c r="A27" s="71" t="s">
        <v>28</v>
      </c>
      <c r="B27" s="33" t="s">
        <v>165</v>
      </c>
      <c r="C27" s="33" t="s">
        <v>30</v>
      </c>
      <c r="D27" s="49">
        <v>42990</v>
      </c>
      <c r="E27" s="34">
        <v>1026.69</v>
      </c>
      <c r="F27" s="34"/>
      <c r="G27" s="34"/>
      <c r="H27" s="34"/>
      <c r="I27" s="34"/>
      <c r="J27" s="46">
        <f t="shared" si="10"/>
        <v>0</v>
      </c>
      <c r="K27" s="34"/>
      <c r="L27" s="60"/>
      <c r="M27" s="34"/>
      <c r="N27" s="34"/>
      <c r="O27" s="61"/>
      <c r="P27" s="61"/>
      <c r="Q27" s="34"/>
      <c r="R27" s="32"/>
      <c r="S27" s="32"/>
      <c r="T27" s="33"/>
      <c r="U27" s="33"/>
      <c r="V27" s="46">
        <f t="shared" si="1"/>
        <v>0</v>
      </c>
      <c r="W27" s="32"/>
      <c r="X27" s="46"/>
      <c r="Y27" s="32"/>
      <c r="Z27" s="32"/>
      <c r="AA27" s="32"/>
      <c r="AB27" s="46"/>
      <c r="AC27" s="50"/>
      <c r="AD27" s="51"/>
      <c r="AE27" s="47"/>
      <c r="AF27" s="35">
        <v>60595209110</v>
      </c>
      <c r="AG27" s="33"/>
    </row>
    <row r="28" spans="1:34" s="18" customFormat="1" ht="15.75">
      <c r="A28" s="71" t="s">
        <v>28</v>
      </c>
      <c r="B28" s="33" t="s">
        <v>84</v>
      </c>
      <c r="C28" s="33" t="s">
        <v>30</v>
      </c>
      <c r="D28" s="49">
        <v>42413</v>
      </c>
      <c r="E28" s="34">
        <v>1026.69</v>
      </c>
      <c r="F28" s="34">
        <v>993.05</v>
      </c>
      <c r="G28" s="34"/>
      <c r="H28" s="34"/>
      <c r="I28" s="34"/>
      <c r="J28" s="46">
        <f t="shared" si="10"/>
        <v>993.05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993.05</v>
      </c>
      <c r="W28" s="32">
        <f t="shared" si="2"/>
        <v>0</v>
      </c>
      <c r="X28" s="46">
        <f t="shared" si="3"/>
        <v>993.05</v>
      </c>
      <c r="Y28" s="32">
        <f t="shared" si="4"/>
        <v>99.305000000000007</v>
      </c>
      <c r="Z28" s="32">
        <v>13.23</v>
      </c>
      <c r="AA28" s="32">
        <f t="shared" si="5"/>
        <v>0</v>
      </c>
      <c r="AB28" s="46">
        <f t="shared" si="6"/>
        <v>1105.585</v>
      </c>
      <c r="AC28" s="50"/>
      <c r="AD28" s="51"/>
      <c r="AE28" s="47">
        <f>+AC28+AD28-X28</f>
        <v>-993.05</v>
      </c>
      <c r="AF28" s="35">
        <v>60590329504</v>
      </c>
      <c r="AG28" s="33"/>
    </row>
    <row r="29" spans="1:34" s="18" customFormat="1" ht="15.75">
      <c r="A29" s="71" t="s">
        <v>28</v>
      </c>
      <c r="B29" s="33" t="s">
        <v>90</v>
      </c>
      <c r="C29" s="33" t="s">
        <v>101</v>
      </c>
      <c r="D29" s="49">
        <v>42480</v>
      </c>
      <c r="E29" s="34">
        <v>2800</v>
      </c>
      <c r="F29" s="34"/>
      <c r="G29" s="34"/>
      <c r="H29" s="34"/>
      <c r="I29" s="34"/>
      <c r="J29" s="46">
        <f t="shared" si="1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46">
        <f t="shared" si="1"/>
        <v>0</v>
      </c>
      <c r="W29" s="32">
        <f t="shared" ref="W29:W49" si="15">IF(J29&gt;2250,J29*0.1,0)</f>
        <v>0</v>
      </c>
      <c r="X29" s="46">
        <f t="shared" ref="X29:X49" si="16">+V29-W29</f>
        <v>0</v>
      </c>
      <c r="Y29" s="32">
        <f t="shared" ref="Y29:Y49" si="17">IF(J29&lt;2250,J29*0.1,0)</f>
        <v>0</v>
      </c>
      <c r="Z29" s="32">
        <v>17.23</v>
      </c>
      <c r="AA29" s="32">
        <f t="shared" ref="AA29:AA49" si="18">+O29</f>
        <v>0</v>
      </c>
      <c r="AB29" s="46">
        <f t="shared" ref="AB29:AB49" si="19">+J29+Y29+Z29+AA29</f>
        <v>17.23</v>
      </c>
      <c r="AC29" s="50"/>
      <c r="AD29" s="51"/>
      <c r="AE29" s="47">
        <f>+AC29+AD29-X29</f>
        <v>0</v>
      </c>
      <c r="AF29" s="35">
        <v>56708845010</v>
      </c>
      <c r="AG29" s="33"/>
    </row>
    <row r="30" spans="1:34" s="18" customFormat="1" ht="15.75">
      <c r="A30" s="71" t="s">
        <v>39</v>
      </c>
      <c r="B30" s="33" t="s">
        <v>129</v>
      </c>
      <c r="C30" s="33" t="s">
        <v>43</v>
      </c>
      <c r="D30" s="49">
        <v>42826</v>
      </c>
      <c r="E30" s="34">
        <v>1633.31</v>
      </c>
      <c r="F30" s="34"/>
      <c r="G30" s="34"/>
      <c r="H30" s="34"/>
      <c r="I30" s="34"/>
      <c r="J30" s="46">
        <f t="shared" si="1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si="15"/>
        <v>0</v>
      </c>
      <c r="X30" s="46"/>
      <c r="Y30" s="32">
        <f t="shared" si="17"/>
        <v>0</v>
      </c>
      <c r="Z30" s="32"/>
      <c r="AA30" s="32"/>
      <c r="AB30" s="46"/>
      <c r="AC30" s="50"/>
      <c r="AD30" s="51"/>
      <c r="AE30" s="47"/>
      <c r="AF30" s="35">
        <v>60590035118</v>
      </c>
      <c r="AG30" s="35" t="s">
        <v>202</v>
      </c>
    </row>
    <row r="31" spans="1:34" s="18" customFormat="1" ht="15.75">
      <c r="A31" s="71" t="s">
        <v>27</v>
      </c>
      <c r="B31" s="33" t="s">
        <v>144</v>
      </c>
      <c r="C31" s="33" t="s">
        <v>44</v>
      </c>
      <c r="D31" s="49">
        <v>42916</v>
      </c>
      <c r="E31" s="34">
        <v>1026.69</v>
      </c>
      <c r="F31" s="34">
        <v>1522.78</v>
      </c>
      <c r="G31" s="34"/>
      <c r="H31" s="34"/>
      <c r="I31" s="34"/>
      <c r="J31" s="46">
        <f t="shared" si="10"/>
        <v>1522.78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>
        <v>649.46</v>
      </c>
      <c r="V31" s="46">
        <f t="shared" si="1"/>
        <v>873.31999999999994</v>
      </c>
      <c r="W31" s="32"/>
      <c r="X31" s="46"/>
      <c r="Y31" s="32"/>
      <c r="Z31" s="32"/>
      <c r="AA31" s="32"/>
      <c r="AB31" s="46"/>
      <c r="AC31" s="50"/>
      <c r="AD31" s="51"/>
      <c r="AE31" s="47"/>
      <c r="AF31" s="35">
        <v>60584074827</v>
      </c>
      <c r="AG31" s="33"/>
    </row>
    <row r="32" spans="1:34" s="18" customFormat="1" ht="15.75">
      <c r="A32" s="71" t="s">
        <v>28</v>
      </c>
      <c r="B32" s="33" t="s">
        <v>114</v>
      </c>
      <c r="C32" s="33" t="s">
        <v>30</v>
      </c>
      <c r="D32" s="49">
        <v>42415</v>
      </c>
      <c r="E32" s="34">
        <v>1026.69</v>
      </c>
      <c r="F32" s="34">
        <v>3302.18</v>
      </c>
      <c r="G32" s="34"/>
      <c r="H32" s="34"/>
      <c r="I32" s="34"/>
      <c r="J32" s="46">
        <f t="shared" si="10"/>
        <v>3302.18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46">
        <f t="shared" si="1"/>
        <v>3302.18</v>
      </c>
      <c r="W32" s="32">
        <f t="shared" ref="W32" si="20">IF(J32&gt;2250,J32*0.1,0)</f>
        <v>330.21800000000002</v>
      </c>
      <c r="X32" s="46">
        <f t="shared" ref="X32" si="21">+V32-W32</f>
        <v>2971.962</v>
      </c>
      <c r="Y32" s="32"/>
      <c r="Z32" s="32"/>
      <c r="AA32" s="32"/>
      <c r="AB32" s="46"/>
      <c r="AC32" s="50"/>
      <c r="AD32" s="51"/>
      <c r="AE32" s="47"/>
      <c r="AF32" s="35">
        <v>56708881656</v>
      </c>
      <c r="AG32" s="33"/>
    </row>
    <row r="33" spans="1:34" s="18" customFormat="1" ht="15.75">
      <c r="A33" s="71" t="s">
        <v>28</v>
      </c>
      <c r="B33" s="33" t="s">
        <v>133</v>
      </c>
      <c r="C33" s="33" t="s">
        <v>30</v>
      </c>
      <c r="D33" s="49">
        <v>41463</v>
      </c>
      <c r="E33" s="34">
        <v>1026.69</v>
      </c>
      <c r="F33" s="34">
        <v>4179.25</v>
      </c>
      <c r="G33" s="34"/>
      <c r="H33" s="34"/>
      <c r="I33" s="34"/>
      <c r="J33" s="46">
        <f t="shared" si="10"/>
        <v>4179.25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si="1"/>
        <v>4179.25</v>
      </c>
      <c r="W33" s="32">
        <f t="shared" si="15"/>
        <v>417.92500000000001</v>
      </c>
      <c r="X33" s="46">
        <f t="shared" si="16"/>
        <v>3761.3249999999998</v>
      </c>
      <c r="Y33" s="32">
        <f t="shared" si="17"/>
        <v>0</v>
      </c>
      <c r="Z33" s="32">
        <v>20.23</v>
      </c>
      <c r="AA33" s="32">
        <f t="shared" si="18"/>
        <v>0</v>
      </c>
      <c r="AB33" s="46">
        <f t="shared" si="19"/>
        <v>4199.4799999999996</v>
      </c>
      <c r="AC33" s="50"/>
      <c r="AD33" s="51"/>
      <c r="AE33" s="47">
        <f>+AC33+AD33-X33</f>
        <v>-3761.3249999999998</v>
      </c>
      <c r="AF33" s="35">
        <v>56708881457</v>
      </c>
      <c r="AG33" s="33"/>
    </row>
    <row r="34" spans="1:34" s="18" customFormat="1" ht="15.75">
      <c r="A34" s="71" t="s">
        <v>28</v>
      </c>
      <c r="B34" s="33" t="s">
        <v>194</v>
      </c>
      <c r="C34" s="33" t="s">
        <v>30</v>
      </c>
      <c r="D34" s="49">
        <v>43052</v>
      </c>
      <c r="E34" s="34">
        <v>1026.69</v>
      </c>
      <c r="F34" s="34"/>
      <c r="G34" s="34"/>
      <c r="H34" s="34"/>
      <c r="I34" s="34"/>
      <c r="J34" s="46">
        <f t="shared" si="1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1"/>
        <v>0</v>
      </c>
      <c r="W34" s="32"/>
      <c r="X34" s="46"/>
      <c r="Y34" s="32"/>
      <c r="Z34" s="32"/>
      <c r="AA34" s="32"/>
      <c r="AB34" s="46"/>
      <c r="AC34" s="50"/>
      <c r="AD34" s="51"/>
      <c r="AE34" s="47"/>
      <c r="AF34" s="35">
        <v>60597082882</v>
      </c>
      <c r="AG34" s="33"/>
    </row>
    <row r="35" spans="1:34" s="18" customFormat="1" ht="15.75">
      <c r="A35" s="71" t="s">
        <v>26</v>
      </c>
      <c r="B35" s="33" t="s">
        <v>130</v>
      </c>
      <c r="C35" s="33" t="s">
        <v>91</v>
      </c>
      <c r="D35" s="49">
        <v>40618</v>
      </c>
      <c r="E35" s="34">
        <v>1633.31</v>
      </c>
      <c r="F35" s="34">
        <v>6366.08</v>
      </c>
      <c r="G35" s="34"/>
      <c r="H35" s="34"/>
      <c r="I35" s="34"/>
      <c r="J35" s="46">
        <f t="shared" si="10"/>
        <v>6366.08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ref="V35:V41" si="22">+J35-SUM(K35:U35)</f>
        <v>6366.08</v>
      </c>
      <c r="W35" s="32">
        <f t="shared" si="15"/>
        <v>636.60800000000006</v>
      </c>
      <c r="X35" s="46">
        <f t="shared" si="16"/>
        <v>5729.4719999999998</v>
      </c>
      <c r="Y35" s="32">
        <f t="shared" si="17"/>
        <v>0</v>
      </c>
      <c r="Z35" s="32">
        <v>21.23</v>
      </c>
      <c r="AA35" s="32">
        <f t="shared" si="18"/>
        <v>0</v>
      </c>
      <c r="AB35" s="46">
        <f t="shared" si="19"/>
        <v>6387.3099999999995</v>
      </c>
      <c r="AC35" s="50"/>
      <c r="AD35" s="51"/>
      <c r="AE35" s="47"/>
      <c r="AF35" s="35">
        <v>56708845038</v>
      </c>
      <c r="AG35" s="33"/>
    </row>
    <row r="36" spans="1:34" s="18" customFormat="1" ht="15.75">
      <c r="A36" s="71" t="s">
        <v>28</v>
      </c>
      <c r="B36" s="33" t="s">
        <v>83</v>
      </c>
      <c r="C36" s="33" t="s">
        <v>30</v>
      </c>
      <c r="D36" s="49">
        <v>42296</v>
      </c>
      <c r="E36" s="34">
        <v>1026.69</v>
      </c>
      <c r="F36" s="34">
        <v>3622.9</v>
      </c>
      <c r="G36" s="34"/>
      <c r="H36" s="34"/>
      <c r="I36" s="34"/>
      <c r="J36" s="46">
        <f t="shared" si="10"/>
        <v>3622.9</v>
      </c>
      <c r="K36" s="34"/>
      <c r="L36" s="60"/>
      <c r="M36" s="34"/>
      <c r="N36" s="34"/>
      <c r="O36" s="61"/>
      <c r="P36" s="61"/>
      <c r="Q36" s="34"/>
      <c r="R36" s="32">
        <v>2500</v>
      </c>
      <c r="S36" s="66"/>
      <c r="T36" s="33"/>
      <c r="U36" s="33">
        <v>802.69</v>
      </c>
      <c r="V36" s="46">
        <f t="shared" si="22"/>
        <v>320.21000000000004</v>
      </c>
      <c r="W36" s="32">
        <f t="shared" si="15"/>
        <v>362.29</v>
      </c>
      <c r="X36" s="46">
        <f t="shared" si="16"/>
        <v>-42.079999999999984</v>
      </c>
      <c r="Y36" s="32">
        <f t="shared" si="17"/>
        <v>0</v>
      </c>
      <c r="Z36" s="32">
        <v>10.23</v>
      </c>
      <c r="AA36" s="32">
        <f t="shared" si="18"/>
        <v>0</v>
      </c>
      <c r="AB36" s="46">
        <f t="shared" si="19"/>
        <v>3633.13</v>
      </c>
      <c r="AC36" s="50"/>
      <c r="AD36" s="51"/>
      <c r="AE36" s="47">
        <f>+AC36+AD36-X36</f>
        <v>42.079999999999984</v>
      </c>
      <c r="AF36" s="35">
        <v>56708881460</v>
      </c>
      <c r="AG36" s="33"/>
    </row>
    <row r="37" spans="1:34" s="18" customFormat="1" ht="15.75">
      <c r="A37" s="71" t="s">
        <v>27</v>
      </c>
      <c r="B37" s="33" t="s">
        <v>146</v>
      </c>
      <c r="C37" s="33" t="s">
        <v>44</v>
      </c>
      <c r="D37" s="49">
        <v>42916</v>
      </c>
      <c r="E37" s="34">
        <v>1026.69</v>
      </c>
      <c r="F37" s="34">
        <v>6005.53</v>
      </c>
      <c r="G37" s="34"/>
      <c r="H37" s="34"/>
      <c r="I37" s="34"/>
      <c r="J37" s="46">
        <f t="shared" si="10"/>
        <v>6005.53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46">
        <f t="shared" si="22"/>
        <v>6005.53</v>
      </c>
      <c r="W37" s="32"/>
      <c r="X37" s="46"/>
      <c r="Y37" s="32"/>
      <c r="Z37" s="32"/>
      <c r="AA37" s="32"/>
      <c r="AB37" s="46"/>
      <c r="AC37" s="50"/>
      <c r="AD37" s="51"/>
      <c r="AE37" s="47"/>
      <c r="AF37" s="35">
        <v>60592636121</v>
      </c>
      <c r="AG37" s="33"/>
    </row>
    <row r="38" spans="1:34" s="18" customFormat="1" ht="15.75">
      <c r="A38" s="71" t="s">
        <v>28</v>
      </c>
      <c r="B38" s="33" t="s">
        <v>186</v>
      </c>
      <c r="C38" s="33" t="s">
        <v>184</v>
      </c>
      <c r="D38" s="49">
        <v>43035</v>
      </c>
      <c r="E38" s="34">
        <v>1400</v>
      </c>
      <c r="F38" s="34"/>
      <c r="G38" s="34"/>
      <c r="H38" s="34"/>
      <c r="I38" s="34"/>
      <c r="J38" s="46">
        <f>SUM(F38:I38)</f>
        <v>0</v>
      </c>
      <c r="K38" s="34"/>
      <c r="L38" s="60">
        <v>2</v>
      </c>
      <c r="M38" s="34"/>
      <c r="N38" s="34"/>
      <c r="O38" s="61"/>
      <c r="P38" s="61"/>
      <c r="Q38" s="34"/>
      <c r="R38" s="32"/>
      <c r="S38" s="66"/>
      <c r="T38" s="33"/>
      <c r="U38" s="33"/>
      <c r="V38" s="46"/>
      <c r="W38" s="32"/>
      <c r="X38" s="46"/>
      <c r="Y38" s="32"/>
      <c r="Z38" s="32"/>
      <c r="AA38" s="32"/>
      <c r="AB38" s="46"/>
      <c r="AC38" s="50"/>
      <c r="AD38" s="51"/>
      <c r="AE38" s="47"/>
      <c r="AF38" s="35">
        <v>60596635649</v>
      </c>
      <c r="AG38" s="33"/>
    </row>
    <row r="39" spans="1:34" s="18" customFormat="1" ht="15.75">
      <c r="A39" s="71" t="s">
        <v>37</v>
      </c>
      <c r="B39" s="33" t="s">
        <v>158</v>
      </c>
      <c r="C39" s="33" t="s">
        <v>29</v>
      </c>
      <c r="D39" s="49">
        <v>42978</v>
      </c>
      <c r="E39" s="34">
        <v>1166.6199999999999</v>
      </c>
      <c r="F39" s="34">
        <v>1239.99</v>
      </c>
      <c r="G39" s="34"/>
      <c r="H39" s="34"/>
      <c r="I39" s="34"/>
      <c r="J39" s="46">
        <f t="shared" si="10"/>
        <v>1239.99</v>
      </c>
      <c r="K39" s="34"/>
      <c r="L39" s="60"/>
      <c r="M39" s="34"/>
      <c r="N39" s="34"/>
      <c r="O39" s="61"/>
      <c r="P39" s="61"/>
      <c r="Q39" s="34"/>
      <c r="R39" s="32"/>
      <c r="S39" s="66"/>
      <c r="T39" s="33"/>
      <c r="U39" s="33"/>
      <c r="V39" s="46">
        <f t="shared" si="22"/>
        <v>1239.99</v>
      </c>
      <c r="W39" s="32"/>
      <c r="X39" s="46"/>
      <c r="Y39" s="32"/>
      <c r="Z39" s="32"/>
      <c r="AA39" s="32"/>
      <c r="AB39" s="46"/>
      <c r="AC39" s="50"/>
      <c r="AD39" s="51"/>
      <c r="AE39" s="47"/>
      <c r="AF39" s="35">
        <v>60594750506</v>
      </c>
      <c r="AG39" s="33"/>
    </row>
    <row r="40" spans="1:34" s="18" customFormat="1">
      <c r="A40" s="71" t="s">
        <v>27</v>
      </c>
      <c r="B40" s="33" t="s">
        <v>96</v>
      </c>
      <c r="C40" s="33" t="s">
        <v>44</v>
      </c>
      <c r="D40" s="49">
        <v>42576</v>
      </c>
      <c r="E40" s="34">
        <v>1026.69</v>
      </c>
      <c r="F40" s="34">
        <v>558.27</v>
      </c>
      <c r="G40" s="34"/>
      <c r="H40" s="34"/>
      <c r="I40" s="34"/>
      <c r="J40" s="46">
        <f t="shared" si="10"/>
        <v>558.27</v>
      </c>
      <c r="K40" s="34"/>
      <c r="L40" s="60">
        <v>1</v>
      </c>
      <c r="M40" s="34"/>
      <c r="N40" s="34"/>
      <c r="O40" s="61"/>
      <c r="P40" s="61"/>
      <c r="Q40" s="34"/>
      <c r="R40" s="32"/>
      <c r="S40" s="32"/>
      <c r="T40" s="33"/>
      <c r="U40" s="33"/>
      <c r="V40" s="46">
        <f t="shared" si="22"/>
        <v>557.27</v>
      </c>
      <c r="W40" s="33">
        <f t="shared" si="15"/>
        <v>0</v>
      </c>
      <c r="X40" s="33">
        <f t="shared" si="16"/>
        <v>557.27</v>
      </c>
      <c r="Y40" s="32">
        <f t="shared" si="17"/>
        <v>55.826999999999998</v>
      </c>
      <c r="Z40" s="32">
        <v>11.23</v>
      </c>
      <c r="AA40" s="32">
        <f t="shared" si="18"/>
        <v>0</v>
      </c>
      <c r="AB40" s="46">
        <f t="shared" si="19"/>
        <v>625.327</v>
      </c>
      <c r="AC40" s="50"/>
      <c r="AD40" s="50"/>
      <c r="AE40" s="47"/>
      <c r="AF40" s="35">
        <v>56708845072</v>
      </c>
      <c r="AG40" s="35"/>
    </row>
    <row r="41" spans="1:34" s="18" customFormat="1">
      <c r="A41" s="71" t="s">
        <v>28</v>
      </c>
      <c r="B41" s="33" t="s">
        <v>86</v>
      </c>
      <c r="C41" s="33" t="s">
        <v>30</v>
      </c>
      <c r="D41" s="49">
        <v>37834</v>
      </c>
      <c r="E41" s="34">
        <v>1026.69</v>
      </c>
      <c r="F41" s="34">
        <v>2429.1</v>
      </c>
      <c r="G41" s="34"/>
      <c r="H41" s="34"/>
      <c r="I41" s="34"/>
      <c r="J41" s="46">
        <f t="shared" si="10"/>
        <v>2429.1</v>
      </c>
      <c r="K41" s="34"/>
      <c r="L41" s="60"/>
      <c r="M41" s="34"/>
      <c r="N41" s="34"/>
      <c r="O41" s="61"/>
      <c r="P41" s="61"/>
      <c r="Q41" s="34"/>
      <c r="R41" s="32"/>
      <c r="S41" s="32"/>
      <c r="T41" s="33"/>
      <c r="U41" s="33"/>
      <c r="V41" s="46">
        <f t="shared" si="22"/>
        <v>2429.1</v>
      </c>
      <c r="W41" s="32">
        <f t="shared" si="15"/>
        <v>242.91</v>
      </c>
      <c r="X41" s="46">
        <f t="shared" si="16"/>
        <v>2186.19</v>
      </c>
      <c r="Y41" s="32">
        <f t="shared" si="17"/>
        <v>0</v>
      </c>
      <c r="Z41" s="32">
        <v>10.23</v>
      </c>
      <c r="AA41" s="32">
        <f t="shared" si="18"/>
        <v>0</v>
      </c>
      <c r="AB41" s="46">
        <f t="shared" si="19"/>
        <v>2439.33</v>
      </c>
      <c r="AC41" s="50"/>
      <c r="AD41" s="51"/>
      <c r="AE41" s="47">
        <f t="shared" ref="AE41" si="23">+AC41+AD41-X41</f>
        <v>-2186.19</v>
      </c>
      <c r="AF41" s="35">
        <v>56708881503</v>
      </c>
      <c r="AG41" s="35"/>
    </row>
    <row r="42" spans="1:34" s="18" customFormat="1">
      <c r="A42" s="71" t="s">
        <v>28</v>
      </c>
      <c r="B42" s="33" t="s">
        <v>76</v>
      </c>
      <c r="C42" s="33" t="s">
        <v>43</v>
      </c>
      <c r="D42" s="49">
        <v>40813</v>
      </c>
      <c r="E42" s="34">
        <v>1869</v>
      </c>
      <c r="F42" s="63">
        <v>204</v>
      </c>
      <c r="G42" s="63"/>
      <c r="H42" s="34"/>
      <c r="I42" s="34"/>
      <c r="J42" s="46">
        <f t="shared" si="10"/>
        <v>204</v>
      </c>
      <c r="K42" s="34"/>
      <c r="L42" s="60"/>
      <c r="M42" s="34"/>
      <c r="N42" s="34"/>
      <c r="O42" s="61"/>
      <c r="P42" s="61"/>
      <c r="Q42" s="34"/>
      <c r="R42" s="32"/>
      <c r="S42" s="32"/>
      <c r="T42" s="48"/>
      <c r="U42" s="48"/>
      <c r="V42" s="46">
        <f t="shared" ref="V42:V53" si="24">+J42-SUM(K42:U42)</f>
        <v>204</v>
      </c>
      <c r="W42" s="32">
        <f t="shared" ref="W42" si="25">+V42*0.05</f>
        <v>10.200000000000001</v>
      </c>
      <c r="X42" s="46">
        <f t="shared" ref="X42" si="26">+V42-R42-U42</f>
        <v>204</v>
      </c>
      <c r="Y42" s="32">
        <f t="shared" ref="Y42" si="27">IF(V42&lt;3000,V42*0.1,0)</f>
        <v>20.400000000000002</v>
      </c>
      <c r="Z42" s="32"/>
      <c r="AA42" s="32"/>
      <c r="AB42" s="46">
        <f t="shared" ref="AB42" si="28">+V42+Y42+Z42</f>
        <v>224.4</v>
      </c>
      <c r="AC42" s="50"/>
      <c r="AD42" s="51"/>
      <c r="AE42" s="47"/>
      <c r="AF42" s="35">
        <v>60589552237</v>
      </c>
      <c r="AG42" s="35" t="s">
        <v>201</v>
      </c>
    </row>
    <row r="43" spans="1:34" s="18" customFormat="1">
      <c r="A43" s="71" t="s">
        <v>27</v>
      </c>
      <c r="B43" s="33" t="s">
        <v>147</v>
      </c>
      <c r="C43" s="33" t="s">
        <v>30</v>
      </c>
      <c r="D43" s="49">
        <v>42852</v>
      </c>
      <c r="E43" s="34">
        <v>1026.69</v>
      </c>
      <c r="F43" s="34"/>
      <c r="G43" s="34"/>
      <c r="H43" s="34"/>
      <c r="I43" s="34"/>
      <c r="J43" s="46">
        <f t="shared" si="10"/>
        <v>0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6">
        <f t="shared" si="24"/>
        <v>0</v>
      </c>
      <c r="W43" s="32"/>
      <c r="X43" s="46"/>
      <c r="Y43" s="32"/>
      <c r="Z43" s="32"/>
      <c r="AA43" s="32"/>
      <c r="AB43" s="46"/>
      <c r="AC43" s="50"/>
      <c r="AD43" s="51"/>
      <c r="AE43" s="47"/>
      <c r="AF43" s="35">
        <v>60590678030</v>
      </c>
      <c r="AG43" s="35"/>
    </row>
    <row r="44" spans="1:34" s="18" customFormat="1">
      <c r="A44" s="71" t="s">
        <v>27</v>
      </c>
      <c r="B44" s="33" t="s">
        <v>115</v>
      </c>
      <c r="C44" s="33" t="s">
        <v>139</v>
      </c>
      <c r="D44" s="49">
        <v>42644</v>
      </c>
      <c r="E44" s="34">
        <v>1633.38</v>
      </c>
      <c r="F44" s="34">
        <v>587.4</v>
      </c>
      <c r="G44" s="34"/>
      <c r="H44" s="34"/>
      <c r="I44" s="34"/>
      <c r="J44" s="46">
        <f t="shared" si="10"/>
        <v>587.4</v>
      </c>
      <c r="K44" s="34">
        <v>500</v>
      </c>
      <c r="L44" s="60"/>
      <c r="M44" s="34"/>
      <c r="N44" s="34"/>
      <c r="O44" s="61"/>
      <c r="P44" s="61"/>
      <c r="Q44" s="34"/>
      <c r="R44" s="32">
        <v>845.43</v>
      </c>
      <c r="S44" s="32"/>
      <c r="T44" s="48"/>
      <c r="U44" s="48"/>
      <c r="V44" s="46">
        <f t="shared" si="24"/>
        <v>-758.02999999999986</v>
      </c>
      <c r="W44" s="32">
        <f t="shared" ref="W44" si="29">IF(J44&gt;2250,J44*0.1,0)</f>
        <v>0</v>
      </c>
      <c r="X44" s="46">
        <f t="shared" ref="X44" si="30">+V44-W44</f>
        <v>-758.02999999999986</v>
      </c>
      <c r="Y44" s="32"/>
      <c r="Z44" s="32"/>
      <c r="AA44" s="32"/>
      <c r="AB44" s="46"/>
      <c r="AC44" s="50"/>
      <c r="AD44" s="51"/>
      <c r="AE44" s="47"/>
      <c r="AF44" s="35">
        <v>56708845530</v>
      </c>
      <c r="AG44" s="35" t="s">
        <v>199</v>
      </c>
    </row>
    <row r="45" spans="1:34" s="18" customFormat="1">
      <c r="A45" s="71" t="s">
        <v>26</v>
      </c>
      <c r="B45" s="33" t="s">
        <v>163</v>
      </c>
      <c r="C45" s="33" t="s">
        <v>29</v>
      </c>
      <c r="D45" s="49">
        <v>42991</v>
      </c>
      <c r="E45" s="34">
        <v>1166.6199999999999</v>
      </c>
      <c r="F45" s="34">
        <v>624.24</v>
      </c>
      <c r="G45" s="34"/>
      <c r="H45" s="34"/>
      <c r="I45" s="34"/>
      <c r="J45" s="46">
        <f t="shared" si="10"/>
        <v>624.24</v>
      </c>
      <c r="K45" s="34"/>
      <c r="L45" s="60"/>
      <c r="M45" s="34"/>
      <c r="N45" s="34"/>
      <c r="O45" s="61"/>
      <c r="P45" s="61"/>
      <c r="Q45" s="34"/>
      <c r="R45" s="32"/>
      <c r="S45" s="32"/>
      <c r="T45" s="33"/>
      <c r="U45" s="33"/>
      <c r="V45" s="46"/>
      <c r="W45" s="32"/>
      <c r="X45" s="46"/>
      <c r="Y45" s="32"/>
      <c r="Z45" s="32"/>
      <c r="AA45" s="32"/>
      <c r="AB45" s="46"/>
      <c r="AC45" s="50"/>
      <c r="AD45" s="51"/>
      <c r="AE45" s="47"/>
      <c r="AF45" s="35">
        <v>1168500843</v>
      </c>
      <c r="AG45" s="33"/>
      <c r="AH45" s="18" t="s">
        <v>128</v>
      </c>
    </row>
    <row r="46" spans="1:34" s="18" customFormat="1">
      <c r="A46" s="71" t="s">
        <v>28</v>
      </c>
      <c r="B46" s="33" t="s">
        <v>157</v>
      </c>
      <c r="C46" s="33" t="s">
        <v>30</v>
      </c>
      <c r="D46" s="49">
        <v>42961</v>
      </c>
      <c r="E46" s="34">
        <v>1022.56</v>
      </c>
      <c r="F46" s="34"/>
      <c r="G46" s="34"/>
      <c r="H46" s="34"/>
      <c r="I46" s="34"/>
      <c r="J46" s="46">
        <f t="shared" si="10"/>
        <v>0</v>
      </c>
      <c r="K46" s="34"/>
      <c r="L46" s="60"/>
      <c r="M46" s="34"/>
      <c r="N46" s="34"/>
      <c r="O46" s="61"/>
      <c r="P46" s="61"/>
      <c r="Q46" s="34"/>
      <c r="R46" s="32"/>
      <c r="S46" s="32"/>
      <c r="T46" s="48"/>
      <c r="U46" s="48"/>
      <c r="V46" s="46">
        <f t="shared" si="24"/>
        <v>0</v>
      </c>
      <c r="W46" s="32"/>
      <c r="X46" s="46"/>
      <c r="Y46" s="32"/>
      <c r="Z46" s="32"/>
      <c r="AA46" s="32"/>
      <c r="AB46" s="46"/>
      <c r="AC46" s="50"/>
      <c r="AD46" s="51"/>
      <c r="AE46" s="47"/>
      <c r="AF46" s="35">
        <v>60589665774</v>
      </c>
      <c r="AG46" s="35"/>
    </row>
    <row r="47" spans="1:34" s="18" customFormat="1">
      <c r="A47" s="71" t="s">
        <v>28</v>
      </c>
      <c r="B47" s="33" t="s">
        <v>148</v>
      </c>
      <c r="C47" s="33" t="s">
        <v>30</v>
      </c>
      <c r="D47" s="49">
        <v>42921</v>
      </c>
      <c r="E47" s="34">
        <v>1022.56</v>
      </c>
      <c r="F47" s="34">
        <v>4028.29</v>
      </c>
      <c r="G47" s="34"/>
      <c r="H47" s="34"/>
      <c r="I47" s="34"/>
      <c r="J47" s="46">
        <f t="shared" si="10"/>
        <v>4028.29</v>
      </c>
      <c r="K47" s="34"/>
      <c r="L47" s="60"/>
      <c r="M47" s="34"/>
      <c r="N47" s="34"/>
      <c r="O47" s="61"/>
      <c r="P47" s="61"/>
      <c r="Q47" s="34"/>
      <c r="R47" s="32">
        <v>260</v>
      </c>
      <c r="S47" s="32"/>
      <c r="T47" s="33"/>
      <c r="U47" s="33"/>
      <c r="V47" s="46">
        <f t="shared" si="24"/>
        <v>3768.29</v>
      </c>
      <c r="W47" s="32"/>
      <c r="X47" s="46"/>
      <c r="Y47" s="32"/>
      <c r="Z47" s="32"/>
      <c r="AA47" s="32"/>
      <c r="AB47" s="46"/>
      <c r="AC47" s="50"/>
      <c r="AD47" s="51"/>
      <c r="AE47" s="47"/>
      <c r="AF47" s="35">
        <v>56708881702</v>
      </c>
      <c r="AG47" s="33"/>
    </row>
    <row r="48" spans="1:34" s="18" customFormat="1">
      <c r="A48" s="71" t="s">
        <v>39</v>
      </c>
      <c r="B48" s="33" t="s">
        <v>137</v>
      </c>
      <c r="C48" s="33" t="s">
        <v>43</v>
      </c>
      <c r="D48" s="49">
        <v>42891</v>
      </c>
      <c r="E48" s="34">
        <v>1633.31</v>
      </c>
      <c r="F48" s="34">
        <v>350</v>
      </c>
      <c r="G48" s="34"/>
      <c r="H48" s="34"/>
      <c r="I48" s="34"/>
      <c r="J48" s="46">
        <f t="shared" si="10"/>
        <v>350</v>
      </c>
      <c r="K48" s="34"/>
      <c r="L48" s="60"/>
      <c r="M48" s="34"/>
      <c r="N48" s="34"/>
      <c r="O48" s="61"/>
      <c r="P48" s="61"/>
      <c r="Q48" s="34"/>
      <c r="R48" s="32"/>
      <c r="S48" s="32"/>
      <c r="T48" s="33"/>
      <c r="U48" s="33"/>
      <c r="V48" s="46">
        <f t="shared" si="24"/>
        <v>350</v>
      </c>
      <c r="W48" s="32"/>
      <c r="X48" s="46"/>
      <c r="Y48" s="32"/>
      <c r="Z48" s="32"/>
      <c r="AA48" s="32"/>
      <c r="AB48" s="46"/>
      <c r="AC48" s="50"/>
      <c r="AD48" s="51"/>
      <c r="AE48" s="47"/>
      <c r="AF48" s="35">
        <v>60590340221</v>
      </c>
      <c r="AG48" s="35" t="s">
        <v>201</v>
      </c>
    </row>
    <row r="49" spans="1:34" s="18" customFormat="1">
      <c r="A49" s="71" t="s">
        <v>37</v>
      </c>
      <c r="B49" s="33" t="s">
        <v>89</v>
      </c>
      <c r="C49" s="33" t="s">
        <v>29</v>
      </c>
      <c r="D49" s="49">
        <v>42506</v>
      </c>
      <c r="E49" s="34">
        <v>1166.27</v>
      </c>
      <c r="F49" s="34">
        <v>2187.5100000000002</v>
      </c>
      <c r="G49" s="34"/>
      <c r="H49" s="34"/>
      <c r="I49" s="34"/>
      <c r="J49" s="46">
        <f t="shared" si="10"/>
        <v>2187.5100000000002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46">
        <f t="shared" si="24"/>
        <v>2187.5100000000002</v>
      </c>
      <c r="W49" s="32">
        <f t="shared" si="15"/>
        <v>0</v>
      </c>
      <c r="X49" s="46">
        <f t="shared" si="16"/>
        <v>2187.5100000000002</v>
      </c>
      <c r="Y49" s="32">
        <f t="shared" si="17"/>
        <v>218.75100000000003</v>
      </c>
      <c r="Z49" s="32">
        <v>10.23</v>
      </c>
      <c r="AA49" s="32">
        <f t="shared" si="18"/>
        <v>0</v>
      </c>
      <c r="AB49" s="46">
        <f t="shared" si="19"/>
        <v>2416.4910000000004</v>
      </c>
      <c r="AC49" s="50"/>
      <c r="AD49" s="50"/>
      <c r="AE49" s="47">
        <f t="shared" ref="AE49" si="31">+AC49+AD49-X49</f>
        <v>-2187.5100000000002</v>
      </c>
      <c r="AF49" s="35">
        <v>56708881551</v>
      </c>
      <c r="AG49" s="35"/>
    </row>
    <row r="50" spans="1:34" s="18" customFormat="1" ht="15.75">
      <c r="A50" s="71" t="s">
        <v>37</v>
      </c>
      <c r="B50" s="33" t="s">
        <v>166</v>
      </c>
      <c r="C50" s="33" t="s">
        <v>29</v>
      </c>
      <c r="D50" s="49">
        <v>43006</v>
      </c>
      <c r="E50" s="34">
        <v>1166.6199999999999</v>
      </c>
      <c r="F50" s="34">
        <v>1048.74</v>
      </c>
      <c r="G50" s="34"/>
      <c r="H50" s="34"/>
      <c r="I50" s="34"/>
      <c r="J50" s="46">
        <f t="shared" si="10"/>
        <v>1048.74</v>
      </c>
      <c r="K50" s="34"/>
      <c r="L50" s="60">
        <v>1</v>
      </c>
      <c r="M50" s="34"/>
      <c r="N50" s="34"/>
      <c r="O50" s="61"/>
      <c r="P50" s="61"/>
      <c r="Q50" s="34"/>
      <c r="R50" s="32"/>
      <c r="S50" s="66"/>
      <c r="T50" s="33"/>
      <c r="U50" s="33"/>
      <c r="V50" s="46"/>
      <c r="W50" s="32"/>
      <c r="X50" s="46"/>
      <c r="Y50" s="32"/>
      <c r="Z50" s="32"/>
      <c r="AA50" s="32"/>
      <c r="AB50" s="46"/>
      <c r="AC50" s="50"/>
      <c r="AD50" s="51"/>
      <c r="AE50" s="47"/>
      <c r="AF50" s="35">
        <v>60595911850</v>
      </c>
      <c r="AG50" s="33"/>
    </row>
    <row r="51" spans="1:34" s="85" customFormat="1">
      <c r="A51" s="74" t="s">
        <v>28</v>
      </c>
      <c r="B51" s="74" t="s">
        <v>92</v>
      </c>
      <c r="C51" s="74" t="s">
        <v>30</v>
      </c>
      <c r="D51" s="75">
        <v>42522</v>
      </c>
      <c r="E51" s="76">
        <v>1026.69</v>
      </c>
      <c r="F51" s="76"/>
      <c r="G51" s="76"/>
      <c r="H51" s="76"/>
      <c r="I51" s="76"/>
      <c r="J51" s="77">
        <f t="shared" si="10"/>
        <v>0</v>
      </c>
      <c r="K51" s="76"/>
      <c r="L51" s="78"/>
      <c r="M51" s="76"/>
      <c r="N51" s="76"/>
      <c r="O51" s="79"/>
      <c r="P51" s="79"/>
      <c r="Q51" s="76"/>
      <c r="R51" s="80" t="s">
        <v>134</v>
      </c>
      <c r="S51" s="80"/>
      <c r="T51" s="74"/>
      <c r="U51" s="86" t="s">
        <v>134</v>
      </c>
      <c r="V51" s="77">
        <f t="shared" si="24"/>
        <v>0</v>
      </c>
      <c r="W51" s="80">
        <f t="shared" ref="W51:W55" si="32">IF(J51&gt;2250,J51*0.1,0)</f>
        <v>0</v>
      </c>
      <c r="X51" s="77">
        <f t="shared" ref="X51:X65" si="33">+V51-W51</f>
        <v>0</v>
      </c>
      <c r="Y51" s="80">
        <f t="shared" ref="Y51:Y64" si="34">IF(J51&lt;2250,J51*0.1,0)</f>
        <v>0</v>
      </c>
      <c r="Z51" s="80">
        <v>10.23</v>
      </c>
      <c r="AA51" s="80">
        <f t="shared" ref="AA51:AA64" si="35">+O51</f>
        <v>0</v>
      </c>
      <c r="AB51" s="77">
        <f t="shared" ref="AB51:AB64" si="36">+J51+Y51+Z51+AA51</f>
        <v>10.23</v>
      </c>
      <c r="AC51" s="87"/>
      <c r="AD51" s="87"/>
      <c r="AE51" s="83"/>
      <c r="AF51" s="84">
        <v>56708845237</v>
      </c>
      <c r="AG51" s="84"/>
    </row>
    <row r="52" spans="1:34" s="18" customFormat="1">
      <c r="A52" s="71" t="s">
        <v>37</v>
      </c>
      <c r="B52" s="33" t="s">
        <v>66</v>
      </c>
      <c r="C52" s="33" t="s">
        <v>43</v>
      </c>
      <c r="D52" s="49">
        <v>42321</v>
      </c>
      <c r="E52" s="34">
        <v>1869</v>
      </c>
      <c r="F52" s="63">
        <v>204</v>
      </c>
      <c r="G52" s="63"/>
      <c r="H52" s="34"/>
      <c r="I52" s="34"/>
      <c r="J52" s="46">
        <f t="shared" si="10"/>
        <v>204</v>
      </c>
      <c r="K52" s="34"/>
      <c r="L52" s="60"/>
      <c r="M52" s="34"/>
      <c r="N52" s="34"/>
      <c r="O52" s="61"/>
      <c r="P52" s="61"/>
      <c r="Q52" s="34"/>
      <c r="R52" s="32"/>
      <c r="S52" s="32"/>
      <c r="T52" s="33"/>
      <c r="U52" s="33"/>
      <c r="V52" s="46">
        <f t="shared" si="24"/>
        <v>204</v>
      </c>
      <c r="W52" s="32">
        <f t="shared" si="32"/>
        <v>0</v>
      </c>
      <c r="X52" s="46">
        <f t="shared" si="33"/>
        <v>204</v>
      </c>
      <c r="Y52" s="32">
        <f t="shared" si="34"/>
        <v>20.400000000000002</v>
      </c>
      <c r="Z52" s="32">
        <v>10.23</v>
      </c>
      <c r="AA52" s="32">
        <f t="shared" si="35"/>
        <v>0</v>
      </c>
      <c r="AB52" s="46">
        <f t="shared" si="36"/>
        <v>234.63</v>
      </c>
      <c r="AC52" s="50"/>
      <c r="AD52" s="51"/>
      <c r="AE52" s="47">
        <f t="shared" ref="AE52:AE55" si="37">+AC52+AD52-X52</f>
        <v>-204</v>
      </c>
      <c r="AF52" s="35">
        <v>56708845240</v>
      </c>
      <c r="AG52" s="33" t="s">
        <v>201</v>
      </c>
    </row>
    <row r="53" spans="1:34" s="18" customFormat="1">
      <c r="A53" s="71" t="s">
        <v>37</v>
      </c>
      <c r="B53" s="33" t="s">
        <v>109</v>
      </c>
      <c r="C53" s="33" t="s">
        <v>91</v>
      </c>
      <c r="D53" s="49">
        <v>42646</v>
      </c>
      <c r="E53" s="34">
        <v>1166.27</v>
      </c>
      <c r="F53" s="34">
        <v>4456.3999999999996</v>
      </c>
      <c r="G53" s="34"/>
      <c r="H53" s="34"/>
      <c r="I53" s="34"/>
      <c r="J53" s="46">
        <f t="shared" si="10"/>
        <v>4456.3999999999996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46">
        <f t="shared" si="24"/>
        <v>4456.3999999999996</v>
      </c>
      <c r="W53" s="32">
        <f t="shared" ref="W53" si="38">IF(J53&gt;2250,J53*0.1,0)</f>
        <v>445.64</v>
      </c>
      <c r="X53" s="46">
        <f t="shared" ref="X53" si="39">+V53-W53</f>
        <v>4010.7599999999998</v>
      </c>
      <c r="Y53" s="32"/>
      <c r="Z53" s="32"/>
      <c r="AA53" s="32"/>
      <c r="AB53" s="46"/>
      <c r="AC53" s="50"/>
      <c r="AD53" s="51"/>
      <c r="AE53" s="47"/>
      <c r="AF53" s="35">
        <v>56708881582</v>
      </c>
      <c r="AG53" s="35"/>
    </row>
    <row r="54" spans="1:34" s="18" customFormat="1">
      <c r="A54" s="71" t="s">
        <v>37</v>
      </c>
      <c r="B54" s="33" t="s">
        <v>152</v>
      </c>
      <c r="C54" s="33" t="s">
        <v>29</v>
      </c>
      <c r="D54" s="49">
        <v>42065</v>
      </c>
      <c r="E54" s="34">
        <v>1166.27</v>
      </c>
      <c r="F54" s="34">
        <v>1389.3</v>
      </c>
      <c r="G54" s="34"/>
      <c r="H54" s="34"/>
      <c r="I54" s="34"/>
      <c r="J54" s="46">
        <f t="shared" si="10"/>
        <v>1389.3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ref="V54:V65" si="40">+J54-SUM(K54:U54)</f>
        <v>1389.3</v>
      </c>
      <c r="W54" s="32">
        <f t="shared" si="32"/>
        <v>0</v>
      </c>
      <c r="X54" s="46">
        <f t="shared" si="33"/>
        <v>1389.3</v>
      </c>
      <c r="Y54" s="32">
        <f t="shared" si="34"/>
        <v>138.93</v>
      </c>
      <c r="Z54" s="32">
        <v>10.23</v>
      </c>
      <c r="AA54" s="32">
        <f t="shared" si="35"/>
        <v>0</v>
      </c>
      <c r="AB54" s="46">
        <f t="shared" si="36"/>
        <v>1538.46</v>
      </c>
      <c r="AC54" s="50"/>
      <c r="AD54" s="51"/>
      <c r="AE54" s="47">
        <f t="shared" si="37"/>
        <v>-1389.3</v>
      </c>
      <c r="AF54" s="35">
        <v>56708845254</v>
      </c>
      <c r="AG54" s="35"/>
    </row>
    <row r="55" spans="1:34" s="18" customFormat="1">
      <c r="A55" s="71" t="s">
        <v>28</v>
      </c>
      <c r="B55" s="33" t="s">
        <v>36</v>
      </c>
      <c r="C55" s="33" t="s">
        <v>30</v>
      </c>
      <c r="D55" s="49">
        <v>41218</v>
      </c>
      <c r="E55" s="34">
        <v>1026.69</v>
      </c>
      <c r="F55" s="34">
        <v>2322.4699999999998</v>
      </c>
      <c r="G55" s="34"/>
      <c r="H55" s="34"/>
      <c r="I55" s="34"/>
      <c r="J55" s="46">
        <f t="shared" si="10"/>
        <v>2322.4699999999998</v>
      </c>
      <c r="K55" s="34"/>
      <c r="L55" s="60"/>
      <c r="M55" s="34"/>
      <c r="N55" s="34"/>
      <c r="O55" s="61"/>
      <c r="P55" s="61"/>
      <c r="Q55" s="34"/>
      <c r="R55" s="32">
        <v>2000</v>
      </c>
      <c r="S55" s="32"/>
      <c r="T55" s="33"/>
      <c r="U55" s="72">
        <v>547.32000000000005</v>
      </c>
      <c r="V55" s="46">
        <f t="shared" si="40"/>
        <v>-224.85000000000036</v>
      </c>
      <c r="W55" s="32">
        <f t="shared" si="32"/>
        <v>232.24699999999999</v>
      </c>
      <c r="X55" s="46">
        <f t="shared" si="33"/>
        <v>-457.09700000000032</v>
      </c>
      <c r="Y55" s="32">
        <f t="shared" si="34"/>
        <v>0</v>
      </c>
      <c r="Z55" s="32">
        <v>10.23</v>
      </c>
      <c r="AA55" s="32">
        <f t="shared" si="35"/>
        <v>0</v>
      </c>
      <c r="AB55" s="46">
        <f t="shared" si="36"/>
        <v>2332.6999999999998</v>
      </c>
      <c r="AC55" s="50"/>
      <c r="AD55" s="51"/>
      <c r="AE55" s="47">
        <f t="shared" si="37"/>
        <v>457.09700000000032</v>
      </c>
      <c r="AF55" s="35">
        <v>56708881596</v>
      </c>
      <c r="AG55" s="33"/>
    </row>
    <row r="56" spans="1:34" s="18" customFormat="1">
      <c r="A56" s="71" t="s">
        <v>28</v>
      </c>
      <c r="B56" s="33" t="s">
        <v>183</v>
      </c>
      <c r="C56" s="33" t="s">
        <v>184</v>
      </c>
      <c r="D56" s="49">
        <v>43038</v>
      </c>
      <c r="E56" s="34">
        <v>1400</v>
      </c>
      <c r="F56" s="34"/>
      <c r="G56" s="34"/>
      <c r="H56" s="34"/>
      <c r="I56" s="34"/>
      <c r="J56" s="46">
        <f t="shared" si="10"/>
        <v>0</v>
      </c>
      <c r="K56" s="34"/>
      <c r="L56" s="60"/>
      <c r="M56" s="34"/>
      <c r="N56" s="34"/>
      <c r="O56" s="61"/>
      <c r="P56" s="61"/>
      <c r="Q56" s="34"/>
      <c r="R56" s="32"/>
      <c r="S56" s="32"/>
      <c r="T56" s="33"/>
      <c r="U56" s="72"/>
      <c r="V56" s="46"/>
      <c r="W56" s="32"/>
      <c r="X56" s="46"/>
      <c r="Y56" s="32"/>
      <c r="Z56" s="32"/>
      <c r="AA56" s="32"/>
      <c r="AB56" s="46"/>
      <c r="AC56" s="50"/>
      <c r="AD56" s="51"/>
      <c r="AE56" s="47"/>
      <c r="AF56" s="35">
        <v>1539992200</v>
      </c>
      <c r="AG56" s="33"/>
      <c r="AH56" s="18" t="s">
        <v>128</v>
      </c>
    </row>
    <row r="57" spans="1:34" s="18" customFormat="1">
      <c r="A57" s="71" t="s">
        <v>26</v>
      </c>
      <c r="B57" s="33" t="s">
        <v>107</v>
      </c>
      <c r="C57" s="33" t="s">
        <v>105</v>
      </c>
      <c r="D57" s="49">
        <v>42241</v>
      </c>
      <c r="E57" s="34">
        <v>1250.02</v>
      </c>
      <c r="F57" s="34"/>
      <c r="G57" s="34"/>
      <c r="H57" s="34"/>
      <c r="I57" s="34"/>
      <c r="J57" s="46">
        <f t="shared" si="10"/>
        <v>0</v>
      </c>
      <c r="K57" s="34">
        <v>187.5</v>
      </c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46">
        <f t="shared" ref="V57" si="41">+J57-SUM(K57:U57)</f>
        <v>-187.5</v>
      </c>
      <c r="W57" s="32">
        <f t="shared" ref="W57" si="42">IF(J57&gt;2250,J57*0.1,0)</f>
        <v>0</v>
      </c>
      <c r="X57" s="46">
        <f t="shared" ref="X57" si="43">+V57-W57</f>
        <v>-187.5</v>
      </c>
      <c r="Y57" s="32">
        <f t="shared" si="34"/>
        <v>0</v>
      </c>
      <c r="Z57" s="32"/>
      <c r="AA57" s="32"/>
      <c r="AB57" s="46"/>
      <c r="AC57" s="50"/>
      <c r="AD57" s="51"/>
      <c r="AE57" s="47"/>
      <c r="AF57" s="35">
        <v>56708845268</v>
      </c>
      <c r="AG57" s="35" t="s">
        <v>200</v>
      </c>
    </row>
    <row r="58" spans="1:34" s="18" customFormat="1">
      <c r="A58" s="71" t="s">
        <v>39</v>
      </c>
      <c r="B58" s="33" t="s">
        <v>77</v>
      </c>
      <c r="C58" s="33" t="s">
        <v>43</v>
      </c>
      <c r="D58" s="49">
        <v>42333</v>
      </c>
      <c r="E58" s="34">
        <v>1869</v>
      </c>
      <c r="F58" s="63"/>
      <c r="G58" s="63"/>
      <c r="H58" s="34"/>
      <c r="I58" s="34"/>
      <c r="J58" s="46">
        <f t="shared" si="10"/>
        <v>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33">
        <v>356.04</v>
      </c>
      <c r="V58" s="46">
        <f t="shared" si="40"/>
        <v>-356.04</v>
      </c>
      <c r="W58" s="32">
        <f t="shared" ref="W58:W65" si="44">IF(J58&gt;2250,J58*0.1,0)</f>
        <v>0</v>
      </c>
      <c r="X58" s="46">
        <f t="shared" si="33"/>
        <v>-356.04</v>
      </c>
      <c r="Y58" s="32">
        <f t="shared" si="34"/>
        <v>0</v>
      </c>
      <c r="Z58" s="32">
        <v>10.23</v>
      </c>
      <c r="AA58" s="32">
        <f t="shared" si="35"/>
        <v>0</v>
      </c>
      <c r="AB58" s="46">
        <f t="shared" si="36"/>
        <v>10.23</v>
      </c>
      <c r="AC58" s="50"/>
      <c r="AD58" s="51"/>
      <c r="AE58" s="47">
        <f>+AC58+AD58-X58</f>
        <v>356.04</v>
      </c>
      <c r="AF58" s="35">
        <v>60589939521</v>
      </c>
      <c r="AG58" s="35" t="s">
        <v>202</v>
      </c>
    </row>
    <row r="59" spans="1:34" s="18" customFormat="1">
      <c r="A59" s="71" t="s">
        <v>28</v>
      </c>
      <c r="B59" s="33" t="s">
        <v>97</v>
      </c>
      <c r="C59" s="33" t="s">
        <v>30</v>
      </c>
      <c r="D59" s="49">
        <v>42459</v>
      </c>
      <c r="E59" s="34">
        <v>1026.69</v>
      </c>
      <c r="F59" s="34">
        <v>10381.81</v>
      </c>
      <c r="G59" s="34"/>
      <c r="H59" s="34"/>
      <c r="I59" s="34"/>
      <c r="J59" s="46">
        <f t="shared" si="10"/>
        <v>10381.81</v>
      </c>
      <c r="K59" s="34"/>
      <c r="L59" s="60"/>
      <c r="M59" s="34"/>
      <c r="N59" s="34"/>
      <c r="O59" s="61"/>
      <c r="P59" s="61"/>
      <c r="Q59" s="34"/>
      <c r="R59" s="32">
        <v>1000</v>
      </c>
      <c r="S59" s="32"/>
      <c r="T59" s="33"/>
      <c r="U59" s="33"/>
      <c r="V59" s="46">
        <f t="shared" si="40"/>
        <v>9381.81</v>
      </c>
      <c r="W59" s="32">
        <f t="shared" si="44"/>
        <v>1038.181</v>
      </c>
      <c r="X59" s="46">
        <f t="shared" si="33"/>
        <v>8343.628999999999</v>
      </c>
      <c r="Y59" s="32">
        <f t="shared" si="34"/>
        <v>0</v>
      </c>
      <c r="Z59" s="32">
        <v>10.23</v>
      </c>
      <c r="AA59" s="32">
        <f t="shared" si="35"/>
        <v>0</v>
      </c>
      <c r="AB59" s="46">
        <f t="shared" si="36"/>
        <v>10392.039999999999</v>
      </c>
      <c r="AC59" s="55"/>
      <c r="AD59" s="51"/>
      <c r="AE59" s="47">
        <f>+AC59+AD59-X59</f>
        <v>-8343.628999999999</v>
      </c>
      <c r="AF59" s="35">
        <v>60589627948</v>
      </c>
      <c r="AG59" s="35"/>
    </row>
    <row r="60" spans="1:34" s="18" customFormat="1">
      <c r="A60" s="71" t="s">
        <v>26</v>
      </c>
      <c r="B60" s="33" t="s">
        <v>132</v>
      </c>
      <c r="C60" s="33" t="s">
        <v>29</v>
      </c>
      <c r="D60" s="49">
        <v>42849</v>
      </c>
      <c r="E60" s="34">
        <v>1166.27</v>
      </c>
      <c r="F60" s="34">
        <v>704.72</v>
      </c>
      <c r="G60" s="34"/>
      <c r="H60" s="34"/>
      <c r="I60" s="34"/>
      <c r="J60" s="46">
        <f t="shared" si="10"/>
        <v>704.72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46">
        <f t="shared" si="40"/>
        <v>704.72</v>
      </c>
      <c r="W60" s="32"/>
      <c r="X60" s="46"/>
      <c r="Y60" s="32"/>
      <c r="Z60" s="32"/>
      <c r="AA60" s="32"/>
      <c r="AB60" s="46"/>
      <c r="AC60" s="55"/>
      <c r="AD60" s="51"/>
      <c r="AE60" s="47"/>
      <c r="AF60" s="35">
        <v>60590412629</v>
      </c>
      <c r="AG60" s="35"/>
    </row>
    <row r="61" spans="1:34" s="18" customFormat="1">
      <c r="A61" s="71" t="s">
        <v>26</v>
      </c>
      <c r="B61" s="33" t="s">
        <v>94</v>
      </c>
      <c r="C61" s="33" t="s">
        <v>42</v>
      </c>
      <c r="D61" s="49">
        <v>42566</v>
      </c>
      <c r="E61" s="34">
        <v>933.31</v>
      </c>
      <c r="F61" s="34">
        <v>1380</v>
      </c>
      <c r="G61" s="34"/>
      <c r="H61" s="34">
        <v>550.35</v>
      </c>
      <c r="I61" s="34"/>
      <c r="J61" s="46">
        <f t="shared" si="10"/>
        <v>1930.35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46">
        <f t="shared" si="40"/>
        <v>1930.35</v>
      </c>
      <c r="W61" s="32">
        <f t="shared" si="44"/>
        <v>0</v>
      </c>
      <c r="X61" s="46">
        <f t="shared" si="33"/>
        <v>1930.35</v>
      </c>
      <c r="Y61" s="32">
        <f t="shared" si="34"/>
        <v>193.035</v>
      </c>
      <c r="Z61" s="32">
        <v>21.23</v>
      </c>
      <c r="AA61" s="32">
        <f t="shared" si="35"/>
        <v>0</v>
      </c>
      <c r="AB61" s="46">
        <f t="shared" si="36"/>
        <v>2144.6149999999998</v>
      </c>
      <c r="AC61" s="55"/>
      <c r="AD61" s="51"/>
      <c r="AE61" s="47"/>
      <c r="AF61" s="35">
        <v>56708845709</v>
      </c>
      <c r="AG61" s="35"/>
    </row>
    <row r="62" spans="1:34" s="85" customFormat="1">
      <c r="A62" s="74" t="s">
        <v>27</v>
      </c>
      <c r="B62" s="74" t="s">
        <v>143</v>
      </c>
      <c r="C62" s="74" t="s">
        <v>105</v>
      </c>
      <c r="D62" s="75">
        <v>42916</v>
      </c>
      <c r="E62" s="76">
        <v>1400</v>
      </c>
      <c r="F62" s="76"/>
      <c r="G62" s="76"/>
      <c r="H62" s="76"/>
      <c r="I62" s="76"/>
      <c r="J62" s="77">
        <f t="shared" si="10"/>
        <v>0</v>
      </c>
      <c r="K62" s="76"/>
      <c r="L62" s="78"/>
      <c r="M62" s="76"/>
      <c r="N62" s="76"/>
      <c r="O62" s="79"/>
      <c r="P62" s="79"/>
      <c r="Q62" s="76"/>
      <c r="R62" s="80"/>
      <c r="S62" s="80"/>
      <c r="T62" s="74"/>
      <c r="U62" s="74"/>
      <c r="V62" s="77">
        <f t="shared" si="40"/>
        <v>0</v>
      </c>
      <c r="W62" s="80"/>
      <c r="X62" s="77"/>
      <c r="Y62" s="80"/>
      <c r="Z62" s="80"/>
      <c r="AA62" s="80"/>
      <c r="AB62" s="77"/>
      <c r="AC62" s="81"/>
      <c r="AD62" s="82"/>
      <c r="AE62" s="83"/>
      <c r="AF62" s="84">
        <v>60592631462</v>
      </c>
      <c r="AG62" s="84"/>
    </row>
    <row r="63" spans="1:34" s="18" customFormat="1">
      <c r="A63" s="71" t="s">
        <v>28</v>
      </c>
      <c r="B63" s="33" t="s">
        <v>153</v>
      </c>
      <c r="C63" s="33" t="s">
        <v>30</v>
      </c>
      <c r="D63" s="49">
        <v>42842</v>
      </c>
      <c r="E63" s="34">
        <v>1026.69</v>
      </c>
      <c r="F63" s="34">
        <v>3061.4</v>
      </c>
      <c r="G63" s="34"/>
      <c r="H63" s="34"/>
      <c r="I63" s="34"/>
      <c r="J63" s="46">
        <f t="shared" si="10"/>
        <v>3061.4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46">
        <f t="shared" si="40"/>
        <v>3061.4</v>
      </c>
      <c r="W63" s="32"/>
      <c r="X63" s="46"/>
      <c r="Y63" s="32"/>
      <c r="Z63" s="32"/>
      <c r="AA63" s="32"/>
      <c r="AB63" s="46"/>
      <c r="AC63" s="55"/>
      <c r="AD63" s="56"/>
      <c r="AE63" s="47"/>
      <c r="AF63" s="35">
        <v>60590199370</v>
      </c>
      <c r="AG63" s="35"/>
    </row>
    <row r="64" spans="1:34" s="18" customFormat="1">
      <c r="A64" s="71" t="s">
        <v>27</v>
      </c>
      <c r="B64" s="33" t="s">
        <v>88</v>
      </c>
      <c r="C64" s="33" t="s">
        <v>139</v>
      </c>
      <c r="D64" s="49">
        <v>42506</v>
      </c>
      <c r="E64" s="34">
        <v>1633.38</v>
      </c>
      <c r="F64" s="34"/>
      <c r="G64" s="34"/>
      <c r="H64" s="34"/>
      <c r="I64" s="34"/>
      <c r="J64" s="46">
        <f t="shared" si="10"/>
        <v>0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58">
        <v>209.3</v>
      </c>
      <c r="V64" s="46">
        <f t="shared" si="40"/>
        <v>-209.3</v>
      </c>
      <c r="W64" s="32">
        <f t="shared" si="44"/>
        <v>0</v>
      </c>
      <c r="X64" s="46">
        <f t="shared" si="33"/>
        <v>-209.3</v>
      </c>
      <c r="Y64" s="32">
        <f t="shared" si="34"/>
        <v>0</v>
      </c>
      <c r="Z64" s="32">
        <v>10.23</v>
      </c>
      <c r="AA64" s="32">
        <f t="shared" si="35"/>
        <v>0</v>
      </c>
      <c r="AB64" s="46">
        <f t="shared" si="36"/>
        <v>10.23</v>
      </c>
      <c r="AC64" s="55"/>
      <c r="AD64" s="55"/>
      <c r="AE64" s="47">
        <f t="shared" ref="AE64" si="45">+AC64+AD64-X64</f>
        <v>209.3</v>
      </c>
      <c r="AF64" s="35">
        <v>1179675078</v>
      </c>
      <c r="AG64" s="35"/>
      <c r="AH64" s="18" t="s">
        <v>128</v>
      </c>
    </row>
    <row r="65" spans="1:187" s="18" customFormat="1">
      <c r="A65" s="71" t="s">
        <v>26</v>
      </c>
      <c r="B65" s="33" t="s">
        <v>123</v>
      </c>
      <c r="C65" s="33" t="s">
        <v>42</v>
      </c>
      <c r="D65" s="49">
        <v>42597</v>
      </c>
      <c r="E65" s="34">
        <v>933.31</v>
      </c>
      <c r="F65" s="34">
        <v>1200</v>
      </c>
      <c r="G65" s="34"/>
      <c r="H65" s="34"/>
      <c r="I65" s="34"/>
      <c r="J65" s="46">
        <f t="shared" si="10"/>
        <v>1200</v>
      </c>
      <c r="K65" s="34">
        <v>300</v>
      </c>
      <c r="L65" s="60"/>
      <c r="M65" s="34"/>
      <c r="N65" s="34"/>
      <c r="O65" s="61"/>
      <c r="P65" s="61"/>
      <c r="Q65" s="34"/>
      <c r="R65" s="32"/>
      <c r="S65" s="32"/>
      <c r="T65" s="33"/>
      <c r="U65" s="58"/>
      <c r="V65" s="46">
        <f t="shared" si="40"/>
        <v>900</v>
      </c>
      <c r="W65" s="32">
        <f t="shared" si="44"/>
        <v>0</v>
      </c>
      <c r="X65" s="46">
        <f t="shared" si="33"/>
        <v>900</v>
      </c>
      <c r="Y65" s="32"/>
      <c r="Z65" s="32"/>
      <c r="AA65" s="32"/>
      <c r="AB65" s="46"/>
      <c r="AC65" s="55"/>
      <c r="AD65" s="55"/>
      <c r="AE65" s="47"/>
      <c r="AF65" s="35">
        <v>60594462438</v>
      </c>
      <c r="AG65" s="35" t="s">
        <v>192</v>
      </c>
    </row>
    <row r="66" spans="1:187" s="18" customFormat="1">
      <c r="A66" s="71" t="s">
        <v>37</v>
      </c>
      <c r="B66" s="33" t="s">
        <v>116</v>
      </c>
      <c r="C66" s="33" t="s">
        <v>29</v>
      </c>
      <c r="D66" s="49">
        <v>42696</v>
      </c>
      <c r="E66" s="34">
        <v>1166.27</v>
      </c>
      <c r="F66" s="34">
        <v>1715.35</v>
      </c>
      <c r="G66" s="34"/>
      <c r="H66" s="34"/>
      <c r="I66" s="34"/>
      <c r="J66" s="46">
        <f t="shared" si="10"/>
        <v>1715.35</v>
      </c>
      <c r="K66" s="34"/>
      <c r="L66" s="60"/>
      <c r="M66" s="34"/>
      <c r="N66" s="34"/>
      <c r="O66" s="61"/>
      <c r="P66" s="61"/>
      <c r="Q66" s="34"/>
      <c r="R66" s="32"/>
      <c r="S66" s="32"/>
      <c r="T66" s="33"/>
      <c r="U66" s="58"/>
      <c r="V66" s="46">
        <f t="shared" ref="V66" si="46">+J66-SUM(K66:U66)</f>
        <v>1715.35</v>
      </c>
      <c r="W66" s="32">
        <f t="shared" ref="W66" si="47">IF(J66&gt;2250,J66*0.1,0)</f>
        <v>0</v>
      </c>
      <c r="X66" s="46">
        <f t="shared" ref="X66" si="48">+V66-W66</f>
        <v>1715.35</v>
      </c>
      <c r="Y66" s="32"/>
      <c r="Z66" s="32"/>
      <c r="AA66" s="32"/>
      <c r="AB66" s="46"/>
      <c r="AC66" s="55"/>
      <c r="AD66" s="55"/>
      <c r="AE66" s="47"/>
      <c r="AF66" s="35">
        <v>56710784605</v>
      </c>
      <c r="AG66" s="35"/>
    </row>
    <row r="67" spans="1:187" s="18" customFormat="1">
      <c r="A67" s="71" t="s">
        <v>28</v>
      </c>
      <c r="B67" s="33" t="s">
        <v>185</v>
      </c>
      <c r="C67" s="33" t="s">
        <v>184</v>
      </c>
      <c r="D67" s="49">
        <v>43038</v>
      </c>
      <c r="E67" s="34">
        <v>1400</v>
      </c>
      <c r="F67" s="34"/>
      <c r="G67" s="34"/>
      <c r="H67" s="34"/>
      <c r="I67" s="34"/>
      <c r="J67" s="46">
        <f t="shared" si="10"/>
        <v>0</v>
      </c>
      <c r="K67" s="34"/>
      <c r="L67" s="60"/>
      <c r="M67" s="34"/>
      <c r="N67" s="34"/>
      <c r="O67" s="61"/>
      <c r="P67" s="61"/>
      <c r="Q67" s="34"/>
      <c r="R67" s="32"/>
      <c r="S67" s="32"/>
      <c r="T67" s="33"/>
      <c r="U67" s="58"/>
      <c r="V67" s="46"/>
      <c r="W67" s="32"/>
      <c r="X67" s="46"/>
      <c r="Y67" s="32"/>
      <c r="Z67" s="32"/>
      <c r="AA67" s="32"/>
      <c r="AB67" s="46"/>
      <c r="AC67" s="55"/>
      <c r="AD67" s="55"/>
      <c r="AE67" s="47"/>
      <c r="AF67" s="35">
        <v>1514177835</v>
      </c>
      <c r="AG67" s="35"/>
      <c r="AH67" s="18" t="s">
        <v>128</v>
      </c>
    </row>
    <row r="68" spans="1:187" s="18" customFormat="1">
      <c r="A68" s="24"/>
      <c r="B68" s="25"/>
      <c r="C68" s="25"/>
      <c r="D68" s="25"/>
      <c r="E68" s="25"/>
      <c r="F68" s="26"/>
      <c r="G68" s="26"/>
      <c r="H68" s="26"/>
      <c r="I68" s="26"/>
      <c r="J68" s="27"/>
      <c r="K68" s="26"/>
      <c r="L68" s="26"/>
      <c r="M68" s="26"/>
      <c r="N68" s="26"/>
      <c r="O68" s="26"/>
      <c r="P68" s="26"/>
      <c r="Q68" s="26"/>
      <c r="R68" s="36"/>
      <c r="S68" s="36"/>
      <c r="T68" s="36"/>
      <c r="U68" s="36"/>
      <c r="V68" s="27"/>
      <c r="W68" s="36"/>
      <c r="X68" s="27"/>
      <c r="Y68" s="36"/>
      <c r="Z68" s="36"/>
      <c r="AA68" s="36"/>
      <c r="AB68" s="27"/>
      <c r="AC68" s="43"/>
      <c r="AD68" s="43"/>
      <c r="AE68" s="22"/>
    </row>
    <row r="69" spans="1:187">
      <c r="B69" s="37" t="s">
        <v>1</v>
      </c>
      <c r="C69" s="37"/>
      <c r="D69" s="37"/>
      <c r="E69" s="38">
        <f t="shared" ref="E69:U69" si="49">SUM(E7:E68)</f>
        <v>86098.210000000036</v>
      </c>
      <c r="F69" s="38">
        <f t="shared" si="49"/>
        <v>83523.22</v>
      </c>
      <c r="G69" s="38">
        <f t="shared" si="49"/>
        <v>0</v>
      </c>
      <c r="H69" s="38">
        <f t="shared" si="49"/>
        <v>550.35</v>
      </c>
      <c r="I69" s="38">
        <f t="shared" si="49"/>
        <v>0</v>
      </c>
      <c r="J69" s="38">
        <f t="shared" si="49"/>
        <v>84073.57</v>
      </c>
      <c r="K69" s="38">
        <f t="shared" si="49"/>
        <v>2486.34</v>
      </c>
      <c r="L69" s="38">
        <f t="shared" si="49"/>
        <v>6</v>
      </c>
      <c r="M69" s="38">
        <f t="shared" si="49"/>
        <v>0</v>
      </c>
      <c r="N69" s="38">
        <f t="shared" si="49"/>
        <v>1300</v>
      </c>
      <c r="O69" s="38">
        <f t="shared" si="49"/>
        <v>0</v>
      </c>
      <c r="P69" s="38">
        <f t="shared" si="49"/>
        <v>0</v>
      </c>
      <c r="Q69" s="38">
        <f t="shared" si="49"/>
        <v>0</v>
      </c>
      <c r="R69" s="38">
        <f t="shared" si="49"/>
        <v>8605.43</v>
      </c>
      <c r="S69" s="38">
        <f t="shared" si="49"/>
        <v>0.6</v>
      </c>
      <c r="T69" s="38">
        <f t="shared" si="49"/>
        <v>0</v>
      </c>
      <c r="U69" s="38">
        <f t="shared" si="49"/>
        <v>4658.2100000000009</v>
      </c>
      <c r="V69" s="38">
        <f t="shared" ref="V69:AE69" si="50">SUM(V8:V68)</f>
        <v>66117.789999999994</v>
      </c>
      <c r="W69" s="38">
        <f t="shared" si="50"/>
        <v>4787.7179999999989</v>
      </c>
      <c r="X69" s="38">
        <f t="shared" si="50"/>
        <v>40764.401999999987</v>
      </c>
      <c r="Y69" s="38">
        <f t="shared" si="50"/>
        <v>835.21600000000001</v>
      </c>
      <c r="Z69" s="38">
        <f t="shared" si="50"/>
        <v>268.05999999999995</v>
      </c>
      <c r="AA69" s="38">
        <f t="shared" si="50"/>
        <v>0</v>
      </c>
      <c r="AB69" s="38">
        <f t="shared" si="50"/>
        <v>49472.036000000007</v>
      </c>
      <c r="AC69" s="44">
        <f t="shared" si="50"/>
        <v>0</v>
      </c>
      <c r="AD69" s="44">
        <f t="shared" si="50"/>
        <v>0</v>
      </c>
      <c r="AE69" s="39" t="e">
        <f t="shared" si="50"/>
        <v>#REF!</v>
      </c>
      <c r="AF69" s="28"/>
      <c r="AG69" s="2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</row>
    <row r="70" spans="1:187">
      <c r="AB70" s="14">
        <f>AB69*0.16</f>
        <v>7915.5257600000014</v>
      </c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</row>
    <row r="71" spans="1:187">
      <c r="A71" s="104" t="s">
        <v>75</v>
      </c>
      <c r="B71" s="104"/>
      <c r="C71" s="28"/>
      <c r="D71" s="28"/>
      <c r="E71" s="28"/>
      <c r="F71" s="30"/>
      <c r="G71" s="30"/>
      <c r="H71" s="30"/>
      <c r="I71" s="30"/>
      <c r="J71" s="38"/>
      <c r="K71" s="30"/>
      <c r="L71" s="30"/>
      <c r="M71" s="30"/>
      <c r="N71" s="34"/>
      <c r="O71" s="34"/>
      <c r="P71" s="34"/>
      <c r="Q71" s="34"/>
      <c r="R71" s="30"/>
      <c r="S71" s="30"/>
      <c r="T71" s="30"/>
      <c r="U71" s="30"/>
      <c r="V71" s="38"/>
      <c r="W71" s="30"/>
      <c r="X71" s="38"/>
      <c r="Y71" s="30"/>
      <c r="Z71" s="30"/>
      <c r="AA71" s="30"/>
      <c r="AB71" s="38">
        <f>+AB69+AB70</f>
        <v>57387.561760000011</v>
      </c>
      <c r="AC71" s="44"/>
      <c r="AD71" s="44"/>
      <c r="AE71" s="39"/>
      <c r="AF71" s="28"/>
      <c r="AG71" s="2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</row>
    <row r="72" spans="1:187">
      <c r="A72" s="33" t="s">
        <v>38</v>
      </c>
      <c r="B72" s="33" t="s">
        <v>180</v>
      </c>
      <c r="C72" s="29" t="s">
        <v>181</v>
      </c>
      <c r="D72" s="49">
        <v>43038</v>
      </c>
      <c r="E72" s="34">
        <v>638.96</v>
      </c>
      <c r="F72" s="34">
        <v>2252.9920000000002</v>
      </c>
      <c r="G72" s="34"/>
      <c r="H72" s="31"/>
      <c r="I72" s="31"/>
      <c r="J72" s="46">
        <f>SUM(F72:I72)</f>
        <v>2252.9920000000002</v>
      </c>
      <c r="K72" s="34"/>
      <c r="L72" s="60"/>
      <c r="M72" s="34"/>
      <c r="N72" s="34"/>
      <c r="O72" s="61"/>
      <c r="P72" s="61"/>
      <c r="Q72" s="34"/>
      <c r="R72" s="32"/>
      <c r="S72" s="32"/>
      <c r="T72" s="33"/>
      <c r="U72" s="33">
        <v>395.17</v>
      </c>
      <c r="V72" s="46">
        <f>+J72-SUM(K72:U72)</f>
        <v>1857.8220000000001</v>
      </c>
      <c r="W72" s="32"/>
      <c r="X72" s="46"/>
      <c r="Y72" s="54"/>
      <c r="Z72" s="54"/>
      <c r="AA72" s="54"/>
      <c r="AB72" s="53"/>
      <c r="AC72" s="45"/>
      <c r="AD72" s="45"/>
      <c r="AE72" s="40"/>
      <c r="AF72" s="35">
        <v>56697905731</v>
      </c>
      <c r="AG72" s="35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</row>
    <row r="73" spans="1:187">
      <c r="A73" s="33" t="s">
        <v>40</v>
      </c>
      <c r="B73" s="33" t="s">
        <v>154</v>
      </c>
      <c r="C73" s="29" t="s">
        <v>103</v>
      </c>
      <c r="D73" s="49">
        <v>41142</v>
      </c>
      <c r="E73" s="34">
        <v>667.87</v>
      </c>
      <c r="F73" s="34">
        <f>905.74+2.599</f>
        <v>908.33900000000006</v>
      </c>
      <c r="G73" s="34">
        <v>465.98589285714291</v>
      </c>
      <c r="H73" s="31"/>
      <c r="I73" s="31"/>
      <c r="J73" s="46">
        <f>SUM(F73:I73)</f>
        <v>1374.3248928571429</v>
      </c>
      <c r="K73" s="34"/>
      <c r="L73" s="60"/>
      <c r="M73" s="34"/>
      <c r="N73" s="34"/>
      <c r="O73" s="61" t="s">
        <v>134</v>
      </c>
      <c r="P73" s="61" t="s">
        <v>134</v>
      </c>
      <c r="Q73" s="34"/>
      <c r="R73" s="32"/>
      <c r="S73" s="32"/>
      <c r="T73" s="33"/>
      <c r="U73" s="33"/>
      <c r="V73" s="46">
        <f>+J73-SUM(K73:U73)</f>
        <v>1374.3248928571429</v>
      </c>
      <c r="W73" s="32">
        <f>+V73*0.05</f>
        <v>68.716244642857149</v>
      </c>
      <c r="X73" s="46">
        <f>+V73-R73-U73</f>
        <v>1374.3248928571429</v>
      </c>
      <c r="Y73" s="54">
        <f>IF(V73&lt;3000,V73*0.1,0)</f>
        <v>137.4324892857143</v>
      </c>
      <c r="Z73" s="54">
        <v>0</v>
      </c>
      <c r="AA73" s="54"/>
      <c r="AB73" s="53">
        <f>+V73+Y73+Z73</f>
        <v>1511.7573821428573</v>
      </c>
      <c r="AC73" s="45"/>
      <c r="AD73" s="45"/>
      <c r="AE73" s="40"/>
      <c r="AF73" s="35">
        <v>56708845760</v>
      </c>
      <c r="AG73" s="35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</row>
    <row r="74" spans="1:187" s="18" customFormat="1">
      <c r="A74" s="33" t="s">
        <v>40</v>
      </c>
      <c r="B74" s="33" t="s">
        <v>52</v>
      </c>
      <c r="C74" s="33" t="s">
        <v>103</v>
      </c>
      <c r="D74" s="49">
        <v>41381</v>
      </c>
      <c r="E74" s="34">
        <v>627.13</v>
      </c>
      <c r="F74" s="34">
        <f>6495.015+5.571</f>
        <v>6500.5860000000002</v>
      </c>
      <c r="G74" s="34">
        <v>1089.4255357142856</v>
      </c>
      <c r="H74" s="34"/>
      <c r="I74" s="34"/>
      <c r="J74" s="46">
        <f t="shared" ref="J74:J115" si="51">SUM(F74:I74)</f>
        <v>7590.0115357142859</v>
      </c>
      <c r="K74" s="34"/>
      <c r="L74" s="60"/>
      <c r="M74" s="34"/>
      <c r="N74" s="34"/>
      <c r="O74" s="61" t="s">
        <v>134</v>
      </c>
      <c r="P74" s="61" t="s">
        <v>134</v>
      </c>
      <c r="Q74" s="34"/>
      <c r="R74" s="32"/>
      <c r="S74" s="32"/>
      <c r="T74" s="33"/>
      <c r="U74" s="33"/>
      <c r="V74" s="46">
        <f t="shared" ref="V74:V114" si="52">+J74-SUM(K74:U74)</f>
        <v>7590.0115357142859</v>
      </c>
      <c r="W74" s="32">
        <f t="shared" ref="W74:W82" si="53">IF(J74&gt;2250,J74*0.1,0)</f>
        <v>759.00115357142863</v>
      </c>
      <c r="X74" s="46">
        <f t="shared" ref="X74:X82" si="54">+V74-W74</f>
        <v>6831.0103821428575</v>
      </c>
      <c r="Y74" s="32">
        <f t="shared" ref="Y74:Y82" si="55">IF(J74&lt;2250,J74*0.1,0)</f>
        <v>0</v>
      </c>
      <c r="Z74" s="32">
        <v>10.23</v>
      </c>
      <c r="AA74" s="32" t="str">
        <f t="shared" ref="AA74:AA82" si="56">+O74</f>
        <v>XX</v>
      </c>
      <c r="AB74" s="46" t="e">
        <f t="shared" ref="AB74:AB82" si="57">+J74+Y74+Z74+AA74</f>
        <v>#VALUE!</v>
      </c>
      <c r="AC74" s="50"/>
      <c r="AD74" s="51"/>
      <c r="AE74" s="47">
        <f t="shared" ref="AE74:AE77" si="58">+AC74+AD74-X74</f>
        <v>-6831.0103821428575</v>
      </c>
      <c r="AF74" s="35">
        <v>56708845774</v>
      </c>
      <c r="AG74" s="35"/>
    </row>
    <row r="75" spans="1:187" s="18" customFormat="1">
      <c r="A75" s="33" t="s">
        <v>40</v>
      </c>
      <c r="B75" s="33" t="s">
        <v>82</v>
      </c>
      <c r="C75" s="33" t="s">
        <v>103</v>
      </c>
      <c r="D75" s="49">
        <v>41740</v>
      </c>
      <c r="E75" s="34">
        <v>627.13</v>
      </c>
      <c r="F75" s="34">
        <f>1408.775+5.571+175.38</f>
        <v>1589.7260000000001</v>
      </c>
      <c r="G75" s="34">
        <v>397.66303571428574</v>
      </c>
      <c r="H75" s="34"/>
      <c r="I75" s="34"/>
      <c r="J75" s="46">
        <f t="shared" si="51"/>
        <v>1987.3890357142859</v>
      </c>
      <c r="K75" s="34"/>
      <c r="L75" s="60"/>
      <c r="M75" s="34"/>
      <c r="N75" s="32">
        <v>300</v>
      </c>
      <c r="O75" s="61" t="s">
        <v>134</v>
      </c>
      <c r="P75" s="61" t="s">
        <v>134</v>
      </c>
      <c r="Q75" s="34"/>
      <c r="R75" s="32"/>
      <c r="S75" s="32"/>
      <c r="T75" s="33"/>
      <c r="U75" s="33"/>
      <c r="V75" s="46">
        <f t="shared" si="52"/>
        <v>1687.3890357142859</v>
      </c>
      <c r="W75" s="32">
        <f t="shared" si="53"/>
        <v>0</v>
      </c>
      <c r="X75" s="46">
        <f t="shared" si="54"/>
        <v>1687.3890357142859</v>
      </c>
      <c r="Y75" s="32">
        <f t="shared" si="55"/>
        <v>198.73890357142861</v>
      </c>
      <c r="Z75" s="32">
        <v>10.23</v>
      </c>
      <c r="AA75" s="32" t="str">
        <f t="shared" si="56"/>
        <v>XX</v>
      </c>
      <c r="AB75" s="46" t="e">
        <f t="shared" si="57"/>
        <v>#VALUE!</v>
      </c>
      <c r="AC75" s="50"/>
      <c r="AD75" s="51"/>
      <c r="AE75" s="47">
        <f t="shared" si="58"/>
        <v>-1687.3890357142859</v>
      </c>
      <c r="AF75" s="35">
        <v>56708845788</v>
      </c>
      <c r="AG75" s="35"/>
    </row>
    <row r="76" spans="1:187" s="18" customFormat="1">
      <c r="A76" s="33" t="s">
        <v>40</v>
      </c>
      <c r="B76" s="33" t="s">
        <v>124</v>
      </c>
      <c r="C76" s="33" t="s">
        <v>99</v>
      </c>
      <c r="D76" s="49">
        <v>42779</v>
      </c>
      <c r="E76" s="34">
        <v>560.28</v>
      </c>
      <c r="F76" s="34">
        <v>860.8</v>
      </c>
      <c r="G76" s="34">
        <v>200.88696428571433</v>
      </c>
      <c r="H76" s="34"/>
      <c r="I76" s="34"/>
      <c r="J76" s="46">
        <f t="shared" si="51"/>
        <v>1061.6869642857143</v>
      </c>
      <c r="K76" s="34"/>
      <c r="L76" s="60"/>
      <c r="M76" s="34"/>
      <c r="N76" s="34"/>
      <c r="O76" s="61" t="s">
        <v>134</v>
      </c>
      <c r="P76" s="61" t="s">
        <v>134</v>
      </c>
      <c r="Q76" s="34"/>
      <c r="R76" s="32"/>
      <c r="S76" s="32"/>
      <c r="T76" s="33"/>
      <c r="U76" s="33"/>
      <c r="V76" s="46">
        <f t="shared" si="52"/>
        <v>1061.6869642857143</v>
      </c>
      <c r="W76" s="32"/>
      <c r="X76" s="46"/>
      <c r="Y76" s="32"/>
      <c r="Z76" s="32"/>
      <c r="AA76" s="32"/>
      <c r="AB76" s="46"/>
      <c r="AC76" s="50"/>
      <c r="AD76" s="51"/>
      <c r="AE76" s="47"/>
      <c r="AF76" s="35">
        <v>60589582591</v>
      </c>
      <c r="AG76" s="35"/>
    </row>
    <row r="77" spans="1:187" s="18" customFormat="1">
      <c r="A77" s="33" t="s">
        <v>40</v>
      </c>
      <c r="B77" s="33" t="s">
        <v>53</v>
      </c>
      <c r="C77" s="33" t="s">
        <v>45</v>
      </c>
      <c r="D77" s="49">
        <v>41227</v>
      </c>
      <c r="E77" s="34">
        <v>560.28</v>
      </c>
      <c r="F77" s="34">
        <f>2058.036+13.099</f>
        <v>2071.1350000000002</v>
      </c>
      <c r="G77" s="34">
        <v>569.07678571428573</v>
      </c>
      <c r="H77" s="34"/>
      <c r="I77" s="34"/>
      <c r="J77" s="46">
        <f t="shared" si="51"/>
        <v>2640.2117857142857</v>
      </c>
      <c r="K77" s="34"/>
      <c r="L77" s="60"/>
      <c r="M77" s="34"/>
      <c r="N77" s="32">
        <v>700</v>
      </c>
      <c r="O77" s="61" t="s">
        <v>134</v>
      </c>
      <c r="P77" s="61" t="s">
        <v>134</v>
      </c>
      <c r="Q77" s="34"/>
      <c r="R77" s="32"/>
      <c r="S77" s="32"/>
      <c r="T77" s="33"/>
      <c r="U77" s="33"/>
      <c r="V77" s="46">
        <f t="shared" si="52"/>
        <v>1940.2117857142857</v>
      </c>
      <c r="W77" s="32">
        <f t="shared" si="53"/>
        <v>264.02117857142861</v>
      </c>
      <c r="X77" s="46">
        <f t="shared" si="54"/>
        <v>1676.1906071428571</v>
      </c>
      <c r="Y77" s="32">
        <f t="shared" si="55"/>
        <v>0</v>
      </c>
      <c r="Z77" s="32">
        <v>10.23</v>
      </c>
      <c r="AA77" s="32" t="str">
        <f t="shared" si="56"/>
        <v>XX</v>
      </c>
      <c r="AB77" s="46" t="e">
        <f t="shared" si="57"/>
        <v>#VALUE!</v>
      </c>
      <c r="AC77" s="50"/>
      <c r="AD77" s="51"/>
      <c r="AE77" s="47">
        <f t="shared" si="58"/>
        <v>-1676.1906071428571</v>
      </c>
      <c r="AF77" s="35">
        <v>56708845791</v>
      </c>
      <c r="AG77" s="35"/>
    </row>
    <row r="78" spans="1:187" s="18" customFormat="1">
      <c r="A78" s="33" t="s">
        <v>38</v>
      </c>
      <c r="B78" s="33" t="s">
        <v>79</v>
      </c>
      <c r="C78" s="33" t="s">
        <v>168</v>
      </c>
      <c r="D78" s="49">
        <v>42338</v>
      </c>
      <c r="E78" s="34">
        <v>739.2</v>
      </c>
      <c r="F78" s="34">
        <f>2068.983+7.428</f>
        <v>2076.4110000000001</v>
      </c>
      <c r="G78" s="34"/>
      <c r="H78" s="34"/>
      <c r="I78" s="34"/>
      <c r="J78" s="46">
        <f t="shared" si="51"/>
        <v>2076.4110000000001</v>
      </c>
      <c r="K78" s="34">
        <v>187.5</v>
      </c>
      <c r="L78" s="60"/>
      <c r="M78" s="34"/>
      <c r="N78" s="34"/>
      <c r="O78" s="61"/>
      <c r="P78" s="61"/>
      <c r="Q78" s="34"/>
      <c r="R78" s="32"/>
      <c r="S78" s="32"/>
      <c r="T78" s="33"/>
      <c r="U78" s="33"/>
      <c r="V78" s="46">
        <f t="shared" si="52"/>
        <v>1888.9110000000001</v>
      </c>
      <c r="W78" s="32">
        <f t="shared" si="53"/>
        <v>0</v>
      </c>
      <c r="X78" s="46">
        <f t="shared" si="54"/>
        <v>1888.9110000000001</v>
      </c>
      <c r="Y78" s="32">
        <f t="shared" si="55"/>
        <v>207.64110000000002</v>
      </c>
      <c r="Z78" s="32">
        <v>10.23</v>
      </c>
      <c r="AA78" s="32">
        <f t="shared" si="56"/>
        <v>0</v>
      </c>
      <c r="AB78" s="46">
        <f t="shared" si="57"/>
        <v>2294.2820999999999</v>
      </c>
      <c r="AC78" s="50"/>
      <c r="AD78" s="51"/>
      <c r="AE78" s="47">
        <f>+AC78+AD78-X78</f>
        <v>-1888.9110000000001</v>
      </c>
      <c r="AF78" s="35">
        <v>56708881872</v>
      </c>
      <c r="AG78" s="35" t="s">
        <v>192</v>
      </c>
    </row>
    <row r="79" spans="1:187" s="18" customFormat="1">
      <c r="A79" s="33" t="s">
        <v>40</v>
      </c>
      <c r="B79" s="33" t="s">
        <v>126</v>
      </c>
      <c r="C79" s="33" t="s">
        <v>99</v>
      </c>
      <c r="D79" s="49">
        <v>42807</v>
      </c>
      <c r="E79" s="34">
        <v>560.28</v>
      </c>
      <c r="F79" s="34">
        <v>1044.51</v>
      </c>
      <c r="G79" s="34">
        <v>182.64124999999999</v>
      </c>
      <c r="H79" s="34"/>
      <c r="I79" s="34"/>
      <c r="J79" s="46">
        <f t="shared" si="51"/>
        <v>1227.1512499999999</v>
      </c>
      <c r="K79" s="34"/>
      <c r="L79" s="60"/>
      <c r="M79" s="34"/>
      <c r="N79" s="34"/>
      <c r="O79" s="61" t="s">
        <v>134</v>
      </c>
      <c r="P79" s="61" t="s">
        <v>134</v>
      </c>
      <c r="Q79" s="34"/>
      <c r="R79" s="32"/>
      <c r="S79" s="32"/>
      <c r="T79" s="33"/>
      <c r="U79" s="33"/>
      <c r="V79" s="46">
        <f t="shared" si="52"/>
        <v>1227.1512499999999</v>
      </c>
      <c r="W79" s="32"/>
      <c r="X79" s="46"/>
      <c r="Y79" s="32"/>
      <c r="Z79" s="32"/>
      <c r="AA79" s="32"/>
      <c r="AB79" s="46"/>
      <c r="AC79" s="50"/>
      <c r="AD79" s="51"/>
      <c r="AE79" s="47"/>
      <c r="AF79" s="35">
        <v>60589642468</v>
      </c>
      <c r="AG79" s="35"/>
    </row>
    <row r="80" spans="1:187" s="18" customFormat="1">
      <c r="A80" s="33" t="s">
        <v>38</v>
      </c>
      <c r="B80" s="33" t="s">
        <v>113</v>
      </c>
      <c r="C80" s="33" t="s">
        <v>41</v>
      </c>
      <c r="D80" s="49">
        <v>42681</v>
      </c>
      <c r="E80" s="34">
        <v>738.99</v>
      </c>
      <c r="F80" s="34">
        <f>2946.6+13.099</f>
        <v>2959.6990000000001</v>
      </c>
      <c r="G80" s="34"/>
      <c r="H80" s="34"/>
      <c r="I80" s="34"/>
      <c r="J80" s="46">
        <f t="shared" si="51"/>
        <v>2959.6990000000001</v>
      </c>
      <c r="K80" s="34"/>
      <c r="L80" s="60"/>
      <c r="M80" s="34"/>
      <c r="N80" s="34">
        <v>150</v>
      </c>
      <c r="O80" s="61"/>
      <c r="P80" s="61"/>
      <c r="Q80" s="34"/>
      <c r="R80" s="32"/>
      <c r="S80" s="32"/>
      <c r="T80" s="33"/>
      <c r="U80" s="33"/>
      <c r="V80" s="46">
        <f t="shared" si="52"/>
        <v>2809.6990000000001</v>
      </c>
      <c r="W80" s="32">
        <f t="shared" ref="W80" si="59">IF(J80&gt;2250,J80*0.1,0)</f>
        <v>295.9699</v>
      </c>
      <c r="X80" s="46">
        <f t="shared" ref="X80" si="60">+V80-W80</f>
        <v>2513.7291</v>
      </c>
      <c r="Y80" s="32"/>
      <c r="Z80" s="32"/>
      <c r="AA80" s="32"/>
      <c r="AB80" s="46"/>
      <c r="AC80" s="50"/>
      <c r="AD80" s="51"/>
      <c r="AE80" s="47"/>
      <c r="AF80" s="35">
        <v>56710773131</v>
      </c>
      <c r="AG80" s="35"/>
    </row>
    <row r="81" spans="1:33" s="18" customFormat="1">
      <c r="A81" s="33" t="s">
        <v>40</v>
      </c>
      <c r="B81" s="33" t="s">
        <v>87</v>
      </c>
      <c r="C81" s="33" t="s">
        <v>103</v>
      </c>
      <c r="D81" s="49">
        <v>41227</v>
      </c>
      <c r="E81" s="34">
        <v>627.13</v>
      </c>
      <c r="F81" s="34">
        <f>3264.557+2.599+31.11</f>
        <v>3298.2660000000001</v>
      </c>
      <c r="G81" s="34">
        <v>293.16821428571427</v>
      </c>
      <c r="H81" s="34"/>
      <c r="I81" s="34"/>
      <c r="J81" s="46">
        <f t="shared" si="51"/>
        <v>3591.4342142857145</v>
      </c>
      <c r="K81" s="34"/>
      <c r="L81" s="60"/>
      <c r="M81" s="34"/>
      <c r="N81" s="32">
        <v>500</v>
      </c>
      <c r="O81" s="61" t="s">
        <v>134</v>
      </c>
      <c r="P81" s="61" t="s">
        <v>134</v>
      </c>
      <c r="Q81" s="34"/>
      <c r="R81" s="32"/>
      <c r="S81" s="32"/>
      <c r="T81" s="33"/>
      <c r="U81" s="33"/>
      <c r="V81" s="46">
        <f t="shared" si="52"/>
        <v>3091.4342142857145</v>
      </c>
      <c r="W81" s="32">
        <f t="shared" si="53"/>
        <v>359.14342142857146</v>
      </c>
      <c r="X81" s="46">
        <f t="shared" si="54"/>
        <v>2732.2907928571431</v>
      </c>
      <c r="Y81" s="32">
        <f t="shared" si="55"/>
        <v>0</v>
      </c>
      <c r="Z81" s="32">
        <v>10.23</v>
      </c>
      <c r="AA81" s="32" t="str">
        <f t="shared" si="56"/>
        <v>XX</v>
      </c>
      <c r="AB81" s="46" t="e">
        <f t="shared" si="57"/>
        <v>#VALUE!</v>
      </c>
      <c r="AC81" s="50"/>
      <c r="AD81" s="51"/>
      <c r="AE81" s="47">
        <f>+AC81+AD81-X81</f>
        <v>-2732.2907928571431</v>
      </c>
      <c r="AF81" s="35">
        <v>56708845820</v>
      </c>
      <c r="AG81" s="35"/>
    </row>
    <row r="82" spans="1:33" s="18" customFormat="1">
      <c r="A82" s="33" t="s">
        <v>40</v>
      </c>
      <c r="B82" s="33" t="s">
        <v>62</v>
      </c>
      <c r="C82" s="33" t="s">
        <v>103</v>
      </c>
      <c r="D82" s="49">
        <v>41227</v>
      </c>
      <c r="E82" s="34">
        <v>627.13</v>
      </c>
      <c r="F82" s="34">
        <f>5184.766+2.972</f>
        <v>5187.7379999999994</v>
      </c>
      <c r="G82" s="34">
        <v>828.01446428571421</v>
      </c>
      <c r="H82" s="34"/>
      <c r="I82" s="34"/>
      <c r="J82" s="46">
        <f t="shared" si="51"/>
        <v>6015.7524642857134</v>
      </c>
      <c r="K82" s="34"/>
      <c r="L82" s="60"/>
      <c r="M82" s="34"/>
      <c r="N82" s="34">
        <v>1000</v>
      </c>
      <c r="O82" s="61" t="s">
        <v>134</v>
      </c>
      <c r="P82" s="61" t="s">
        <v>134</v>
      </c>
      <c r="Q82" s="34"/>
      <c r="R82" s="32"/>
      <c r="S82" s="32"/>
      <c r="T82" s="33"/>
      <c r="U82" s="33"/>
      <c r="V82" s="46">
        <f t="shared" si="52"/>
        <v>5015.7524642857134</v>
      </c>
      <c r="W82" s="32">
        <f t="shared" si="53"/>
        <v>601.5752464285714</v>
      </c>
      <c r="X82" s="46">
        <f t="shared" si="54"/>
        <v>4414.1772178571418</v>
      </c>
      <c r="Y82" s="32">
        <f t="shared" si="55"/>
        <v>0</v>
      </c>
      <c r="Z82" s="32">
        <v>10.23</v>
      </c>
      <c r="AA82" s="32" t="str">
        <f t="shared" si="56"/>
        <v>XX</v>
      </c>
      <c r="AB82" s="46" t="e">
        <f t="shared" si="57"/>
        <v>#VALUE!</v>
      </c>
      <c r="AC82" s="50"/>
      <c r="AD82" s="51"/>
      <c r="AE82" s="47">
        <f>+AC82+AD82-X82</f>
        <v>-4414.1772178571418</v>
      </c>
      <c r="AF82" s="35">
        <v>56708845834</v>
      </c>
      <c r="AG82" s="35"/>
    </row>
    <row r="83" spans="1:33" s="18" customFormat="1">
      <c r="A83" s="33" t="s">
        <v>40</v>
      </c>
      <c r="B83" s="33" t="s">
        <v>131</v>
      </c>
      <c r="C83" s="33" t="s">
        <v>118</v>
      </c>
      <c r="D83" s="49">
        <v>42842</v>
      </c>
      <c r="E83" s="34">
        <v>560.28</v>
      </c>
      <c r="F83" s="34">
        <f>3736.043+5.571</f>
        <v>3741.614</v>
      </c>
      <c r="G83" s="34">
        <v>608.11124999999993</v>
      </c>
      <c r="H83" s="34"/>
      <c r="I83" s="34"/>
      <c r="J83" s="46">
        <f t="shared" si="51"/>
        <v>4349.7252499999995</v>
      </c>
      <c r="K83" s="34"/>
      <c r="L83" s="60"/>
      <c r="M83" s="34"/>
      <c r="N83" s="34"/>
      <c r="O83" s="61" t="s">
        <v>134</v>
      </c>
      <c r="P83" s="61" t="s">
        <v>134</v>
      </c>
      <c r="Q83" s="34"/>
      <c r="R83" s="32"/>
      <c r="S83" s="32"/>
      <c r="T83" s="33"/>
      <c r="U83" s="33"/>
      <c r="V83" s="46">
        <f t="shared" si="52"/>
        <v>4349.7252499999995</v>
      </c>
      <c r="W83" s="32"/>
      <c r="X83" s="46"/>
      <c r="Y83" s="32"/>
      <c r="Z83" s="32"/>
      <c r="AA83" s="32"/>
      <c r="AB83" s="46"/>
      <c r="AC83" s="50"/>
      <c r="AD83" s="51"/>
      <c r="AE83" s="47"/>
      <c r="AF83" s="35">
        <v>60590100738</v>
      </c>
      <c r="AG83" s="35"/>
    </row>
    <row r="84" spans="1:33" s="18" customFormat="1">
      <c r="A84" s="33" t="s">
        <v>38</v>
      </c>
      <c r="B84" s="33" t="s">
        <v>63</v>
      </c>
      <c r="C84" s="33" t="s">
        <v>41</v>
      </c>
      <c r="D84" s="49">
        <v>42319</v>
      </c>
      <c r="E84" s="34">
        <v>739.2</v>
      </c>
      <c r="F84" s="34">
        <f>2450.065+13.099</f>
        <v>2463.1640000000002</v>
      </c>
      <c r="G84" s="34"/>
      <c r="H84" s="34"/>
      <c r="I84" s="34"/>
      <c r="J84" s="46">
        <f t="shared" si="51"/>
        <v>2463.1640000000002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46">
        <f t="shared" si="52"/>
        <v>2463.1640000000002</v>
      </c>
      <c r="W84" s="32">
        <f t="shared" ref="W84:W112" si="61">IF(J84&gt;2250,J84*0.1,0)</f>
        <v>246.31640000000004</v>
      </c>
      <c r="X84" s="46">
        <f t="shared" ref="X84:X112" si="62">+V84-W84</f>
        <v>2216.8476000000001</v>
      </c>
      <c r="Y84" s="32">
        <f t="shared" ref="Y84:Y112" si="63">IF(J84&lt;2250,J84*0.1,0)</f>
        <v>0</v>
      </c>
      <c r="Z84" s="32">
        <v>19.23</v>
      </c>
      <c r="AA84" s="32">
        <f t="shared" ref="AA84:AA112" si="64">+O84</f>
        <v>0</v>
      </c>
      <c r="AB84" s="46">
        <f t="shared" ref="AB84:AB112" si="65">+J84+Y84+Z84+AA84</f>
        <v>2482.3940000000002</v>
      </c>
      <c r="AC84" s="50"/>
      <c r="AD84" s="51"/>
      <c r="AE84" s="47">
        <f>+AC84+AD84-X84</f>
        <v>-2216.8476000000001</v>
      </c>
      <c r="AF84" s="35">
        <v>56708881901</v>
      </c>
      <c r="AG84" s="35"/>
    </row>
    <row r="85" spans="1:33" s="18" customFormat="1">
      <c r="A85" s="33" t="s">
        <v>38</v>
      </c>
      <c r="B85" s="33" t="s">
        <v>135</v>
      </c>
      <c r="C85" s="33" t="s">
        <v>41</v>
      </c>
      <c r="D85" s="49">
        <v>42884</v>
      </c>
      <c r="E85" s="34">
        <v>739.27</v>
      </c>
      <c r="F85" s="34">
        <f>3767.21+7.428</f>
        <v>3774.6379999999999</v>
      </c>
      <c r="G85" s="34"/>
      <c r="H85" s="34"/>
      <c r="I85" s="34"/>
      <c r="J85" s="46">
        <f t="shared" si="51"/>
        <v>3774.6379999999999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46">
        <f t="shared" si="52"/>
        <v>3774.6379999999999</v>
      </c>
      <c r="W85" s="32"/>
      <c r="X85" s="46"/>
      <c r="Y85" s="32"/>
      <c r="Z85" s="32"/>
      <c r="AA85" s="32"/>
      <c r="AB85" s="46"/>
      <c r="AC85" s="50"/>
      <c r="AD85" s="51"/>
      <c r="AE85" s="47"/>
      <c r="AF85" s="35">
        <v>60592118015</v>
      </c>
      <c r="AG85" s="35"/>
    </row>
    <row r="86" spans="1:33" s="18" customFormat="1">
      <c r="A86" s="33" t="s">
        <v>40</v>
      </c>
      <c r="B86" s="33" t="s">
        <v>125</v>
      </c>
      <c r="C86" s="33" t="s">
        <v>99</v>
      </c>
      <c r="D86" s="49">
        <v>42807</v>
      </c>
      <c r="E86" s="34">
        <v>560.28</v>
      </c>
      <c r="F86" s="34">
        <v>1489.546</v>
      </c>
      <c r="G86" s="34">
        <v>232.7380357142857</v>
      </c>
      <c r="H86" s="34"/>
      <c r="I86" s="34"/>
      <c r="J86" s="46">
        <f t="shared" si="51"/>
        <v>1722.2840357142857</v>
      </c>
      <c r="K86" s="34"/>
      <c r="L86" s="60"/>
      <c r="M86" s="34"/>
      <c r="N86" s="34"/>
      <c r="O86" s="61" t="s">
        <v>134</v>
      </c>
      <c r="P86" s="61" t="s">
        <v>134</v>
      </c>
      <c r="Q86" s="34"/>
      <c r="R86" s="32"/>
      <c r="S86" s="32"/>
      <c r="T86" s="33"/>
      <c r="U86" s="33"/>
      <c r="V86" s="46">
        <f t="shared" si="52"/>
        <v>1722.2840357142857</v>
      </c>
      <c r="W86" s="32"/>
      <c r="X86" s="46"/>
      <c r="Y86" s="32"/>
      <c r="Z86" s="32"/>
      <c r="AA86" s="32"/>
      <c r="AB86" s="46"/>
      <c r="AC86" s="50"/>
      <c r="AD86" s="51"/>
      <c r="AE86" s="47"/>
      <c r="AF86" s="35" t="s">
        <v>150</v>
      </c>
      <c r="AG86" s="35"/>
    </row>
    <row r="87" spans="1:33" s="18" customFormat="1">
      <c r="A87" s="33" t="s">
        <v>40</v>
      </c>
      <c r="B87" s="33" t="s">
        <v>49</v>
      </c>
      <c r="C87" s="33" t="s">
        <v>118</v>
      </c>
      <c r="D87" s="49">
        <v>41981</v>
      </c>
      <c r="E87" s="34">
        <v>506.28</v>
      </c>
      <c r="F87" s="34">
        <f>2554.168+5.571</f>
        <v>2559.739</v>
      </c>
      <c r="G87" s="34">
        <v>273.43892857142856</v>
      </c>
      <c r="H87" s="34"/>
      <c r="I87" s="34"/>
      <c r="J87" s="46">
        <f t="shared" si="51"/>
        <v>2833.1779285714288</v>
      </c>
      <c r="K87" s="34">
        <v>200</v>
      </c>
      <c r="L87" s="60"/>
      <c r="M87" s="34"/>
      <c r="N87" s="34">
        <v>300</v>
      </c>
      <c r="O87" s="61" t="s">
        <v>134</v>
      </c>
      <c r="P87" s="61" t="s">
        <v>134</v>
      </c>
      <c r="Q87" s="34"/>
      <c r="R87" s="32"/>
      <c r="S87" s="32"/>
      <c r="T87" s="33"/>
      <c r="U87" s="33"/>
      <c r="V87" s="46">
        <f t="shared" si="52"/>
        <v>2333.1779285714288</v>
      </c>
      <c r="W87" s="32">
        <f t="shared" si="61"/>
        <v>283.31779285714288</v>
      </c>
      <c r="X87" s="46">
        <f t="shared" si="62"/>
        <v>2049.8601357142861</v>
      </c>
      <c r="Y87" s="32">
        <f t="shared" si="63"/>
        <v>0</v>
      </c>
      <c r="Z87" s="32">
        <v>10.23</v>
      </c>
      <c r="AA87" s="32" t="str">
        <f t="shared" si="64"/>
        <v>XX</v>
      </c>
      <c r="AB87" s="46" t="e">
        <f t="shared" si="65"/>
        <v>#VALUE!</v>
      </c>
      <c r="AC87" s="50"/>
      <c r="AD87" s="51"/>
      <c r="AE87" s="47">
        <f t="shared" ref="AE87:AE112" si="66">+AC87+AD87-X87</f>
        <v>-2049.8601357142861</v>
      </c>
      <c r="AF87" s="35">
        <v>56708845851</v>
      </c>
      <c r="AG87" s="35" t="s">
        <v>162</v>
      </c>
    </row>
    <row r="88" spans="1:33" s="18" customFormat="1">
      <c r="A88" s="33" t="s">
        <v>40</v>
      </c>
      <c r="B88" s="33" t="s">
        <v>71</v>
      </c>
      <c r="C88" s="33" t="s">
        <v>103</v>
      </c>
      <c r="D88" s="49">
        <v>41284</v>
      </c>
      <c r="E88" s="34">
        <v>627.13</v>
      </c>
      <c r="F88" s="34">
        <f>4005.17+5.571</f>
        <v>4010.741</v>
      </c>
      <c r="G88" s="34">
        <v>545.61500000000001</v>
      </c>
      <c r="H88" s="34"/>
      <c r="I88" s="34"/>
      <c r="J88" s="46">
        <f t="shared" si="51"/>
        <v>4556.3559999999998</v>
      </c>
      <c r="K88" s="34"/>
      <c r="L88" s="60"/>
      <c r="M88" s="34"/>
      <c r="N88" s="34"/>
      <c r="O88" s="61" t="s">
        <v>134</v>
      </c>
      <c r="P88" s="61" t="s">
        <v>134</v>
      </c>
      <c r="Q88" s="34"/>
      <c r="R88" s="32"/>
      <c r="S88" s="32"/>
      <c r="T88" s="33"/>
      <c r="U88" s="33"/>
      <c r="V88" s="46">
        <f t="shared" si="52"/>
        <v>4556.3559999999998</v>
      </c>
      <c r="W88" s="32">
        <f t="shared" si="61"/>
        <v>455.63560000000001</v>
      </c>
      <c r="X88" s="46">
        <f t="shared" si="62"/>
        <v>4100.7204000000002</v>
      </c>
      <c r="Y88" s="32">
        <f t="shared" si="63"/>
        <v>0</v>
      </c>
      <c r="Z88" s="32">
        <v>10.23</v>
      </c>
      <c r="AA88" s="32" t="str">
        <f t="shared" si="64"/>
        <v>XX</v>
      </c>
      <c r="AB88" s="46" t="e">
        <f t="shared" si="65"/>
        <v>#VALUE!</v>
      </c>
      <c r="AC88" s="50"/>
      <c r="AD88" s="51"/>
      <c r="AE88" s="47">
        <f t="shared" si="66"/>
        <v>-4100.7204000000002</v>
      </c>
      <c r="AF88" s="35">
        <v>56708881915</v>
      </c>
      <c r="AG88" s="35"/>
    </row>
    <row r="89" spans="1:33" s="18" customFormat="1">
      <c r="A89" s="33" t="s">
        <v>38</v>
      </c>
      <c r="B89" s="33" t="s">
        <v>155</v>
      </c>
      <c r="C89" s="33" t="s">
        <v>41</v>
      </c>
      <c r="D89" s="49">
        <v>42823</v>
      </c>
      <c r="E89" s="34">
        <v>560.28</v>
      </c>
      <c r="F89" s="34">
        <f>5470.658+13.099</f>
        <v>5483.7570000000005</v>
      </c>
      <c r="G89" s="34"/>
      <c r="H89" s="34"/>
      <c r="I89" s="34"/>
      <c r="J89" s="46">
        <f t="shared" si="51"/>
        <v>5483.7570000000005</v>
      </c>
      <c r="K89" s="34"/>
      <c r="L89" s="60">
        <v>1</v>
      </c>
      <c r="M89" s="34"/>
      <c r="N89" s="34"/>
      <c r="O89" s="61"/>
      <c r="P89" s="61"/>
      <c r="Q89" s="34"/>
      <c r="R89" s="32"/>
      <c r="S89" s="32"/>
      <c r="T89" s="33"/>
      <c r="U89" s="33"/>
      <c r="V89" s="46">
        <f t="shared" si="52"/>
        <v>5482.7570000000005</v>
      </c>
      <c r="W89" s="32"/>
      <c r="X89" s="46"/>
      <c r="Y89" s="32"/>
      <c r="Z89" s="32"/>
      <c r="AA89" s="32"/>
      <c r="AB89" s="46"/>
      <c r="AC89" s="50"/>
      <c r="AD89" s="51"/>
      <c r="AE89" s="47"/>
      <c r="AF89" s="35">
        <v>60589704184</v>
      </c>
      <c r="AG89" s="35"/>
    </row>
    <row r="90" spans="1:33" s="18" customFormat="1">
      <c r="A90" s="33" t="s">
        <v>40</v>
      </c>
      <c r="B90" s="33" t="s">
        <v>51</v>
      </c>
      <c r="C90" s="33" t="s">
        <v>103</v>
      </c>
      <c r="D90" s="49">
        <v>41227</v>
      </c>
      <c r="E90" s="34">
        <v>627.13</v>
      </c>
      <c r="F90" s="34">
        <f>2720.249+2.972+39.913</f>
        <v>2763.134</v>
      </c>
      <c r="G90" s="34">
        <v>438.6030357142858</v>
      </c>
      <c r="H90" s="34"/>
      <c r="I90" s="34"/>
      <c r="J90" s="46">
        <f t="shared" si="51"/>
        <v>3201.7370357142859</v>
      </c>
      <c r="K90" s="34"/>
      <c r="L90" s="60"/>
      <c r="M90" s="34"/>
      <c r="N90" s="34"/>
      <c r="O90" s="61" t="s">
        <v>134</v>
      </c>
      <c r="P90" s="61" t="s">
        <v>134</v>
      </c>
      <c r="Q90" s="34"/>
      <c r="R90" s="32"/>
      <c r="S90" s="32"/>
      <c r="T90" s="33"/>
      <c r="U90" s="33"/>
      <c r="V90" s="46">
        <f t="shared" si="52"/>
        <v>3201.7370357142859</v>
      </c>
      <c r="W90" s="32">
        <f t="shared" si="61"/>
        <v>320.17370357142863</v>
      </c>
      <c r="X90" s="46">
        <f t="shared" si="62"/>
        <v>2881.5633321428572</v>
      </c>
      <c r="Y90" s="32">
        <f t="shared" si="63"/>
        <v>0</v>
      </c>
      <c r="Z90" s="32">
        <v>10.23</v>
      </c>
      <c r="AA90" s="32" t="str">
        <f t="shared" si="64"/>
        <v>XX</v>
      </c>
      <c r="AB90" s="46" t="e">
        <f t="shared" si="65"/>
        <v>#VALUE!</v>
      </c>
      <c r="AC90" s="50"/>
      <c r="AD90" s="51"/>
      <c r="AE90" s="47">
        <f t="shared" si="66"/>
        <v>-2881.5633321428572</v>
      </c>
      <c r="AF90" s="35">
        <v>56708845865</v>
      </c>
      <c r="AG90" s="35"/>
    </row>
    <row r="91" spans="1:33" s="18" customFormat="1">
      <c r="A91" s="33" t="s">
        <v>38</v>
      </c>
      <c r="B91" s="33" t="s">
        <v>64</v>
      </c>
      <c r="C91" s="33" t="s">
        <v>41</v>
      </c>
      <c r="D91" s="49">
        <v>41493</v>
      </c>
      <c r="E91" s="34">
        <v>739.2</v>
      </c>
      <c r="F91" s="34">
        <f>4367.058+13.099</f>
        <v>4380.1570000000002</v>
      </c>
      <c r="G91" s="34"/>
      <c r="H91" s="34"/>
      <c r="I91" s="34"/>
      <c r="J91" s="46">
        <f t="shared" si="51"/>
        <v>4380.1570000000002</v>
      </c>
      <c r="K91" s="34"/>
      <c r="L91" s="60"/>
      <c r="M91" s="34"/>
      <c r="N91" s="34"/>
      <c r="O91" s="61"/>
      <c r="P91" s="61"/>
      <c r="Q91" s="34"/>
      <c r="R91" s="32"/>
      <c r="S91" s="32"/>
      <c r="T91" s="33"/>
      <c r="U91" s="33"/>
      <c r="V91" s="46">
        <f t="shared" si="52"/>
        <v>4380.1570000000002</v>
      </c>
      <c r="W91" s="32">
        <f t="shared" si="61"/>
        <v>438.01570000000004</v>
      </c>
      <c r="X91" s="46">
        <f t="shared" si="62"/>
        <v>3942.1413000000002</v>
      </c>
      <c r="Y91" s="32">
        <f t="shared" si="63"/>
        <v>0</v>
      </c>
      <c r="Z91" s="32">
        <v>10.23</v>
      </c>
      <c r="AA91" s="32">
        <f t="shared" si="64"/>
        <v>0</v>
      </c>
      <c r="AB91" s="46">
        <f t="shared" si="65"/>
        <v>4390.3869999999997</v>
      </c>
      <c r="AC91" s="50"/>
      <c r="AD91" s="51"/>
      <c r="AE91" s="47">
        <f t="shared" si="66"/>
        <v>-3942.1413000000002</v>
      </c>
      <c r="AF91" s="35">
        <v>56708845879</v>
      </c>
      <c r="AG91" s="35"/>
    </row>
    <row r="92" spans="1:33" s="18" customFormat="1">
      <c r="A92" s="33" t="s">
        <v>40</v>
      </c>
      <c r="B92" s="33" t="s">
        <v>95</v>
      </c>
      <c r="C92" s="33" t="s">
        <v>118</v>
      </c>
      <c r="D92" s="49">
        <v>42493</v>
      </c>
      <c r="E92" s="34">
        <v>506.28</v>
      </c>
      <c r="F92" s="34">
        <f>536.105+2.599</f>
        <v>538.70400000000006</v>
      </c>
      <c r="G92" s="34">
        <v>200.04964285714283</v>
      </c>
      <c r="H92" s="34"/>
      <c r="I92" s="34"/>
      <c r="J92" s="46">
        <f t="shared" si="51"/>
        <v>738.75364285714295</v>
      </c>
      <c r="K92" s="34"/>
      <c r="L92" s="60"/>
      <c r="M92" s="34"/>
      <c r="N92" s="34"/>
      <c r="O92" s="61" t="s">
        <v>134</v>
      </c>
      <c r="P92" s="61" t="s">
        <v>134</v>
      </c>
      <c r="Q92" s="34"/>
      <c r="R92" s="32"/>
      <c r="S92" s="32"/>
      <c r="T92" s="33"/>
      <c r="U92" s="33"/>
      <c r="V92" s="46">
        <f t="shared" si="52"/>
        <v>738.75364285714295</v>
      </c>
      <c r="W92" s="32">
        <f t="shared" si="61"/>
        <v>0</v>
      </c>
      <c r="X92" s="46">
        <f t="shared" si="62"/>
        <v>738.75364285714295</v>
      </c>
      <c r="Y92" s="32">
        <f t="shared" si="63"/>
        <v>73.875364285714298</v>
      </c>
      <c r="Z92" s="32">
        <v>10.23</v>
      </c>
      <c r="AA92" s="32" t="str">
        <f t="shared" si="64"/>
        <v>XX</v>
      </c>
      <c r="AB92" s="46" t="e">
        <f t="shared" si="65"/>
        <v>#VALUE!</v>
      </c>
      <c r="AC92" s="50"/>
      <c r="AD92" s="51"/>
      <c r="AE92" s="47">
        <f t="shared" si="66"/>
        <v>-738.75364285714295</v>
      </c>
      <c r="AF92" s="35">
        <v>56708845882</v>
      </c>
      <c r="AG92" s="35"/>
    </row>
    <row r="93" spans="1:33" s="18" customFormat="1">
      <c r="A93" s="33" t="s">
        <v>38</v>
      </c>
      <c r="B93" s="33" t="s">
        <v>151</v>
      </c>
      <c r="C93" s="33" t="s">
        <v>41</v>
      </c>
      <c r="D93" s="49">
        <v>42716</v>
      </c>
      <c r="E93" s="34">
        <v>1200.01</v>
      </c>
      <c r="F93" s="34">
        <f>4587.658+5.571-461.01</f>
        <v>4132.2190000000001</v>
      </c>
      <c r="G93" s="34"/>
      <c r="H93" s="34"/>
      <c r="I93" s="34"/>
      <c r="J93" s="46">
        <f t="shared" si="51"/>
        <v>4132.2190000000001</v>
      </c>
      <c r="K93" s="34"/>
      <c r="L93" s="60"/>
      <c r="M93" s="34"/>
      <c r="N93" s="34"/>
      <c r="O93" s="61"/>
      <c r="P93" s="61"/>
      <c r="Q93" s="34"/>
      <c r="R93" s="32"/>
      <c r="S93" s="32"/>
      <c r="T93" s="33"/>
      <c r="U93" s="33">
        <v>301.08999999999997</v>
      </c>
      <c r="V93" s="46">
        <f t="shared" si="52"/>
        <v>3831.1289999999999</v>
      </c>
      <c r="W93" s="32">
        <f t="shared" ref="W93" si="67">IF(J93&gt;2250,J93*0.1,0)</f>
        <v>413.22190000000001</v>
      </c>
      <c r="X93" s="46">
        <f t="shared" ref="X93" si="68">+V93-W93</f>
        <v>3417.9070999999999</v>
      </c>
      <c r="Y93" s="32"/>
      <c r="Z93" s="32"/>
      <c r="AA93" s="32">
        <f t="shared" si="64"/>
        <v>0</v>
      </c>
      <c r="AB93" s="46"/>
      <c r="AC93" s="50"/>
      <c r="AD93" s="51"/>
      <c r="AE93" s="47"/>
      <c r="AF93" s="35">
        <v>60589845501</v>
      </c>
      <c r="AG93" s="35"/>
    </row>
    <row r="94" spans="1:33" s="18" customFormat="1">
      <c r="A94" s="33" t="s">
        <v>38</v>
      </c>
      <c r="B94" s="33" t="s">
        <v>156</v>
      </c>
      <c r="C94" s="33" t="s">
        <v>41</v>
      </c>
      <c r="D94" s="49">
        <v>42909</v>
      </c>
      <c r="E94" s="34">
        <v>738.99</v>
      </c>
      <c r="F94" s="34">
        <f>3198.327+5.571</f>
        <v>3203.8980000000001</v>
      </c>
      <c r="G94" s="34"/>
      <c r="H94" s="34"/>
      <c r="I94" s="34"/>
      <c r="J94" s="46">
        <f t="shared" si="51"/>
        <v>3203.8980000000001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58"/>
      <c r="V94" s="46">
        <f t="shared" si="52"/>
        <v>3203.8980000000001</v>
      </c>
      <c r="W94" s="32"/>
      <c r="X94" s="46"/>
      <c r="Y94" s="32"/>
      <c r="Z94" s="32"/>
      <c r="AA94" s="32"/>
      <c r="AB94" s="46"/>
      <c r="AC94" s="50"/>
      <c r="AD94" s="50"/>
      <c r="AE94" s="47"/>
      <c r="AF94" s="35">
        <v>60592420864</v>
      </c>
      <c r="AG94" s="35"/>
    </row>
    <row r="95" spans="1:33" s="18" customFormat="1">
      <c r="A95" s="33" t="s">
        <v>40</v>
      </c>
      <c r="B95" s="33" t="s">
        <v>56</v>
      </c>
      <c r="C95" s="33" t="s">
        <v>102</v>
      </c>
      <c r="D95" s="49">
        <v>36868</v>
      </c>
      <c r="E95" s="34">
        <v>627.13</v>
      </c>
      <c r="F95" s="34">
        <f>1476.05+7.428</f>
        <v>1483.4780000000001</v>
      </c>
      <c r="G95" s="34">
        <v>493.79892857142852</v>
      </c>
      <c r="H95" s="34"/>
      <c r="I95" s="34"/>
      <c r="J95" s="46">
        <f t="shared" si="51"/>
        <v>1977.2769285714285</v>
      </c>
      <c r="K95" s="34"/>
      <c r="L95" s="60"/>
      <c r="M95" s="34"/>
      <c r="N95" s="34"/>
      <c r="O95" s="61" t="s">
        <v>134</v>
      </c>
      <c r="P95" s="61" t="s">
        <v>134</v>
      </c>
      <c r="Q95" s="34"/>
      <c r="R95" s="32"/>
      <c r="S95" s="32"/>
      <c r="T95" s="33"/>
      <c r="U95" s="33"/>
      <c r="V95" s="46">
        <f t="shared" si="52"/>
        <v>1977.2769285714285</v>
      </c>
      <c r="W95" s="32">
        <f t="shared" si="61"/>
        <v>0</v>
      </c>
      <c r="X95" s="46">
        <f t="shared" si="62"/>
        <v>1977.2769285714285</v>
      </c>
      <c r="Y95" s="32">
        <f t="shared" si="63"/>
        <v>197.72769285714287</v>
      </c>
      <c r="Z95" s="32">
        <v>10.23</v>
      </c>
      <c r="AA95" s="32" t="str">
        <f t="shared" si="64"/>
        <v>XX</v>
      </c>
      <c r="AB95" s="46" t="e">
        <f t="shared" si="65"/>
        <v>#VALUE!</v>
      </c>
      <c r="AC95" s="50"/>
      <c r="AD95" s="50"/>
      <c r="AE95" s="47">
        <f t="shared" si="66"/>
        <v>-1977.2769285714285</v>
      </c>
      <c r="AF95" s="35">
        <v>56708845911</v>
      </c>
      <c r="AG95" s="35"/>
    </row>
    <row r="96" spans="1:33" s="18" customFormat="1">
      <c r="A96" s="33" t="s">
        <v>40</v>
      </c>
      <c r="B96" s="33" t="s">
        <v>54</v>
      </c>
      <c r="C96" s="33" t="s">
        <v>100</v>
      </c>
      <c r="D96" s="49">
        <v>41949</v>
      </c>
      <c r="E96" s="34">
        <v>560.28</v>
      </c>
      <c r="F96" s="34">
        <f>2136+7.428</f>
        <v>2143.4279999999999</v>
      </c>
      <c r="G96" s="34">
        <v>444.56642857142862</v>
      </c>
      <c r="H96" s="34"/>
      <c r="I96" s="34"/>
      <c r="J96" s="46">
        <f t="shared" si="51"/>
        <v>2587.9944285714287</v>
      </c>
      <c r="K96" s="34"/>
      <c r="L96" s="60"/>
      <c r="M96" s="34"/>
      <c r="N96" s="34">
        <v>500</v>
      </c>
      <c r="O96" s="61" t="s">
        <v>134</v>
      </c>
      <c r="P96" s="61" t="s">
        <v>134</v>
      </c>
      <c r="Q96" s="34"/>
      <c r="R96" s="32"/>
      <c r="S96" s="32"/>
      <c r="T96" s="33"/>
      <c r="U96" s="33"/>
      <c r="V96" s="46">
        <f t="shared" si="52"/>
        <v>2087.9944285714287</v>
      </c>
      <c r="W96" s="32">
        <f t="shared" si="61"/>
        <v>258.79944285714288</v>
      </c>
      <c r="X96" s="46">
        <f t="shared" si="62"/>
        <v>1829.1949857142858</v>
      </c>
      <c r="Y96" s="32">
        <f t="shared" si="63"/>
        <v>0</v>
      </c>
      <c r="Z96" s="32">
        <v>10.23</v>
      </c>
      <c r="AA96" s="32" t="str">
        <f t="shared" si="64"/>
        <v>XX</v>
      </c>
      <c r="AB96" s="46" t="e">
        <f t="shared" si="65"/>
        <v>#VALUE!</v>
      </c>
      <c r="AC96" s="50"/>
      <c r="AD96" s="51"/>
      <c r="AE96" s="47">
        <f t="shared" si="66"/>
        <v>-1829.1949857142858</v>
      </c>
      <c r="AF96" s="35">
        <v>56708845925</v>
      </c>
      <c r="AG96" s="33"/>
    </row>
    <row r="97" spans="1:33" s="18" customFormat="1">
      <c r="A97" s="33" t="s">
        <v>38</v>
      </c>
      <c r="B97" s="33" t="s">
        <v>34</v>
      </c>
      <c r="C97" s="33" t="s">
        <v>41</v>
      </c>
      <c r="D97" s="49">
        <v>42129</v>
      </c>
      <c r="E97" s="34">
        <v>739.2</v>
      </c>
      <c r="F97" s="34">
        <f>5099.255+13.099</f>
        <v>5112.3540000000003</v>
      </c>
      <c r="G97" s="34"/>
      <c r="H97" s="34"/>
      <c r="I97" s="34"/>
      <c r="J97" s="46">
        <f t="shared" si="51"/>
        <v>5112.3540000000003</v>
      </c>
      <c r="K97" s="34"/>
      <c r="L97" s="60"/>
      <c r="M97" s="34"/>
      <c r="N97" s="34"/>
      <c r="O97" s="61"/>
      <c r="P97" s="61"/>
      <c r="Q97" s="34"/>
      <c r="R97" s="32"/>
      <c r="S97" s="32"/>
      <c r="T97" s="33"/>
      <c r="U97" s="33">
        <v>1340.34</v>
      </c>
      <c r="V97" s="46">
        <f t="shared" si="52"/>
        <v>3772.0140000000001</v>
      </c>
      <c r="W97" s="32">
        <f t="shared" ref="W97" si="69">IF(J97&gt;2250,J97*0.1,0)</f>
        <v>511.23540000000003</v>
      </c>
      <c r="X97" s="46">
        <f t="shared" ref="X97" si="70">+V97-W97</f>
        <v>3260.7786000000001</v>
      </c>
      <c r="Y97" s="32">
        <f t="shared" si="63"/>
        <v>0</v>
      </c>
      <c r="Z97" s="32">
        <v>10.23</v>
      </c>
      <c r="AA97" s="32">
        <f t="shared" si="64"/>
        <v>0</v>
      </c>
      <c r="AB97" s="46">
        <f t="shared" si="65"/>
        <v>5122.5839999999998</v>
      </c>
      <c r="AC97" s="50"/>
      <c r="AD97" s="51"/>
      <c r="AE97" s="47">
        <f t="shared" si="66"/>
        <v>-3260.7786000000001</v>
      </c>
      <c r="AF97" s="35">
        <v>56708845939</v>
      </c>
      <c r="AG97" s="35"/>
    </row>
    <row r="98" spans="1:33" s="18" customFormat="1">
      <c r="A98" s="33" t="s">
        <v>40</v>
      </c>
      <c r="B98" s="33" t="s">
        <v>187</v>
      </c>
      <c r="C98" s="33" t="s">
        <v>188</v>
      </c>
      <c r="D98" s="49">
        <v>43033</v>
      </c>
      <c r="E98" s="34">
        <v>560.28</v>
      </c>
      <c r="F98" s="34">
        <v>375.11</v>
      </c>
      <c r="G98" s="34">
        <v>46.428928571428571</v>
      </c>
      <c r="H98" s="34"/>
      <c r="I98" s="34"/>
      <c r="J98" s="46">
        <f t="shared" si="51"/>
        <v>421.53892857142858</v>
      </c>
      <c r="K98" s="34"/>
      <c r="L98" s="60">
        <v>1</v>
      </c>
      <c r="M98" s="34"/>
      <c r="N98" s="34"/>
      <c r="O98" s="61" t="s">
        <v>134</v>
      </c>
      <c r="P98" s="61" t="s">
        <v>134</v>
      </c>
      <c r="Q98" s="34"/>
      <c r="R98" s="32"/>
      <c r="S98" s="32"/>
      <c r="T98" s="33"/>
      <c r="U98" s="33"/>
      <c r="V98" s="46">
        <f t="shared" si="52"/>
        <v>420.53892857142858</v>
      </c>
      <c r="W98" s="32"/>
      <c r="X98" s="46"/>
      <c r="Y98" s="32"/>
      <c r="Z98" s="32"/>
      <c r="AA98" s="32"/>
      <c r="AB98" s="46"/>
      <c r="AC98" s="50"/>
      <c r="AD98" s="51"/>
      <c r="AE98" s="47"/>
      <c r="AF98" s="35">
        <v>56727513569</v>
      </c>
      <c r="AG98" s="35"/>
    </row>
    <row r="99" spans="1:33" s="18" customFormat="1">
      <c r="A99" s="33" t="s">
        <v>40</v>
      </c>
      <c r="B99" s="33" t="s">
        <v>142</v>
      </c>
      <c r="C99" s="33" t="s">
        <v>141</v>
      </c>
      <c r="D99" s="49">
        <v>42912</v>
      </c>
      <c r="E99" s="34">
        <v>627.05999999999995</v>
      </c>
      <c r="F99" s="34">
        <f>2038.407+5.571</f>
        <v>2043.9779999999998</v>
      </c>
      <c r="G99" s="34"/>
      <c r="H99" s="34"/>
      <c r="I99" s="34"/>
      <c r="J99" s="46">
        <f t="shared" si="51"/>
        <v>2043.9779999999998</v>
      </c>
      <c r="K99" s="34"/>
      <c r="L99" s="60"/>
      <c r="M99" s="34"/>
      <c r="N99" s="34"/>
      <c r="O99" s="61"/>
      <c r="P99" s="61"/>
      <c r="Q99" s="34"/>
      <c r="R99" s="32"/>
      <c r="S99" s="32"/>
      <c r="T99" s="33"/>
      <c r="U99" s="33"/>
      <c r="V99" s="46">
        <f t="shared" si="52"/>
        <v>2043.9779999999998</v>
      </c>
      <c r="W99" s="32"/>
      <c r="X99" s="46"/>
      <c r="Y99" s="32"/>
      <c r="Z99" s="32"/>
      <c r="AA99" s="32"/>
      <c r="AB99" s="46"/>
      <c r="AC99" s="50"/>
      <c r="AD99" s="51"/>
      <c r="AE99" s="47"/>
      <c r="AF99" s="35">
        <v>60592585699</v>
      </c>
      <c r="AG99" s="35"/>
    </row>
    <row r="100" spans="1:33" s="18" customFormat="1">
      <c r="A100" s="33" t="s">
        <v>38</v>
      </c>
      <c r="B100" s="33" t="s">
        <v>73</v>
      </c>
      <c r="C100" s="33" t="s">
        <v>41</v>
      </c>
      <c r="D100" s="49">
        <v>42422</v>
      </c>
      <c r="E100" s="34">
        <v>739.2</v>
      </c>
      <c r="F100" s="34">
        <f>4894.106+13.099</f>
        <v>4907.2049999999999</v>
      </c>
      <c r="G100" s="34"/>
      <c r="H100" s="34"/>
      <c r="I100" s="34"/>
      <c r="J100" s="46">
        <f t="shared" si="51"/>
        <v>4907.2049999999999</v>
      </c>
      <c r="K100" s="34"/>
      <c r="L100" s="60"/>
      <c r="M100" s="34"/>
      <c r="N100" s="34"/>
      <c r="O100" s="61"/>
      <c r="P100" s="61"/>
      <c r="Q100" s="34"/>
      <c r="R100" s="32"/>
      <c r="S100" s="32"/>
      <c r="T100" s="33"/>
      <c r="U100" s="33"/>
      <c r="V100" s="46">
        <f t="shared" si="52"/>
        <v>4907.2049999999999</v>
      </c>
      <c r="W100" s="32">
        <f t="shared" ref="W100" si="71">IF(J100&gt;2250,J100*0.1,0)</f>
        <v>490.72050000000002</v>
      </c>
      <c r="X100" s="46">
        <f t="shared" ref="X100" si="72">+V100-W100</f>
        <v>4416.4844999999996</v>
      </c>
      <c r="Y100" s="32">
        <f t="shared" si="63"/>
        <v>0</v>
      </c>
      <c r="Z100" s="32">
        <v>10.23</v>
      </c>
      <c r="AA100" s="32">
        <f t="shared" si="64"/>
        <v>0</v>
      </c>
      <c r="AB100" s="46">
        <f t="shared" si="65"/>
        <v>4917.4349999999995</v>
      </c>
      <c r="AC100" s="50"/>
      <c r="AD100" s="51"/>
      <c r="AE100" s="47">
        <f t="shared" si="66"/>
        <v>-4416.4844999999996</v>
      </c>
      <c r="AF100" s="35">
        <v>56708845942</v>
      </c>
      <c r="AG100" s="35"/>
    </row>
    <row r="101" spans="1:33" s="18" customFormat="1">
      <c r="A101" s="33" t="s">
        <v>40</v>
      </c>
      <c r="B101" s="33" t="s">
        <v>80</v>
      </c>
      <c r="C101" s="33" t="s">
        <v>103</v>
      </c>
      <c r="D101" s="49">
        <v>41227</v>
      </c>
      <c r="E101" s="34">
        <v>627.13</v>
      </c>
      <c r="F101" s="34">
        <f>4756.925+2.599</f>
        <v>4759.5240000000003</v>
      </c>
      <c r="G101" s="34">
        <v>753.70232142857151</v>
      </c>
      <c r="H101" s="34"/>
      <c r="I101" s="34"/>
      <c r="J101" s="46">
        <f t="shared" si="51"/>
        <v>5513.2263214285722</v>
      </c>
      <c r="K101" s="34"/>
      <c r="L101" s="60"/>
      <c r="M101" s="34"/>
      <c r="N101" s="34">
        <v>200</v>
      </c>
      <c r="O101" s="61" t="s">
        <v>134</v>
      </c>
      <c r="P101" s="61" t="s">
        <v>134</v>
      </c>
      <c r="Q101" s="34"/>
      <c r="R101" s="32"/>
      <c r="S101" s="32"/>
      <c r="T101" s="33"/>
      <c r="U101" s="33">
        <v>1010.83</v>
      </c>
      <c r="V101" s="46">
        <f t="shared" si="52"/>
        <v>4302.3963214285723</v>
      </c>
      <c r="W101" s="32">
        <f t="shared" si="61"/>
        <v>551.32263214285729</v>
      </c>
      <c r="X101" s="46">
        <f t="shared" si="62"/>
        <v>3751.0736892857149</v>
      </c>
      <c r="Y101" s="32">
        <f t="shared" si="63"/>
        <v>0</v>
      </c>
      <c r="Z101" s="32">
        <v>10.23</v>
      </c>
      <c r="AA101" s="32" t="str">
        <f t="shared" si="64"/>
        <v>XX</v>
      </c>
      <c r="AB101" s="46" t="e">
        <f t="shared" si="65"/>
        <v>#VALUE!</v>
      </c>
      <c r="AC101" s="50"/>
      <c r="AD101" s="51"/>
      <c r="AE101" s="47">
        <f t="shared" si="66"/>
        <v>-3751.0736892857149</v>
      </c>
      <c r="AF101" s="35">
        <v>56708881946</v>
      </c>
      <c r="AG101" s="35"/>
    </row>
    <row r="102" spans="1:33" s="18" customFormat="1">
      <c r="A102" s="33" t="s">
        <v>38</v>
      </c>
      <c r="B102" s="33" t="s">
        <v>176</v>
      </c>
      <c r="C102" s="33" t="s">
        <v>41</v>
      </c>
      <c r="D102" s="49">
        <v>42907</v>
      </c>
      <c r="E102" s="34">
        <v>738.99</v>
      </c>
      <c r="F102" s="34">
        <f>2258.891+5.571</f>
        <v>2264.462</v>
      </c>
      <c r="G102" s="34"/>
      <c r="H102" s="34"/>
      <c r="I102" s="34"/>
      <c r="J102" s="46">
        <f t="shared" si="51"/>
        <v>2264.462</v>
      </c>
      <c r="K102" s="34"/>
      <c r="L102" s="60"/>
      <c r="M102" s="34"/>
      <c r="N102" s="34"/>
      <c r="O102" s="61"/>
      <c r="P102" s="61"/>
      <c r="Q102" s="34"/>
      <c r="R102" s="32"/>
      <c r="S102" s="32"/>
      <c r="T102" s="33"/>
      <c r="U102" s="33"/>
      <c r="V102" s="46">
        <f t="shared" si="52"/>
        <v>2264.462</v>
      </c>
      <c r="W102" s="32"/>
      <c r="X102" s="46"/>
      <c r="Y102" s="32"/>
      <c r="Z102" s="32"/>
      <c r="AA102" s="32"/>
      <c r="AB102" s="46"/>
      <c r="AC102" s="50"/>
      <c r="AD102" s="51"/>
      <c r="AE102" s="47"/>
      <c r="AF102" s="35">
        <v>60592492890</v>
      </c>
      <c r="AG102" s="35"/>
    </row>
    <row r="103" spans="1:33" s="18" customFormat="1">
      <c r="A103" s="33" t="s">
        <v>40</v>
      </c>
      <c r="B103" s="33" t="s">
        <v>108</v>
      </c>
      <c r="C103" s="33" t="s">
        <v>169</v>
      </c>
      <c r="D103" s="49">
        <v>42635</v>
      </c>
      <c r="E103" s="34">
        <v>560.28</v>
      </c>
      <c r="F103" s="34">
        <v>1858.415</v>
      </c>
      <c r="G103" s="34">
        <v>323.19071428571431</v>
      </c>
      <c r="H103" s="34"/>
      <c r="I103" s="34"/>
      <c r="J103" s="46">
        <f t="shared" si="51"/>
        <v>2181.6057142857144</v>
      </c>
      <c r="K103" s="34"/>
      <c r="L103" s="60"/>
      <c r="M103" s="34"/>
      <c r="N103" s="34"/>
      <c r="O103" s="61" t="s">
        <v>134</v>
      </c>
      <c r="P103" s="61" t="s">
        <v>134</v>
      </c>
      <c r="Q103" s="34"/>
      <c r="R103" s="32"/>
      <c r="S103" s="32"/>
      <c r="T103" s="33"/>
      <c r="U103" s="33"/>
      <c r="V103" s="46">
        <f t="shared" si="52"/>
        <v>2181.6057142857144</v>
      </c>
      <c r="W103" s="32">
        <f t="shared" ref="W103" si="73">IF(J103&gt;2250,J103*0.1,0)</f>
        <v>0</v>
      </c>
      <c r="X103" s="46">
        <f t="shared" ref="X103" si="74">+V103-W103</f>
        <v>2181.6057142857144</v>
      </c>
      <c r="Y103" s="32"/>
      <c r="Z103" s="32"/>
      <c r="AA103" s="32"/>
      <c r="AB103" s="46"/>
      <c r="AC103" s="50"/>
      <c r="AD103" s="51"/>
      <c r="AE103" s="47"/>
      <c r="AF103" s="35">
        <v>56708881608</v>
      </c>
      <c r="AG103" s="35"/>
    </row>
    <row r="104" spans="1:33" s="18" customFormat="1">
      <c r="A104" s="33" t="s">
        <v>40</v>
      </c>
      <c r="B104" s="33" t="s">
        <v>81</v>
      </c>
      <c r="C104" s="33" t="s">
        <v>103</v>
      </c>
      <c r="D104" s="49">
        <v>41703</v>
      </c>
      <c r="E104" s="34">
        <v>623.35</v>
      </c>
      <c r="F104" s="34">
        <v>1032.5999999999999</v>
      </c>
      <c r="G104" s="34">
        <v>272.61571428571426</v>
      </c>
      <c r="H104" s="34"/>
      <c r="I104" s="34"/>
      <c r="J104" s="46">
        <f t="shared" si="51"/>
        <v>1305.2157142857141</v>
      </c>
      <c r="K104" s="34"/>
      <c r="L104" s="60"/>
      <c r="M104" s="34"/>
      <c r="N104" s="34"/>
      <c r="O104" s="61" t="s">
        <v>134</v>
      </c>
      <c r="P104" s="61" t="s">
        <v>134</v>
      </c>
      <c r="Q104" s="34"/>
      <c r="R104" s="32"/>
      <c r="S104" s="32"/>
      <c r="T104" s="33"/>
      <c r="U104" s="33"/>
      <c r="V104" s="46">
        <f t="shared" si="52"/>
        <v>1305.2157142857141</v>
      </c>
      <c r="W104" s="32">
        <f t="shared" si="61"/>
        <v>0</v>
      </c>
      <c r="X104" s="46">
        <f t="shared" si="62"/>
        <v>1305.2157142857141</v>
      </c>
      <c r="Y104" s="32">
        <f t="shared" si="63"/>
        <v>130.52157142857141</v>
      </c>
      <c r="Z104" s="32">
        <v>10.23</v>
      </c>
      <c r="AA104" s="32" t="str">
        <f t="shared" si="64"/>
        <v>XX</v>
      </c>
      <c r="AB104" s="46" t="e">
        <f t="shared" si="65"/>
        <v>#VALUE!</v>
      </c>
      <c r="AC104" s="50"/>
      <c r="AD104" s="51"/>
      <c r="AE104" s="47">
        <f t="shared" si="66"/>
        <v>-1305.2157142857141</v>
      </c>
      <c r="AF104" s="35">
        <v>56708845973</v>
      </c>
      <c r="AG104" s="35"/>
    </row>
    <row r="105" spans="1:33" s="18" customFormat="1">
      <c r="A105" s="33" t="s">
        <v>40</v>
      </c>
      <c r="B105" s="33" t="s">
        <v>191</v>
      </c>
      <c r="C105" s="33" t="s">
        <v>190</v>
      </c>
      <c r="D105" s="49">
        <v>43040</v>
      </c>
      <c r="E105" s="34">
        <v>560.28</v>
      </c>
      <c r="F105" s="34">
        <v>609.80999999999995</v>
      </c>
      <c r="G105" s="34">
        <v>27.078928571428573</v>
      </c>
      <c r="H105" s="34"/>
      <c r="I105" s="34"/>
      <c r="J105" s="46">
        <f t="shared" si="51"/>
        <v>636.88892857142855</v>
      </c>
      <c r="K105" s="34"/>
      <c r="L105" s="60"/>
      <c r="M105" s="34"/>
      <c r="N105" s="34"/>
      <c r="O105" s="61" t="s">
        <v>134</v>
      </c>
      <c r="P105" s="61" t="s">
        <v>134</v>
      </c>
      <c r="Q105" s="34"/>
      <c r="R105" s="32"/>
      <c r="S105" s="32"/>
      <c r="T105" s="33"/>
      <c r="U105" s="33"/>
      <c r="V105" s="46">
        <f t="shared" si="52"/>
        <v>636.88892857142855</v>
      </c>
      <c r="W105" s="32"/>
      <c r="X105" s="46"/>
      <c r="Y105" s="32"/>
      <c r="Z105" s="32"/>
      <c r="AA105" s="32"/>
      <c r="AB105" s="46"/>
      <c r="AC105" s="50"/>
      <c r="AD105" s="51"/>
      <c r="AE105" s="47"/>
      <c r="AF105" s="35">
        <v>60596755422</v>
      </c>
      <c r="AG105" s="35"/>
    </row>
    <row r="106" spans="1:33" s="18" customFormat="1">
      <c r="A106" s="33" t="s">
        <v>40</v>
      </c>
      <c r="B106" s="33" t="s">
        <v>50</v>
      </c>
      <c r="C106" s="33" t="s">
        <v>103</v>
      </c>
      <c r="D106" s="49">
        <v>41291</v>
      </c>
      <c r="E106" s="34">
        <v>627.13</v>
      </c>
      <c r="F106" s="34">
        <f>6000.617+5.571</f>
        <v>6006.1880000000001</v>
      </c>
      <c r="G106" s="34">
        <v>688.50196428571428</v>
      </c>
      <c r="H106" s="34"/>
      <c r="I106" s="34"/>
      <c r="J106" s="46">
        <f t="shared" si="51"/>
        <v>6694.6899642857143</v>
      </c>
      <c r="K106" s="34"/>
      <c r="L106" s="60"/>
      <c r="M106" s="34"/>
      <c r="N106" s="34">
        <v>200</v>
      </c>
      <c r="O106" s="61" t="s">
        <v>134</v>
      </c>
      <c r="P106" s="61" t="s">
        <v>134</v>
      </c>
      <c r="Q106" s="34"/>
      <c r="R106" s="32"/>
      <c r="S106" s="32"/>
      <c r="T106" s="33"/>
      <c r="U106" s="33"/>
      <c r="V106" s="46">
        <f t="shared" si="52"/>
        <v>6494.6899642857143</v>
      </c>
      <c r="W106" s="32">
        <f t="shared" si="61"/>
        <v>669.46899642857147</v>
      </c>
      <c r="X106" s="46">
        <f t="shared" si="62"/>
        <v>5825.2209678571426</v>
      </c>
      <c r="Y106" s="32">
        <f t="shared" si="63"/>
        <v>0</v>
      </c>
      <c r="Z106" s="32">
        <v>10.23</v>
      </c>
      <c r="AA106" s="32" t="str">
        <f t="shared" si="64"/>
        <v>XX</v>
      </c>
      <c r="AB106" s="46" t="e">
        <f t="shared" si="65"/>
        <v>#VALUE!</v>
      </c>
      <c r="AC106" s="50"/>
      <c r="AD106" s="51"/>
      <c r="AE106" s="47">
        <f t="shared" si="66"/>
        <v>-5825.2209678571426</v>
      </c>
      <c r="AF106" s="35">
        <v>56708881963</v>
      </c>
      <c r="AG106" s="35"/>
    </row>
    <row r="107" spans="1:33" s="18" customFormat="1">
      <c r="A107" s="33" t="s">
        <v>38</v>
      </c>
      <c r="B107" s="33" t="s">
        <v>58</v>
      </c>
      <c r="C107" s="33" t="s">
        <v>41</v>
      </c>
      <c r="D107" s="49">
        <v>41666</v>
      </c>
      <c r="E107" s="34">
        <v>739.2</v>
      </c>
      <c r="F107" s="34">
        <f>4371.858+7.428</f>
        <v>4379.2860000000001</v>
      </c>
      <c r="G107" s="34"/>
      <c r="H107" s="34"/>
      <c r="I107" s="34"/>
      <c r="J107" s="46">
        <f t="shared" si="51"/>
        <v>4379.2860000000001</v>
      </c>
      <c r="K107" s="34"/>
      <c r="L107" s="60"/>
      <c r="M107" s="34"/>
      <c r="N107" s="34">
        <v>200</v>
      </c>
      <c r="O107" s="61"/>
      <c r="P107" s="61"/>
      <c r="Q107" s="34"/>
      <c r="R107" s="32"/>
      <c r="S107" s="32"/>
      <c r="T107" s="33"/>
      <c r="U107" s="33">
        <v>442.08</v>
      </c>
      <c r="V107" s="46">
        <f t="shared" si="52"/>
        <v>3737.2060000000001</v>
      </c>
      <c r="W107" s="32">
        <f t="shared" si="61"/>
        <v>437.92860000000002</v>
      </c>
      <c r="X107" s="46">
        <f t="shared" si="62"/>
        <v>3299.2773999999999</v>
      </c>
      <c r="Y107" s="32">
        <f t="shared" si="63"/>
        <v>0</v>
      </c>
      <c r="Z107" s="32">
        <v>10.23</v>
      </c>
      <c r="AA107" s="32">
        <f t="shared" si="64"/>
        <v>0</v>
      </c>
      <c r="AB107" s="46">
        <f t="shared" si="65"/>
        <v>4389.5159999999996</v>
      </c>
      <c r="AC107" s="50"/>
      <c r="AD107" s="51"/>
      <c r="AE107" s="47">
        <f t="shared" si="66"/>
        <v>-3299.2773999999999</v>
      </c>
      <c r="AF107" s="35">
        <v>56708845990</v>
      </c>
      <c r="AG107" s="35"/>
    </row>
    <row r="108" spans="1:33" s="18" customFormat="1">
      <c r="A108" s="33" t="s">
        <v>38</v>
      </c>
      <c r="B108" s="33" t="s">
        <v>127</v>
      </c>
      <c r="C108" s="33" t="s">
        <v>41</v>
      </c>
      <c r="D108" s="49">
        <v>42809</v>
      </c>
      <c r="E108" s="34">
        <v>560.28</v>
      </c>
      <c r="F108" s="34">
        <f>4756.795+13.099</f>
        <v>4769.8940000000002</v>
      </c>
      <c r="G108" s="34"/>
      <c r="H108" s="34"/>
      <c r="I108" s="34"/>
      <c r="J108" s="46">
        <f t="shared" si="51"/>
        <v>4769.8940000000002</v>
      </c>
      <c r="K108" s="34"/>
      <c r="L108" s="60"/>
      <c r="M108" s="34"/>
      <c r="N108" s="34"/>
      <c r="O108" s="61"/>
      <c r="P108" s="61"/>
      <c r="Q108" s="34"/>
      <c r="R108" s="32"/>
      <c r="S108" s="32"/>
      <c r="T108" s="33"/>
      <c r="U108" s="33"/>
      <c r="V108" s="46">
        <f t="shared" si="52"/>
        <v>4769.8940000000002</v>
      </c>
      <c r="W108" s="32"/>
      <c r="X108" s="46"/>
      <c r="Y108" s="32"/>
      <c r="Z108" s="32"/>
      <c r="AA108" s="32"/>
      <c r="AB108" s="46"/>
      <c r="AC108" s="50"/>
      <c r="AD108" s="51"/>
      <c r="AE108" s="47"/>
      <c r="AF108" s="35">
        <v>60589597089</v>
      </c>
      <c r="AG108" s="35"/>
    </row>
    <row r="109" spans="1:33" s="18" customFormat="1">
      <c r="A109" s="33" t="s">
        <v>38</v>
      </c>
      <c r="B109" s="33" t="s">
        <v>182</v>
      </c>
      <c r="C109" s="33" t="s">
        <v>41</v>
      </c>
      <c r="D109" s="49">
        <v>43052</v>
      </c>
      <c r="E109" s="34">
        <v>638.96</v>
      </c>
      <c r="F109" s="34">
        <f>4483.481+13.099</f>
        <v>4496.58</v>
      </c>
      <c r="G109" s="34"/>
      <c r="H109" s="34"/>
      <c r="I109" s="34"/>
      <c r="J109" s="46">
        <f t="shared" si="51"/>
        <v>4496.58</v>
      </c>
      <c r="K109" s="34"/>
      <c r="L109" s="60"/>
      <c r="M109" s="34"/>
      <c r="N109" s="34"/>
      <c r="O109" s="61"/>
      <c r="P109" s="61"/>
      <c r="Q109" s="34"/>
      <c r="R109" s="32"/>
      <c r="S109" s="32"/>
      <c r="T109" s="33"/>
      <c r="U109" s="33"/>
      <c r="V109" s="46"/>
      <c r="W109" s="32"/>
      <c r="X109" s="46"/>
      <c r="Y109" s="32"/>
      <c r="Z109" s="32"/>
      <c r="AA109" s="32"/>
      <c r="AB109" s="46"/>
      <c r="AC109" s="50"/>
      <c r="AD109" s="51"/>
      <c r="AE109" s="47"/>
      <c r="AF109" s="35">
        <v>56714607256</v>
      </c>
      <c r="AG109" s="35"/>
    </row>
    <row r="110" spans="1:33" s="18" customFormat="1">
      <c r="A110" s="33" t="s">
        <v>40</v>
      </c>
      <c r="B110" s="33" t="s">
        <v>119</v>
      </c>
      <c r="C110" s="33" t="s">
        <v>99</v>
      </c>
      <c r="D110" s="49">
        <v>42752</v>
      </c>
      <c r="E110" s="34">
        <v>560.28</v>
      </c>
      <c r="F110" s="34">
        <v>735.4</v>
      </c>
      <c r="G110" s="34">
        <v>177.78607142857143</v>
      </c>
      <c r="H110" s="34"/>
      <c r="I110" s="34"/>
      <c r="J110" s="46">
        <f t="shared" si="51"/>
        <v>913.18607142857138</v>
      </c>
      <c r="K110" s="34"/>
      <c r="L110" s="60"/>
      <c r="M110" s="34"/>
      <c r="N110" s="34"/>
      <c r="O110" s="61" t="s">
        <v>134</v>
      </c>
      <c r="P110" s="61" t="s">
        <v>134</v>
      </c>
      <c r="Q110" s="34"/>
      <c r="R110" s="32"/>
      <c r="S110" s="32"/>
      <c r="T110" s="33"/>
      <c r="U110" s="33"/>
      <c r="V110" s="46">
        <f t="shared" si="52"/>
        <v>913.18607142857138</v>
      </c>
      <c r="W110" s="32">
        <f t="shared" ref="W110" si="75">IF(J110&gt;2250,J110*0.1,0)</f>
        <v>0</v>
      </c>
      <c r="X110" s="46">
        <f t="shared" ref="X110" si="76">+V110-W110</f>
        <v>913.18607142857138</v>
      </c>
      <c r="Y110" s="32"/>
      <c r="Z110" s="32"/>
      <c r="AA110" s="32"/>
      <c r="AB110" s="46"/>
      <c r="AC110" s="50"/>
      <c r="AD110" s="51"/>
      <c r="AE110" s="47"/>
      <c r="AF110" s="35">
        <v>60589634536</v>
      </c>
      <c r="AG110" s="35"/>
    </row>
    <row r="111" spans="1:33" s="18" customFormat="1">
      <c r="A111" s="33" t="s">
        <v>40</v>
      </c>
      <c r="B111" s="33" t="s">
        <v>189</v>
      </c>
      <c r="C111" s="33" t="s">
        <v>188</v>
      </c>
      <c r="D111" s="49">
        <v>43034</v>
      </c>
      <c r="E111" s="34">
        <v>560.28</v>
      </c>
      <c r="F111" s="34">
        <v>595.11</v>
      </c>
      <c r="G111" s="34">
        <v>70.862321428571434</v>
      </c>
      <c r="H111" s="34"/>
      <c r="I111" s="34"/>
      <c r="J111" s="46">
        <f t="shared" si="51"/>
        <v>665.97232142857149</v>
      </c>
      <c r="K111" s="34"/>
      <c r="L111" s="60"/>
      <c r="M111" s="34"/>
      <c r="N111" s="34"/>
      <c r="O111" s="61" t="s">
        <v>134</v>
      </c>
      <c r="P111" s="61" t="s">
        <v>134</v>
      </c>
      <c r="Q111" s="34"/>
      <c r="R111" s="32"/>
      <c r="S111" s="32"/>
      <c r="T111" s="33"/>
      <c r="U111" s="33"/>
      <c r="V111" s="46"/>
      <c r="W111" s="32"/>
      <c r="X111" s="46"/>
      <c r="Y111" s="32"/>
      <c r="Z111" s="32"/>
      <c r="AA111" s="32"/>
      <c r="AB111" s="46"/>
      <c r="AC111" s="50"/>
      <c r="AD111" s="51"/>
      <c r="AE111" s="47"/>
      <c r="AF111" s="35">
        <v>60596596065</v>
      </c>
      <c r="AG111" s="35"/>
    </row>
    <row r="112" spans="1:33" s="18" customFormat="1">
      <c r="A112" s="33" t="s">
        <v>40</v>
      </c>
      <c r="B112" s="33" t="s">
        <v>98</v>
      </c>
      <c r="C112" s="33" t="s">
        <v>102</v>
      </c>
      <c r="D112" s="49">
        <v>29733</v>
      </c>
      <c r="E112" s="34">
        <v>627.13</v>
      </c>
      <c r="F112" s="34">
        <f>5436.804+3.714</f>
        <v>5440.518</v>
      </c>
      <c r="G112" s="34">
        <v>827.73017857142861</v>
      </c>
      <c r="H112" s="34"/>
      <c r="I112" s="34"/>
      <c r="J112" s="46">
        <f t="shared" si="51"/>
        <v>6268.248178571429</v>
      </c>
      <c r="K112" s="34"/>
      <c r="L112" s="60"/>
      <c r="M112" s="34"/>
      <c r="N112" s="34">
        <v>150</v>
      </c>
      <c r="O112" s="61" t="s">
        <v>134</v>
      </c>
      <c r="P112" s="61" t="s">
        <v>134</v>
      </c>
      <c r="Q112" s="34"/>
      <c r="R112" s="32"/>
      <c r="S112" s="32"/>
      <c r="T112" s="33"/>
      <c r="U112" s="33"/>
      <c r="V112" s="46">
        <f t="shared" si="52"/>
        <v>6118.248178571429</v>
      </c>
      <c r="W112" s="32">
        <f t="shared" si="61"/>
        <v>626.82481785714299</v>
      </c>
      <c r="X112" s="46">
        <f t="shared" si="62"/>
        <v>5491.423360714286</v>
      </c>
      <c r="Y112" s="32">
        <f t="shared" si="63"/>
        <v>0</v>
      </c>
      <c r="Z112" s="32">
        <v>10.23</v>
      </c>
      <c r="AA112" s="32" t="str">
        <f t="shared" si="64"/>
        <v>XX</v>
      </c>
      <c r="AB112" s="46" t="e">
        <f t="shared" si="65"/>
        <v>#VALUE!</v>
      </c>
      <c r="AC112" s="50"/>
      <c r="AD112" s="51"/>
      <c r="AE112" s="47">
        <f t="shared" si="66"/>
        <v>-5491.423360714286</v>
      </c>
      <c r="AF112" s="35">
        <v>60589747903</v>
      </c>
      <c r="AG112" s="35"/>
    </row>
    <row r="113" spans="1:187" s="18" customFormat="1">
      <c r="A113" s="33" t="s">
        <v>38</v>
      </c>
      <c r="B113" s="33" t="s">
        <v>178</v>
      </c>
      <c r="C113" s="33" t="s">
        <v>179</v>
      </c>
      <c r="D113" s="49">
        <v>43026</v>
      </c>
      <c r="E113" s="34">
        <v>638.96</v>
      </c>
      <c r="F113" s="34">
        <f>4350.551+7.428</f>
        <v>4357.9790000000003</v>
      </c>
      <c r="G113" s="34"/>
      <c r="H113" s="34"/>
      <c r="I113" s="34"/>
      <c r="J113" s="46">
        <f t="shared" si="51"/>
        <v>4357.9790000000003</v>
      </c>
      <c r="K113" s="34"/>
      <c r="L113" s="60"/>
      <c r="M113" s="34"/>
      <c r="N113" s="34"/>
      <c r="O113" s="61"/>
      <c r="P113" s="61"/>
      <c r="Q113" s="34"/>
      <c r="R113" s="32"/>
      <c r="S113" s="32"/>
      <c r="T113" s="33"/>
      <c r="U113" s="33">
        <v>545.02</v>
      </c>
      <c r="V113" s="46">
        <f t="shared" si="52"/>
        <v>3812.9590000000003</v>
      </c>
      <c r="W113" s="32"/>
      <c r="X113" s="46"/>
      <c r="Y113" s="32"/>
      <c r="Z113" s="32"/>
      <c r="AA113" s="32"/>
      <c r="AB113" s="46"/>
      <c r="AC113" s="50"/>
      <c r="AD113" s="51"/>
      <c r="AE113" s="47"/>
      <c r="AF113" s="35">
        <v>60578682154</v>
      </c>
      <c r="AG113" s="35"/>
    </row>
    <row r="114" spans="1:187" s="18" customFormat="1">
      <c r="A114" s="33" t="s">
        <v>38</v>
      </c>
      <c r="B114" s="33" t="s">
        <v>57</v>
      </c>
      <c r="C114" s="33" t="s">
        <v>41</v>
      </c>
      <c r="D114" s="49">
        <v>41549</v>
      </c>
      <c r="E114" s="34">
        <v>739.2</v>
      </c>
      <c r="F114" s="34">
        <f>5688.575+13.099</f>
        <v>5701.674</v>
      </c>
      <c r="G114" s="34"/>
      <c r="H114" s="34"/>
      <c r="I114" s="34"/>
      <c r="J114" s="46">
        <f t="shared" si="51"/>
        <v>5701.674</v>
      </c>
      <c r="K114" s="34"/>
      <c r="L114" s="60"/>
      <c r="M114" s="34"/>
      <c r="N114" s="34">
        <v>500</v>
      </c>
      <c r="O114" s="61"/>
      <c r="P114" s="61"/>
      <c r="Q114" s="34"/>
      <c r="R114" s="32"/>
      <c r="S114" s="32"/>
      <c r="T114" s="33"/>
      <c r="U114" s="33"/>
      <c r="V114" s="46">
        <f t="shared" si="52"/>
        <v>5201.674</v>
      </c>
      <c r="W114" s="32">
        <f>IF(J114&gt;2250,J114*0.1,0)</f>
        <v>570.16740000000004</v>
      </c>
      <c r="X114" s="46">
        <f>+V114-W114</f>
        <v>4631.5065999999997</v>
      </c>
      <c r="Y114" s="32">
        <f>IF(J114&lt;2250,J114*0.1,0)</f>
        <v>0</v>
      </c>
      <c r="Z114" s="32">
        <v>10.23</v>
      </c>
      <c r="AA114" s="32">
        <f>+O114</f>
        <v>0</v>
      </c>
      <c r="AB114" s="46">
        <f>+J114+Y114+Z114+AA114</f>
        <v>5711.9039999999995</v>
      </c>
      <c r="AC114" s="50"/>
      <c r="AD114" s="51"/>
      <c r="AE114" s="47">
        <f>+AC114+AD114-X114</f>
        <v>-4631.5065999999997</v>
      </c>
      <c r="AF114" s="35">
        <v>56708846050</v>
      </c>
      <c r="AG114" s="35"/>
    </row>
    <row r="115" spans="1:187">
      <c r="A115" s="28"/>
      <c r="B115" s="33"/>
      <c r="C115" s="28"/>
      <c r="D115" s="59"/>
      <c r="E115" s="59"/>
      <c r="F115" s="30"/>
      <c r="G115" s="30"/>
      <c r="H115" s="30"/>
      <c r="I115" s="30"/>
      <c r="J115" s="46">
        <f t="shared" si="51"/>
        <v>0</v>
      </c>
      <c r="K115" s="34"/>
      <c r="L115" s="34"/>
      <c r="M115" s="34"/>
      <c r="N115" s="34"/>
      <c r="O115" s="34"/>
      <c r="P115" s="34"/>
      <c r="Q115" s="34"/>
      <c r="R115" s="32"/>
      <c r="S115" s="32"/>
      <c r="T115" s="32"/>
      <c r="U115" s="32"/>
      <c r="V115" s="46"/>
      <c r="W115" s="32"/>
      <c r="X115" s="46"/>
      <c r="Y115" s="54"/>
      <c r="Z115" s="54"/>
      <c r="AA115" s="54"/>
      <c r="AB115" s="53"/>
      <c r="AC115" s="44"/>
      <c r="AD115" s="44"/>
      <c r="AE115" s="39"/>
      <c r="AF115" s="28"/>
      <c r="AG115" s="2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</row>
    <row r="116" spans="1:187">
      <c r="A116" s="28"/>
      <c r="B116" s="35" t="s">
        <v>122</v>
      </c>
      <c r="C116" s="28"/>
      <c r="D116" s="59"/>
      <c r="E116" s="38">
        <f>SUM(E73:E114)</f>
        <v>27094.35</v>
      </c>
      <c r="F116" s="38">
        <f t="shared" ref="F116:V116" si="77">SUM(F72:F114)</f>
        <v>130364.50599999999</v>
      </c>
      <c r="G116" s="38">
        <f t="shared" si="77"/>
        <v>10451.680535714284</v>
      </c>
      <c r="H116" s="38">
        <f t="shared" si="77"/>
        <v>0</v>
      </c>
      <c r="I116" s="38">
        <f t="shared" si="77"/>
        <v>0</v>
      </c>
      <c r="J116" s="38">
        <f t="shared" si="77"/>
        <v>140816.18653571434</v>
      </c>
      <c r="K116" s="38">
        <f t="shared" si="77"/>
        <v>387.5</v>
      </c>
      <c r="L116" s="38">
        <f t="shared" si="77"/>
        <v>2</v>
      </c>
      <c r="M116" s="38">
        <f t="shared" si="77"/>
        <v>0</v>
      </c>
      <c r="N116" s="38">
        <f t="shared" si="77"/>
        <v>4700</v>
      </c>
      <c r="O116" s="38">
        <f t="shared" si="77"/>
        <v>0</v>
      </c>
      <c r="P116" s="38">
        <f t="shared" si="77"/>
        <v>0</v>
      </c>
      <c r="Q116" s="38">
        <f t="shared" si="77"/>
        <v>0</v>
      </c>
      <c r="R116" s="38">
        <f t="shared" si="77"/>
        <v>0</v>
      </c>
      <c r="S116" s="38">
        <f t="shared" si="77"/>
        <v>0</v>
      </c>
      <c r="T116" s="38">
        <f t="shared" si="77"/>
        <v>0</v>
      </c>
      <c r="U116" s="38">
        <f t="shared" si="77"/>
        <v>4034.5299999999997</v>
      </c>
      <c r="V116" s="38">
        <f t="shared" si="77"/>
        <v>126529.60421428573</v>
      </c>
      <c r="W116" s="38">
        <f>SUM(W73:W114)</f>
        <v>8621.5760303571442</v>
      </c>
      <c r="X116" s="38">
        <f>SUM(X73:X114)</f>
        <v>81348.061071428558</v>
      </c>
      <c r="Y116" s="54"/>
      <c r="Z116" s="54"/>
      <c r="AA116" s="54"/>
      <c r="AB116" s="53"/>
      <c r="AC116" s="44"/>
      <c r="AD116" s="44"/>
      <c r="AE116" s="39"/>
      <c r="AF116" s="28"/>
      <c r="AG116" s="2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</row>
    <row r="117" spans="1:187">
      <c r="B117" s="20"/>
      <c r="AB117" s="14" t="e">
        <f>+#REF!*0.16</f>
        <v>#REF!</v>
      </c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</row>
    <row r="118" spans="1:187"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</row>
    <row r="119" spans="1:187"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</row>
    <row r="120" spans="1:187"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</row>
    <row r="121" spans="1:187" ht="23.25">
      <c r="A121" s="94" t="s">
        <v>25</v>
      </c>
      <c r="B121" s="94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</row>
    <row r="122" spans="1:187" s="18" customFormat="1" ht="15.75">
      <c r="A122" s="64" t="s">
        <v>39</v>
      </c>
      <c r="B122" s="64" t="s">
        <v>112</v>
      </c>
      <c r="C122" s="64" t="s">
        <v>43</v>
      </c>
      <c r="D122" s="49">
        <v>42199</v>
      </c>
      <c r="E122" s="34">
        <v>1633</v>
      </c>
      <c r="F122" s="34">
        <v>250</v>
      </c>
      <c r="G122" s="34"/>
      <c r="H122" s="34"/>
      <c r="I122" s="34"/>
      <c r="J122" s="46">
        <f t="shared" ref="J122:J126" si="78">SUM(F122:I122)</f>
        <v>250</v>
      </c>
      <c r="K122" s="34"/>
      <c r="L122" s="60"/>
      <c r="M122" s="34"/>
      <c r="N122" s="34">
        <v>150</v>
      </c>
      <c r="O122" s="61"/>
      <c r="P122" s="61"/>
      <c r="Q122" s="34"/>
      <c r="R122" s="32"/>
      <c r="S122" s="62"/>
      <c r="T122" s="33"/>
      <c r="U122" s="57"/>
      <c r="V122" s="46">
        <f t="shared" ref="V122:V126" si="79">+J122-SUM(K122:U122)</f>
        <v>100</v>
      </c>
      <c r="W122" s="32">
        <v>0</v>
      </c>
      <c r="X122" s="46">
        <v>-150</v>
      </c>
      <c r="Y122" s="32"/>
      <c r="Z122" s="32"/>
      <c r="AA122" s="32"/>
      <c r="AB122" s="46"/>
      <c r="AC122" s="52"/>
      <c r="AD122" s="50"/>
      <c r="AE122" s="47"/>
      <c r="AF122" s="33">
        <v>60590405464</v>
      </c>
      <c r="AG122" s="65"/>
    </row>
    <row r="123" spans="1:187">
      <c r="A123" s="64" t="s">
        <v>37</v>
      </c>
      <c r="B123" s="64" t="s">
        <v>104</v>
      </c>
      <c r="C123" s="64" t="s">
        <v>43</v>
      </c>
      <c r="D123" s="49">
        <v>34275</v>
      </c>
      <c r="E123" s="34">
        <v>1633</v>
      </c>
      <c r="F123" s="34">
        <v>280</v>
      </c>
      <c r="G123" s="34"/>
      <c r="H123" s="34"/>
      <c r="I123" s="34"/>
      <c r="J123" s="46">
        <f t="shared" si="78"/>
        <v>280</v>
      </c>
      <c r="K123" s="34"/>
      <c r="L123" s="60"/>
      <c r="M123" s="34"/>
      <c r="N123" s="34"/>
      <c r="O123" s="61"/>
      <c r="P123" s="61"/>
      <c r="Q123" s="34"/>
      <c r="R123" s="32"/>
      <c r="S123" s="32"/>
      <c r="T123" s="33"/>
      <c r="U123" s="33"/>
      <c r="V123" s="46">
        <f t="shared" si="79"/>
        <v>280</v>
      </c>
      <c r="W123" s="32">
        <v>0</v>
      </c>
      <c r="X123" s="46">
        <v>0</v>
      </c>
      <c r="Y123" s="54"/>
      <c r="Z123" s="54"/>
      <c r="AA123" s="54"/>
      <c r="AB123" s="53"/>
      <c r="AC123" s="44"/>
      <c r="AD123" s="44"/>
      <c r="AE123" s="39"/>
      <c r="AF123" s="28">
        <v>60590317373</v>
      </c>
      <c r="AG123" s="65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pans="1:187">
      <c r="A124" s="64" t="s">
        <v>39</v>
      </c>
      <c r="B124" s="64" t="s">
        <v>120</v>
      </c>
      <c r="C124" s="64" t="s">
        <v>121</v>
      </c>
      <c r="D124" s="49">
        <v>38825</v>
      </c>
      <c r="E124" s="34">
        <v>2100</v>
      </c>
      <c r="F124" s="34"/>
      <c r="G124" s="34"/>
      <c r="H124" s="34"/>
      <c r="I124" s="34"/>
      <c r="J124" s="46">
        <f t="shared" si="78"/>
        <v>0</v>
      </c>
      <c r="K124" s="34"/>
      <c r="L124" s="60"/>
      <c r="M124" s="34"/>
      <c r="N124" s="34"/>
      <c r="O124" s="61"/>
      <c r="P124" s="61"/>
      <c r="Q124" s="34"/>
      <c r="R124" s="32"/>
      <c r="S124" s="32"/>
      <c r="T124" s="33"/>
      <c r="U124" s="33"/>
      <c r="V124" s="46">
        <f t="shared" si="79"/>
        <v>0</v>
      </c>
      <c r="W124" s="32"/>
      <c r="X124" s="46"/>
      <c r="Y124" s="54"/>
      <c r="Z124" s="54"/>
      <c r="AA124" s="54"/>
      <c r="AB124" s="53"/>
      <c r="AC124" s="44"/>
      <c r="AD124" s="44"/>
      <c r="AE124" s="39"/>
      <c r="AF124" s="28">
        <v>56708845376</v>
      </c>
      <c r="AG124" s="65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pans="1:187">
      <c r="A125" s="64" t="s">
        <v>37</v>
      </c>
      <c r="B125" s="64" t="s">
        <v>106</v>
      </c>
      <c r="C125" s="64" t="s">
        <v>105</v>
      </c>
      <c r="D125" s="49">
        <v>42809</v>
      </c>
      <c r="E125" s="34">
        <v>937.5</v>
      </c>
      <c r="F125" s="34"/>
      <c r="G125" s="34"/>
      <c r="H125" s="34"/>
      <c r="I125" s="34"/>
      <c r="J125" s="46">
        <f t="shared" si="78"/>
        <v>0</v>
      </c>
      <c r="K125" s="34">
        <v>208.34</v>
      </c>
      <c r="L125" s="60"/>
      <c r="M125" s="34"/>
      <c r="N125" s="34"/>
      <c r="O125" s="61"/>
      <c r="P125" s="61"/>
      <c r="Q125" s="34"/>
      <c r="R125" s="32"/>
      <c r="S125" s="32"/>
      <c r="T125" s="33"/>
      <c r="U125" s="33"/>
      <c r="V125" s="46">
        <f t="shared" si="79"/>
        <v>-208.34</v>
      </c>
      <c r="W125" s="32"/>
      <c r="X125" s="46"/>
      <c r="Y125" s="54"/>
      <c r="Z125" s="54"/>
      <c r="AA125" s="54"/>
      <c r="AB125" s="53"/>
      <c r="AC125" s="44"/>
      <c r="AD125" s="44"/>
      <c r="AE125" s="39"/>
      <c r="AF125" s="28">
        <v>60590314454</v>
      </c>
      <c r="AG125" s="65" t="s">
        <v>197</v>
      </c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pans="1:187">
      <c r="A126" s="64" t="s">
        <v>39</v>
      </c>
      <c r="B126" s="64" t="s">
        <v>160</v>
      </c>
      <c r="C126" s="64" t="s">
        <v>161</v>
      </c>
      <c r="D126" s="49">
        <v>40147</v>
      </c>
      <c r="E126" s="34">
        <v>1900</v>
      </c>
      <c r="F126" s="34"/>
      <c r="G126" s="34"/>
      <c r="H126" s="34"/>
      <c r="I126" s="34"/>
      <c r="J126" s="46">
        <f t="shared" si="78"/>
        <v>0</v>
      </c>
      <c r="K126" s="34"/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46">
        <f t="shared" si="79"/>
        <v>0</v>
      </c>
      <c r="W126" s="32"/>
      <c r="X126" s="46"/>
      <c r="Y126" s="54"/>
      <c r="Z126" s="54"/>
      <c r="AA126" s="54"/>
      <c r="AB126" s="53"/>
      <c r="AC126" s="44"/>
      <c r="AD126" s="44"/>
      <c r="AE126" s="39"/>
      <c r="AF126" s="28">
        <v>60590324373</v>
      </c>
      <c r="AG126" s="65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</row>
    <row r="127" spans="1:187"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pans="1:187"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pans="1:187"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pans="1:187">
      <c r="A130" s="19" t="s">
        <v>17</v>
      </c>
      <c r="B130" s="13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1" spans="1:187">
      <c r="A131" s="19" t="s">
        <v>18</v>
      </c>
      <c r="B131" s="13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</row>
    <row r="132" spans="1:187">
      <c r="A132" s="19" t="s">
        <v>19</v>
      </c>
      <c r="B132" s="13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</row>
    <row r="133" spans="1:187">
      <c r="A133" s="19" t="s">
        <v>20</v>
      </c>
      <c r="B133" s="13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</row>
    <row r="134" spans="1:187">
      <c r="A134" s="19" t="s">
        <v>21</v>
      </c>
      <c r="B134" s="13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</row>
    <row r="135" spans="1:187">
      <c r="A135" s="19" t="s">
        <v>22</v>
      </c>
      <c r="B135" s="13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</row>
    <row r="136" spans="1:187"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</row>
    <row r="137" spans="1:187"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</row>
    <row r="139" spans="1:187">
      <c r="B139" s="17"/>
    </row>
    <row r="140" spans="1:187">
      <c r="B140" s="17"/>
    </row>
    <row r="141" spans="1:187">
      <c r="B141" s="17"/>
    </row>
  </sheetData>
  <sheetProtection selectLockedCells="1" selectUnlockedCells="1"/>
  <autoFilter ref="A5:AG66">
    <filterColumn colId="28" showButton="0"/>
    <sortState ref="A8:AH99">
      <sortCondition ref="B5:B99"/>
    </sortState>
  </autoFilter>
  <mergeCells count="33">
    <mergeCell ref="AG5:AG6"/>
    <mergeCell ref="A71:B71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G5:G6"/>
    <mergeCell ref="A121:B121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Saul Pineda</cp:lastModifiedBy>
  <cp:lastPrinted>2016-02-12T20:59:22Z</cp:lastPrinted>
  <dcterms:created xsi:type="dcterms:W3CDTF">2015-07-23T15:19:36Z</dcterms:created>
  <dcterms:modified xsi:type="dcterms:W3CDTF">2017-11-24T17:06:12Z</dcterms:modified>
</cp:coreProperties>
</file>