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 Ingenieria/Semanal/"/>
    </mc:Choice>
  </mc:AlternateContent>
  <bookViews>
    <workbookView xWindow="0" yWindow="0" windowWidth="19200" windowHeight="11595"/>
  </bookViews>
  <sheets>
    <sheet name="FORMATO NOMINA" sheetId="4" r:id="rId1"/>
  </sheets>
  <definedNames>
    <definedName name="_xlnm._FilterDatabase" localSheetId="0" hidden="1">'FORMATO NOMINA'!$A$5:$AG$64</definedName>
  </definedNames>
  <calcPr calcId="152511"/>
</workbook>
</file>

<file path=xl/calcChain.xml><?xml version="1.0" encoding="utf-8"?>
<calcChain xmlns="http://schemas.openxmlformats.org/spreadsheetml/2006/main">
  <c r="V32" i="4" l="1"/>
  <c r="J32" i="4"/>
  <c r="J9" i="4"/>
  <c r="V9" i="4" s="1"/>
  <c r="F73" i="4" l="1"/>
  <c r="F95" i="4"/>
  <c r="F98" i="4"/>
  <c r="F76" i="4"/>
  <c r="F89" i="4"/>
  <c r="F87" i="4"/>
  <c r="F113" i="4"/>
  <c r="F105" i="4"/>
  <c r="F106" i="4"/>
  <c r="F79" i="4"/>
  <c r="F82" i="4"/>
  <c r="F78" i="4"/>
  <c r="F99" i="4"/>
  <c r="F80" i="4"/>
  <c r="F94" i="4"/>
  <c r="F75" i="4"/>
  <c r="F110" i="4"/>
  <c r="F90" i="4"/>
  <c r="F93" i="4"/>
  <c r="F72" i="4"/>
  <c r="F107" i="4"/>
  <c r="F112" i="4"/>
  <c r="F88" i="4"/>
  <c r="F97" i="4"/>
  <c r="F92" i="4"/>
  <c r="F100" i="4"/>
  <c r="F104" i="4"/>
  <c r="F83" i="4"/>
  <c r="F91" i="4"/>
  <c r="F81" i="4"/>
  <c r="F85" i="4"/>
  <c r="F86" i="4"/>
  <c r="F71" i="4"/>
  <c r="J18" i="4"/>
  <c r="J19" i="4"/>
  <c r="J103" i="4"/>
  <c r="V103" i="4" s="1"/>
  <c r="J104" i="4"/>
  <c r="K63" i="4" l="1"/>
  <c r="U67" i="4" l="1"/>
  <c r="G115" i="4"/>
  <c r="H115" i="4"/>
  <c r="I115" i="4"/>
  <c r="K115" i="4"/>
  <c r="L115" i="4"/>
  <c r="M115" i="4"/>
  <c r="N115" i="4"/>
  <c r="O115" i="4"/>
  <c r="P115" i="4"/>
  <c r="Q115" i="4"/>
  <c r="R115" i="4"/>
  <c r="S115" i="4"/>
  <c r="T115" i="4"/>
  <c r="U115" i="4"/>
  <c r="J111" i="4" l="1"/>
  <c r="V111" i="4" s="1"/>
  <c r="F115" i="4" l="1"/>
  <c r="F67" i="4"/>
  <c r="J110" i="4" l="1"/>
  <c r="J109" i="4"/>
  <c r="J108" i="4"/>
  <c r="J107" i="4"/>
  <c r="J96" i="4"/>
  <c r="V96" i="4" s="1"/>
  <c r="J54" i="4"/>
  <c r="J36" i="4"/>
  <c r="J65" i="4"/>
  <c r="J70" i="4"/>
  <c r="G67" i="4"/>
  <c r="H67" i="4"/>
  <c r="I67" i="4"/>
  <c r="K67" i="4"/>
  <c r="L67" i="4"/>
  <c r="M67" i="4"/>
  <c r="N67" i="4"/>
  <c r="O67" i="4"/>
  <c r="P67" i="4"/>
  <c r="Q67" i="4"/>
  <c r="R67" i="4"/>
  <c r="S67" i="4"/>
  <c r="T67" i="4"/>
  <c r="E67" i="4"/>
  <c r="V70" i="4" l="1"/>
  <c r="J112" i="4"/>
  <c r="V112" i="4" s="1"/>
  <c r="J7" i="4"/>
  <c r="V7" i="4" l="1"/>
  <c r="J84" i="4"/>
  <c r="V84" i="4" s="1"/>
  <c r="J11" i="4" l="1"/>
  <c r="J24" i="4"/>
  <c r="V24" i="4" s="1"/>
  <c r="J48" i="4"/>
  <c r="J25" i="4" l="1"/>
  <c r="V25" i="4" s="1"/>
  <c r="J13" i="4"/>
  <c r="J43" i="4"/>
  <c r="J125" i="4"/>
  <c r="V125" i="4" s="1"/>
  <c r="J16" i="4" l="1"/>
  <c r="V16" i="4" s="1"/>
  <c r="J17" i="4"/>
  <c r="J20" i="4"/>
  <c r="J21" i="4"/>
  <c r="J37" i="4"/>
  <c r="V37" i="4" s="1"/>
  <c r="J44" i="4" l="1"/>
  <c r="V44" i="4" s="1"/>
  <c r="J73" i="4" l="1"/>
  <c r="E115" i="4" l="1"/>
  <c r="J10" i="4" l="1"/>
  <c r="J12" i="4"/>
  <c r="J14" i="4"/>
  <c r="J15" i="4"/>
  <c r="V20" i="4"/>
  <c r="V21" i="4"/>
  <c r="J22" i="4"/>
  <c r="V22" i="4" s="1"/>
  <c r="J23" i="4"/>
  <c r="J26" i="4"/>
  <c r="J27" i="4"/>
  <c r="J28" i="4"/>
  <c r="V28" i="4" s="1"/>
  <c r="J29" i="4"/>
  <c r="V29" i="4" s="1"/>
  <c r="J30" i="4"/>
  <c r="J31" i="4"/>
  <c r="J33" i="4"/>
  <c r="J34" i="4"/>
  <c r="J35" i="4"/>
  <c r="V35" i="4" s="1"/>
  <c r="J38" i="4"/>
  <c r="V38" i="4" s="1"/>
  <c r="J39" i="4"/>
  <c r="J40" i="4"/>
  <c r="J41" i="4"/>
  <c r="J42" i="4"/>
  <c r="V42" i="4" s="1"/>
  <c r="J45" i="4"/>
  <c r="V45" i="4" s="1"/>
  <c r="J46" i="4"/>
  <c r="J47" i="4"/>
  <c r="J49" i="4"/>
  <c r="J50" i="4"/>
  <c r="J51" i="4"/>
  <c r="J52" i="4"/>
  <c r="J53" i="4"/>
  <c r="J55" i="4"/>
  <c r="J56" i="4"/>
  <c r="J57" i="4"/>
  <c r="J58" i="4"/>
  <c r="J59" i="4"/>
  <c r="J60" i="4"/>
  <c r="V60" i="4" s="1"/>
  <c r="J61" i="4"/>
  <c r="V61" i="4" s="1"/>
  <c r="J62" i="4"/>
  <c r="J63" i="4"/>
  <c r="J64" i="4"/>
  <c r="J8" i="4"/>
  <c r="J67" i="4" l="1"/>
  <c r="J97" i="4" l="1"/>
  <c r="V97" i="4" s="1"/>
  <c r="J98" i="4"/>
  <c r="V98" i="4" s="1"/>
  <c r="J99" i="4"/>
  <c r="J90" i="4"/>
  <c r="V90" i="4" s="1"/>
  <c r="J91" i="4"/>
  <c r="V91" i="4" s="1"/>
  <c r="J92" i="4"/>
  <c r="V92" i="4" s="1"/>
  <c r="V46" i="4" l="1"/>
  <c r="V47" i="4"/>
  <c r="V49" i="4"/>
  <c r="V50" i="4"/>
  <c r="V51" i="4"/>
  <c r="V15" i="4"/>
  <c r="V17" i="4"/>
  <c r="V19" i="4"/>
  <c r="V23" i="4"/>
  <c r="V26" i="4"/>
  <c r="V27" i="4"/>
  <c r="V30" i="4"/>
  <c r="J93" i="4"/>
  <c r="V93" i="4" s="1"/>
  <c r="J94" i="4"/>
  <c r="V94" i="4" s="1"/>
  <c r="J95" i="4"/>
  <c r="V95" i="4" s="1"/>
  <c r="J100" i="4"/>
  <c r="V100" i="4" s="1"/>
  <c r="J101" i="4"/>
  <c r="V101" i="4" s="1"/>
  <c r="J102" i="4"/>
  <c r="V102" i="4" s="1"/>
  <c r="V104" i="4"/>
  <c r="J75" i="4"/>
  <c r="V75" i="4" s="1"/>
  <c r="J76" i="4"/>
  <c r="V76" i="4" s="1"/>
  <c r="J77" i="4"/>
  <c r="V77" i="4" s="1"/>
  <c r="J78" i="4"/>
  <c r="V78" i="4" s="1"/>
  <c r="J79" i="4"/>
  <c r="V79" i="4" s="1"/>
  <c r="V14" i="4" l="1"/>
  <c r="J83" i="4"/>
  <c r="V83" i="4" s="1"/>
  <c r="J89" i="4" l="1"/>
  <c r="V89" i="4" s="1"/>
  <c r="J87" i="4"/>
  <c r="V87" i="4" s="1"/>
  <c r="J88" i="4" l="1"/>
  <c r="V88" i="4" s="1"/>
  <c r="J85" i="4"/>
  <c r="V85" i="4" s="1"/>
  <c r="J86" i="4"/>
  <c r="V86" i="4" s="1"/>
  <c r="AA91" i="4" l="1"/>
  <c r="Y28" i="4"/>
  <c r="W28" i="4" l="1"/>
  <c r="V41" i="4" l="1"/>
  <c r="V58" i="4" l="1"/>
  <c r="J81" i="4" l="1"/>
  <c r="V81" i="4" s="1"/>
  <c r="J124" i="4" l="1"/>
  <c r="V124" i="4" s="1"/>
  <c r="J121" i="4"/>
  <c r="V121" i="4" s="1"/>
  <c r="J122" i="4"/>
  <c r="V122" i="4" s="1"/>
  <c r="J123" i="4"/>
  <c r="V123" i="4" s="1"/>
  <c r="J72" i="4"/>
  <c r="V72" i="4" s="1"/>
  <c r="V73" i="4"/>
  <c r="J74" i="4"/>
  <c r="V74" i="4" s="1"/>
  <c r="J80" i="4"/>
  <c r="V80" i="4" s="1"/>
  <c r="J82" i="4"/>
  <c r="V82" i="4" s="1"/>
  <c r="V40" i="4"/>
  <c r="J105" i="4"/>
  <c r="V105" i="4" s="1"/>
  <c r="J106" i="4"/>
  <c r="V106" i="4" s="1"/>
  <c r="V108" i="4"/>
  <c r="V110" i="4"/>
  <c r="J113" i="4"/>
  <c r="V113" i="4" s="1"/>
  <c r="J114" i="4"/>
  <c r="V31" i="4"/>
  <c r="V99" i="4" l="1"/>
  <c r="W95" i="4" l="1"/>
  <c r="X40" i="4"/>
  <c r="Y40" i="4"/>
  <c r="AB40" i="4" s="1"/>
  <c r="W40" i="4"/>
  <c r="X95" i="4" l="1"/>
  <c r="W108" i="4"/>
  <c r="X108" i="4" l="1"/>
  <c r="W91" i="4" l="1"/>
  <c r="X91" i="4" l="1"/>
  <c r="W64" i="4" l="1"/>
  <c r="V64" i="4" l="1"/>
  <c r="X64" i="4" s="1"/>
  <c r="W42" i="4"/>
  <c r="X42" i="4" l="1"/>
  <c r="W30" i="4" l="1"/>
  <c r="X30" i="4" l="1"/>
  <c r="W78" i="4" l="1"/>
  <c r="X78" i="4" s="1"/>
  <c r="W23" i="4" l="1"/>
  <c r="X23" i="4" l="1"/>
  <c r="W51" i="4"/>
  <c r="X51" i="4" l="1"/>
  <c r="W101" i="4"/>
  <c r="X101" i="4" l="1"/>
  <c r="V55" i="4" l="1"/>
  <c r="W55" i="4" l="1"/>
  <c r="X55" i="4" s="1"/>
  <c r="Y55" i="4"/>
  <c r="W63" i="4" l="1"/>
  <c r="V63" i="4" l="1"/>
  <c r="X63" i="4" s="1"/>
  <c r="Y38" i="4" l="1"/>
  <c r="AA38" i="4"/>
  <c r="V59" i="4"/>
  <c r="AA59" i="4"/>
  <c r="AB38" i="4" l="1"/>
  <c r="W38" i="4"/>
  <c r="Y59" i="4"/>
  <c r="AB59" i="4" s="1"/>
  <c r="W59" i="4"/>
  <c r="X59" i="4" s="1"/>
  <c r="X38" i="4" l="1"/>
  <c r="AA49" i="4" l="1"/>
  <c r="Y49" i="4" l="1"/>
  <c r="AB49" i="4" s="1"/>
  <c r="W49" i="4"/>
  <c r="X49" i="4" s="1"/>
  <c r="AA26" i="4" l="1"/>
  <c r="AA27" i="4"/>
  <c r="AA82" i="4"/>
  <c r="AA31" i="4"/>
  <c r="AA33" i="4"/>
  <c r="Y33" i="4" l="1"/>
  <c r="AB33" i="4" s="1"/>
  <c r="V33" i="4"/>
  <c r="W33" i="4"/>
  <c r="X33" i="4" l="1"/>
  <c r="W82" i="4" l="1"/>
  <c r="Y82" i="4"/>
  <c r="AB82" i="4" s="1"/>
  <c r="X82" i="4" l="1"/>
  <c r="AA62" i="4" l="1"/>
  <c r="AA47" i="4"/>
  <c r="Y27" i="4" l="1"/>
  <c r="AB27" i="4" s="1"/>
  <c r="W27" i="4"/>
  <c r="V62" i="4"/>
  <c r="Y62" i="4"/>
  <c r="AB62" i="4" s="1"/>
  <c r="W47" i="4"/>
  <c r="Y47" i="4"/>
  <c r="AB47" i="4" s="1"/>
  <c r="W62" i="4"/>
  <c r="AA50" i="4"/>
  <c r="Y50" i="4"/>
  <c r="X27" i="4" l="1"/>
  <c r="AE27" i="4" s="1"/>
  <c r="X62" i="4"/>
  <c r="X47" i="4"/>
  <c r="AB50" i="4"/>
  <c r="W50" i="4"/>
  <c r="X50" i="4" l="1"/>
  <c r="AE62" i="4" l="1"/>
  <c r="AE47" i="4" l="1"/>
  <c r="AA56" i="4"/>
  <c r="W90" i="4" l="1"/>
  <c r="Y90" i="4"/>
  <c r="AA90" i="4"/>
  <c r="AB90" i="4" l="1"/>
  <c r="X90" i="4"/>
  <c r="AE90" i="4" s="1"/>
  <c r="AA20" i="4" l="1"/>
  <c r="W20" i="4" l="1"/>
  <c r="Y20" i="4"/>
  <c r="AB20" i="4" s="1"/>
  <c r="X20" i="4" l="1"/>
  <c r="AE20" i="4" l="1"/>
  <c r="AA57" i="4" l="1"/>
  <c r="Y57" i="4" l="1"/>
  <c r="W57" i="4" l="1"/>
  <c r="V57" i="4"/>
  <c r="AB57" i="4"/>
  <c r="X57" i="4" l="1"/>
  <c r="AE57" i="4" s="1"/>
  <c r="W99" i="4" l="1"/>
  <c r="Y99" i="4"/>
  <c r="AA113" i="4"/>
  <c r="AA105" i="4"/>
  <c r="AA53" i="4"/>
  <c r="AA52" i="4"/>
  <c r="AA98" i="4"/>
  <c r="AA95" i="4"/>
  <c r="AA39" i="4"/>
  <c r="AA89" i="4"/>
  <c r="AA34" i="4"/>
  <c r="AA19" i="4"/>
  <c r="AA76" i="4"/>
  <c r="AA17" i="4"/>
  <c r="AA12" i="4"/>
  <c r="AA10" i="4"/>
  <c r="AA8" i="4"/>
  <c r="AA99" i="4" l="1"/>
  <c r="AB99" i="4" l="1"/>
  <c r="X99" i="4"/>
  <c r="AE99" i="4" s="1"/>
  <c r="W98" i="4" l="1"/>
  <c r="Y98" i="4"/>
  <c r="AB98" i="4" s="1"/>
  <c r="Z67" i="4"/>
  <c r="J71" i="4"/>
  <c r="J115" i="4" s="1"/>
  <c r="AD67" i="4"/>
  <c r="AC67" i="4"/>
  <c r="Y56" i="4"/>
  <c r="X98" i="4" l="1"/>
  <c r="AE98" i="4" s="1"/>
  <c r="W31" i="4"/>
  <c r="Y31" i="4"/>
  <c r="AB31" i="4" s="1"/>
  <c r="W34" i="4"/>
  <c r="Y34" i="4"/>
  <c r="W39" i="4"/>
  <c r="Y39" i="4"/>
  <c r="W10" i="4"/>
  <c r="Y10" i="4"/>
  <c r="AB10" i="4" s="1"/>
  <c r="W17" i="4"/>
  <c r="Y17" i="4"/>
  <c r="AB17" i="4" s="1"/>
  <c r="W73" i="4"/>
  <c r="Y73" i="4"/>
  <c r="Y95" i="4"/>
  <c r="AB95" i="4" s="1"/>
  <c r="W76" i="4"/>
  <c r="Y76" i="4"/>
  <c r="AB76" i="4" s="1"/>
  <c r="W75" i="4"/>
  <c r="Y75" i="4"/>
  <c r="W93" i="4"/>
  <c r="Y93" i="4"/>
  <c r="W72" i="4"/>
  <c r="Y72" i="4"/>
  <c r="W85" i="4"/>
  <c r="Y85" i="4"/>
  <c r="W79" i="4"/>
  <c r="Y79" i="4"/>
  <c r="W89" i="4"/>
  <c r="Y89" i="4"/>
  <c r="AB89" i="4" s="1"/>
  <c r="W53" i="4"/>
  <c r="Y53" i="4"/>
  <c r="W110" i="4"/>
  <c r="Y110" i="4"/>
  <c r="W105" i="4"/>
  <c r="Y105" i="4"/>
  <c r="AB105" i="4" s="1"/>
  <c r="W113" i="4"/>
  <c r="Y113" i="4"/>
  <c r="AB113" i="4" s="1"/>
  <c r="W52" i="4"/>
  <c r="Y52" i="4"/>
  <c r="AB52" i="4" s="1"/>
  <c r="W104" i="4"/>
  <c r="Y104" i="4"/>
  <c r="W102" i="4"/>
  <c r="Y102" i="4"/>
  <c r="W94" i="4"/>
  <c r="Y94" i="4"/>
  <c r="W88" i="4"/>
  <c r="Y88" i="4"/>
  <c r="W86" i="4"/>
  <c r="Y86" i="4"/>
  <c r="W80" i="4"/>
  <c r="Y80" i="4"/>
  <c r="W56" i="4"/>
  <c r="AA86" i="4"/>
  <c r="AB56" i="4"/>
  <c r="AA79" i="4"/>
  <c r="AA75" i="4"/>
  <c r="V10" i="4"/>
  <c r="AA88" i="4"/>
  <c r="AA85" i="4"/>
  <c r="AA73" i="4"/>
  <c r="AA80" i="4"/>
  <c r="AA72" i="4"/>
  <c r="AE50" i="4"/>
  <c r="AA93" i="4"/>
  <c r="AA94" i="4"/>
  <c r="AA110" i="4"/>
  <c r="V52" i="4"/>
  <c r="AA102" i="4"/>
  <c r="AA104" i="4"/>
  <c r="V56" i="4"/>
  <c r="Y26" i="4" l="1"/>
  <c r="AB26" i="4" s="1"/>
  <c r="W26" i="4"/>
  <c r="X31" i="4"/>
  <c r="X113" i="4"/>
  <c r="AE113" i="4" s="1"/>
  <c r="X89" i="4"/>
  <c r="AE89" i="4" s="1"/>
  <c r="W19" i="4"/>
  <c r="Y19" i="4"/>
  <c r="AB19" i="4" s="1"/>
  <c r="Y12" i="4"/>
  <c r="AB12" i="4" s="1"/>
  <c r="W8" i="4"/>
  <c r="Y8" i="4"/>
  <c r="AB8" i="4" s="1"/>
  <c r="V71" i="4"/>
  <c r="V115" i="4" s="1"/>
  <c r="V12" i="4"/>
  <c r="W12" i="4"/>
  <c r="AE82" i="4"/>
  <c r="X17" i="4"/>
  <c r="AE17" i="4" s="1"/>
  <c r="AE95" i="4"/>
  <c r="X76" i="4"/>
  <c r="AE76" i="4" s="1"/>
  <c r="X105" i="4"/>
  <c r="AE105" i="4" s="1"/>
  <c r="X52" i="4"/>
  <c r="AE52" i="4" s="1"/>
  <c r="X10" i="4"/>
  <c r="AE10" i="4" s="1"/>
  <c r="X56" i="4"/>
  <c r="AE56" i="4" s="1"/>
  <c r="AB80" i="4"/>
  <c r="AB110" i="4"/>
  <c r="AB104" i="4"/>
  <c r="AB86" i="4"/>
  <c r="AB85" i="4"/>
  <c r="AB88" i="4"/>
  <c r="AB75" i="4"/>
  <c r="AB72" i="4"/>
  <c r="AB93" i="4"/>
  <c r="AB79" i="4"/>
  <c r="AB73" i="4"/>
  <c r="AB94" i="4"/>
  <c r="AB102" i="4"/>
  <c r="AA67" i="4"/>
  <c r="X86" i="4"/>
  <c r="AE86" i="4" s="1"/>
  <c r="X88" i="4"/>
  <c r="AE88" i="4" s="1"/>
  <c r="X104" i="4"/>
  <c r="AE104" i="4" s="1"/>
  <c r="X79" i="4"/>
  <c r="AE79" i="4" s="1"/>
  <c r="V34" i="4"/>
  <c r="AB34" i="4"/>
  <c r="AB53" i="4"/>
  <c r="V39" i="4"/>
  <c r="AB39" i="4"/>
  <c r="X75" i="4"/>
  <c r="AE75" i="4" s="1"/>
  <c r="X93" i="4"/>
  <c r="AE93" i="4" s="1"/>
  <c r="X94" i="4"/>
  <c r="AE94" i="4" s="1"/>
  <c r="X85" i="4"/>
  <c r="AE85" i="4" s="1"/>
  <c r="X80" i="4"/>
  <c r="AE80" i="4" s="1"/>
  <c r="X73" i="4"/>
  <c r="AE73" i="4" s="1"/>
  <c r="X110" i="4"/>
  <c r="AE110" i="4" s="1"/>
  <c r="V8" i="4"/>
  <c r="V53" i="4"/>
  <c r="X72" i="4"/>
  <c r="AE72" i="4" s="1"/>
  <c r="X102" i="4"/>
  <c r="AE102" i="4" s="1"/>
  <c r="W71" i="4" l="1"/>
  <c r="W115" i="4" s="1"/>
  <c r="X26" i="4"/>
  <c r="AE26" i="4" s="1"/>
  <c r="X19" i="4"/>
  <c r="AE19" i="4" s="1"/>
  <c r="X71" i="4"/>
  <c r="X115" i="4" s="1"/>
  <c r="Y71" i="4"/>
  <c r="AB71" i="4" s="1"/>
  <c r="AB116" i="4" s="1"/>
  <c r="X12" i="4"/>
  <c r="AE12" i="4" s="1"/>
  <c r="AE31" i="4"/>
  <c r="X34" i="4"/>
  <c r="AE34" i="4" s="1"/>
  <c r="X53" i="4"/>
  <c r="AE53" i="4" s="1"/>
  <c r="X39" i="4"/>
  <c r="AE39" i="4" s="1"/>
  <c r="X8" i="4"/>
  <c r="AE8" i="4" s="1"/>
  <c r="Y67" i="4" l="1"/>
  <c r="W67" i="4"/>
  <c r="V67" i="4" l="1"/>
  <c r="AB67" i="4"/>
  <c r="X67" i="4" l="1"/>
  <c r="AE67" i="4"/>
  <c r="AB68" i="4"/>
  <c r="AB69" i="4" s="1"/>
</calcChain>
</file>

<file path=xl/comments1.xml><?xml version="1.0" encoding="utf-8"?>
<comments xmlns="http://schemas.openxmlformats.org/spreadsheetml/2006/main">
  <authors>
    <author>Saul Pineda</author>
    <author>usuario</author>
  </authors>
  <commentList>
    <comment ref="H50" authorId="0" shapeId="0">
      <text>
        <r>
          <rPr>
            <b/>
            <sz val="9"/>
            <color indexed="81"/>
            <rFont val="Tahoma"/>
            <family val="2"/>
          </rPr>
          <t>Saul Pineda:</t>
        </r>
        <r>
          <rPr>
            <sz val="9"/>
            <color indexed="81"/>
            <rFont val="Tahoma"/>
            <family val="2"/>
          </rPr>
          <t xml:space="preserve">
PAGO DE PV 2DO PERIODO</t>
        </r>
      </text>
    </comment>
    <comment ref="H71" authorId="0" shapeId="0">
      <text>
        <r>
          <rPr>
            <b/>
            <sz val="9"/>
            <color indexed="81"/>
            <rFont val="Tahoma"/>
            <family val="2"/>
          </rPr>
          <t>Saul Pineda:</t>
        </r>
        <r>
          <rPr>
            <sz val="9"/>
            <color indexed="81"/>
            <rFont val="Tahoma"/>
            <family val="2"/>
          </rPr>
          <t xml:space="preserve">
PAGO DE PV PERIODO 5</t>
        </r>
      </text>
    </comment>
    <comment ref="N73" authorId="1" shape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79" authorId="1" shape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93" authorId="0" shapeId="0">
      <text>
        <r>
          <rPr>
            <b/>
            <sz val="9"/>
            <color indexed="81"/>
            <rFont val="Tahoma"/>
            <family val="2"/>
          </rPr>
          <t>Saul Pineda:</t>
        </r>
        <r>
          <rPr>
            <sz val="9"/>
            <color indexed="81"/>
            <rFont val="Tahoma"/>
            <family val="2"/>
          </rPr>
          <t xml:space="preserve">
PAGO PV PERIODO 16</t>
        </r>
      </text>
    </comment>
  </commentList>
</comments>
</file>

<file path=xl/sharedStrings.xml><?xml version="1.0" encoding="utf-8"?>
<sst xmlns="http://schemas.openxmlformats.org/spreadsheetml/2006/main" count="444" uniqueCount="205">
  <si>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</si>
  <si>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</si>
  <si>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</si>
  <si>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</si>
  <si>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</si>
  <si>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</si>
  <si>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</si>
  <si>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</si>
  <si>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</si>
  <si>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</si>
  <si>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</si>
  <si>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</si>
  <si>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</si>
  <si>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</si>
  <si>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</si>
  <si>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</si>
  <si>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</si>
  <si>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</si>
  <si>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</si>
  <si>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</si>
  <si>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</si>
  <si>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</si>
  <si>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</si>
  <si>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</si>
  <si>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</si>
  <si>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</si>
  <si>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</si>
  <si>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</si>
  <si>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</si>
  <si>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</si>
  <si>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</si>
  <si>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</si>
  <si>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</si>
  <si>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</si>
  <si>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</si>
  <si>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</si>
  <si>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</si>
  <si>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</si>
  <si>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</si>
  <si>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</si>
  <si>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</si>
  <si>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</si>
  <si>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</si>
  <si>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</si>
  <si>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</si>
  <si>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</si>
  <si>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</si>
  <si>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</si>
  <si>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</si>
  <si>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</si>
  <si>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</si>
  <si>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</si>
  <si>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</si>
  <si>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</si>
  <si>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</si>
  <si>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</si>
  <si>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</si>
  <si>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</si>
  <si>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</si>
  <si>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</si>
  <si>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</si>
  <si>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</si>
  <si>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</si>
  <si>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</si>
  <si>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</si>
  <si>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</si>
  <si>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</si>
  <si>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</si>
  <si>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</si>
  <si>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</si>
  <si>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</si>
  <si>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</si>
  <si>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</si>
  <si>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</si>
  <si>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</si>
  <si>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</si>
  <si>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</si>
  <si>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</si>
  <si>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</si>
  <si>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</si>
  <si>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</si>
  <si>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</si>
  <si>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</si>
  <si>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</si>
  <si>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</si>
  <si>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</si>
  <si>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</si>
  <si>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</si>
  <si>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</si>
  <si>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</si>
  <si>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</si>
  <si>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</si>
  <si>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REYES ARMADILLO JORGE ANDRES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</si>
  <si>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</si>
  <si>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</si>
  <si>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</si>
  <si>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</si>
  <si>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</si>
  <si>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</si>
  <si>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</si>
  <si>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</si>
  <si>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</si>
  <si>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</si>
  <si>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</si>
  <si>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</si>
  <si>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</si>
  <si>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</si>
  <si>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</si>
  <si>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</si>
  <si>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</si>
  <si>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</si>
  <si>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</si>
  <si>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</si>
  <si>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</si>
  <si>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</si>
  <si>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</si>
  <si>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</si>
  <si>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</si>
  <si>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</si>
  <si>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</si>
  <si>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</si>
  <si>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</si>
  <si>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</si>
  <si>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</si>
  <si>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</si>
  <si>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</si>
  <si>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</si>
  <si>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</si>
  <si>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</si>
  <si>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</si>
  <si>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</si>
  <si>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</si>
  <si>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</si>
  <si>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</si>
  <si>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</si>
  <si>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</si>
  <si>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</si>
  <si>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</si>
  <si>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FLORES VENTURA PAULINA SOLEDAD</t>
  </si>
  <si>
    <t>COACH DE VENTAS SEM</t>
  </si>
  <si>
    <t>BOCANEGRA PEGUERO MARIA GUADALUPE</t>
  </si>
  <si>
    <t>MECANICO NOCTURNO</t>
  </si>
  <si>
    <t>RAMIREZ MONTES MISSAEL GUILLERMO</t>
  </si>
  <si>
    <t>TORRES GAYTAN EVELYN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</si>
  <si>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</si>
  <si>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</si>
  <si>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</si>
  <si>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</si>
  <si>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</si>
  <si>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</si>
  <si>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</si>
  <si>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</si>
  <si>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</si>
  <si>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</si>
  <si>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</si>
  <si>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</si>
  <si>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</si>
  <si>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</si>
  <si>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</si>
  <si>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</si>
  <si>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</si>
  <si>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</si>
  <si>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DESCUENTO POR PRESTAMO</t>
  </si>
  <si>
    <t>OCHOA PALACIOS RAUL ALEJANDRO</t>
  </si>
  <si>
    <t>ARTEAGA SILVA ALFREDO</t>
  </si>
  <si>
    <t>GARZON SALAZAR DIEGO</t>
  </si>
  <si>
    <t>X</t>
  </si>
  <si>
    <t>PEREZ LOPEZ JIMMY FLORENTINO</t>
  </si>
  <si>
    <t>CUATZON APARICIO GELASIO</t>
  </si>
  <si>
    <t>LAVADOR HYP</t>
  </si>
  <si>
    <t>AYUDANTE MECANICO HYP</t>
  </si>
  <si>
    <t>ASESOR DE VENTA SEM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</si>
  <si>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</si>
  <si>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</si>
  <si>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</si>
  <si>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</si>
  <si>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</si>
  <si>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</si>
  <si>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ACOSTA MORENO EDGAR ARMANDO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</si>
  <si>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</si>
  <si>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</si>
  <si>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</si>
  <si>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</si>
  <si>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</si>
  <si>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</si>
  <si>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</si>
  <si>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ZERMEÑO ALEX JOHNATHAN</t>
  </si>
  <si>
    <t>LOPEZ PEDROZA MIROSLAVA</t>
  </si>
  <si>
    <t>PEREZ TORRES VICENTE DANIEL</t>
  </si>
  <si>
    <t>MECANICO</t>
  </si>
  <si>
    <t>VALDEZ ESPINO JOSE JACOB</t>
  </si>
  <si>
    <t>VARGAS DORANTES MIGUEL</t>
  </si>
  <si>
    <t>AYUDANTE DE MECANICO</t>
  </si>
  <si>
    <t>Periodo Semana 46</t>
  </si>
  <si>
    <t>08/11/17 AL 14/11/17</t>
  </si>
  <si>
    <t>SANCHEZ CABRERA ANGEL DAVID</t>
  </si>
  <si>
    <t>PAGAR 10 HORAS EXTRAS</t>
  </si>
  <si>
    <t>DESC CTA 254 2/4 SAMS</t>
  </si>
  <si>
    <t>DESC CTA 254 2/8 CONCEPTO CELULAR</t>
  </si>
  <si>
    <t>DESC CTA 254 2/8 OPTICA</t>
  </si>
  <si>
    <t>DESC CTA 254 2/4 SAMS Y 1/8 OPTICA</t>
  </si>
  <si>
    <t>DESC CTA 254 1/12 PRESTAMO</t>
  </si>
  <si>
    <t>DESC CTA 254 1/16 PRESTAMO</t>
  </si>
  <si>
    <t>ANAYA OCHOA LEON FELIPE</t>
  </si>
  <si>
    <t>HURRLE SALZMANN CARLOS ABELARDO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</si>
</sst>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20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08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1" fillId="0" borderId="0" xfId="2" applyFill="1"/>
    <xf numFmtId="43" fontId="6" fillId="5" borderId="1" xfId="2" applyFont="1" applyFill="1" applyBorder="1" applyAlignment="1">
      <alignment horizontal="center" wrapText="1"/>
    </xf>
    <xf numFmtId="0" fontId="6" fillId="0" borderId="6" xfId="0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6" fillId="0" borderId="8" xfId="2" applyFont="1" applyFill="1" applyBorder="1"/>
    <xf numFmtId="0" fontId="5" fillId="0" borderId="7" xfId="0" applyFont="1" applyBorder="1"/>
    <xf numFmtId="0" fontId="5" fillId="2" borderId="7" xfId="0" applyFont="1" applyFill="1" applyBorder="1"/>
    <xf numFmtId="43" fontId="5" fillId="0" borderId="7" xfId="2" applyFont="1" applyBorder="1"/>
    <xf numFmtId="43" fontId="5" fillId="2" borderId="7" xfId="2" applyFont="1" applyFill="1" applyBorder="1"/>
    <xf numFmtId="43" fontId="5" fillId="0" borderId="7" xfId="2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7" xfId="2" applyFont="1" applyFill="1" applyBorder="1"/>
    <xf numFmtId="0" fontId="6" fillId="0" borderId="7" xfId="0" applyFont="1" applyFill="1" applyBorder="1"/>
    <xf numFmtId="43" fontId="5" fillId="0" borderId="8" xfId="2" applyFont="1" applyFill="1" applyBorder="1" applyAlignment="1">
      <alignment horizontal="center"/>
    </xf>
    <xf numFmtId="0" fontId="6" fillId="0" borderId="7" xfId="0" applyFont="1" applyBorder="1"/>
    <xf numFmtId="43" fontId="6" fillId="0" borderId="7" xfId="2" applyFont="1" applyBorder="1"/>
    <xf numFmtId="43" fontId="1" fillId="0" borderId="7" xfId="2" applyBorder="1"/>
    <xf numFmtId="43" fontId="1" fillId="3" borderId="7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0" xfId="2" applyFont="1" applyFill="1"/>
    <xf numFmtId="43" fontId="10" fillId="0" borderId="7" xfId="2" applyFont="1" applyBorder="1"/>
    <xf numFmtId="43" fontId="10" fillId="3" borderId="7" xfId="2" applyFont="1" applyFill="1" applyBorder="1"/>
    <xf numFmtId="43" fontId="6" fillId="0" borderId="7" xfId="2" applyFont="1" applyFill="1" applyBorder="1"/>
    <xf numFmtId="43" fontId="11" fillId="0" borderId="7" xfId="2" applyFont="1" applyFill="1" applyBorder="1"/>
    <xf numFmtId="2" fontId="5" fillId="0" borderId="7" xfId="0" applyNumberFormat="1" applyFont="1" applyFill="1" applyBorder="1"/>
    <xf numFmtId="164" fontId="11" fillId="0" borderId="7" xfId="0" applyNumberFormat="1" applyFont="1" applyFill="1" applyBorder="1"/>
    <xf numFmtId="0" fontId="11" fillId="0" borderId="7" xfId="0" applyFont="1" applyFill="1" applyBorder="1" applyAlignment="1">
      <alignment wrapText="1"/>
    </xf>
    <xf numFmtId="4" fontId="11" fillId="0" borderId="7" xfId="0" applyNumberFormat="1" applyFont="1" applyFill="1" applyBorder="1" applyAlignment="1">
      <alignment wrapText="1"/>
    </xf>
    <xf numFmtId="0" fontId="12" fillId="0" borderId="7" xfId="0" applyFont="1" applyFill="1" applyBorder="1"/>
    <xf numFmtId="43" fontId="6" fillId="7" borderId="7" xfId="2" applyFont="1" applyFill="1" applyBorder="1"/>
    <xf numFmtId="43" fontId="5" fillId="7" borderId="7" xfId="2" applyFont="1" applyFill="1" applyBorder="1" applyAlignment="1">
      <alignment horizontal="center"/>
    </xf>
    <xf numFmtId="0" fontId="11" fillId="0" borderId="7" xfId="0" applyFont="1" applyFill="1" applyBorder="1"/>
    <xf numFmtId="4" fontId="11" fillId="0" borderId="7" xfId="0" applyNumberFormat="1" applyFont="1" applyFill="1" applyBorder="1"/>
    <xf numFmtId="4" fontId="5" fillId="0" borderId="7" xfId="0" applyNumberFormat="1" applyFont="1" applyFill="1" applyBorder="1"/>
    <xf numFmtId="43" fontId="5" fillId="0" borderId="7" xfId="0" applyNumberFormat="1" applyFont="1" applyFill="1" applyBorder="1"/>
    <xf numFmtId="14" fontId="5" fillId="0" borderId="7" xfId="0" applyNumberFormat="1" applyFont="1" applyBorder="1"/>
    <xf numFmtId="0" fontId="6" fillId="0" borderId="7" xfId="2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14" fillId="0" borderId="7" xfId="2" applyFont="1" applyFill="1" applyBorder="1"/>
    <xf numFmtId="0" fontId="5" fillId="7" borderId="7" xfId="0" applyFont="1" applyFill="1" applyBorder="1"/>
    <xf numFmtId="0" fontId="6" fillId="7" borderId="7" xfId="0" applyFont="1" applyFill="1" applyBorder="1" applyAlignment="1">
      <alignment wrapText="1"/>
    </xf>
    <xf numFmtId="9" fontId="13" fillId="0" borderId="7" xfId="2" applyNumberFormat="1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8" borderId="7" xfId="0" applyFont="1" applyFill="1" applyBorder="1"/>
    <xf numFmtId="0" fontId="5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right"/>
    </xf>
    <xf numFmtId="0" fontId="5" fillId="9" borderId="7" xfId="0" applyFont="1" applyFill="1" applyBorder="1"/>
    <xf numFmtId="164" fontId="11" fillId="9" borderId="7" xfId="0" applyNumberFormat="1" applyFont="1" applyFill="1" applyBorder="1"/>
    <xf numFmtId="43" fontId="5" fillId="9" borderId="7" xfId="2" applyFont="1" applyFill="1" applyBorder="1"/>
    <xf numFmtId="0" fontId="6" fillId="9" borderId="7" xfId="0" applyFont="1" applyFill="1" applyBorder="1"/>
    <xf numFmtId="0" fontId="5" fillId="10" borderId="7" xfId="0" applyFont="1" applyFill="1" applyBorder="1"/>
    <xf numFmtId="164" fontId="11" fillId="10" borderId="7" xfId="0" applyNumberFormat="1" applyFont="1" applyFill="1" applyBorder="1"/>
    <xf numFmtId="43" fontId="5" fillId="10" borderId="7" xfId="2" applyFont="1" applyFill="1" applyBorder="1"/>
    <xf numFmtId="43" fontId="6" fillId="10" borderId="7" xfId="2" applyFont="1" applyFill="1" applyBorder="1"/>
    <xf numFmtId="0" fontId="6" fillId="10" borderId="7" xfId="2" applyNumberFormat="1" applyFont="1" applyFill="1" applyBorder="1" applyAlignment="1">
      <alignment horizontal="center"/>
    </xf>
    <xf numFmtId="43" fontId="6" fillId="10" borderId="7" xfId="2" applyFont="1" applyFill="1" applyBorder="1" applyAlignment="1">
      <alignment horizontal="center"/>
    </xf>
    <xf numFmtId="43" fontId="5" fillId="10" borderId="7" xfId="2" applyFont="1" applyFill="1" applyBorder="1" applyAlignment="1">
      <alignment horizontal="center"/>
    </xf>
    <xf numFmtId="0" fontId="11" fillId="10" borderId="7" xfId="0" applyFont="1" applyFill="1" applyBorder="1" applyAlignment="1">
      <alignment wrapText="1"/>
    </xf>
    <xf numFmtId="4" fontId="11" fillId="10" borderId="7" xfId="0" applyNumberFormat="1" applyFont="1" applyFill="1" applyBorder="1" applyAlignment="1">
      <alignment wrapText="1"/>
    </xf>
    <xf numFmtId="43" fontId="11" fillId="10" borderId="7" xfId="2" applyFont="1" applyFill="1" applyBorder="1"/>
    <xf numFmtId="0" fontId="6" fillId="10" borderId="7" xfId="0" applyFont="1" applyFill="1" applyBorder="1"/>
    <xf numFmtId="0" fontId="5" fillId="10" borderId="0" xfId="0" applyFont="1" applyFill="1"/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6" fillId="5" borderId="1" xfId="2" applyFont="1" applyFill="1" applyBorder="1" applyAlignment="1">
      <alignment horizontal="center" vertical="center" wrapText="1"/>
    </xf>
    <xf numFmtId="43" fontId="6" fillId="5" borderId="2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3" fontId="6" fillId="5" borderId="9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43" fontId="6" fillId="5" borderId="8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E14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1" width="13.5703125" style="13" customWidth="1"/>
    <col min="22" max="22" width="16.7109375" style="14" customWidth="1"/>
    <col min="23" max="23" width="16.7109375" style="13" hidden="1" customWidth="1"/>
    <col min="24" max="24" width="15.42578125" style="14" hidden="1" customWidth="1"/>
    <col min="25" max="27" width="13.5703125" style="13" hidden="1" customWidth="1"/>
    <col min="28" max="28" width="15.42578125" style="14" hidden="1" customWidth="1"/>
    <col min="29" max="29" width="15.28515625" style="42" hidden="1" customWidth="1"/>
    <col min="30" max="30" width="12.7109375" style="42" hidden="1" customWidth="1"/>
    <col min="31" max="31" width="11.5703125" style="1" hidden="1" customWidth="1"/>
    <col min="32" max="32" width="19.28515625" style="19" bestFit="1" customWidth="1"/>
    <col min="33" max="33" width="35" style="19" bestFit="1" customWidth="1"/>
    <col min="34" max="34" width="11.85546875" style="18" bestFit="1" customWidth="1"/>
    <col min="35" max="47" width="11.5703125" style="18"/>
    <col min="48" max="16384" width="11.5703125" style="19"/>
  </cols>
  <sheetData>
    <row r="1" spans="1:47" s="7" customFormat="1">
      <c r="A1" s="2" t="s">
        <v>117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5"/>
      <c r="Y1" s="4"/>
      <c r="Z1" s="4"/>
      <c r="AA1" s="4"/>
      <c r="AB1" s="5"/>
      <c r="AC1" s="41"/>
      <c r="AD1" s="41"/>
      <c r="AE1" s="21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7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"/>
      <c r="X2" s="5"/>
      <c r="Y2" s="4"/>
      <c r="Z2" s="4"/>
      <c r="AA2" s="4"/>
      <c r="AB2" s="5"/>
      <c r="AC2" s="41"/>
      <c r="AD2" s="41"/>
      <c r="AE2" s="21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7" customFormat="1">
      <c r="A3" s="10" t="s">
        <v>193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5"/>
      <c r="Y3" s="4"/>
      <c r="Z3" s="4"/>
      <c r="AA3" s="4"/>
      <c r="AB3" s="5"/>
      <c r="AC3" s="41"/>
      <c r="AD3" s="41"/>
      <c r="AE3" s="21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s="12" customFormat="1">
      <c r="A4" s="12" t="s">
        <v>194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4"/>
      <c r="W4" s="13"/>
      <c r="X4" s="14"/>
      <c r="Y4" s="13"/>
      <c r="Z4" s="13"/>
      <c r="AA4" s="13"/>
      <c r="AB4" s="14"/>
      <c r="AC4" s="42"/>
      <c r="AD4" s="42"/>
      <c r="AE4" s="1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2" customFormat="1" ht="28.5" customHeight="1">
      <c r="A5" s="104" t="s">
        <v>13</v>
      </c>
      <c r="B5" s="104" t="s">
        <v>14</v>
      </c>
      <c r="C5" s="104" t="s">
        <v>0</v>
      </c>
      <c r="D5" s="106" t="s">
        <v>67</v>
      </c>
      <c r="E5" s="106" t="s">
        <v>149</v>
      </c>
      <c r="F5" s="98" t="s">
        <v>32</v>
      </c>
      <c r="G5" s="98" t="s">
        <v>176</v>
      </c>
      <c r="H5" s="97" t="s">
        <v>9</v>
      </c>
      <c r="I5" s="97" t="s">
        <v>10</v>
      </c>
      <c r="J5" s="97" t="s">
        <v>11</v>
      </c>
      <c r="K5" s="97" t="s">
        <v>12</v>
      </c>
      <c r="L5" s="98" t="s">
        <v>93</v>
      </c>
      <c r="M5" s="98" t="s">
        <v>74</v>
      </c>
      <c r="N5" s="99" t="s">
        <v>46</v>
      </c>
      <c r="O5" s="99" t="s">
        <v>60</v>
      </c>
      <c r="P5" s="99" t="s">
        <v>59</v>
      </c>
      <c r="Q5" s="99" t="s">
        <v>47</v>
      </c>
      <c r="R5" s="97" t="s">
        <v>6</v>
      </c>
      <c r="S5" s="97" t="s">
        <v>16</v>
      </c>
      <c r="T5" s="97" t="s">
        <v>15</v>
      </c>
      <c r="U5" s="97" t="s">
        <v>8</v>
      </c>
      <c r="V5" s="97" t="s">
        <v>23</v>
      </c>
      <c r="W5" s="92" t="s">
        <v>3</v>
      </c>
      <c r="X5" s="92" t="s">
        <v>7</v>
      </c>
      <c r="Y5" s="92" t="s">
        <v>2</v>
      </c>
      <c r="Z5" s="92" t="s">
        <v>4</v>
      </c>
      <c r="AA5" s="23"/>
      <c r="AB5" s="92" t="s">
        <v>5</v>
      </c>
      <c r="AC5" s="94" t="s">
        <v>78</v>
      </c>
      <c r="AD5" s="95"/>
      <c r="AE5" s="96" t="s">
        <v>48</v>
      </c>
      <c r="AF5" s="90" t="s">
        <v>69</v>
      </c>
      <c r="AG5" s="90" t="s">
        <v>70</v>
      </c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s="70" customFormat="1" ht="39" customHeight="1">
      <c r="A6" s="105"/>
      <c r="B6" s="105"/>
      <c r="C6" s="105"/>
      <c r="D6" s="107"/>
      <c r="E6" s="107"/>
      <c r="F6" s="103"/>
      <c r="G6" s="101"/>
      <c r="H6" s="98"/>
      <c r="I6" s="98"/>
      <c r="J6" s="98"/>
      <c r="K6" s="98"/>
      <c r="L6" s="101"/>
      <c r="M6" s="101"/>
      <c r="N6" s="100"/>
      <c r="O6" s="100"/>
      <c r="P6" s="100"/>
      <c r="Q6" s="100"/>
      <c r="R6" s="98"/>
      <c r="S6" s="98"/>
      <c r="T6" s="98"/>
      <c r="U6" s="98"/>
      <c r="V6" s="98"/>
      <c r="W6" s="93"/>
      <c r="X6" s="93"/>
      <c r="Y6" s="93"/>
      <c r="Z6" s="93"/>
      <c r="AA6" s="67"/>
      <c r="AB6" s="93"/>
      <c r="AC6" s="68" t="s">
        <v>24</v>
      </c>
      <c r="AD6" s="68" t="s">
        <v>25</v>
      </c>
      <c r="AE6" s="96"/>
      <c r="AF6" s="90"/>
      <c r="AG6" s="90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</row>
    <row r="7" spans="1:47" s="18" customFormat="1">
      <c r="A7" s="71" t="s">
        <v>28</v>
      </c>
      <c r="B7" s="33" t="s">
        <v>178</v>
      </c>
      <c r="C7" s="33" t="s">
        <v>30</v>
      </c>
      <c r="D7" s="49">
        <v>42685</v>
      </c>
      <c r="E7" s="34">
        <v>1026.69</v>
      </c>
      <c r="F7" s="34"/>
      <c r="G7" s="34"/>
      <c r="H7" s="34"/>
      <c r="I7" s="34"/>
      <c r="J7" s="46">
        <f t="shared" ref="J7:J19" si="0">SUM(F7:I7)</f>
        <v>0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46">
        <f t="shared" ref="V7:V32" si="1">+J7-SUM(K7:U7)</f>
        <v>0</v>
      </c>
      <c r="W7" s="32"/>
      <c r="X7" s="46"/>
      <c r="Y7" s="32"/>
      <c r="Z7" s="32"/>
      <c r="AA7" s="32"/>
      <c r="AB7" s="46"/>
      <c r="AC7" s="50"/>
      <c r="AD7" s="51"/>
      <c r="AE7" s="47"/>
      <c r="AF7" s="35">
        <v>56710784500</v>
      </c>
      <c r="AG7" s="33"/>
    </row>
    <row r="8" spans="1:47" s="18" customFormat="1">
      <c r="A8" s="71" t="s">
        <v>37</v>
      </c>
      <c r="B8" s="33" t="s">
        <v>65</v>
      </c>
      <c r="C8" s="33" t="s">
        <v>29</v>
      </c>
      <c r="D8" s="49">
        <v>42062</v>
      </c>
      <c r="E8" s="34">
        <v>1166.27</v>
      </c>
      <c r="F8" s="34">
        <v>2025.77</v>
      </c>
      <c r="G8" s="34"/>
      <c r="H8" s="34"/>
      <c r="I8" s="34"/>
      <c r="J8" s="46">
        <f t="shared" si="0"/>
        <v>2025.77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46">
        <f t="shared" si="1"/>
        <v>2025.77</v>
      </c>
      <c r="W8" s="32">
        <f t="shared" ref="W8:W26" si="2">IF(J8&gt;2250,J8*0.1,0)</f>
        <v>0</v>
      </c>
      <c r="X8" s="46">
        <f t="shared" ref="X8:X26" si="3">+V8-W8</f>
        <v>2025.77</v>
      </c>
      <c r="Y8" s="32">
        <f t="shared" ref="Y8:Y26" si="4">IF(J8&lt;2250,J8*0.1,0)</f>
        <v>202.577</v>
      </c>
      <c r="Z8" s="32">
        <v>10.23</v>
      </c>
      <c r="AA8" s="32">
        <f t="shared" ref="AA8:AA26" si="5">+O8</f>
        <v>0</v>
      </c>
      <c r="AB8" s="46">
        <f t="shared" ref="AB8:AB26" si="6">+J8+Y8+Z8+AA8</f>
        <v>2238.5769999999998</v>
      </c>
      <c r="AC8" s="50"/>
      <c r="AD8" s="51"/>
      <c r="AE8" s="47">
        <f t="shared" ref="AE8:AE12" si="7">+AC8+AD8-X8</f>
        <v>-2025.77</v>
      </c>
      <c r="AF8" s="35">
        <v>56708844887</v>
      </c>
      <c r="AG8" s="33"/>
    </row>
    <row r="9" spans="1:47" s="18" customFormat="1">
      <c r="A9" s="74" t="s">
        <v>28</v>
      </c>
      <c r="B9" s="74" t="s">
        <v>203</v>
      </c>
      <c r="C9" s="74" t="s">
        <v>30</v>
      </c>
      <c r="D9" s="75">
        <v>43052</v>
      </c>
      <c r="E9" s="76">
        <v>1026.69</v>
      </c>
      <c r="F9" s="76"/>
      <c r="G9" s="76"/>
      <c r="H9" s="76"/>
      <c r="I9" s="76"/>
      <c r="J9" s="46">
        <f t="shared" si="0"/>
        <v>0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46">
        <f t="shared" si="1"/>
        <v>0</v>
      </c>
      <c r="W9" s="32"/>
      <c r="X9" s="46"/>
      <c r="Y9" s="32"/>
      <c r="Z9" s="32"/>
      <c r="AA9" s="32"/>
      <c r="AB9" s="46"/>
      <c r="AC9" s="50"/>
      <c r="AD9" s="51"/>
      <c r="AE9" s="47"/>
      <c r="AF9" s="77">
        <v>60597137212</v>
      </c>
      <c r="AG9" s="77"/>
    </row>
    <row r="10" spans="1:47" s="18" customFormat="1">
      <c r="A10" s="71" t="s">
        <v>28</v>
      </c>
      <c r="B10" s="33" t="s">
        <v>35</v>
      </c>
      <c r="C10" s="33" t="s">
        <v>31</v>
      </c>
      <c r="D10" s="49">
        <v>39508</v>
      </c>
      <c r="E10" s="34">
        <v>4666.6899999999996</v>
      </c>
      <c r="F10" s="34"/>
      <c r="G10" s="34"/>
      <c r="H10" s="34"/>
      <c r="I10" s="34"/>
      <c r="J10" s="46">
        <f t="shared" si="0"/>
        <v>0</v>
      </c>
      <c r="K10" s="34"/>
      <c r="L10" s="60"/>
      <c r="M10" s="34"/>
      <c r="N10" s="34"/>
      <c r="O10" s="61"/>
      <c r="P10" s="61"/>
      <c r="Q10" s="34"/>
      <c r="R10" s="32"/>
      <c r="S10" s="32"/>
      <c r="T10" s="33"/>
      <c r="U10" s="72">
        <v>193.42</v>
      </c>
      <c r="V10" s="46">
        <f t="shared" si="1"/>
        <v>-193.42</v>
      </c>
      <c r="W10" s="32">
        <f t="shared" si="2"/>
        <v>0</v>
      </c>
      <c r="X10" s="46">
        <f t="shared" si="3"/>
        <v>-193.42</v>
      </c>
      <c r="Y10" s="32">
        <f t="shared" si="4"/>
        <v>0</v>
      </c>
      <c r="Z10" s="32">
        <v>10.23</v>
      </c>
      <c r="AA10" s="32">
        <f t="shared" si="5"/>
        <v>0</v>
      </c>
      <c r="AB10" s="46">
        <f t="shared" si="6"/>
        <v>10.23</v>
      </c>
      <c r="AC10" s="50"/>
      <c r="AD10" s="51"/>
      <c r="AE10" s="47">
        <f t="shared" si="7"/>
        <v>193.42</v>
      </c>
      <c r="AF10" s="35">
        <v>56708881292</v>
      </c>
      <c r="AG10" s="35"/>
    </row>
    <row r="11" spans="1:47" s="18" customFormat="1">
      <c r="A11" s="71" t="s">
        <v>27</v>
      </c>
      <c r="B11" s="33" t="s">
        <v>175</v>
      </c>
      <c r="C11" s="33" t="s">
        <v>44</v>
      </c>
      <c r="D11" s="49">
        <v>43017</v>
      </c>
      <c r="E11" s="34">
        <v>1026.69</v>
      </c>
      <c r="F11" s="34"/>
      <c r="G11" s="34"/>
      <c r="H11" s="34"/>
      <c r="I11" s="34"/>
      <c r="J11" s="46">
        <f t="shared" si="0"/>
        <v>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72"/>
      <c r="V11" s="46"/>
      <c r="W11" s="32"/>
      <c r="X11" s="46"/>
      <c r="Y11" s="32"/>
      <c r="Z11" s="32"/>
      <c r="AA11" s="32"/>
      <c r="AB11" s="46"/>
      <c r="AC11" s="50"/>
      <c r="AD11" s="51"/>
      <c r="AE11" s="47"/>
      <c r="AF11" s="73" t="s">
        <v>174</v>
      </c>
      <c r="AG11" s="35"/>
    </row>
    <row r="12" spans="1:47" s="18" customFormat="1">
      <c r="A12" s="71" t="s">
        <v>28</v>
      </c>
      <c r="B12" s="33" t="s">
        <v>61</v>
      </c>
      <c r="C12" s="33" t="s">
        <v>30</v>
      </c>
      <c r="D12" s="49">
        <v>42383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33">
        <v>358.34</v>
      </c>
      <c r="V12" s="46">
        <f t="shared" si="1"/>
        <v>-358.34</v>
      </c>
      <c r="W12" s="32">
        <f t="shared" si="2"/>
        <v>0</v>
      </c>
      <c r="X12" s="46">
        <f t="shared" si="3"/>
        <v>-358.34</v>
      </c>
      <c r="Y12" s="32">
        <f t="shared" si="4"/>
        <v>0</v>
      </c>
      <c r="Z12" s="32">
        <v>10.23</v>
      </c>
      <c r="AA12" s="32">
        <f t="shared" si="5"/>
        <v>0</v>
      </c>
      <c r="AB12" s="46">
        <f t="shared" si="6"/>
        <v>10.23</v>
      </c>
      <c r="AC12" s="50"/>
      <c r="AD12" s="51"/>
      <c r="AE12" s="47">
        <f t="shared" si="7"/>
        <v>358.34</v>
      </c>
      <c r="AF12" s="35">
        <v>56708881304</v>
      </c>
      <c r="AG12" s="33"/>
    </row>
    <row r="13" spans="1:47" s="18" customFormat="1">
      <c r="A13" s="71" t="s">
        <v>27</v>
      </c>
      <c r="B13" s="33" t="s">
        <v>164</v>
      </c>
      <c r="C13" s="33" t="s">
        <v>30</v>
      </c>
      <c r="D13" s="49">
        <v>42991</v>
      </c>
      <c r="E13" s="34">
        <v>1026.69</v>
      </c>
      <c r="F13" s="34">
        <v>8683.5400000000009</v>
      </c>
      <c r="G13" s="34"/>
      <c r="H13" s="34"/>
      <c r="I13" s="34"/>
      <c r="J13" s="46">
        <f t="shared" si="0"/>
        <v>8683.5400000000009</v>
      </c>
      <c r="K13" s="34"/>
      <c r="L13" s="60"/>
      <c r="M13" s="34"/>
      <c r="N13" s="34"/>
      <c r="O13" s="61"/>
      <c r="P13" s="61"/>
      <c r="Q13" s="34"/>
      <c r="R13" s="32"/>
      <c r="S13" s="32"/>
      <c r="T13" s="33"/>
      <c r="U13" s="33">
        <v>467.79</v>
      </c>
      <c r="V13" s="46"/>
      <c r="W13" s="32"/>
      <c r="X13" s="46"/>
      <c r="Y13" s="32"/>
      <c r="Z13" s="32"/>
      <c r="AA13" s="32"/>
      <c r="AB13" s="46"/>
      <c r="AC13" s="50"/>
      <c r="AD13" s="51"/>
      <c r="AE13" s="47"/>
      <c r="AF13" s="35">
        <v>56708881318</v>
      </c>
      <c r="AG13" s="33"/>
    </row>
    <row r="14" spans="1:47" s="18" customFormat="1" ht="15.75">
      <c r="A14" s="71" t="s">
        <v>28</v>
      </c>
      <c r="B14" s="33" t="s">
        <v>136</v>
      </c>
      <c r="C14" s="33" t="s">
        <v>30</v>
      </c>
      <c r="D14" s="49">
        <v>42878</v>
      </c>
      <c r="E14" s="34">
        <v>1026.69</v>
      </c>
      <c r="F14" s="34">
        <v>7752.73</v>
      </c>
      <c r="G14" s="34"/>
      <c r="H14" s="34"/>
      <c r="I14" s="34"/>
      <c r="J14" s="46">
        <f t="shared" si="0"/>
        <v>7752.73</v>
      </c>
      <c r="K14" s="34"/>
      <c r="L14" s="60"/>
      <c r="M14" s="34"/>
      <c r="N14" s="34"/>
      <c r="O14" s="61"/>
      <c r="P14" s="61"/>
      <c r="Q14" s="34"/>
      <c r="R14" s="32"/>
      <c r="S14" s="66">
        <v>0.3</v>
      </c>
      <c r="T14" s="33"/>
      <c r="U14" s="33">
        <v>3000</v>
      </c>
      <c r="V14" s="46">
        <f t="shared" si="1"/>
        <v>4752.4299999999994</v>
      </c>
      <c r="W14" s="32"/>
      <c r="X14" s="46"/>
      <c r="Y14" s="32"/>
      <c r="Z14" s="32"/>
      <c r="AA14" s="32"/>
      <c r="AB14" s="46"/>
      <c r="AC14" s="50"/>
      <c r="AD14" s="51"/>
      <c r="AE14" s="47"/>
      <c r="AF14" s="35">
        <v>53917427816</v>
      </c>
      <c r="AG14" s="33"/>
    </row>
    <row r="15" spans="1:47" s="18" customFormat="1" ht="15.75">
      <c r="A15" s="71" t="s">
        <v>27</v>
      </c>
      <c r="B15" s="33" t="s">
        <v>140</v>
      </c>
      <c r="C15" s="33" t="s">
        <v>171</v>
      </c>
      <c r="D15" s="49">
        <v>42908</v>
      </c>
      <c r="E15" s="34">
        <v>1499.96</v>
      </c>
      <c r="F15" s="34"/>
      <c r="G15" s="34"/>
      <c r="H15" s="34"/>
      <c r="I15" s="34"/>
      <c r="J15" s="46">
        <f t="shared" si="0"/>
        <v>0</v>
      </c>
      <c r="K15" s="34"/>
      <c r="L15" s="60">
        <v>1</v>
      </c>
      <c r="M15" s="34"/>
      <c r="N15" s="34"/>
      <c r="O15" s="61"/>
      <c r="P15" s="61"/>
      <c r="Q15" s="34"/>
      <c r="R15" s="32"/>
      <c r="S15" s="66"/>
      <c r="T15" s="33"/>
      <c r="U15" s="33"/>
      <c r="V15" s="46">
        <f t="shared" si="1"/>
        <v>-1</v>
      </c>
      <c r="W15" s="32"/>
      <c r="X15" s="46"/>
      <c r="Y15" s="32"/>
      <c r="Z15" s="32"/>
      <c r="AA15" s="32"/>
      <c r="AB15" s="46"/>
      <c r="AC15" s="50"/>
      <c r="AD15" s="51"/>
      <c r="AE15" s="47"/>
      <c r="AF15" s="35">
        <v>60592545278</v>
      </c>
      <c r="AG15" s="35"/>
    </row>
    <row r="16" spans="1:47" s="18" customFormat="1" ht="15.75">
      <c r="A16" s="71" t="s">
        <v>37</v>
      </c>
      <c r="B16" s="33" t="s">
        <v>159</v>
      </c>
      <c r="C16" s="33" t="s">
        <v>42</v>
      </c>
      <c r="D16" s="49">
        <v>42977</v>
      </c>
      <c r="E16" s="34">
        <v>933.31</v>
      </c>
      <c r="F16" s="34">
        <v>1890</v>
      </c>
      <c r="G16" s="34"/>
      <c r="H16" s="34"/>
      <c r="I16" s="34"/>
      <c r="J16" s="46">
        <f t="shared" si="0"/>
        <v>1890</v>
      </c>
      <c r="K16" s="34"/>
      <c r="L16" s="60"/>
      <c r="M16" s="34"/>
      <c r="N16" s="34"/>
      <c r="O16" s="61"/>
      <c r="P16" s="61"/>
      <c r="Q16" s="34"/>
      <c r="R16" s="32"/>
      <c r="S16" s="66"/>
      <c r="T16" s="33"/>
      <c r="U16" s="33"/>
      <c r="V16" s="46">
        <f t="shared" si="1"/>
        <v>1890</v>
      </c>
      <c r="W16" s="32"/>
      <c r="X16" s="46"/>
      <c r="Y16" s="32"/>
      <c r="Z16" s="32"/>
      <c r="AA16" s="32"/>
      <c r="AB16" s="46"/>
      <c r="AC16" s="50"/>
      <c r="AD16" s="51"/>
      <c r="AE16" s="47"/>
      <c r="AF16" s="35">
        <v>60594701908</v>
      </c>
      <c r="AG16" s="33"/>
    </row>
    <row r="17" spans="1:34" s="18" customFormat="1" ht="15.75">
      <c r="A17" s="71" t="s">
        <v>28</v>
      </c>
      <c r="B17" s="33" t="s">
        <v>72</v>
      </c>
      <c r="C17" s="33" t="s">
        <v>31</v>
      </c>
      <c r="D17" s="49">
        <v>39699</v>
      </c>
      <c r="E17" s="34">
        <v>4666.6899999999996</v>
      </c>
      <c r="F17" s="34">
        <v>18037.52</v>
      </c>
      <c r="G17" s="34"/>
      <c r="H17" s="34"/>
      <c r="I17" s="34"/>
      <c r="J17" s="46">
        <f t="shared" si="0"/>
        <v>18037.52</v>
      </c>
      <c r="K17" s="34">
        <v>1250</v>
      </c>
      <c r="L17" s="60"/>
      <c r="M17" s="34"/>
      <c r="N17" s="34">
        <v>1000</v>
      </c>
      <c r="O17" s="61"/>
      <c r="P17" s="61"/>
      <c r="Q17" s="34"/>
      <c r="R17" s="32">
        <v>2000</v>
      </c>
      <c r="S17" s="66"/>
      <c r="T17" s="33"/>
      <c r="U17" s="33"/>
      <c r="V17" s="46">
        <f t="shared" si="1"/>
        <v>13787.52</v>
      </c>
      <c r="W17" s="32">
        <f t="shared" si="2"/>
        <v>1803.7520000000002</v>
      </c>
      <c r="X17" s="46">
        <f t="shared" si="3"/>
        <v>11983.768</v>
      </c>
      <c r="Y17" s="32">
        <f t="shared" si="4"/>
        <v>0</v>
      </c>
      <c r="Z17" s="32">
        <v>10.23</v>
      </c>
      <c r="AA17" s="32">
        <f t="shared" si="5"/>
        <v>0</v>
      </c>
      <c r="AB17" s="46">
        <f t="shared" si="6"/>
        <v>18047.75</v>
      </c>
      <c r="AC17" s="50"/>
      <c r="AD17" s="51"/>
      <c r="AE17" s="47">
        <f t="shared" ref="AE17" si="8">+AC17+AD17-X17</f>
        <v>-11983.768</v>
      </c>
      <c r="AF17" s="35">
        <v>56708881349</v>
      </c>
      <c r="AG17" s="35" t="s">
        <v>202</v>
      </c>
    </row>
    <row r="18" spans="1:34" s="18" customFormat="1" ht="15.75">
      <c r="A18" s="71" t="s">
        <v>27</v>
      </c>
      <c r="B18" s="33" t="s">
        <v>168</v>
      </c>
      <c r="C18" s="33" t="s">
        <v>30</v>
      </c>
      <c r="D18" s="49">
        <v>43005</v>
      </c>
      <c r="E18" s="34">
        <v>1026.69</v>
      </c>
      <c r="F18" s="34">
        <v>4603.17</v>
      </c>
      <c r="G18" s="34"/>
      <c r="H18" s="34"/>
      <c r="I18" s="34"/>
      <c r="J18" s="46">
        <f t="shared" si="0"/>
        <v>4603.17</v>
      </c>
      <c r="K18" s="34"/>
      <c r="L18" s="60"/>
      <c r="M18" s="34"/>
      <c r="N18" s="34"/>
      <c r="O18" s="61"/>
      <c r="P18" s="61"/>
      <c r="Q18" s="34"/>
      <c r="R18" s="32"/>
      <c r="S18" s="66"/>
      <c r="T18" s="33"/>
      <c r="U18" s="33">
        <v>302.99</v>
      </c>
      <c r="V18" s="46"/>
      <c r="W18" s="32"/>
      <c r="X18" s="46"/>
      <c r="Y18" s="32"/>
      <c r="Z18" s="32"/>
      <c r="AA18" s="32"/>
      <c r="AB18" s="46"/>
      <c r="AC18" s="50"/>
      <c r="AD18" s="51"/>
      <c r="AE18" s="47"/>
      <c r="AF18" s="35">
        <v>60595911850</v>
      </c>
      <c r="AG18" s="33"/>
    </row>
    <row r="19" spans="1:34" s="18" customFormat="1" ht="15.75">
      <c r="A19" s="71" t="s">
        <v>68</v>
      </c>
      <c r="B19" s="33" t="s">
        <v>55</v>
      </c>
      <c r="C19" s="33" t="s">
        <v>43</v>
      </c>
      <c r="D19" s="49">
        <v>42205</v>
      </c>
      <c r="E19" s="34">
        <v>1869</v>
      </c>
      <c r="F19" s="34"/>
      <c r="G19" s="34"/>
      <c r="H19" s="34"/>
      <c r="I19" s="34"/>
      <c r="J19" s="46">
        <f t="shared" si="0"/>
        <v>0</v>
      </c>
      <c r="K19" s="34"/>
      <c r="L19" s="60"/>
      <c r="M19" s="34"/>
      <c r="N19" s="34">
        <v>300</v>
      </c>
      <c r="O19" s="61"/>
      <c r="P19" s="61"/>
      <c r="Q19" s="34"/>
      <c r="R19" s="32"/>
      <c r="S19" s="66">
        <v>0.3</v>
      </c>
      <c r="T19" s="33"/>
      <c r="U19" s="33"/>
      <c r="V19" s="46">
        <f t="shared" si="1"/>
        <v>-300.3</v>
      </c>
      <c r="W19" s="32">
        <f t="shared" si="2"/>
        <v>0</v>
      </c>
      <c r="X19" s="46">
        <f t="shared" si="3"/>
        <v>-300.3</v>
      </c>
      <c r="Y19" s="32">
        <f t="shared" si="4"/>
        <v>0</v>
      </c>
      <c r="Z19" s="32">
        <v>10.23</v>
      </c>
      <c r="AA19" s="32">
        <f t="shared" si="5"/>
        <v>0</v>
      </c>
      <c r="AB19" s="46">
        <f t="shared" si="6"/>
        <v>10.23</v>
      </c>
      <c r="AC19" s="50"/>
      <c r="AD19" s="51"/>
      <c r="AE19" s="47">
        <f t="shared" ref="AE19" si="9">+AC19+AD19-X19</f>
        <v>300.3</v>
      </c>
      <c r="AF19" s="35">
        <v>56708844950</v>
      </c>
      <c r="AG19" s="33"/>
    </row>
    <row r="20" spans="1:34" s="18" customFormat="1" ht="15.75">
      <c r="A20" s="71" t="s">
        <v>68</v>
      </c>
      <c r="B20" s="33" t="s">
        <v>85</v>
      </c>
      <c r="C20" s="33" t="s">
        <v>43</v>
      </c>
      <c r="D20" s="49">
        <v>42476</v>
      </c>
      <c r="E20" s="34">
        <v>1869</v>
      </c>
      <c r="F20" s="34"/>
      <c r="G20" s="34"/>
      <c r="H20" s="34"/>
      <c r="I20" s="34"/>
      <c r="J20" s="46">
        <f t="shared" ref="J20:J65" si="10">SUM(F20:I20)</f>
        <v>0</v>
      </c>
      <c r="K20" s="34"/>
      <c r="L20" s="60"/>
      <c r="M20" s="34"/>
      <c r="N20" s="34"/>
      <c r="O20" s="61"/>
      <c r="P20" s="61"/>
      <c r="Q20" s="34"/>
      <c r="R20" s="32"/>
      <c r="S20" s="66"/>
      <c r="T20" s="33"/>
      <c r="U20" s="33"/>
      <c r="V20" s="46">
        <f t="shared" si="1"/>
        <v>0</v>
      </c>
      <c r="W20" s="32">
        <f t="shared" ref="W20" si="11">IF(J20&gt;2250,J20*0.1,0)</f>
        <v>0</v>
      </c>
      <c r="X20" s="46">
        <f t="shared" ref="X20" si="12">+V20-W20</f>
        <v>0</v>
      </c>
      <c r="Y20" s="32">
        <f t="shared" si="4"/>
        <v>0</v>
      </c>
      <c r="Z20" s="32">
        <v>10.23</v>
      </c>
      <c r="AA20" s="32">
        <f t="shared" si="5"/>
        <v>0</v>
      </c>
      <c r="AB20" s="46">
        <f t="shared" si="6"/>
        <v>10.23</v>
      </c>
      <c r="AC20" s="50"/>
      <c r="AD20" s="51"/>
      <c r="AE20" s="47" t="e">
        <f>+AC20+AD20-#REF!</f>
        <v>#REF!</v>
      </c>
      <c r="AF20" s="35">
        <v>56708844964</v>
      </c>
      <c r="AG20" s="35"/>
    </row>
    <row r="21" spans="1:34" s="18" customFormat="1" ht="15.75">
      <c r="A21" s="71" t="s">
        <v>28</v>
      </c>
      <c r="B21" s="33" t="s">
        <v>145</v>
      </c>
      <c r="C21" s="33" t="s">
        <v>30</v>
      </c>
      <c r="D21" s="49">
        <v>42916</v>
      </c>
      <c r="E21" s="34">
        <v>1026.69</v>
      </c>
      <c r="F21" s="34">
        <v>2689.66</v>
      </c>
      <c r="G21" s="34"/>
      <c r="H21" s="34"/>
      <c r="I21" s="34"/>
      <c r="J21" s="46">
        <f t="shared" si="10"/>
        <v>2689.66</v>
      </c>
      <c r="K21" s="34"/>
      <c r="L21" s="60"/>
      <c r="M21" s="34"/>
      <c r="N21" s="34"/>
      <c r="O21" s="61"/>
      <c r="P21" s="61"/>
      <c r="Q21" s="34"/>
      <c r="R21" s="32"/>
      <c r="S21" s="66"/>
      <c r="T21" s="33"/>
      <c r="U21" s="33">
        <v>470.86</v>
      </c>
      <c r="V21" s="46">
        <f t="shared" si="1"/>
        <v>2218.7999999999997</v>
      </c>
      <c r="W21" s="32"/>
      <c r="X21" s="46"/>
      <c r="Y21" s="32"/>
      <c r="Z21" s="32"/>
      <c r="AA21" s="32"/>
      <c r="AB21" s="46"/>
      <c r="AC21" s="50"/>
      <c r="AD21" s="51"/>
      <c r="AE21" s="47"/>
      <c r="AF21" s="35">
        <v>60592609882</v>
      </c>
      <c r="AG21" s="33"/>
    </row>
    <row r="22" spans="1:34" s="18" customFormat="1" ht="15.75">
      <c r="A22" s="71" t="s">
        <v>28</v>
      </c>
      <c r="B22" s="33" t="s">
        <v>138</v>
      </c>
      <c r="C22" s="33" t="s">
        <v>30</v>
      </c>
      <c r="D22" s="49">
        <v>42899</v>
      </c>
      <c r="E22" s="34">
        <v>1026.69</v>
      </c>
      <c r="F22" s="34">
        <v>1165.44</v>
      </c>
      <c r="G22" s="34"/>
      <c r="H22" s="34"/>
      <c r="I22" s="34"/>
      <c r="J22" s="46">
        <f t="shared" si="10"/>
        <v>1165.44</v>
      </c>
      <c r="K22" s="34"/>
      <c r="L22" s="60"/>
      <c r="M22" s="34"/>
      <c r="N22" s="34"/>
      <c r="O22" s="61"/>
      <c r="P22" s="61"/>
      <c r="Q22" s="34"/>
      <c r="R22" s="32"/>
      <c r="S22" s="66"/>
      <c r="T22" s="33"/>
      <c r="U22" s="33"/>
      <c r="V22" s="46">
        <f t="shared" si="1"/>
        <v>1165.44</v>
      </c>
      <c r="W22" s="32"/>
      <c r="X22" s="46"/>
      <c r="Y22" s="32"/>
      <c r="Z22" s="32"/>
      <c r="AA22" s="32"/>
      <c r="AB22" s="46"/>
      <c r="AC22" s="50"/>
      <c r="AD22" s="51"/>
      <c r="AE22" s="47"/>
      <c r="AF22" s="35">
        <v>60592030048</v>
      </c>
      <c r="AG22" s="33"/>
    </row>
    <row r="23" spans="1:34" s="18" customFormat="1" ht="15.75">
      <c r="A23" s="71" t="s">
        <v>28</v>
      </c>
      <c r="B23" s="33" t="s">
        <v>110</v>
      </c>
      <c r="C23" s="33" t="s">
        <v>111</v>
      </c>
      <c r="D23" s="49">
        <v>41359</v>
      </c>
      <c r="E23" s="34">
        <v>4666.6899999999996</v>
      </c>
      <c r="F23" s="34">
        <v>457.13</v>
      </c>
      <c r="G23" s="34"/>
      <c r="H23" s="34"/>
      <c r="I23" s="34"/>
      <c r="J23" s="46">
        <f t="shared" si="10"/>
        <v>457.13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46">
        <f t="shared" si="1"/>
        <v>457.13</v>
      </c>
      <c r="W23" s="32">
        <f t="shared" ref="W23" si="13">IF(J23&gt;2250,J23*0.1,0)</f>
        <v>0</v>
      </c>
      <c r="X23" s="46">
        <f t="shared" ref="X23" si="14">+V23-W23</f>
        <v>457.13</v>
      </c>
      <c r="Y23" s="32"/>
      <c r="Z23" s="32"/>
      <c r="AA23" s="32"/>
      <c r="AB23" s="46"/>
      <c r="AC23" s="50"/>
      <c r="AD23" s="51"/>
      <c r="AE23" s="47"/>
      <c r="AF23" s="35">
        <v>56708881383</v>
      </c>
      <c r="AG23" s="33"/>
    </row>
    <row r="24" spans="1:34" s="18" customFormat="1">
      <c r="A24" s="71" t="s">
        <v>28</v>
      </c>
      <c r="B24" s="33" t="s">
        <v>173</v>
      </c>
      <c r="C24" s="33" t="s">
        <v>30</v>
      </c>
      <c r="D24" s="49">
        <v>43012</v>
      </c>
      <c r="E24" s="34">
        <v>1026.69</v>
      </c>
      <c r="F24" s="34"/>
      <c r="G24" s="34"/>
      <c r="H24" s="34"/>
      <c r="I24" s="34"/>
      <c r="J24" s="46">
        <f t="shared" si="10"/>
        <v>0</v>
      </c>
      <c r="K24" s="34"/>
      <c r="L24" s="60"/>
      <c r="M24" s="34"/>
      <c r="N24" s="34"/>
      <c r="O24" s="61"/>
      <c r="P24" s="61"/>
      <c r="Q24" s="34"/>
      <c r="R24" s="32"/>
      <c r="S24" s="32"/>
      <c r="T24" s="33"/>
      <c r="U24" s="72"/>
      <c r="V24" s="46">
        <f t="shared" si="1"/>
        <v>0</v>
      </c>
      <c r="W24" s="32"/>
      <c r="X24" s="46"/>
      <c r="Y24" s="32"/>
      <c r="Z24" s="32"/>
      <c r="AA24" s="32"/>
      <c r="AB24" s="46"/>
      <c r="AC24" s="50"/>
      <c r="AD24" s="51"/>
      <c r="AE24" s="47"/>
      <c r="AF24" s="73" t="s">
        <v>172</v>
      </c>
      <c r="AG24" s="35"/>
      <c r="AH24" s="18" t="s">
        <v>128</v>
      </c>
    </row>
    <row r="25" spans="1:34" s="18" customFormat="1">
      <c r="A25" s="71" t="s">
        <v>28</v>
      </c>
      <c r="B25" s="33" t="s">
        <v>165</v>
      </c>
      <c r="C25" s="33" t="s">
        <v>30</v>
      </c>
      <c r="D25" s="49">
        <v>42990</v>
      </c>
      <c r="E25" s="34">
        <v>1026.69</v>
      </c>
      <c r="F25" s="34"/>
      <c r="G25" s="34"/>
      <c r="H25" s="34"/>
      <c r="I25" s="34"/>
      <c r="J25" s="46">
        <f t="shared" si="10"/>
        <v>0</v>
      </c>
      <c r="K25" s="34"/>
      <c r="L25" s="60"/>
      <c r="M25" s="34"/>
      <c r="N25" s="34"/>
      <c r="O25" s="61"/>
      <c r="P25" s="61"/>
      <c r="Q25" s="34"/>
      <c r="R25" s="32"/>
      <c r="S25" s="32"/>
      <c r="T25" s="33"/>
      <c r="U25" s="33"/>
      <c r="V25" s="46">
        <f t="shared" si="1"/>
        <v>0</v>
      </c>
      <c r="W25" s="32"/>
      <c r="X25" s="46"/>
      <c r="Y25" s="32"/>
      <c r="Z25" s="32"/>
      <c r="AA25" s="32"/>
      <c r="AB25" s="46"/>
      <c r="AC25" s="50"/>
      <c r="AD25" s="51"/>
      <c r="AE25" s="47"/>
      <c r="AF25" s="35">
        <v>60595209110</v>
      </c>
      <c r="AG25" s="33"/>
    </row>
    <row r="26" spans="1:34" s="18" customFormat="1" ht="15.75">
      <c r="A26" s="71" t="s">
        <v>28</v>
      </c>
      <c r="B26" s="33" t="s">
        <v>84</v>
      </c>
      <c r="C26" s="33" t="s">
        <v>30</v>
      </c>
      <c r="D26" s="49">
        <v>42413</v>
      </c>
      <c r="E26" s="34">
        <v>1026.69</v>
      </c>
      <c r="F26" s="34"/>
      <c r="G26" s="34"/>
      <c r="H26" s="34"/>
      <c r="I26" s="34"/>
      <c r="J26" s="46">
        <f t="shared" si="10"/>
        <v>0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46">
        <f t="shared" si="1"/>
        <v>0</v>
      </c>
      <c r="W26" s="32">
        <f t="shared" si="2"/>
        <v>0</v>
      </c>
      <c r="X26" s="46">
        <f t="shared" si="3"/>
        <v>0</v>
      </c>
      <c r="Y26" s="32">
        <f t="shared" si="4"/>
        <v>0</v>
      </c>
      <c r="Z26" s="32">
        <v>13.23</v>
      </c>
      <c r="AA26" s="32">
        <f t="shared" si="5"/>
        <v>0</v>
      </c>
      <c r="AB26" s="46">
        <f t="shared" si="6"/>
        <v>13.23</v>
      </c>
      <c r="AC26" s="50"/>
      <c r="AD26" s="51"/>
      <c r="AE26" s="47">
        <f>+AC26+AD26-X26</f>
        <v>0</v>
      </c>
      <c r="AF26" s="35">
        <v>60590329504</v>
      </c>
      <c r="AG26" s="33"/>
    </row>
    <row r="27" spans="1:34" s="18" customFormat="1" ht="15.75">
      <c r="A27" s="71" t="s">
        <v>28</v>
      </c>
      <c r="B27" s="33" t="s">
        <v>90</v>
      </c>
      <c r="C27" s="33" t="s">
        <v>101</v>
      </c>
      <c r="D27" s="49">
        <v>42480</v>
      </c>
      <c r="E27" s="34">
        <v>2800</v>
      </c>
      <c r="F27" s="34"/>
      <c r="G27" s="34"/>
      <c r="H27" s="34"/>
      <c r="I27" s="34"/>
      <c r="J27" s="46">
        <f t="shared" si="10"/>
        <v>0</v>
      </c>
      <c r="K27" s="34"/>
      <c r="L27" s="60"/>
      <c r="M27" s="34"/>
      <c r="N27" s="34"/>
      <c r="O27" s="61"/>
      <c r="P27" s="61"/>
      <c r="Q27" s="34"/>
      <c r="R27" s="32"/>
      <c r="S27" s="66"/>
      <c r="T27" s="33"/>
      <c r="U27" s="33"/>
      <c r="V27" s="46">
        <f t="shared" si="1"/>
        <v>0</v>
      </c>
      <c r="W27" s="32">
        <f t="shared" ref="W27:W47" si="15">IF(J27&gt;2250,J27*0.1,0)</f>
        <v>0</v>
      </c>
      <c r="X27" s="46">
        <f t="shared" ref="X27:X47" si="16">+V27-W27</f>
        <v>0</v>
      </c>
      <c r="Y27" s="32">
        <f t="shared" ref="Y27:Y47" si="17">IF(J27&lt;2250,J27*0.1,0)</f>
        <v>0</v>
      </c>
      <c r="Z27" s="32">
        <v>17.23</v>
      </c>
      <c r="AA27" s="32">
        <f t="shared" ref="AA27:AA47" si="18">+O27</f>
        <v>0</v>
      </c>
      <c r="AB27" s="46">
        <f t="shared" ref="AB27:AB47" si="19">+J27+Y27+Z27+AA27</f>
        <v>17.23</v>
      </c>
      <c r="AC27" s="50"/>
      <c r="AD27" s="51"/>
      <c r="AE27" s="47">
        <f>+AC27+AD27-X27</f>
        <v>0</v>
      </c>
      <c r="AF27" s="35">
        <v>56708845010</v>
      </c>
      <c r="AG27" s="33"/>
    </row>
    <row r="28" spans="1:34" s="18" customFormat="1" ht="15.75">
      <c r="A28" s="71" t="s">
        <v>39</v>
      </c>
      <c r="B28" s="33" t="s">
        <v>129</v>
      </c>
      <c r="C28" s="33" t="s">
        <v>43</v>
      </c>
      <c r="D28" s="49">
        <v>42826</v>
      </c>
      <c r="E28" s="34">
        <v>1633.31</v>
      </c>
      <c r="F28" s="34"/>
      <c r="G28" s="34"/>
      <c r="H28" s="34"/>
      <c r="I28" s="34"/>
      <c r="J28" s="46">
        <f t="shared" si="10"/>
        <v>0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46">
        <f t="shared" si="1"/>
        <v>0</v>
      </c>
      <c r="W28" s="32">
        <f t="shared" si="15"/>
        <v>0</v>
      </c>
      <c r="X28" s="46"/>
      <c r="Y28" s="32">
        <f t="shared" si="17"/>
        <v>0</v>
      </c>
      <c r="Z28" s="32"/>
      <c r="AA28" s="32"/>
      <c r="AB28" s="46"/>
      <c r="AC28" s="50"/>
      <c r="AD28" s="51"/>
      <c r="AE28" s="47"/>
      <c r="AF28" s="35">
        <v>60590035118</v>
      </c>
      <c r="AG28" s="35"/>
    </row>
    <row r="29" spans="1:34" s="18" customFormat="1" ht="15.75">
      <c r="A29" s="71" t="s">
        <v>27</v>
      </c>
      <c r="B29" s="33" t="s">
        <v>144</v>
      </c>
      <c r="C29" s="33" t="s">
        <v>44</v>
      </c>
      <c r="D29" s="49">
        <v>42916</v>
      </c>
      <c r="E29" s="34">
        <v>1026.69</v>
      </c>
      <c r="F29" s="34"/>
      <c r="G29" s="34"/>
      <c r="H29" s="34"/>
      <c r="I29" s="34"/>
      <c r="J29" s="46">
        <f t="shared" si="10"/>
        <v>0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>
        <v>649.46</v>
      </c>
      <c r="V29" s="46">
        <f t="shared" si="1"/>
        <v>-649.46</v>
      </c>
      <c r="W29" s="32"/>
      <c r="X29" s="46"/>
      <c r="Y29" s="32"/>
      <c r="Z29" s="32"/>
      <c r="AA29" s="32"/>
      <c r="AB29" s="46"/>
      <c r="AC29" s="50"/>
      <c r="AD29" s="51"/>
      <c r="AE29" s="47"/>
      <c r="AF29" s="35">
        <v>60584074827</v>
      </c>
      <c r="AG29" s="33"/>
    </row>
    <row r="30" spans="1:34" s="18" customFormat="1" ht="15.75">
      <c r="A30" s="71" t="s">
        <v>28</v>
      </c>
      <c r="B30" s="33" t="s">
        <v>114</v>
      </c>
      <c r="C30" s="33" t="s">
        <v>30</v>
      </c>
      <c r="D30" s="49">
        <v>42415</v>
      </c>
      <c r="E30" s="34">
        <v>1026.69</v>
      </c>
      <c r="F30" s="34"/>
      <c r="G30" s="34"/>
      <c r="H30" s="34"/>
      <c r="I30" s="34"/>
      <c r="J30" s="46">
        <f t="shared" si="10"/>
        <v>0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46">
        <f t="shared" si="1"/>
        <v>0</v>
      </c>
      <c r="W30" s="32">
        <f t="shared" ref="W30" si="20">IF(J30&gt;2250,J30*0.1,0)</f>
        <v>0</v>
      </c>
      <c r="X30" s="46">
        <f t="shared" ref="X30" si="21">+V30-W30</f>
        <v>0</v>
      </c>
      <c r="Y30" s="32"/>
      <c r="Z30" s="32"/>
      <c r="AA30" s="32"/>
      <c r="AB30" s="46"/>
      <c r="AC30" s="50"/>
      <c r="AD30" s="51"/>
      <c r="AE30" s="47"/>
      <c r="AF30" s="35">
        <v>56708881656</v>
      </c>
      <c r="AG30" s="33"/>
    </row>
    <row r="31" spans="1:34" s="18" customFormat="1" ht="15.75">
      <c r="A31" s="71" t="s">
        <v>28</v>
      </c>
      <c r="B31" s="33" t="s">
        <v>133</v>
      </c>
      <c r="C31" s="33" t="s">
        <v>30</v>
      </c>
      <c r="D31" s="49">
        <v>41463</v>
      </c>
      <c r="E31" s="34">
        <v>1026.69</v>
      </c>
      <c r="F31" s="34">
        <v>10756.43</v>
      </c>
      <c r="G31" s="34"/>
      <c r="H31" s="34"/>
      <c r="I31" s="34"/>
      <c r="J31" s="46">
        <f t="shared" si="10"/>
        <v>10756.43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/>
      <c r="V31" s="46">
        <f t="shared" si="1"/>
        <v>10756.43</v>
      </c>
      <c r="W31" s="32">
        <f t="shared" si="15"/>
        <v>1075.643</v>
      </c>
      <c r="X31" s="46">
        <f t="shared" si="16"/>
        <v>9680.7870000000003</v>
      </c>
      <c r="Y31" s="32">
        <f t="shared" si="17"/>
        <v>0</v>
      </c>
      <c r="Z31" s="32">
        <v>20.23</v>
      </c>
      <c r="AA31" s="32">
        <f t="shared" si="18"/>
        <v>0</v>
      </c>
      <c r="AB31" s="46">
        <f t="shared" si="19"/>
        <v>10776.66</v>
      </c>
      <c r="AC31" s="50"/>
      <c r="AD31" s="51"/>
      <c r="AE31" s="47">
        <f>+AC31+AD31-X31</f>
        <v>-9680.7870000000003</v>
      </c>
      <c r="AF31" s="35">
        <v>56708881457</v>
      </c>
      <c r="AG31" s="33"/>
    </row>
    <row r="32" spans="1:34" s="18" customFormat="1">
      <c r="A32" s="74" t="s">
        <v>28</v>
      </c>
      <c r="B32" s="74" t="s">
        <v>204</v>
      </c>
      <c r="C32" s="74" t="s">
        <v>30</v>
      </c>
      <c r="D32" s="75">
        <v>43052</v>
      </c>
      <c r="E32" s="76">
        <v>1026.69</v>
      </c>
      <c r="F32" s="76"/>
      <c r="G32" s="76"/>
      <c r="H32" s="76"/>
      <c r="I32" s="76"/>
      <c r="J32" s="46">
        <f t="shared" si="10"/>
        <v>0</v>
      </c>
      <c r="K32" s="34"/>
      <c r="L32" s="60"/>
      <c r="M32" s="34"/>
      <c r="N32" s="34"/>
      <c r="O32" s="61"/>
      <c r="P32" s="61"/>
      <c r="Q32" s="34"/>
      <c r="R32" s="32"/>
      <c r="S32" s="32"/>
      <c r="T32" s="33"/>
      <c r="U32" s="33"/>
      <c r="V32" s="46">
        <f t="shared" si="1"/>
        <v>0</v>
      </c>
      <c r="W32" s="32"/>
      <c r="X32" s="46"/>
      <c r="Y32" s="32"/>
      <c r="Z32" s="32"/>
      <c r="AA32" s="32"/>
      <c r="AB32" s="46"/>
      <c r="AC32" s="50"/>
      <c r="AD32" s="51"/>
      <c r="AE32" s="47"/>
      <c r="AF32" s="77">
        <v>60597082882</v>
      </c>
      <c r="AG32" s="77"/>
    </row>
    <row r="33" spans="1:34" s="18" customFormat="1" ht="15.75">
      <c r="A33" s="71" t="s">
        <v>26</v>
      </c>
      <c r="B33" s="33" t="s">
        <v>130</v>
      </c>
      <c r="C33" s="33" t="s">
        <v>91</v>
      </c>
      <c r="D33" s="49">
        <v>40618</v>
      </c>
      <c r="E33" s="34">
        <v>1633.31</v>
      </c>
      <c r="F33" s="34">
        <v>3991.36</v>
      </c>
      <c r="G33" s="34"/>
      <c r="H33" s="34"/>
      <c r="I33" s="34"/>
      <c r="J33" s="46">
        <f t="shared" si="10"/>
        <v>3991.36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46">
        <f t="shared" ref="V33:V39" si="22">+J33-SUM(K33:U33)</f>
        <v>3991.36</v>
      </c>
      <c r="W33" s="32">
        <f t="shared" si="15"/>
        <v>399.13600000000002</v>
      </c>
      <c r="X33" s="46">
        <f t="shared" si="16"/>
        <v>3592.2240000000002</v>
      </c>
      <c r="Y33" s="32">
        <f t="shared" si="17"/>
        <v>0</v>
      </c>
      <c r="Z33" s="32">
        <v>21.23</v>
      </c>
      <c r="AA33" s="32">
        <f t="shared" si="18"/>
        <v>0</v>
      </c>
      <c r="AB33" s="46">
        <f t="shared" si="19"/>
        <v>4012.59</v>
      </c>
      <c r="AC33" s="50"/>
      <c r="AD33" s="51"/>
      <c r="AE33" s="47"/>
      <c r="AF33" s="35">
        <v>56708845038</v>
      </c>
      <c r="AG33" s="33"/>
    </row>
    <row r="34" spans="1:34" s="18" customFormat="1" ht="15.75">
      <c r="A34" s="71" t="s">
        <v>28</v>
      </c>
      <c r="B34" s="33" t="s">
        <v>83</v>
      </c>
      <c r="C34" s="33" t="s">
        <v>30</v>
      </c>
      <c r="D34" s="49">
        <v>42296</v>
      </c>
      <c r="E34" s="34">
        <v>1026.69</v>
      </c>
      <c r="F34" s="34"/>
      <c r="G34" s="34"/>
      <c r="H34" s="34"/>
      <c r="I34" s="34"/>
      <c r="J34" s="46">
        <f t="shared" si="10"/>
        <v>0</v>
      </c>
      <c r="K34" s="34"/>
      <c r="L34" s="60">
        <v>2</v>
      </c>
      <c r="M34" s="34"/>
      <c r="N34" s="34"/>
      <c r="O34" s="61"/>
      <c r="P34" s="61"/>
      <c r="Q34" s="34"/>
      <c r="R34" s="32" t="s">
        <v>166</v>
      </c>
      <c r="S34" s="66"/>
      <c r="T34" s="33"/>
      <c r="U34" s="33">
        <v>573.35</v>
      </c>
      <c r="V34" s="46">
        <f t="shared" si="22"/>
        <v>-575.35</v>
      </c>
      <c r="W34" s="32">
        <f t="shared" si="15"/>
        <v>0</v>
      </c>
      <c r="X34" s="46">
        <f t="shared" si="16"/>
        <v>-575.35</v>
      </c>
      <c r="Y34" s="32">
        <f t="shared" si="17"/>
        <v>0</v>
      </c>
      <c r="Z34" s="32">
        <v>10.23</v>
      </c>
      <c r="AA34" s="32">
        <f t="shared" si="18"/>
        <v>0</v>
      </c>
      <c r="AB34" s="46">
        <f t="shared" si="19"/>
        <v>10.23</v>
      </c>
      <c r="AC34" s="50"/>
      <c r="AD34" s="51"/>
      <c r="AE34" s="47">
        <f>+AC34+AD34-X34</f>
        <v>575.35</v>
      </c>
      <c r="AF34" s="35">
        <v>56708881460</v>
      </c>
      <c r="AG34" s="33"/>
    </row>
    <row r="35" spans="1:34" s="18" customFormat="1" ht="15.75">
      <c r="A35" s="71" t="s">
        <v>27</v>
      </c>
      <c r="B35" s="33" t="s">
        <v>146</v>
      </c>
      <c r="C35" s="33" t="s">
        <v>44</v>
      </c>
      <c r="D35" s="49">
        <v>42916</v>
      </c>
      <c r="E35" s="34">
        <v>1026.69</v>
      </c>
      <c r="F35" s="34">
        <v>2553.4699999999998</v>
      </c>
      <c r="G35" s="34"/>
      <c r="H35" s="34"/>
      <c r="I35" s="34"/>
      <c r="J35" s="46">
        <f t="shared" si="10"/>
        <v>2553.4699999999998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46">
        <f t="shared" si="22"/>
        <v>2553.4699999999998</v>
      </c>
      <c r="W35" s="32"/>
      <c r="X35" s="46"/>
      <c r="Y35" s="32"/>
      <c r="Z35" s="32"/>
      <c r="AA35" s="32"/>
      <c r="AB35" s="46"/>
      <c r="AC35" s="50"/>
      <c r="AD35" s="51"/>
      <c r="AE35" s="47"/>
      <c r="AF35" s="35">
        <v>60592636121</v>
      </c>
      <c r="AG35" s="33"/>
    </row>
    <row r="36" spans="1:34" s="18" customFormat="1" ht="15.75">
      <c r="A36" s="71" t="s">
        <v>28</v>
      </c>
      <c r="B36" s="33" t="s">
        <v>187</v>
      </c>
      <c r="C36" s="33" t="s">
        <v>185</v>
      </c>
      <c r="D36" s="49">
        <v>43035</v>
      </c>
      <c r="E36" s="34">
        <v>1400</v>
      </c>
      <c r="F36" s="34"/>
      <c r="G36" s="34"/>
      <c r="H36" s="34"/>
      <c r="I36" s="34"/>
      <c r="J36" s="46">
        <f>SUM(F36:I36)</f>
        <v>0</v>
      </c>
      <c r="K36" s="34"/>
      <c r="L36" s="60">
        <v>1</v>
      </c>
      <c r="M36" s="34"/>
      <c r="N36" s="34"/>
      <c r="O36" s="61"/>
      <c r="P36" s="61"/>
      <c r="Q36" s="34"/>
      <c r="R36" s="32"/>
      <c r="S36" s="66"/>
      <c r="T36" s="33"/>
      <c r="U36" s="33"/>
      <c r="V36" s="46"/>
      <c r="W36" s="32"/>
      <c r="X36" s="46"/>
      <c r="Y36" s="32"/>
      <c r="Z36" s="32"/>
      <c r="AA36" s="32"/>
      <c r="AB36" s="46"/>
      <c r="AC36" s="50"/>
      <c r="AD36" s="51"/>
      <c r="AE36" s="47"/>
      <c r="AF36" s="35">
        <v>60596635649</v>
      </c>
      <c r="AG36" s="33"/>
    </row>
    <row r="37" spans="1:34" s="18" customFormat="1" ht="15.75">
      <c r="A37" s="71" t="s">
        <v>37</v>
      </c>
      <c r="B37" s="33" t="s">
        <v>158</v>
      </c>
      <c r="C37" s="33" t="s">
        <v>29</v>
      </c>
      <c r="D37" s="49">
        <v>42978</v>
      </c>
      <c r="E37" s="34">
        <v>1166.6199999999999</v>
      </c>
      <c r="F37" s="34">
        <v>1328.09</v>
      </c>
      <c r="G37" s="34"/>
      <c r="H37" s="34"/>
      <c r="I37" s="34"/>
      <c r="J37" s="46">
        <f t="shared" si="10"/>
        <v>1328.09</v>
      </c>
      <c r="K37" s="34"/>
      <c r="L37" s="60"/>
      <c r="M37" s="34"/>
      <c r="N37" s="34"/>
      <c r="O37" s="61"/>
      <c r="P37" s="61"/>
      <c r="Q37" s="34"/>
      <c r="R37" s="32"/>
      <c r="S37" s="66"/>
      <c r="T37" s="33"/>
      <c r="U37" s="33"/>
      <c r="V37" s="46">
        <f t="shared" si="22"/>
        <v>1328.09</v>
      </c>
      <c r="W37" s="32"/>
      <c r="X37" s="46"/>
      <c r="Y37" s="32"/>
      <c r="Z37" s="32"/>
      <c r="AA37" s="32"/>
      <c r="AB37" s="46"/>
      <c r="AC37" s="50"/>
      <c r="AD37" s="51"/>
      <c r="AE37" s="47"/>
      <c r="AF37" s="35">
        <v>60594750506</v>
      </c>
      <c r="AG37" s="33"/>
    </row>
    <row r="38" spans="1:34" s="18" customFormat="1">
      <c r="A38" s="71" t="s">
        <v>27</v>
      </c>
      <c r="B38" s="33" t="s">
        <v>96</v>
      </c>
      <c r="C38" s="33" t="s">
        <v>44</v>
      </c>
      <c r="D38" s="49">
        <v>42576</v>
      </c>
      <c r="E38" s="34">
        <v>1026.69</v>
      </c>
      <c r="F38" s="34"/>
      <c r="G38" s="34"/>
      <c r="H38" s="34"/>
      <c r="I38" s="34"/>
      <c r="J38" s="46">
        <f t="shared" si="10"/>
        <v>0</v>
      </c>
      <c r="K38" s="34"/>
      <c r="L38" s="60"/>
      <c r="M38" s="34"/>
      <c r="N38" s="34"/>
      <c r="O38" s="61"/>
      <c r="P38" s="61"/>
      <c r="Q38" s="34"/>
      <c r="R38" s="32"/>
      <c r="S38" s="32"/>
      <c r="T38" s="33"/>
      <c r="U38" s="33"/>
      <c r="V38" s="46">
        <f t="shared" si="22"/>
        <v>0</v>
      </c>
      <c r="W38" s="33">
        <f t="shared" si="15"/>
        <v>0</v>
      </c>
      <c r="X38" s="33">
        <f t="shared" si="16"/>
        <v>0</v>
      </c>
      <c r="Y38" s="32">
        <f t="shared" si="17"/>
        <v>0</v>
      </c>
      <c r="Z38" s="32">
        <v>11.23</v>
      </c>
      <c r="AA38" s="32">
        <f t="shared" si="18"/>
        <v>0</v>
      </c>
      <c r="AB38" s="46">
        <f t="shared" si="19"/>
        <v>11.23</v>
      </c>
      <c r="AC38" s="50"/>
      <c r="AD38" s="50"/>
      <c r="AE38" s="47"/>
      <c r="AF38" s="35">
        <v>56708845072</v>
      </c>
      <c r="AG38" s="35"/>
    </row>
    <row r="39" spans="1:34" s="18" customFormat="1">
      <c r="A39" s="71" t="s">
        <v>28</v>
      </c>
      <c r="B39" s="33" t="s">
        <v>86</v>
      </c>
      <c r="C39" s="33" t="s">
        <v>30</v>
      </c>
      <c r="D39" s="49">
        <v>37834</v>
      </c>
      <c r="E39" s="34">
        <v>1026.69</v>
      </c>
      <c r="F39" s="34">
        <v>1677.19</v>
      </c>
      <c r="G39" s="34"/>
      <c r="H39" s="34"/>
      <c r="I39" s="34"/>
      <c r="J39" s="46">
        <f t="shared" si="10"/>
        <v>1677.19</v>
      </c>
      <c r="K39" s="34">
        <v>125</v>
      </c>
      <c r="L39" s="60"/>
      <c r="M39" s="34"/>
      <c r="N39" s="34"/>
      <c r="O39" s="61"/>
      <c r="P39" s="61"/>
      <c r="Q39" s="34"/>
      <c r="R39" s="32"/>
      <c r="S39" s="32"/>
      <c r="T39" s="33"/>
      <c r="U39" s="33"/>
      <c r="V39" s="46">
        <f t="shared" si="22"/>
        <v>1552.19</v>
      </c>
      <c r="W39" s="32">
        <f t="shared" si="15"/>
        <v>0</v>
      </c>
      <c r="X39" s="46">
        <f t="shared" si="16"/>
        <v>1552.19</v>
      </c>
      <c r="Y39" s="32">
        <f t="shared" si="17"/>
        <v>167.71900000000002</v>
      </c>
      <c r="Z39" s="32">
        <v>10.23</v>
      </c>
      <c r="AA39" s="32">
        <f t="shared" si="18"/>
        <v>0</v>
      </c>
      <c r="AB39" s="46">
        <f t="shared" si="19"/>
        <v>1855.1390000000001</v>
      </c>
      <c r="AC39" s="50"/>
      <c r="AD39" s="51"/>
      <c r="AE39" s="47">
        <f t="shared" ref="AE39" si="23">+AC39+AD39-X39</f>
        <v>-1552.19</v>
      </c>
      <c r="AF39" s="35">
        <v>56708881503</v>
      </c>
      <c r="AG39" s="35" t="s">
        <v>197</v>
      </c>
    </row>
    <row r="40" spans="1:34" s="18" customFormat="1">
      <c r="A40" s="71" t="s">
        <v>28</v>
      </c>
      <c r="B40" s="33" t="s">
        <v>76</v>
      </c>
      <c r="C40" s="33" t="s">
        <v>43</v>
      </c>
      <c r="D40" s="49">
        <v>40813</v>
      </c>
      <c r="E40" s="34">
        <v>1869</v>
      </c>
      <c r="F40" s="63"/>
      <c r="G40" s="63"/>
      <c r="H40" s="34"/>
      <c r="I40" s="34"/>
      <c r="J40" s="46">
        <f t="shared" si="10"/>
        <v>0</v>
      </c>
      <c r="K40" s="34"/>
      <c r="L40" s="60"/>
      <c r="M40" s="34"/>
      <c r="N40" s="34"/>
      <c r="O40" s="61"/>
      <c r="P40" s="61"/>
      <c r="Q40" s="34"/>
      <c r="R40" s="32"/>
      <c r="S40" s="32"/>
      <c r="T40" s="48"/>
      <c r="U40" s="48"/>
      <c r="V40" s="46">
        <f t="shared" ref="V40:V51" si="24">+J40-SUM(K40:U40)</f>
        <v>0</v>
      </c>
      <c r="W40" s="32">
        <f t="shared" ref="W40" si="25">+V40*0.05</f>
        <v>0</v>
      </c>
      <c r="X40" s="46">
        <f t="shared" ref="X40" si="26">+V40-R40-U40</f>
        <v>0</v>
      </c>
      <c r="Y40" s="32">
        <f t="shared" ref="Y40" si="27">IF(V40&lt;3000,V40*0.1,0)</f>
        <v>0</v>
      </c>
      <c r="Z40" s="32"/>
      <c r="AA40" s="32"/>
      <c r="AB40" s="46">
        <f t="shared" ref="AB40" si="28">+V40+Y40+Z40</f>
        <v>0</v>
      </c>
      <c r="AC40" s="50"/>
      <c r="AD40" s="51"/>
      <c r="AE40" s="47"/>
      <c r="AF40" s="35">
        <v>60589552237</v>
      </c>
      <c r="AG40" s="35" t="s">
        <v>196</v>
      </c>
    </row>
    <row r="41" spans="1:34" s="18" customFormat="1">
      <c r="A41" s="71" t="s">
        <v>27</v>
      </c>
      <c r="B41" s="33" t="s">
        <v>147</v>
      </c>
      <c r="C41" s="33" t="s">
        <v>30</v>
      </c>
      <c r="D41" s="49">
        <v>42852</v>
      </c>
      <c r="E41" s="34">
        <v>1026.69</v>
      </c>
      <c r="F41" s="34"/>
      <c r="G41" s="34"/>
      <c r="H41" s="34"/>
      <c r="I41" s="34"/>
      <c r="J41" s="46">
        <f t="shared" si="10"/>
        <v>0</v>
      </c>
      <c r="K41" s="34"/>
      <c r="L41" s="60"/>
      <c r="M41" s="34"/>
      <c r="N41" s="34"/>
      <c r="O41" s="61"/>
      <c r="P41" s="61"/>
      <c r="Q41" s="34"/>
      <c r="R41" s="32"/>
      <c r="S41" s="32"/>
      <c r="T41" s="48"/>
      <c r="U41" s="48"/>
      <c r="V41" s="46">
        <f t="shared" si="24"/>
        <v>0</v>
      </c>
      <c r="W41" s="32"/>
      <c r="X41" s="46"/>
      <c r="Y41" s="32"/>
      <c r="Z41" s="32"/>
      <c r="AA41" s="32"/>
      <c r="AB41" s="46"/>
      <c r="AC41" s="50"/>
      <c r="AD41" s="51"/>
      <c r="AE41" s="47"/>
      <c r="AF41" s="35">
        <v>60590678030</v>
      </c>
      <c r="AG41" s="35"/>
    </row>
    <row r="42" spans="1:34" s="18" customFormat="1">
      <c r="A42" s="71" t="s">
        <v>27</v>
      </c>
      <c r="B42" s="33" t="s">
        <v>115</v>
      </c>
      <c r="C42" s="33" t="s">
        <v>139</v>
      </c>
      <c r="D42" s="49">
        <v>42644</v>
      </c>
      <c r="E42" s="34">
        <v>1633.38</v>
      </c>
      <c r="F42" s="34"/>
      <c r="G42" s="34"/>
      <c r="H42" s="34"/>
      <c r="I42" s="34"/>
      <c r="J42" s="46">
        <f t="shared" si="10"/>
        <v>0</v>
      </c>
      <c r="K42" s="34">
        <v>500</v>
      </c>
      <c r="L42" s="60"/>
      <c r="M42" s="34"/>
      <c r="N42" s="34"/>
      <c r="O42" s="61"/>
      <c r="P42" s="61"/>
      <c r="Q42" s="34"/>
      <c r="R42" s="32">
        <v>845.43</v>
      </c>
      <c r="S42" s="32"/>
      <c r="T42" s="48"/>
      <c r="U42" s="48"/>
      <c r="V42" s="46">
        <f t="shared" si="24"/>
        <v>-1345.4299999999998</v>
      </c>
      <c r="W42" s="32">
        <f t="shared" ref="W42" si="29">IF(J42&gt;2250,J42*0.1,0)</f>
        <v>0</v>
      </c>
      <c r="X42" s="46">
        <f t="shared" ref="X42" si="30">+V42-W42</f>
        <v>-1345.4299999999998</v>
      </c>
      <c r="Y42" s="32"/>
      <c r="Z42" s="32"/>
      <c r="AA42" s="32"/>
      <c r="AB42" s="46"/>
      <c r="AC42" s="50"/>
      <c r="AD42" s="51"/>
      <c r="AE42" s="47"/>
      <c r="AF42" s="35">
        <v>56708845530</v>
      </c>
      <c r="AG42" s="35" t="s">
        <v>198</v>
      </c>
    </row>
    <row r="43" spans="1:34" s="18" customFormat="1">
      <c r="A43" s="71" t="s">
        <v>26</v>
      </c>
      <c r="B43" s="33" t="s">
        <v>163</v>
      </c>
      <c r="C43" s="33" t="s">
        <v>29</v>
      </c>
      <c r="D43" s="49">
        <v>42991</v>
      </c>
      <c r="E43" s="34">
        <v>1166.6199999999999</v>
      </c>
      <c r="F43" s="34">
        <v>1613.11</v>
      </c>
      <c r="G43" s="34"/>
      <c r="H43" s="34"/>
      <c r="I43" s="34"/>
      <c r="J43" s="46">
        <f t="shared" si="10"/>
        <v>1613.11</v>
      </c>
      <c r="K43" s="34"/>
      <c r="L43" s="60"/>
      <c r="M43" s="34"/>
      <c r="N43" s="34"/>
      <c r="O43" s="61"/>
      <c r="P43" s="61"/>
      <c r="Q43" s="34"/>
      <c r="R43" s="32"/>
      <c r="S43" s="32"/>
      <c r="T43" s="33"/>
      <c r="U43" s="33"/>
      <c r="V43" s="46"/>
      <c r="W43" s="32"/>
      <c r="X43" s="46"/>
      <c r="Y43" s="32"/>
      <c r="Z43" s="32"/>
      <c r="AA43" s="32"/>
      <c r="AB43" s="46"/>
      <c r="AC43" s="50"/>
      <c r="AD43" s="51"/>
      <c r="AE43" s="47"/>
      <c r="AF43" s="35">
        <v>1168500843</v>
      </c>
      <c r="AG43" s="33"/>
      <c r="AH43" s="18" t="s">
        <v>128</v>
      </c>
    </row>
    <row r="44" spans="1:34" s="18" customFormat="1">
      <c r="A44" s="71" t="s">
        <v>28</v>
      </c>
      <c r="B44" s="33" t="s">
        <v>157</v>
      </c>
      <c r="C44" s="33" t="s">
        <v>30</v>
      </c>
      <c r="D44" s="49">
        <v>42961</v>
      </c>
      <c r="E44" s="34">
        <v>1022.56</v>
      </c>
      <c r="F44" s="34"/>
      <c r="G44" s="34"/>
      <c r="H44" s="34"/>
      <c r="I44" s="34"/>
      <c r="J44" s="46">
        <f t="shared" si="10"/>
        <v>0</v>
      </c>
      <c r="K44" s="34"/>
      <c r="L44" s="60"/>
      <c r="M44" s="34"/>
      <c r="N44" s="34"/>
      <c r="O44" s="61"/>
      <c r="P44" s="61"/>
      <c r="Q44" s="34"/>
      <c r="R44" s="32"/>
      <c r="S44" s="32"/>
      <c r="T44" s="48"/>
      <c r="U44" s="48"/>
      <c r="V44" s="46">
        <f t="shared" si="24"/>
        <v>0</v>
      </c>
      <c r="W44" s="32"/>
      <c r="X44" s="46"/>
      <c r="Y44" s="32"/>
      <c r="Z44" s="32"/>
      <c r="AA44" s="32"/>
      <c r="AB44" s="46"/>
      <c r="AC44" s="50"/>
      <c r="AD44" s="51"/>
      <c r="AE44" s="47"/>
      <c r="AF44" s="35">
        <v>60589665774</v>
      </c>
      <c r="AG44" s="35"/>
    </row>
    <row r="45" spans="1:34" s="18" customFormat="1">
      <c r="A45" s="71" t="s">
        <v>28</v>
      </c>
      <c r="B45" s="33" t="s">
        <v>148</v>
      </c>
      <c r="C45" s="33" t="s">
        <v>30</v>
      </c>
      <c r="D45" s="49">
        <v>42921</v>
      </c>
      <c r="E45" s="34">
        <v>1022.56</v>
      </c>
      <c r="F45" s="34">
        <v>13163.19</v>
      </c>
      <c r="G45" s="34"/>
      <c r="H45" s="34"/>
      <c r="I45" s="34"/>
      <c r="J45" s="46">
        <f t="shared" si="10"/>
        <v>13163.19</v>
      </c>
      <c r="K45" s="34"/>
      <c r="L45" s="60"/>
      <c r="M45" s="34"/>
      <c r="N45" s="34"/>
      <c r="O45" s="61"/>
      <c r="P45" s="61"/>
      <c r="Q45" s="34"/>
      <c r="R45" s="32">
        <v>260</v>
      </c>
      <c r="S45" s="32"/>
      <c r="T45" s="33"/>
      <c r="U45" s="33"/>
      <c r="V45" s="46">
        <f t="shared" si="24"/>
        <v>12903.19</v>
      </c>
      <c r="W45" s="32"/>
      <c r="X45" s="46"/>
      <c r="Y45" s="32"/>
      <c r="Z45" s="32"/>
      <c r="AA45" s="32"/>
      <c r="AB45" s="46"/>
      <c r="AC45" s="50"/>
      <c r="AD45" s="51"/>
      <c r="AE45" s="47"/>
      <c r="AF45" s="35">
        <v>56708881702</v>
      </c>
      <c r="AG45" s="33"/>
    </row>
    <row r="46" spans="1:34" s="18" customFormat="1">
      <c r="A46" s="71" t="s">
        <v>39</v>
      </c>
      <c r="B46" s="33" t="s">
        <v>137</v>
      </c>
      <c r="C46" s="33" t="s">
        <v>43</v>
      </c>
      <c r="D46" s="49">
        <v>42891</v>
      </c>
      <c r="E46" s="34">
        <v>1633.31</v>
      </c>
      <c r="F46" s="34"/>
      <c r="G46" s="34"/>
      <c r="H46" s="34"/>
      <c r="I46" s="34"/>
      <c r="J46" s="46">
        <f t="shared" si="10"/>
        <v>0</v>
      </c>
      <c r="K46" s="34"/>
      <c r="L46" s="60"/>
      <c r="M46" s="34"/>
      <c r="N46" s="34"/>
      <c r="O46" s="61"/>
      <c r="P46" s="61"/>
      <c r="Q46" s="34"/>
      <c r="R46" s="32"/>
      <c r="S46" s="32"/>
      <c r="T46" s="33"/>
      <c r="U46" s="33"/>
      <c r="V46" s="46">
        <f t="shared" si="24"/>
        <v>0</v>
      </c>
      <c r="W46" s="32"/>
      <c r="X46" s="46"/>
      <c r="Y46" s="32"/>
      <c r="Z46" s="32"/>
      <c r="AA46" s="32"/>
      <c r="AB46" s="46"/>
      <c r="AC46" s="50"/>
      <c r="AD46" s="51"/>
      <c r="AE46" s="47"/>
      <c r="AF46" s="35">
        <v>60590340221</v>
      </c>
      <c r="AG46" s="35"/>
    </row>
    <row r="47" spans="1:34" s="18" customFormat="1">
      <c r="A47" s="71" t="s">
        <v>37</v>
      </c>
      <c r="B47" s="33" t="s">
        <v>89</v>
      </c>
      <c r="C47" s="33" t="s">
        <v>29</v>
      </c>
      <c r="D47" s="49">
        <v>42506</v>
      </c>
      <c r="E47" s="34">
        <v>1166.27</v>
      </c>
      <c r="F47" s="34">
        <v>3065.12</v>
      </c>
      <c r="G47" s="34"/>
      <c r="H47" s="34"/>
      <c r="I47" s="34"/>
      <c r="J47" s="46">
        <f t="shared" si="10"/>
        <v>3065.12</v>
      </c>
      <c r="K47" s="34"/>
      <c r="L47" s="60"/>
      <c r="M47" s="34"/>
      <c r="N47" s="34"/>
      <c r="O47" s="61"/>
      <c r="P47" s="61"/>
      <c r="Q47" s="34"/>
      <c r="R47" s="32"/>
      <c r="S47" s="32"/>
      <c r="T47" s="33"/>
      <c r="U47" s="33"/>
      <c r="V47" s="46">
        <f t="shared" si="24"/>
        <v>3065.12</v>
      </c>
      <c r="W47" s="32">
        <f t="shared" si="15"/>
        <v>306.512</v>
      </c>
      <c r="X47" s="46">
        <f t="shared" si="16"/>
        <v>2758.6079999999997</v>
      </c>
      <c r="Y47" s="32">
        <f t="shared" si="17"/>
        <v>0</v>
      </c>
      <c r="Z47" s="32">
        <v>10.23</v>
      </c>
      <c r="AA47" s="32">
        <f t="shared" si="18"/>
        <v>0</v>
      </c>
      <c r="AB47" s="46">
        <f t="shared" si="19"/>
        <v>3075.35</v>
      </c>
      <c r="AC47" s="50"/>
      <c r="AD47" s="50"/>
      <c r="AE47" s="47">
        <f t="shared" ref="AE47" si="31">+AC47+AD47-X47</f>
        <v>-2758.6079999999997</v>
      </c>
      <c r="AF47" s="35">
        <v>56708881551</v>
      </c>
      <c r="AG47" s="35"/>
    </row>
    <row r="48" spans="1:34" s="18" customFormat="1" ht="15.75">
      <c r="A48" s="71" t="s">
        <v>37</v>
      </c>
      <c r="B48" s="33" t="s">
        <v>167</v>
      </c>
      <c r="C48" s="33" t="s">
        <v>29</v>
      </c>
      <c r="D48" s="49">
        <v>43006</v>
      </c>
      <c r="E48" s="34">
        <v>1166.6199999999999</v>
      </c>
      <c r="F48" s="34">
        <v>719.32</v>
      </c>
      <c r="G48" s="34"/>
      <c r="H48" s="34"/>
      <c r="I48" s="34"/>
      <c r="J48" s="46">
        <f t="shared" si="10"/>
        <v>719.32</v>
      </c>
      <c r="K48" s="34"/>
      <c r="L48" s="60"/>
      <c r="M48" s="34"/>
      <c r="N48" s="34"/>
      <c r="O48" s="61"/>
      <c r="P48" s="61"/>
      <c r="Q48" s="34"/>
      <c r="R48" s="32"/>
      <c r="S48" s="66"/>
      <c r="T48" s="33"/>
      <c r="U48" s="33"/>
      <c r="V48" s="46"/>
      <c r="W48" s="32"/>
      <c r="X48" s="46"/>
      <c r="Y48" s="32"/>
      <c r="Z48" s="32"/>
      <c r="AA48" s="32"/>
      <c r="AB48" s="46"/>
      <c r="AC48" s="50"/>
      <c r="AD48" s="51"/>
      <c r="AE48" s="47"/>
      <c r="AF48" s="35">
        <v>60595911850</v>
      </c>
      <c r="AG48" s="33"/>
    </row>
    <row r="49" spans="1:34" s="18" customFormat="1">
      <c r="A49" s="71" t="s">
        <v>28</v>
      </c>
      <c r="B49" s="33" t="s">
        <v>92</v>
      </c>
      <c r="C49" s="33" t="s">
        <v>30</v>
      </c>
      <c r="D49" s="49">
        <v>42522</v>
      </c>
      <c r="E49" s="34">
        <v>1026.69</v>
      </c>
      <c r="F49" s="34"/>
      <c r="G49" s="34"/>
      <c r="H49" s="34"/>
      <c r="I49" s="34"/>
      <c r="J49" s="46">
        <f t="shared" si="10"/>
        <v>0</v>
      </c>
      <c r="K49" s="34"/>
      <c r="L49" s="60"/>
      <c r="M49" s="34"/>
      <c r="N49" s="34"/>
      <c r="O49" s="61"/>
      <c r="P49" s="61"/>
      <c r="Q49" s="34"/>
      <c r="R49" s="32">
        <v>300</v>
      </c>
      <c r="S49" s="32"/>
      <c r="T49" s="33"/>
      <c r="U49" s="72">
        <v>374.92</v>
      </c>
      <c r="V49" s="46">
        <f t="shared" si="24"/>
        <v>-674.92000000000007</v>
      </c>
      <c r="W49" s="32">
        <f t="shared" ref="W49:W53" si="32">IF(J49&gt;2250,J49*0.1,0)</f>
        <v>0</v>
      </c>
      <c r="X49" s="46">
        <f t="shared" ref="X49:X63" si="33">+V49-W49</f>
        <v>-674.92000000000007</v>
      </c>
      <c r="Y49" s="32">
        <f t="shared" ref="Y49:Y62" si="34">IF(J49&lt;2250,J49*0.1,0)</f>
        <v>0</v>
      </c>
      <c r="Z49" s="32">
        <v>10.23</v>
      </c>
      <c r="AA49" s="32">
        <f t="shared" ref="AA49:AA62" si="35">+O49</f>
        <v>0</v>
      </c>
      <c r="AB49" s="46">
        <f t="shared" ref="AB49:AB62" si="36">+J49+Y49+Z49+AA49</f>
        <v>10.23</v>
      </c>
      <c r="AC49" s="50"/>
      <c r="AD49" s="50"/>
      <c r="AE49" s="47"/>
      <c r="AF49" s="35">
        <v>56708845237</v>
      </c>
      <c r="AG49" s="35"/>
    </row>
    <row r="50" spans="1:34" s="18" customFormat="1">
      <c r="A50" s="71" t="s">
        <v>37</v>
      </c>
      <c r="B50" s="33" t="s">
        <v>66</v>
      </c>
      <c r="C50" s="33" t="s">
        <v>43</v>
      </c>
      <c r="D50" s="49">
        <v>42321</v>
      </c>
      <c r="E50" s="34">
        <v>1869</v>
      </c>
      <c r="F50" s="63"/>
      <c r="G50" s="63"/>
      <c r="H50" s="34">
        <v>534</v>
      </c>
      <c r="I50" s="34"/>
      <c r="J50" s="46">
        <f t="shared" si="10"/>
        <v>534</v>
      </c>
      <c r="K50" s="34"/>
      <c r="L50" s="60"/>
      <c r="M50" s="34"/>
      <c r="N50" s="34"/>
      <c r="O50" s="61"/>
      <c r="P50" s="61"/>
      <c r="Q50" s="34"/>
      <c r="R50" s="32"/>
      <c r="S50" s="32"/>
      <c r="T50" s="33"/>
      <c r="U50" s="33"/>
      <c r="V50" s="46">
        <f t="shared" si="24"/>
        <v>534</v>
      </c>
      <c r="W50" s="32">
        <f t="shared" si="32"/>
        <v>0</v>
      </c>
      <c r="X50" s="46">
        <f t="shared" si="33"/>
        <v>534</v>
      </c>
      <c r="Y50" s="32">
        <f t="shared" si="34"/>
        <v>53.400000000000006</v>
      </c>
      <c r="Z50" s="32">
        <v>10.23</v>
      </c>
      <c r="AA50" s="32">
        <f t="shared" si="35"/>
        <v>0</v>
      </c>
      <c r="AB50" s="46">
        <f t="shared" si="36"/>
        <v>597.63</v>
      </c>
      <c r="AC50" s="50"/>
      <c r="AD50" s="51"/>
      <c r="AE50" s="47">
        <f t="shared" ref="AE50:AE53" si="37">+AC50+AD50-X50</f>
        <v>-534</v>
      </c>
      <c r="AF50" s="35">
        <v>56708845240</v>
      </c>
      <c r="AG50" s="33"/>
    </row>
    <row r="51" spans="1:34" s="18" customFormat="1">
      <c r="A51" s="71" t="s">
        <v>37</v>
      </c>
      <c r="B51" s="33" t="s">
        <v>109</v>
      </c>
      <c r="C51" s="33" t="s">
        <v>91</v>
      </c>
      <c r="D51" s="49">
        <v>42646</v>
      </c>
      <c r="E51" s="34">
        <v>1166.27</v>
      </c>
      <c r="F51" s="34">
        <v>2916.24</v>
      </c>
      <c r="G51" s="34"/>
      <c r="H51" s="34"/>
      <c r="I51" s="34"/>
      <c r="J51" s="46">
        <f t="shared" si="10"/>
        <v>2916.24</v>
      </c>
      <c r="K51" s="34"/>
      <c r="L51" s="60"/>
      <c r="M51" s="34"/>
      <c r="N51" s="34"/>
      <c r="O51" s="61"/>
      <c r="P51" s="61"/>
      <c r="Q51" s="34"/>
      <c r="R51" s="32"/>
      <c r="S51" s="32"/>
      <c r="T51" s="33"/>
      <c r="U51" s="33"/>
      <c r="V51" s="46">
        <f t="shared" si="24"/>
        <v>2916.24</v>
      </c>
      <c r="W51" s="32">
        <f t="shared" ref="W51" si="38">IF(J51&gt;2250,J51*0.1,0)</f>
        <v>291.62399999999997</v>
      </c>
      <c r="X51" s="46">
        <f t="shared" ref="X51" si="39">+V51-W51</f>
        <v>2624.616</v>
      </c>
      <c r="Y51" s="32"/>
      <c r="Z51" s="32"/>
      <c r="AA51" s="32"/>
      <c r="AB51" s="46"/>
      <c r="AC51" s="50"/>
      <c r="AD51" s="51"/>
      <c r="AE51" s="47"/>
      <c r="AF51" s="35">
        <v>56708881582</v>
      </c>
      <c r="AG51" s="35"/>
    </row>
    <row r="52" spans="1:34" s="18" customFormat="1">
      <c r="A52" s="71" t="s">
        <v>37</v>
      </c>
      <c r="B52" s="33" t="s">
        <v>152</v>
      </c>
      <c r="C52" s="33" t="s">
        <v>29</v>
      </c>
      <c r="D52" s="49">
        <v>42065</v>
      </c>
      <c r="E52" s="34">
        <v>1166.27</v>
      </c>
      <c r="F52" s="34">
        <v>559.92999999999995</v>
      </c>
      <c r="G52" s="34"/>
      <c r="H52" s="34"/>
      <c r="I52" s="34"/>
      <c r="J52" s="46">
        <f t="shared" si="10"/>
        <v>559.92999999999995</v>
      </c>
      <c r="K52" s="34"/>
      <c r="L52" s="60"/>
      <c r="M52" s="34"/>
      <c r="N52" s="34"/>
      <c r="O52" s="61"/>
      <c r="P52" s="61"/>
      <c r="Q52" s="34"/>
      <c r="R52" s="32"/>
      <c r="S52" s="32"/>
      <c r="T52" s="33"/>
      <c r="U52" s="33"/>
      <c r="V52" s="46">
        <f t="shared" ref="V52:V63" si="40">+J52-SUM(K52:U52)</f>
        <v>559.92999999999995</v>
      </c>
      <c r="W52" s="32">
        <f t="shared" si="32"/>
        <v>0</v>
      </c>
      <c r="X52" s="46">
        <f t="shared" si="33"/>
        <v>559.92999999999995</v>
      </c>
      <c r="Y52" s="32">
        <f t="shared" si="34"/>
        <v>55.992999999999995</v>
      </c>
      <c r="Z52" s="32">
        <v>10.23</v>
      </c>
      <c r="AA52" s="32">
        <f t="shared" si="35"/>
        <v>0</v>
      </c>
      <c r="AB52" s="46">
        <f t="shared" si="36"/>
        <v>626.15300000000002</v>
      </c>
      <c r="AC52" s="50"/>
      <c r="AD52" s="51"/>
      <c r="AE52" s="47">
        <f t="shared" si="37"/>
        <v>-559.92999999999995</v>
      </c>
      <c r="AF52" s="35">
        <v>56708845254</v>
      </c>
      <c r="AG52" s="35"/>
    </row>
    <row r="53" spans="1:34" s="18" customFormat="1">
      <c r="A53" s="71" t="s">
        <v>28</v>
      </c>
      <c r="B53" s="33" t="s">
        <v>36</v>
      </c>
      <c r="C53" s="33" t="s">
        <v>30</v>
      </c>
      <c r="D53" s="49">
        <v>41218</v>
      </c>
      <c r="E53" s="34">
        <v>1026.69</v>
      </c>
      <c r="F53" s="34">
        <v>5947.94</v>
      </c>
      <c r="G53" s="34"/>
      <c r="H53" s="34"/>
      <c r="I53" s="34"/>
      <c r="J53" s="46">
        <f t="shared" si="10"/>
        <v>5947.94</v>
      </c>
      <c r="K53" s="34"/>
      <c r="L53" s="60"/>
      <c r="M53" s="34"/>
      <c r="N53" s="34"/>
      <c r="O53" s="61"/>
      <c r="P53" s="61"/>
      <c r="Q53" s="34"/>
      <c r="R53" s="32">
        <v>4000</v>
      </c>
      <c r="S53" s="32"/>
      <c r="T53" s="33"/>
      <c r="U53" s="72">
        <v>547.32000000000005</v>
      </c>
      <c r="V53" s="46">
        <f t="shared" si="40"/>
        <v>1400.62</v>
      </c>
      <c r="W53" s="32">
        <f t="shared" si="32"/>
        <v>594.79399999999998</v>
      </c>
      <c r="X53" s="46">
        <f t="shared" si="33"/>
        <v>805.82599999999991</v>
      </c>
      <c r="Y53" s="32">
        <f t="shared" si="34"/>
        <v>0</v>
      </c>
      <c r="Z53" s="32">
        <v>10.23</v>
      </c>
      <c r="AA53" s="32">
        <f t="shared" si="35"/>
        <v>0</v>
      </c>
      <c r="AB53" s="46">
        <f t="shared" si="36"/>
        <v>5958.1699999999992</v>
      </c>
      <c r="AC53" s="50"/>
      <c r="AD53" s="51"/>
      <c r="AE53" s="47">
        <f t="shared" si="37"/>
        <v>-805.82599999999991</v>
      </c>
      <c r="AF53" s="35">
        <v>56708881596</v>
      </c>
      <c r="AG53" s="33"/>
    </row>
    <row r="54" spans="1:34" s="18" customFormat="1">
      <c r="A54" s="71" t="s">
        <v>28</v>
      </c>
      <c r="B54" s="33" t="s">
        <v>184</v>
      </c>
      <c r="C54" s="33" t="s">
        <v>185</v>
      </c>
      <c r="D54" s="49">
        <v>43038</v>
      </c>
      <c r="E54" s="34">
        <v>1400</v>
      </c>
      <c r="F54" s="34"/>
      <c r="G54" s="34"/>
      <c r="H54" s="34"/>
      <c r="I54" s="34"/>
      <c r="J54" s="46">
        <f t="shared" si="10"/>
        <v>0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72"/>
      <c r="V54" s="46"/>
      <c r="W54" s="32"/>
      <c r="X54" s="46"/>
      <c r="Y54" s="32"/>
      <c r="Z54" s="32"/>
      <c r="AA54" s="32"/>
      <c r="AB54" s="46"/>
      <c r="AC54" s="50"/>
      <c r="AD54" s="51"/>
      <c r="AE54" s="47"/>
      <c r="AF54" s="35">
        <v>1539992200</v>
      </c>
      <c r="AG54" s="33"/>
      <c r="AH54" s="18" t="s">
        <v>128</v>
      </c>
    </row>
    <row r="55" spans="1:34" s="18" customFormat="1">
      <c r="A55" s="71" t="s">
        <v>26</v>
      </c>
      <c r="B55" s="33" t="s">
        <v>107</v>
      </c>
      <c r="C55" s="33" t="s">
        <v>105</v>
      </c>
      <c r="D55" s="49">
        <v>42241</v>
      </c>
      <c r="E55" s="34">
        <v>1250.02</v>
      </c>
      <c r="F55" s="34"/>
      <c r="G55" s="34"/>
      <c r="H55" s="34"/>
      <c r="I55" s="34"/>
      <c r="J55" s="46">
        <f t="shared" si="10"/>
        <v>0</v>
      </c>
      <c r="K55" s="34">
        <v>187.5</v>
      </c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46">
        <f t="shared" ref="V55" si="41">+J55-SUM(K55:U55)</f>
        <v>-187.5</v>
      </c>
      <c r="W55" s="32">
        <f t="shared" ref="W55" si="42">IF(J55&gt;2250,J55*0.1,0)</f>
        <v>0</v>
      </c>
      <c r="X55" s="46">
        <f t="shared" ref="X55" si="43">+V55-W55</f>
        <v>-187.5</v>
      </c>
      <c r="Y55" s="32">
        <f t="shared" si="34"/>
        <v>0</v>
      </c>
      <c r="Z55" s="32"/>
      <c r="AA55" s="32"/>
      <c r="AB55" s="46"/>
      <c r="AC55" s="50"/>
      <c r="AD55" s="51"/>
      <c r="AE55" s="47"/>
      <c r="AF55" s="35">
        <v>56708845268</v>
      </c>
      <c r="AG55" s="35" t="s">
        <v>199</v>
      </c>
    </row>
    <row r="56" spans="1:34" s="18" customFormat="1">
      <c r="A56" s="71" t="s">
        <v>39</v>
      </c>
      <c r="B56" s="33" t="s">
        <v>77</v>
      </c>
      <c r="C56" s="33" t="s">
        <v>43</v>
      </c>
      <c r="D56" s="49">
        <v>42333</v>
      </c>
      <c r="E56" s="34">
        <v>1869</v>
      </c>
      <c r="F56" s="63"/>
      <c r="G56" s="63"/>
      <c r="H56" s="34"/>
      <c r="I56" s="34"/>
      <c r="J56" s="46">
        <f t="shared" si="10"/>
        <v>0</v>
      </c>
      <c r="K56" s="34"/>
      <c r="L56" s="60"/>
      <c r="M56" s="34"/>
      <c r="N56" s="34"/>
      <c r="O56" s="61"/>
      <c r="P56" s="61"/>
      <c r="Q56" s="34"/>
      <c r="R56" s="32"/>
      <c r="S56" s="32"/>
      <c r="T56" s="33"/>
      <c r="U56" s="33">
        <v>356.04</v>
      </c>
      <c r="V56" s="46">
        <f t="shared" si="40"/>
        <v>-356.04</v>
      </c>
      <c r="W56" s="32">
        <f t="shared" ref="W56:W63" si="44">IF(J56&gt;2250,J56*0.1,0)</f>
        <v>0</v>
      </c>
      <c r="X56" s="46">
        <f t="shared" si="33"/>
        <v>-356.04</v>
      </c>
      <c r="Y56" s="32">
        <f t="shared" si="34"/>
        <v>0</v>
      </c>
      <c r="Z56" s="32">
        <v>10.23</v>
      </c>
      <c r="AA56" s="32">
        <f t="shared" si="35"/>
        <v>0</v>
      </c>
      <c r="AB56" s="46">
        <f t="shared" si="36"/>
        <v>10.23</v>
      </c>
      <c r="AC56" s="50"/>
      <c r="AD56" s="51"/>
      <c r="AE56" s="47">
        <f>+AC56+AD56-X56</f>
        <v>356.04</v>
      </c>
      <c r="AF56" s="35">
        <v>60589939521</v>
      </c>
      <c r="AG56" s="35"/>
    </row>
    <row r="57" spans="1:34" s="18" customFormat="1">
      <c r="A57" s="71" t="s">
        <v>28</v>
      </c>
      <c r="B57" s="33" t="s">
        <v>97</v>
      </c>
      <c r="C57" s="33" t="s">
        <v>30</v>
      </c>
      <c r="D57" s="49">
        <v>42459</v>
      </c>
      <c r="E57" s="34">
        <v>1026.69</v>
      </c>
      <c r="F57" s="34">
        <v>6824.53</v>
      </c>
      <c r="G57" s="34"/>
      <c r="H57" s="34"/>
      <c r="I57" s="34"/>
      <c r="J57" s="46">
        <f t="shared" si="10"/>
        <v>6824.53</v>
      </c>
      <c r="K57" s="34"/>
      <c r="L57" s="60"/>
      <c r="M57" s="34"/>
      <c r="N57" s="34"/>
      <c r="O57" s="61"/>
      <c r="P57" s="61"/>
      <c r="Q57" s="34"/>
      <c r="R57" s="32">
        <v>2554.06</v>
      </c>
      <c r="S57" s="32"/>
      <c r="T57" s="33"/>
      <c r="U57" s="33"/>
      <c r="V57" s="46">
        <f t="shared" si="40"/>
        <v>4270.4699999999993</v>
      </c>
      <c r="W57" s="32">
        <f t="shared" si="44"/>
        <v>682.45299999999997</v>
      </c>
      <c r="X57" s="46">
        <f t="shared" si="33"/>
        <v>3588.0169999999994</v>
      </c>
      <c r="Y57" s="32">
        <f t="shared" si="34"/>
        <v>0</v>
      </c>
      <c r="Z57" s="32">
        <v>10.23</v>
      </c>
      <c r="AA57" s="32">
        <f t="shared" si="35"/>
        <v>0</v>
      </c>
      <c r="AB57" s="46">
        <f t="shared" si="36"/>
        <v>6834.7599999999993</v>
      </c>
      <c r="AC57" s="55"/>
      <c r="AD57" s="51"/>
      <c r="AE57" s="47">
        <f>+AC57+AD57-X57</f>
        <v>-3588.0169999999994</v>
      </c>
      <c r="AF57" s="35">
        <v>60589627948</v>
      </c>
      <c r="AG57" s="35"/>
    </row>
    <row r="58" spans="1:34" s="18" customFormat="1">
      <c r="A58" s="71" t="s">
        <v>26</v>
      </c>
      <c r="B58" s="33" t="s">
        <v>132</v>
      </c>
      <c r="C58" s="33" t="s">
        <v>29</v>
      </c>
      <c r="D58" s="49">
        <v>42849</v>
      </c>
      <c r="E58" s="34">
        <v>1166.27</v>
      </c>
      <c r="F58" s="34">
        <v>626.35</v>
      </c>
      <c r="G58" s="34"/>
      <c r="H58" s="34"/>
      <c r="I58" s="34"/>
      <c r="J58" s="46">
        <f t="shared" si="10"/>
        <v>626.35</v>
      </c>
      <c r="K58" s="34"/>
      <c r="L58" s="60"/>
      <c r="M58" s="34"/>
      <c r="N58" s="34"/>
      <c r="O58" s="61"/>
      <c r="P58" s="61"/>
      <c r="Q58" s="34"/>
      <c r="R58" s="32"/>
      <c r="S58" s="32"/>
      <c r="T58" s="33"/>
      <c r="U58" s="33"/>
      <c r="V58" s="46">
        <f t="shared" si="40"/>
        <v>626.35</v>
      </c>
      <c r="W58" s="32"/>
      <c r="X58" s="46"/>
      <c r="Y58" s="32"/>
      <c r="Z58" s="32"/>
      <c r="AA58" s="32"/>
      <c r="AB58" s="46"/>
      <c r="AC58" s="55"/>
      <c r="AD58" s="51"/>
      <c r="AE58" s="47"/>
      <c r="AF58" s="35">
        <v>60590412629</v>
      </c>
      <c r="AG58" s="35"/>
    </row>
    <row r="59" spans="1:34" s="18" customFormat="1">
      <c r="A59" s="71" t="s">
        <v>26</v>
      </c>
      <c r="B59" s="33" t="s">
        <v>94</v>
      </c>
      <c r="C59" s="33" t="s">
        <v>42</v>
      </c>
      <c r="D59" s="49">
        <v>42566</v>
      </c>
      <c r="E59" s="34">
        <v>933.31</v>
      </c>
      <c r="F59" s="34">
        <v>1500</v>
      </c>
      <c r="G59" s="34"/>
      <c r="H59" s="34"/>
      <c r="I59" s="34"/>
      <c r="J59" s="46">
        <f t="shared" si="10"/>
        <v>1500</v>
      </c>
      <c r="K59" s="34">
        <v>125</v>
      </c>
      <c r="L59" s="60"/>
      <c r="M59" s="34"/>
      <c r="N59" s="34"/>
      <c r="O59" s="61"/>
      <c r="P59" s="61"/>
      <c r="Q59" s="34"/>
      <c r="R59" s="32"/>
      <c r="S59" s="32"/>
      <c r="T59" s="33"/>
      <c r="U59" s="33"/>
      <c r="V59" s="46">
        <f t="shared" si="40"/>
        <v>1375</v>
      </c>
      <c r="W59" s="32">
        <f t="shared" si="44"/>
        <v>0</v>
      </c>
      <c r="X59" s="46">
        <f t="shared" si="33"/>
        <v>1375</v>
      </c>
      <c r="Y59" s="32">
        <f t="shared" si="34"/>
        <v>150</v>
      </c>
      <c r="Z59" s="32">
        <v>21.23</v>
      </c>
      <c r="AA59" s="32">
        <f t="shared" si="35"/>
        <v>0</v>
      </c>
      <c r="AB59" s="46">
        <f t="shared" si="36"/>
        <v>1671.23</v>
      </c>
      <c r="AC59" s="55"/>
      <c r="AD59" s="51"/>
      <c r="AE59" s="47"/>
      <c r="AF59" s="35">
        <v>56708845709</v>
      </c>
      <c r="AG59" s="35" t="s">
        <v>197</v>
      </c>
    </row>
    <row r="60" spans="1:34" s="18" customFormat="1">
      <c r="A60" s="71" t="s">
        <v>27</v>
      </c>
      <c r="B60" s="33" t="s">
        <v>143</v>
      </c>
      <c r="C60" s="33" t="s">
        <v>105</v>
      </c>
      <c r="D60" s="49">
        <v>42916</v>
      </c>
      <c r="E60" s="34">
        <v>1400</v>
      </c>
      <c r="F60" s="34"/>
      <c r="G60" s="34"/>
      <c r="H60" s="34"/>
      <c r="I60" s="34"/>
      <c r="J60" s="46">
        <f t="shared" si="10"/>
        <v>0</v>
      </c>
      <c r="K60" s="34"/>
      <c r="L60" s="60"/>
      <c r="M60" s="34"/>
      <c r="N60" s="34"/>
      <c r="O60" s="61"/>
      <c r="P60" s="61"/>
      <c r="Q60" s="34"/>
      <c r="R60" s="32"/>
      <c r="S60" s="32"/>
      <c r="T60" s="33"/>
      <c r="U60" s="33"/>
      <c r="V60" s="46">
        <f t="shared" si="40"/>
        <v>0</v>
      </c>
      <c r="W60" s="32"/>
      <c r="X60" s="46"/>
      <c r="Y60" s="32"/>
      <c r="Z60" s="32"/>
      <c r="AA60" s="32"/>
      <c r="AB60" s="46"/>
      <c r="AC60" s="55"/>
      <c r="AD60" s="56"/>
      <c r="AE60" s="47"/>
      <c r="AF60" s="35">
        <v>60592631462</v>
      </c>
      <c r="AG60" s="35"/>
    </row>
    <row r="61" spans="1:34" s="18" customFormat="1">
      <c r="A61" s="71" t="s">
        <v>28</v>
      </c>
      <c r="B61" s="33" t="s">
        <v>153</v>
      </c>
      <c r="C61" s="33" t="s">
        <v>30</v>
      </c>
      <c r="D61" s="49">
        <v>42842</v>
      </c>
      <c r="E61" s="34">
        <v>1026.69</v>
      </c>
      <c r="F61" s="34">
        <v>1239.68</v>
      </c>
      <c r="G61" s="34"/>
      <c r="H61" s="34"/>
      <c r="I61" s="34"/>
      <c r="J61" s="46">
        <f t="shared" si="10"/>
        <v>1239.68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46">
        <f t="shared" si="40"/>
        <v>1239.68</v>
      </c>
      <c r="W61" s="32"/>
      <c r="X61" s="46"/>
      <c r="Y61" s="32"/>
      <c r="Z61" s="32"/>
      <c r="AA61" s="32"/>
      <c r="AB61" s="46"/>
      <c r="AC61" s="55"/>
      <c r="AD61" s="56"/>
      <c r="AE61" s="47"/>
      <c r="AF61" s="35">
        <v>60590199370</v>
      </c>
      <c r="AG61" s="35"/>
    </row>
    <row r="62" spans="1:34" s="18" customFormat="1">
      <c r="A62" s="71" t="s">
        <v>27</v>
      </c>
      <c r="B62" s="33" t="s">
        <v>88</v>
      </c>
      <c r="C62" s="33" t="s">
        <v>139</v>
      </c>
      <c r="D62" s="49">
        <v>42506</v>
      </c>
      <c r="E62" s="34">
        <v>1633.38</v>
      </c>
      <c r="F62" s="34"/>
      <c r="G62" s="34"/>
      <c r="H62" s="34"/>
      <c r="I62" s="34"/>
      <c r="J62" s="46">
        <f t="shared" si="10"/>
        <v>0</v>
      </c>
      <c r="K62" s="34"/>
      <c r="L62" s="60"/>
      <c r="M62" s="34"/>
      <c r="N62" s="34"/>
      <c r="O62" s="61"/>
      <c r="P62" s="61"/>
      <c r="Q62" s="34"/>
      <c r="R62" s="32" t="s">
        <v>166</v>
      </c>
      <c r="S62" s="32"/>
      <c r="T62" s="33"/>
      <c r="U62" s="58">
        <v>209.3</v>
      </c>
      <c r="V62" s="46">
        <f t="shared" si="40"/>
        <v>-209.3</v>
      </c>
      <c r="W62" s="32">
        <f t="shared" si="44"/>
        <v>0</v>
      </c>
      <c r="X62" s="46">
        <f t="shared" si="33"/>
        <v>-209.3</v>
      </c>
      <c r="Y62" s="32">
        <f t="shared" si="34"/>
        <v>0</v>
      </c>
      <c r="Z62" s="32">
        <v>10.23</v>
      </c>
      <c r="AA62" s="32">
        <f t="shared" si="35"/>
        <v>0</v>
      </c>
      <c r="AB62" s="46">
        <f t="shared" si="36"/>
        <v>10.23</v>
      </c>
      <c r="AC62" s="55"/>
      <c r="AD62" s="55"/>
      <c r="AE62" s="47">
        <f t="shared" ref="AE62" si="45">+AC62+AD62-X62</f>
        <v>209.3</v>
      </c>
      <c r="AF62" s="35">
        <v>1179675078</v>
      </c>
      <c r="AG62" s="35"/>
      <c r="AH62" s="18" t="s">
        <v>128</v>
      </c>
    </row>
    <row r="63" spans="1:34" s="18" customFormat="1">
      <c r="A63" s="71" t="s">
        <v>26</v>
      </c>
      <c r="B63" s="33" t="s">
        <v>123</v>
      </c>
      <c r="C63" s="33" t="s">
        <v>42</v>
      </c>
      <c r="D63" s="49">
        <v>42597</v>
      </c>
      <c r="E63" s="34">
        <v>933.31</v>
      </c>
      <c r="F63" s="34">
        <v>1080</v>
      </c>
      <c r="G63" s="34"/>
      <c r="H63" s="34"/>
      <c r="I63" s="34"/>
      <c r="J63" s="46">
        <f t="shared" si="10"/>
        <v>1080</v>
      </c>
      <c r="K63" s="34">
        <f>125+200</f>
        <v>325</v>
      </c>
      <c r="L63" s="60"/>
      <c r="M63" s="34"/>
      <c r="N63" s="34"/>
      <c r="O63" s="61"/>
      <c r="P63" s="61"/>
      <c r="Q63" s="34"/>
      <c r="R63" s="32"/>
      <c r="S63" s="32"/>
      <c r="T63" s="33"/>
      <c r="U63" s="58"/>
      <c r="V63" s="46">
        <f t="shared" si="40"/>
        <v>755</v>
      </c>
      <c r="W63" s="32">
        <f t="shared" si="44"/>
        <v>0</v>
      </c>
      <c r="X63" s="46">
        <f t="shared" si="33"/>
        <v>755</v>
      </c>
      <c r="Y63" s="32"/>
      <c r="Z63" s="32"/>
      <c r="AA63" s="32"/>
      <c r="AB63" s="46"/>
      <c r="AC63" s="55"/>
      <c r="AD63" s="55"/>
      <c r="AE63" s="47"/>
      <c r="AF63" s="35">
        <v>60594462438</v>
      </c>
      <c r="AG63" s="35" t="s">
        <v>200</v>
      </c>
    </row>
    <row r="64" spans="1:34" s="18" customFormat="1">
      <c r="A64" s="71" t="s">
        <v>37</v>
      </c>
      <c r="B64" s="33" t="s">
        <v>116</v>
      </c>
      <c r="C64" s="33" t="s">
        <v>29</v>
      </c>
      <c r="D64" s="49">
        <v>42696</v>
      </c>
      <c r="E64" s="34">
        <v>1166.27</v>
      </c>
      <c r="F64" s="34">
        <v>2632.18</v>
      </c>
      <c r="G64" s="34"/>
      <c r="H64" s="34"/>
      <c r="I64" s="34"/>
      <c r="J64" s="46">
        <f t="shared" si="10"/>
        <v>2632.18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58"/>
      <c r="V64" s="46">
        <f t="shared" ref="V64" si="46">+J64-SUM(K64:U64)</f>
        <v>2632.18</v>
      </c>
      <c r="W64" s="32">
        <f t="shared" ref="W64" si="47">IF(J64&gt;2250,J64*0.1,0)</f>
        <v>263.21800000000002</v>
      </c>
      <c r="X64" s="46">
        <f t="shared" ref="X64" si="48">+V64-W64</f>
        <v>2368.962</v>
      </c>
      <c r="Y64" s="32"/>
      <c r="Z64" s="32"/>
      <c r="AA64" s="32"/>
      <c r="AB64" s="46"/>
      <c r="AC64" s="55"/>
      <c r="AD64" s="55"/>
      <c r="AE64" s="47"/>
      <c r="AF64" s="35">
        <v>56710784605</v>
      </c>
      <c r="AG64" s="35"/>
    </row>
    <row r="65" spans="1:187" s="18" customFormat="1">
      <c r="A65" s="71" t="s">
        <v>28</v>
      </c>
      <c r="B65" s="33" t="s">
        <v>186</v>
      </c>
      <c r="C65" s="33" t="s">
        <v>185</v>
      </c>
      <c r="D65" s="49">
        <v>43038</v>
      </c>
      <c r="E65" s="34">
        <v>1400</v>
      </c>
      <c r="F65" s="34"/>
      <c r="G65" s="34"/>
      <c r="H65" s="34"/>
      <c r="I65" s="34"/>
      <c r="J65" s="46">
        <f t="shared" si="10"/>
        <v>0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58"/>
      <c r="V65" s="46"/>
      <c r="W65" s="32"/>
      <c r="X65" s="46"/>
      <c r="Y65" s="32"/>
      <c r="Z65" s="32"/>
      <c r="AA65" s="32"/>
      <c r="AB65" s="46"/>
      <c r="AC65" s="55"/>
      <c r="AD65" s="55"/>
      <c r="AE65" s="47"/>
      <c r="AF65" s="35">
        <v>1514177835</v>
      </c>
      <c r="AG65" s="35"/>
      <c r="AH65" s="18" t="s">
        <v>128</v>
      </c>
    </row>
    <row r="66" spans="1:187" s="18" customFormat="1">
      <c r="A66" s="24"/>
      <c r="B66" s="25"/>
      <c r="C66" s="25"/>
      <c r="D66" s="25"/>
      <c r="E66" s="25"/>
      <c r="F66" s="26"/>
      <c r="G66" s="26"/>
      <c r="H66" s="26"/>
      <c r="I66" s="26"/>
      <c r="J66" s="27"/>
      <c r="K66" s="26"/>
      <c r="L66" s="26"/>
      <c r="M66" s="26"/>
      <c r="N66" s="26"/>
      <c r="O66" s="26"/>
      <c r="P66" s="26"/>
      <c r="Q66" s="26"/>
      <c r="R66" s="36"/>
      <c r="S66" s="36"/>
      <c r="T66" s="36"/>
      <c r="U66" s="36"/>
      <c r="V66" s="27"/>
      <c r="W66" s="36"/>
      <c r="X66" s="27"/>
      <c r="Y66" s="36"/>
      <c r="Z66" s="36"/>
      <c r="AA66" s="36"/>
      <c r="AB66" s="27"/>
      <c r="AC66" s="43"/>
      <c r="AD66" s="43"/>
      <c r="AE66" s="22"/>
    </row>
    <row r="67" spans="1:187">
      <c r="B67" s="37" t="s">
        <v>1</v>
      </c>
      <c r="C67" s="37"/>
      <c r="D67" s="37"/>
      <c r="E67" s="38">
        <f t="shared" ref="E67:U67" si="49">SUM(E7:E66)</f>
        <v>83671.520000000033</v>
      </c>
      <c r="F67" s="38">
        <f t="shared" si="49"/>
        <v>109499.09</v>
      </c>
      <c r="G67" s="38">
        <f t="shared" si="49"/>
        <v>0</v>
      </c>
      <c r="H67" s="38">
        <f t="shared" si="49"/>
        <v>534</v>
      </c>
      <c r="I67" s="38">
        <f t="shared" si="49"/>
        <v>0</v>
      </c>
      <c r="J67" s="38">
        <f t="shared" si="49"/>
        <v>110033.09</v>
      </c>
      <c r="K67" s="38">
        <f t="shared" si="49"/>
        <v>2512.5</v>
      </c>
      <c r="L67" s="38">
        <f t="shared" si="49"/>
        <v>4</v>
      </c>
      <c r="M67" s="38">
        <f t="shared" si="49"/>
        <v>0</v>
      </c>
      <c r="N67" s="38">
        <f t="shared" si="49"/>
        <v>1300</v>
      </c>
      <c r="O67" s="38">
        <f t="shared" si="49"/>
        <v>0</v>
      </c>
      <c r="P67" s="38">
        <f t="shared" si="49"/>
        <v>0</v>
      </c>
      <c r="Q67" s="38">
        <f t="shared" si="49"/>
        <v>0</v>
      </c>
      <c r="R67" s="38">
        <f t="shared" si="49"/>
        <v>9959.49</v>
      </c>
      <c r="S67" s="38">
        <f t="shared" si="49"/>
        <v>0.6</v>
      </c>
      <c r="T67" s="38">
        <f t="shared" si="49"/>
        <v>0</v>
      </c>
      <c r="U67" s="38">
        <f t="shared" si="49"/>
        <v>7503.79</v>
      </c>
      <c r="V67" s="38">
        <f t="shared" ref="V67:AE67" si="50">SUM(V8:V66)</f>
        <v>73905.349999999991</v>
      </c>
      <c r="W67" s="38">
        <f t="shared" si="50"/>
        <v>5417.1320000000005</v>
      </c>
      <c r="X67" s="38">
        <f t="shared" si="50"/>
        <v>40461.227999999996</v>
      </c>
      <c r="Y67" s="38">
        <f t="shared" si="50"/>
        <v>629.68900000000008</v>
      </c>
      <c r="Z67" s="38">
        <f t="shared" si="50"/>
        <v>268.05999999999995</v>
      </c>
      <c r="AA67" s="38">
        <f t="shared" si="50"/>
        <v>0</v>
      </c>
      <c r="AB67" s="38">
        <f t="shared" si="50"/>
        <v>55817.539000000012</v>
      </c>
      <c r="AC67" s="44">
        <f t="shared" si="50"/>
        <v>0</v>
      </c>
      <c r="AD67" s="44">
        <f t="shared" si="50"/>
        <v>0</v>
      </c>
      <c r="AE67" s="39" t="e">
        <f t="shared" si="50"/>
        <v>#REF!</v>
      </c>
      <c r="AF67" s="28"/>
      <c r="AG67" s="2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</row>
    <row r="68" spans="1:187">
      <c r="AB68" s="14">
        <f>AB67*0.16</f>
        <v>8930.8062400000017</v>
      </c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</row>
    <row r="69" spans="1:187">
      <c r="A69" s="91" t="s">
        <v>75</v>
      </c>
      <c r="B69" s="91"/>
      <c r="C69" s="28"/>
      <c r="D69" s="28"/>
      <c r="E69" s="28"/>
      <c r="F69" s="30"/>
      <c r="G69" s="30"/>
      <c r="H69" s="30"/>
      <c r="I69" s="30"/>
      <c r="J69" s="38"/>
      <c r="K69" s="30"/>
      <c r="L69" s="30"/>
      <c r="M69" s="30"/>
      <c r="N69" s="34"/>
      <c r="O69" s="34"/>
      <c r="P69" s="34"/>
      <c r="Q69" s="34"/>
      <c r="R69" s="30"/>
      <c r="S69" s="30"/>
      <c r="T69" s="30"/>
      <c r="U69" s="30"/>
      <c r="V69" s="38"/>
      <c r="W69" s="30"/>
      <c r="X69" s="38"/>
      <c r="Y69" s="30"/>
      <c r="Z69" s="30"/>
      <c r="AA69" s="30"/>
      <c r="AB69" s="38">
        <f>+AB67+AB68</f>
        <v>64748.34524000001</v>
      </c>
      <c r="AC69" s="44"/>
      <c r="AD69" s="44"/>
      <c r="AE69" s="39"/>
      <c r="AF69" s="28"/>
      <c r="AG69" s="2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</row>
    <row r="70" spans="1:187">
      <c r="A70" s="33" t="s">
        <v>38</v>
      </c>
      <c r="B70" s="33" t="s">
        <v>181</v>
      </c>
      <c r="C70" s="29" t="s">
        <v>182</v>
      </c>
      <c r="D70" s="49">
        <v>43038</v>
      </c>
      <c r="E70" s="34">
        <v>638.96</v>
      </c>
      <c r="F70" s="34">
        <v>2158.6590000000001</v>
      </c>
      <c r="G70" s="34"/>
      <c r="H70" s="31"/>
      <c r="I70" s="31"/>
      <c r="J70" s="46">
        <f>SUM(F70:I70)</f>
        <v>2158.6590000000001</v>
      </c>
      <c r="K70" s="34"/>
      <c r="L70" s="60"/>
      <c r="M70" s="34"/>
      <c r="N70" s="34"/>
      <c r="O70" s="61"/>
      <c r="P70" s="61"/>
      <c r="Q70" s="34"/>
      <c r="R70" s="32"/>
      <c r="S70" s="32"/>
      <c r="T70" s="33"/>
      <c r="U70" s="33"/>
      <c r="V70" s="46">
        <f>+J70-SUM(K70:U70)</f>
        <v>2158.6590000000001</v>
      </c>
      <c r="W70" s="32"/>
      <c r="X70" s="46"/>
      <c r="Y70" s="54"/>
      <c r="Z70" s="54"/>
      <c r="AA70" s="54"/>
      <c r="AB70" s="53"/>
      <c r="AC70" s="45"/>
      <c r="AD70" s="45"/>
      <c r="AE70" s="40"/>
      <c r="AF70" s="35">
        <v>56697905731</v>
      </c>
      <c r="AG70" s="35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</row>
    <row r="71" spans="1:187">
      <c r="A71" s="33" t="s">
        <v>40</v>
      </c>
      <c r="B71" s="33" t="s">
        <v>154</v>
      </c>
      <c r="C71" s="29" t="s">
        <v>103</v>
      </c>
      <c r="D71" s="49">
        <v>41142</v>
      </c>
      <c r="E71" s="34">
        <v>667.87</v>
      </c>
      <c r="F71" s="34">
        <f>2208.86+5.571</f>
        <v>2214.431</v>
      </c>
      <c r="G71" s="34"/>
      <c r="H71" s="31">
        <v>1327.55</v>
      </c>
      <c r="I71" s="31">
        <v>2655.1</v>
      </c>
      <c r="J71" s="46">
        <f>SUM(F71:I71)</f>
        <v>6197.0810000000001</v>
      </c>
      <c r="K71" s="34"/>
      <c r="L71" s="60"/>
      <c r="M71" s="34"/>
      <c r="N71" s="34"/>
      <c r="O71" s="61" t="s">
        <v>134</v>
      </c>
      <c r="P71" s="61" t="s">
        <v>134</v>
      </c>
      <c r="Q71" s="34"/>
      <c r="R71" s="32"/>
      <c r="S71" s="32"/>
      <c r="T71" s="33"/>
      <c r="U71" s="33"/>
      <c r="V71" s="46">
        <f>+J71-SUM(K71:U71)</f>
        <v>6197.0810000000001</v>
      </c>
      <c r="W71" s="32">
        <f>+V71*0.05</f>
        <v>309.85405000000003</v>
      </c>
      <c r="X71" s="46">
        <f>+V71-R71-U71</f>
        <v>6197.0810000000001</v>
      </c>
      <c r="Y71" s="54">
        <f>IF(V71&lt;3000,V71*0.1,0)</f>
        <v>0</v>
      </c>
      <c r="Z71" s="54">
        <v>0</v>
      </c>
      <c r="AA71" s="54"/>
      <c r="AB71" s="53">
        <f>+V71+Y71+Z71</f>
        <v>6197.0810000000001</v>
      </c>
      <c r="AC71" s="45"/>
      <c r="AD71" s="45"/>
      <c r="AE71" s="40"/>
      <c r="AF71" s="35">
        <v>56708845760</v>
      </c>
      <c r="AG71" s="35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</row>
    <row r="72" spans="1:187" s="18" customFormat="1">
      <c r="A72" s="33" t="s">
        <v>40</v>
      </c>
      <c r="B72" s="33" t="s">
        <v>52</v>
      </c>
      <c r="C72" s="33" t="s">
        <v>103</v>
      </c>
      <c r="D72" s="49">
        <v>41381</v>
      </c>
      <c r="E72" s="34">
        <v>627.13</v>
      </c>
      <c r="F72" s="34">
        <f>6468.12+5.571</f>
        <v>6473.6909999999998</v>
      </c>
      <c r="G72" s="34"/>
      <c r="H72" s="34"/>
      <c r="I72" s="34"/>
      <c r="J72" s="46">
        <f t="shared" ref="J72:J114" si="51">SUM(F72:I72)</f>
        <v>6473.6909999999998</v>
      </c>
      <c r="K72" s="34"/>
      <c r="L72" s="60"/>
      <c r="M72" s="34"/>
      <c r="N72" s="34"/>
      <c r="O72" s="61" t="s">
        <v>134</v>
      </c>
      <c r="P72" s="61" t="s">
        <v>134</v>
      </c>
      <c r="Q72" s="34"/>
      <c r="R72" s="32"/>
      <c r="S72" s="32"/>
      <c r="T72" s="33"/>
      <c r="U72" s="33"/>
      <c r="V72" s="46">
        <f t="shared" ref="V72:V113" si="52">+J72-SUM(K72:U72)</f>
        <v>6473.6909999999998</v>
      </c>
      <c r="W72" s="32">
        <f t="shared" ref="W72:W80" si="53">IF(J72&gt;2250,J72*0.1,0)</f>
        <v>647.3691</v>
      </c>
      <c r="X72" s="46">
        <f t="shared" ref="X72:X80" si="54">+V72-W72</f>
        <v>5826.3218999999999</v>
      </c>
      <c r="Y72" s="32">
        <f t="shared" ref="Y72:Y80" si="55">IF(J72&lt;2250,J72*0.1,0)</f>
        <v>0</v>
      </c>
      <c r="Z72" s="32">
        <v>10.23</v>
      </c>
      <c r="AA72" s="32" t="str">
        <f t="shared" ref="AA72:AA80" si="56">+O72</f>
        <v>XX</v>
      </c>
      <c r="AB72" s="46" t="e">
        <f t="shared" ref="AB72:AB80" si="57">+J72+Y72+Z72+AA72</f>
        <v>#VALUE!</v>
      </c>
      <c r="AC72" s="50"/>
      <c r="AD72" s="51"/>
      <c r="AE72" s="47">
        <f t="shared" ref="AE72:AE75" si="58">+AC72+AD72-X72</f>
        <v>-5826.3218999999999</v>
      </c>
      <c r="AF72" s="35">
        <v>56708845774</v>
      </c>
      <c r="AG72" s="35"/>
    </row>
    <row r="73" spans="1:187" s="18" customFormat="1">
      <c r="A73" s="33" t="s">
        <v>40</v>
      </c>
      <c r="B73" s="33" t="s">
        <v>82</v>
      </c>
      <c r="C73" s="33" t="s">
        <v>103</v>
      </c>
      <c r="D73" s="49">
        <v>41740</v>
      </c>
      <c r="E73" s="34">
        <v>627.13</v>
      </c>
      <c r="F73" s="34">
        <f>2257.414+5.571</f>
        <v>2262.9850000000001</v>
      </c>
      <c r="G73" s="34"/>
      <c r="H73" s="34"/>
      <c r="I73" s="34"/>
      <c r="J73" s="46">
        <f t="shared" si="51"/>
        <v>2262.9850000000001</v>
      </c>
      <c r="K73" s="34"/>
      <c r="L73" s="60"/>
      <c r="M73" s="34"/>
      <c r="N73" s="32">
        <v>300</v>
      </c>
      <c r="O73" s="61" t="s">
        <v>134</v>
      </c>
      <c r="P73" s="61" t="s">
        <v>134</v>
      </c>
      <c r="Q73" s="34"/>
      <c r="R73" s="32"/>
      <c r="S73" s="32"/>
      <c r="T73" s="33"/>
      <c r="U73" s="33"/>
      <c r="V73" s="46">
        <f t="shared" si="52"/>
        <v>1962.9850000000001</v>
      </c>
      <c r="W73" s="32">
        <f t="shared" si="53"/>
        <v>226.29850000000002</v>
      </c>
      <c r="X73" s="46">
        <f t="shared" si="54"/>
        <v>1736.6865</v>
      </c>
      <c r="Y73" s="32">
        <f t="shared" si="55"/>
        <v>0</v>
      </c>
      <c r="Z73" s="32">
        <v>10.23</v>
      </c>
      <c r="AA73" s="32" t="str">
        <f t="shared" si="56"/>
        <v>XX</v>
      </c>
      <c r="AB73" s="46" t="e">
        <f t="shared" si="57"/>
        <v>#VALUE!</v>
      </c>
      <c r="AC73" s="50"/>
      <c r="AD73" s="51"/>
      <c r="AE73" s="47">
        <f t="shared" si="58"/>
        <v>-1736.6865</v>
      </c>
      <c r="AF73" s="35">
        <v>56708845788</v>
      </c>
      <c r="AG73" s="35"/>
    </row>
    <row r="74" spans="1:187" s="18" customFormat="1">
      <c r="A74" s="33" t="s">
        <v>40</v>
      </c>
      <c r="B74" s="33" t="s">
        <v>124</v>
      </c>
      <c r="C74" s="33" t="s">
        <v>99</v>
      </c>
      <c r="D74" s="49">
        <v>42779</v>
      </c>
      <c r="E74" s="34">
        <v>560.28</v>
      </c>
      <c r="F74" s="34">
        <v>763.6</v>
      </c>
      <c r="G74" s="34"/>
      <c r="H74" s="34"/>
      <c r="I74" s="34"/>
      <c r="J74" s="46">
        <f t="shared" si="51"/>
        <v>763.6</v>
      </c>
      <c r="K74" s="34"/>
      <c r="L74" s="60"/>
      <c r="M74" s="34"/>
      <c r="N74" s="34"/>
      <c r="O74" s="61" t="s">
        <v>134</v>
      </c>
      <c r="P74" s="61" t="s">
        <v>134</v>
      </c>
      <c r="Q74" s="34"/>
      <c r="R74" s="32"/>
      <c r="S74" s="32"/>
      <c r="T74" s="33"/>
      <c r="U74" s="33"/>
      <c r="V74" s="46">
        <f t="shared" si="52"/>
        <v>763.6</v>
      </c>
      <c r="W74" s="32"/>
      <c r="X74" s="46"/>
      <c r="Y74" s="32"/>
      <c r="Z74" s="32"/>
      <c r="AA74" s="32"/>
      <c r="AB74" s="46"/>
      <c r="AC74" s="50"/>
      <c r="AD74" s="51"/>
      <c r="AE74" s="47"/>
      <c r="AF74" s="35">
        <v>60589582591</v>
      </c>
      <c r="AG74" s="35"/>
    </row>
    <row r="75" spans="1:187" s="18" customFormat="1">
      <c r="A75" s="33" t="s">
        <v>40</v>
      </c>
      <c r="B75" s="33" t="s">
        <v>53</v>
      </c>
      <c r="C75" s="33" t="s">
        <v>45</v>
      </c>
      <c r="D75" s="49">
        <v>41227</v>
      </c>
      <c r="E75" s="34">
        <v>560.28</v>
      </c>
      <c r="F75" s="34">
        <f>3629.556+13.099</f>
        <v>3642.6550000000002</v>
      </c>
      <c r="G75" s="34"/>
      <c r="H75" s="34"/>
      <c r="I75" s="34"/>
      <c r="J75" s="46">
        <f t="shared" si="51"/>
        <v>3642.6550000000002</v>
      </c>
      <c r="K75" s="34"/>
      <c r="L75" s="60"/>
      <c r="M75" s="34"/>
      <c r="N75" s="32">
        <v>700</v>
      </c>
      <c r="O75" s="61" t="s">
        <v>134</v>
      </c>
      <c r="P75" s="61" t="s">
        <v>134</v>
      </c>
      <c r="Q75" s="34"/>
      <c r="R75" s="32"/>
      <c r="S75" s="32"/>
      <c r="T75" s="33"/>
      <c r="U75" s="33"/>
      <c r="V75" s="46">
        <f t="shared" si="52"/>
        <v>2942.6550000000002</v>
      </c>
      <c r="W75" s="32">
        <f t="shared" si="53"/>
        <v>364.26550000000003</v>
      </c>
      <c r="X75" s="46">
        <f t="shared" si="54"/>
        <v>2578.3895000000002</v>
      </c>
      <c r="Y75" s="32">
        <f t="shared" si="55"/>
        <v>0</v>
      </c>
      <c r="Z75" s="32">
        <v>10.23</v>
      </c>
      <c r="AA75" s="32" t="str">
        <f t="shared" si="56"/>
        <v>XX</v>
      </c>
      <c r="AB75" s="46" t="e">
        <f t="shared" si="57"/>
        <v>#VALUE!</v>
      </c>
      <c r="AC75" s="50"/>
      <c r="AD75" s="51"/>
      <c r="AE75" s="47">
        <f t="shared" si="58"/>
        <v>-2578.3895000000002</v>
      </c>
      <c r="AF75" s="35">
        <v>56708845791</v>
      </c>
      <c r="AG75" s="35"/>
    </row>
    <row r="76" spans="1:187" s="18" customFormat="1">
      <c r="A76" s="33" t="s">
        <v>38</v>
      </c>
      <c r="B76" s="33" t="s">
        <v>79</v>
      </c>
      <c r="C76" s="33" t="s">
        <v>169</v>
      </c>
      <c r="D76" s="49">
        <v>42338</v>
      </c>
      <c r="E76" s="34">
        <v>739.2</v>
      </c>
      <c r="F76" s="34">
        <f>2273.665+7.428</f>
        <v>2281.0929999999998</v>
      </c>
      <c r="G76" s="34"/>
      <c r="H76" s="34"/>
      <c r="I76" s="34"/>
      <c r="J76" s="46">
        <f t="shared" si="51"/>
        <v>2281.0929999999998</v>
      </c>
      <c r="K76" s="34">
        <v>187.5</v>
      </c>
      <c r="L76" s="60"/>
      <c r="M76" s="34"/>
      <c r="N76" s="34"/>
      <c r="O76" s="61"/>
      <c r="P76" s="61"/>
      <c r="Q76" s="34"/>
      <c r="R76" s="32"/>
      <c r="S76" s="32"/>
      <c r="T76" s="33"/>
      <c r="U76" s="33"/>
      <c r="V76" s="46">
        <f t="shared" si="52"/>
        <v>2093.5929999999998</v>
      </c>
      <c r="W76" s="32">
        <f t="shared" si="53"/>
        <v>228.10929999999999</v>
      </c>
      <c r="X76" s="46">
        <f t="shared" si="54"/>
        <v>1865.4836999999998</v>
      </c>
      <c r="Y76" s="32">
        <f t="shared" si="55"/>
        <v>0</v>
      </c>
      <c r="Z76" s="32">
        <v>10.23</v>
      </c>
      <c r="AA76" s="32">
        <f t="shared" si="56"/>
        <v>0</v>
      </c>
      <c r="AB76" s="46">
        <f t="shared" si="57"/>
        <v>2291.3229999999999</v>
      </c>
      <c r="AC76" s="50"/>
      <c r="AD76" s="51"/>
      <c r="AE76" s="47">
        <f>+AC76+AD76-X76</f>
        <v>-1865.4836999999998</v>
      </c>
      <c r="AF76" s="35">
        <v>56708881872</v>
      </c>
      <c r="AG76" s="35" t="s">
        <v>199</v>
      </c>
    </row>
    <row r="77" spans="1:187" s="18" customFormat="1">
      <c r="A77" s="33" t="s">
        <v>40</v>
      </c>
      <c r="B77" s="33" t="s">
        <v>126</v>
      </c>
      <c r="C77" s="33" t="s">
        <v>99</v>
      </c>
      <c r="D77" s="49">
        <v>42807</v>
      </c>
      <c r="E77" s="34">
        <v>560.28</v>
      </c>
      <c r="F77" s="34">
        <v>563.1</v>
      </c>
      <c r="G77" s="34"/>
      <c r="H77" s="34"/>
      <c r="I77" s="34"/>
      <c r="J77" s="46">
        <f t="shared" si="51"/>
        <v>563.1</v>
      </c>
      <c r="K77" s="34"/>
      <c r="L77" s="60"/>
      <c r="M77" s="34"/>
      <c r="N77" s="34"/>
      <c r="O77" s="61" t="s">
        <v>134</v>
      </c>
      <c r="P77" s="61" t="s">
        <v>134</v>
      </c>
      <c r="Q77" s="34"/>
      <c r="R77" s="32"/>
      <c r="S77" s="32"/>
      <c r="T77" s="33"/>
      <c r="U77" s="33"/>
      <c r="V77" s="46">
        <f t="shared" si="52"/>
        <v>563.1</v>
      </c>
      <c r="W77" s="32"/>
      <c r="X77" s="46"/>
      <c r="Y77" s="32"/>
      <c r="Z77" s="32"/>
      <c r="AA77" s="32"/>
      <c r="AB77" s="46"/>
      <c r="AC77" s="50"/>
      <c r="AD77" s="51"/>
      <c r="AE77" s="47"/>
      <c r="AF77" s="35">
        <v>60589642468</v>
      </c>
      <c r="AG77" s="35"/>
    </row>
    <row r="78" spans="1:187" s="18" customFormat="1">
      <c r="A78" s="33" t="s">
        <v>38</v>
      </c>
      <c r="B78" s="33" t="s">
        <v>113</v>
      </c>
      <c r="C78" s="33" t="s">
        <v>41</v>
      </c>
      <c r="D78" s="49">
        <v>42681</v>
      </c>
      <c r="E78" s="34">
        <v>738.99</v>
      </c>
      <c r="F78" s="34">
        <f>3398.085+13.099</f>
        <v>3411.1840000000002</v>
      </c>
      <c r="G78" s="34"/>
      <c r="H78" s="34"/>
      <c r="I78" s="34"/>
      <c r="J78" s="46">
        <f t="shared" si="51"/>
        <v>3411.1840000000002</v>
      </c>
      <c r="K78" s="34"/>
      <c r="L78" s="60"/>
      <c r="M78" s="34"/>
      <c r="N78" s="34">
        <v>150</v>
      </c>
      <c r="O78" s="61"/>
      <c r="P78" s="61"/>
      <c r="Q78" s="34"/>
      <c r="R78" s="32"/>
      <c r="S78" s="32"/>
      <c r="T78" s="33"/>
      <c r="U78" s="33"/>
      <c r="V78" s="46">
        <f t="shared" si="52"/>
        <v>3261.1840000000002</v>
      </c>
      <c r="W78" s="32">
        <f t="shared" ref="W78" si="59">IF(J78&gt;2250,J78*0.1,0)</f>
        <v>341.11840000000007</v>
      </c>
      <c r="X78" s="46">
        <f t="shared" ref="X78" si="60">+V78-W78</f>
        <v>2920.0655999999999</v>
      </c>
      <c r="Y78" s="32"/>
      <c r="Z78" s="32"/>
      <c r="AA78" s="32"/>
      <c r="AB78" s="46"/>
      <c r="AC78" s="50"/>
      <c r="AD78" s="51"/>
      <c r="AE78" s="47"/>
      <c r="AF78" s="35">
        <v>56710773131</v>
      </c>
      <c r="AG78" s="35"/>
    </row>
    <row r="79" spans="1:187" s="18" customFormat="1">
      <c r="A79" s="33" t="s">
        <v>40</v>
      </c>
      <c r="B79" s="33" t="s">
        <v>87</v>
      </c>
      <c r="C79" s="33" t="s">
        <v>103</v>
      </c>
      <c r="D79" s="49">
        <v>41227</v>
      </c>
      <c r="E79" s="34">
        <v>627.13</v>
      </c>
      <c r="F79" s="34">
        <f>2978.113+2.599</f>
        <v>2980.712</v>
      </c>
      <c r="G79" s="34"/>
      <c r="H79" s="34"/>
      <c r="I79" s="34"/>
      <c r="J79" s="46">
        <f t="shared" si="51"/>
        <v>2980.712</v>
      </c>
      <c r="K79" s="34"/>
      <c r="L79" s="60"/>
      <c r="M79" s="34"/>
      <c r="N79" s="32">
        <v>500</v>
      </c>
      <c r="O79" s="61" t="s">
        <v>134</v>
      </c>
      <c r="P79" s="61" t="s">
        <v>134</v>
      </c>
      <c r="Q79" s="34"/>
      <c r="R79" s="32"/>
      <c r="S79" s="32"/>
      <c r="T79" s="33"/>
      <c r="U79" s="33"/>
      <c r="V79" s="46">
        <f t="shared" si="52"/>
        <v>2480.712</v>
      </c>
      <c r="W79" s="32">
        <f t="shared" si="53"/>
        <v>298.07120000000003</v>
      </c>
      <c r="X79" s="46">
        <f t="shared" si="54"/>
        <v>2182.6408000000001</v>
      </c>
      <c r="Y79" s="32">
        <f t="shared" si="55"/>
        <v>0</v>
      </c>
      <c r="Z79" s="32">
        <v>10.23</v>
      </c>
      <c r="AA79" s="32" t="str">
        <f t="shared" si="56"/>
        <v>XX</v>
      </c>
      <c r="AB79" s="46" t="e">
        <f t="shared" si="57"/>
        <v>#VALUE!</v>
      </c>
      <c r="AC79" s="50"/>
      <c r="AD79" s="51"/>
      <c r="AE79" s="47">
        <f>+AC79+AD79-X79</f>
        <v>-2182.6408000000001</v>
      </c>
      <c r="AF79" s="35">
        <v>56708845820</v>
      </c>
      <c r="AG79" s="35"/>
    </row>
    <row r="80" spans="1:187" s="18" customFormat="1">
      <c r="A80" s="33" t="s">
        <v>40</v>
      </c>
      <c r="B80" s="33" t="s">
        <v>62</v>
      </c>
      <c r="C80" s="33" t="s">
        <v>103</v>
      </c>
      <c r="D80" s="49">
        <v>41227</v>
      </c>
      <c r="E80" s="34">
        <v>627.13</v>
      </c>
      <c r="F80" s="34">
        <f>5022.11+2.972</f>
        <v>5025.0819999999994</v>
      </c>
      <c r="G80" s="34"/>
      <c r="H80" s="34"/>
      <c r="I80" s="34"/>
      <c r="J80" s="46">
        <f t="shared" si="51"/>
        <v>5025.0819999999994</v>
      </c>
      <c r="K80" s="34"/>
      <c r="L80" s="60"/>
      <c r="M80" s="34"/>
      <c r="N80" s="34">
        <v>1000</v>
      </c>
      <c r="O80" s="61" t="s">
        <v>134</v>
      </c>
      <c r="P80" s="61" t="s">
        <v>134</v>
      </c>
      <c r="Q80" s="34"/>
      <c r="R80" s="32"/>
      <c r="S80" s="32"/>
      <c r="T80" s="33"/>
      <c r="U80" s="33"/>
      <c r="V80" s="46">
        <f t="shared" si="52"/>
        <v>4025.0819999999994</v>
      </c>
      <c r="W80" s="32">
        <f t="shared" si="53"/>
        <v>502.50819999999999</v>
      </c>
      <c r="X80" s="46">
        <f t="shared" si="54"/>
        <v>3522.5737999999992</v>
      </c>
      <c r="Y80" s="32">
        <f t="shared" si="55"/>
        <v>0</v>
      </c>
      <c r="Z80" s="32">
        <v>10.23</v>
      </c>
      <c r="AA80" s="32" t="str">
        <f t="shared" si="56"/>
        <v>XX</v>
      </c>
      <c r="AB80" s="46" t="e">
        <f t="shared" si="57"/>
        <v>#VALUE!</v>
      </c>
      <c r="AC80" s="50"/>
      <c r="AD80" s="51"/>
      <c r="AE80" s="47">
        <f>+AC80+AD80-X80</f>
        <v>-3522.5737999999992</v>
      </c>
      <c r="AF80" s="35">
        <v>56708845834</v>
      </c>
      <c r="AG80" s="35"/>
    </row>
    <row r="81" spans="1:33" s="18" customFormat="1">
      <c r="A81" s="33" t="s">
        <v>40</v>
      </c>
      <c r="B81" s="33" t="s">
        <v>131</v>
      </c>
      <c r="C81" s="33" t="s">
        <v>118</v>
      </c>
      <c r="D81" s="49">
        <v>42842</v>
      </c>
      <c r="E81" s="34">
        <v>560.28</v>
      </c>
      <c r="F81" s="34">
        <f>3854.751+5.571</f>
        <v>3860.3220000000001</v>
      </c>
      <c r="G81" s="34"/>
      <c r="H81" s="34"/>
      <c r="I81" s="34"/>
      <c r="J81" s="46">
        <f t="shared" si="51"/>
        <v>3860.3220000000001</v>
      </c>
      <c r="K81" s="34"/>
      <c r="L81" s="60"/>
      <c r="M81" s="34"/>
      <c r="N81" s="34"/>
      <c r="O81" s="61" t="s">
        <v>134</v>
      </c>
      <c r="P81" s="61" t="s">
        <v>134</v>
      </c>
      <c r="Q81" s="34"/>
      <c r="R81" s="32"/>
      <c r="S81" s="32"/>
      <c r="T81" s="33"/>
      <c r="U81" s="33"/>
      <c r="V81" s="46">
        <f t="shared" si="52"/>
        <v>3860.3220000000001</v>
      </c>
      <c r="W81" s="32"/>
      <c r="X81" s="46"/>
      <c r="Y81" s="32"/>
      <c r="Z81" s="32"/>
      <c r="AA81" s="32"/>
      <c r="AB81" s="46"/>
      <c r="AC81" s="50"/>
      <c r="AD81" s="51"/>
      <c r="AE81" s="47"/>
      <c r="AF81" s="35">
        <v>60590100738</v>
      </c>
      <c r="AG81" s="35"/>
    </row>
    <row r="82" spans="1:33" s="18" customFormat="1">
      <c r="A82" s="33" t="s">
        <v>38</v>
      </c>
      <c r="B82" s="33" t="s">
        <v>63</v>
      </c>
      <c r="C82" s="33" t="s">
        <v>41</v>
      </c>
      <c r="D82" s="49">
        <v>42319</v>
      </c>
      <c r="E82" s="34">
        <v>739.2</v>
      </c>
      <c r="F82" s="34">
        <f>3796.858+13.099</f>
        <v>3809.9570000000003</v>
      </c>
      <c r="G82" s="34"/>
      <c r="H82" s="34"/>
      <c r="I82" s="34"/>
      <c r="J82" s="46">
        <f t="shared" si="51"/>
        <v>3809.9570000000003</v>
      </c>
      <c r="K82" s="34"/>
      <c r="L82" s="60"/>
      <c r="M82" s="34"/>
      <c r="N82" s="34"/>
      <c r="O82" s="61"/>
      <c r="P82" s="61"/>
      <c r="Q82" s="34"/>
      <c r="R82" s="32"/>
      <c r="S82" s="32"/>
      <c r="T82" s="33"/>
      <c r="U82" s="33"/>
      <c r="V82" s="46">
        <f t="shared" si="52"/>
        <v>3809.9570000000003</v>
      </c>
      <c r="W82" s="32">
        <f t="shared" ref="W82:W110" si="61">IF(J82&gt;2250,J82*0.1,0)</f>
        <v>380.99570000000006</v>
      </c>
      <c r="X82" s="46">
        <f t="shared" ref="X82:X110" si="62">+V82-W82</f>
        <v>3428.9613000000004</v>
      </c>
      <c r="Y82" s="32">
        <f t="shared" ref="Y82:Y110" si="63">IF(J82&lt;2250,J82*0.1,0)</f>
        <v>0</v>
      </c>
      <c r="Z82" s="32">
        <v>19.23</v>
      </c>
      <c r="AA82" s="32">
        <f t="shared" ref="AA82:AA110" si="64">+O82</f>
        <v>0</v>
      </c>
      <c r="AB82" s="46">
        <f t="shared" ref="AB82:AB110" si="65">+J82+Y82+Z82+AA82</f>
        <v>3829.1870000000004</v>
      </c>
      <c r="AC82" s="50"/>
      <c r="AD82" s="51"/>
      <c r="AE82" s="47">
        <f>+AC82+AD82-X82</f>
        <v>-3428.9613000000004</v>
      </c>
      <c r="AF82" s="35">
        <v>56708881901</v>
      </c>
      <c r="AG82" s="35"/>
    </row>
    <row r="83" spans="1:33" s="18" customFormat="1">
      <c r="A83" s="33" t="s">
        <v>38</v>
      </c>
      <c r="B83" s="33" t="s">
        <v>135</v>
      </c>
      <c r="C83" s="33" t="s">
        <v>41</v>
      </c>
      <c r="D83" s="49">
        <v>42884</v>
      </c>
      <c r="E83" s="34">
        <v>739.27</v>
      </c>
      <c r="F83" s="34">
        <f>3922.23+7.428</f>
        <v>3929.6579999999999</v>
      </c>
      <c r="G83" s="34"/>
      <c r="H83" s="34"/>
      <c r="I83" s="34"/>
      <c r="J83" s="46">
        <f t="shared" si="51"/>
        <v>3929.6579999999999</v>
      </c>
      <c r="K83" s="34"/>
      <c r="L83" s="60"/>
      <c r="M83" s="34"/>
      <c r="N83" s="34"/>
      <c r="O83" s="61"/>
      <c r="P83" s="61"/>
      <c r="Q83" s="34"/>
      <c r="R83" s="32"/>
      <c r="S83" s="32"/>
      <c r="T83" s="33"/>
      <c r="U83" s="33"/>
      <c r="V83" s="46">
        <f t="shared" si="52"/>
        <v>3929.6579999999999</v>
      </c>
      <c r="W83" s="32"/>
      <c r="X83" s="46"/>
      <c r="Y83" s="32"/>
      <c r="Z83" s="32"/>
      <c r="AA83" s="32"/>
      <c r="AB83" s="46"/>
      <c r="AC83" s="50"/>
      <c r="AD83" s="51"/>
      <c r="AE83" s="47"/>
      <c r="AF83" s="35">
        <v>60592118015</v>
      </c>
      <c r="AG83" s="35"/>
    </row>
    <row r="84" spans="1:33" s="18" customFormat="1">
      <c r="A84" s="33" t="s">
        <v>40</v>
      </c>
      <c r="B84" s="33" t="s">
        <v>125</v>
      </c>
      <c r="C84" s="33" t="s">
        <v>99</v>
      </c>
      <c r="D84" s="49">
        <v>42807</v>
      </c>
      <c r="E84" s="34">
        <v>560.28</v>
      </c>
      <c r="F84" s="34">
        <v>1356</v>
      </c>
      <c r="G84" s="34"/>
      <c r="H84" s="34"/>
      <c r="I84" s="34"/>
      <c r="J84" s="46">
        <f t="shared" si="51"/>
        <v>1356</v>
      </c>
      <c r="K84" s="34"/>
      <c r="L84" s="60"/>
      <c r="M84" s="34"/>
      <c r="N84" s="34"/>
      <c r="O84" s="61" t="s">
        <v>134</v>
      </c>
      <c r="P84" s="61" t="s">
        <v>134</v>
      </c>
      <c r="Q84" s="34"/>
      <c r="R84" s="32"/>
      <c r="S84" s="32"/>
      <c r="T84" s="33"/>
      <c r="U84" s="33"/>
      <c r="V84" s="46">
        <f t="shared" si="52"/>
        <v>1356</v>
      </c>
      <c r="W84" s="32"/>
      <c r="X84" s="46"/>
      <c r="Y84" s="32"/>
      <c r="Z84" s="32"/>
      <c r="AA84" s="32"/>
      <c r="AB84" s="46"/>
      <c r="AC84" s="50"/>
      <c r="AD84" s="51"/>
      <c r="AE84" s="47"/>
      <c r="AF84" s="35" t="s">
        <v>150</v>
      </c>
      <c r="AG84" s="35"/>
    </row>
    <row r="85" spans="1:33" s="18" customFormat="1">
      <c r="A85" s="33" t="s">
        <v>40</v>
      </c>
      <c r="B85" s="33" t="s">
        <v>49</v>
      </c>
      <c r="C85" s="33" t="s">
        <v>118</v>
      </c>
      <c r="D85" s="49">
        <v>41981</v>
      </c>
      <c r="E85" s="34">
        <v>506.28</v>
      </c>
      <c r="F85" s="34">
        <f>993.898+3.736</f>
        <v>997.63400000000001</v>
      </c>
      <c r="G85" s="34"/>
      <c r="H85" s="34"/>
      <c r="I85" s="34"/>
      <c r="J85" s="46">
        <f t="shared" si="51"/>
        <v>997.63400000000001</v>
      </c>
      <c r="K85" s="34">
        <v>200</v>
      </c>
      <c r="L85" s="60"/>
      <c r="M85" s="34"/>
      <c r="N85" s="34">
        <v>300</v>
      </c>
      <c r="O85" s="61" t="s">
        <v>134</v>
      </c>
      <c r="P85" s="61" t="s">
        <v>134</v>
      </c>
      <c r="Q85" s="34"/>
      <c r="R85" s="32"/>
      <c r="S85" s="32"/>
      <c r="T85" s="33"/>
      <c r="U85" s="33"/>
      <c r="V85" s="46">
        <f t="shared" si="52"/>
        <v>497.63400000000001</v>
      </c>
      <c r="W85" s="32">
        <f t="shared" si="61"/>
        <v>0</v>
      </c>
      <c r="X85" s="46">
        <f t="shared" si="62"/>
        <v>497.63400000000001</v>
      </c>
      <c r="Y85" s="32">
        <f t="shared" si="63"/>
        <v>99.763400000000004</v>
      </c>
      <c r="Z85" s="32">
        <v>10.23</v>
      </c>
      <c r="AA85" s="32" t="str">
        <f t="shared" si="64"/>
        <v>XX</v>
      </c>
      <c r="AB85" s="46" t="e">
        <f t="shared" si="65"/>
        <v>#VALUE!</v>
      </c>
      <c r="AC85" s="50"/>
      <c r="AD85" s="51"/>
      <c r="AE85" s="47">
        <f t="shared" ref="AE85:AE110" si="66">+AC85+AD85-X85</f>
        <v>-497.63400000000001</v>
      </c>
      <c r="AF85" s="35">
        <v>56708845851</v>
      </c>
      <c r="AG85" s="35" t="s">
        <v>162</v>
      </c>
    </row>
    <row r="86" spans="1:33" s="18" customFormat="1">
      <c r="A86" s="33" t="s">
        <v>40</v>
      </c>
      <c r="B86" s="33" t="s">
        <v>71</v>
      </c>
      <c r="C86" s="33" t="s">
        <v>103</v>
      </c>
      <c r="D86" s="49">
        <v>41284</v>
      </c>
      <c r="E86" s="34">
        <v>627.13</v>
      </c>
      <c r="F86" s="34">
        <f>5131.93+2.599</f>
        <v>5134.5290000000005</v>
      </c>
      <c r="G86" s="34"/>
      <c r="H86" s="34"/>
      <c r="I86" s="34"/>
      <c r="J86" s="46">
        <f t="shared" si="51"/>
        <v>5134.5290000000005</v>
      </c>
      <c r="K86" s="34">
        <v>125</v>
      </c>
      <c r="L86" s="60"/>
      <c r="M86" s="34"/>
      <c r="N86" s="34"/>
      <c r="O86" s="61" t="s">
        <v>134</v>
      </c>
      <c r="P86" s="61" t="s">
        <v>134</v>
      </c>
      <c r="Q86" s="34"/>
      <c r="R86" s="32"/>
      <c r="S86" s="32"/>
      <c r="T86" s="33"/>
      <c r="U86" s="33"/>
      <c r="V86" s="46">
        <f t="shared" si="52"/>
        <v>5009.5290000000005</v>
      </c>
      <c r="W86" s="32">
        <f t="shared" si="61"/>
        <v>513.45290000000011</v>
      </c>
      <c r="X86" s="46">
        <f t="shared" si="62"/>
        <v>4496.0761000000002</v>
      </c>
      <c r="Y86" s="32">
        <f t="shared" si="63"/>
        <v>0</v>
      </c>
      <c r="Z86" s="32">
        <v>10.23</v>
      </c>
      <c r="AA86" s="32" t="str">
        <f t="shared" si="64"/>
        <v>XX</v>
      </c>
      <c r="AB86" s="46" t="e">
        <f t="shared" si="65"/>
        <v>#VALUE!</v>
      </c>
      <c r="AC86" s="50"/>
      <c r="AD86" s="51"/>
      <c r="AE86" s="47">
        <f t="shared" si="66"/>
        <v>-4496.0761000000002</v>
      </c>
      <c r="AF86" s="35">
        <v>56708881915</v>
      </c>
      <c r="AG86" s="35" t="s">
        <v>197</v>
      </c>
    </row>
    <row r="87" spans="1:33" s="18" customFormat="1">
      <c r="A87" s="33" t="s">
        <v>38</v>
      </c>
      <c r="B87" s="33" t="s">
        <v>155</v>
      </c>
      <c r="C87" s="33" t="s">
        <v>41</v>
      </c>
      <c r="D87" s="49">
        <v>42823</v>
      </c>
      <c r="E87" s="34">
        <v>560.28</v>
      </c>
      <c r="F87" s="34">
        <f>5491.087+13.099</f>
        <v>5504.1860000000006</v>
      </c>
      <c r="G87" s="34"/>
      <c r="H87" s="34"/>
      <c r="I87" s="34"/>
      <c r="J87" s="46">
        <f t="shared" si="51"/>
        <v>5504.1860000000006</v>
      </c>
      <c r="K87" s="34"/>
      <c r="L87" s="60">
        <v>1</v>
      </c>
      <c r="M87" s="34"/>
      <c r="N87" s="34"/>
      <c r="O87" s="61"/>
      <c r="P87" s="61"/>
      <c r="Q87" s="34"/>
      <c r="R87" s="32"/>
      <c r="S87" s="32"/>
      <c r="T87" s="33"/>
      <c r="U87" s="33"/>
      <c r="V87" s="46">
        <f t="shared" si="52"/>
        <v>5503.1860000000006</v>
      </c>
      <c r="W87" s="32"/>
      <c r="X87" s="46"/>
      <c r="Y87" s="32"/>
      <c r="Z87" s="32"/>
      <c r="AA87" s="32"/>
      <c r="AB87" s="46"/>
      <c r="AC87" s="50"/>
      <c r="AD87" s="51"/>
      <c r="AE87" s="47"/>
      <c r="AF87" s="35">
        <v>60589704184</v>
      </c>
      <c r="AG87" s="35"/>
    </row>
    <row r="88" spans="1:33" s="18" customFormat="1">
      <c r="A88" s="33" t="s">
        <v>40</v>
      </c>
      <c r="B88" s="33" t="s">
        <v>51</v>
      </c>
      <c r="C88" s="33" t="s">
        <v>103</v>
      </c>
      <c r="D88" s="49">
        <v>41227</v>
      </c>
      <c r="E88" s="34">
        <v>627.13</v>
      </c>
      <c r="F88" s="34">
        <f>2240.664+2.972</f>
        <v>2243.6360000000004</v>
      </c>
      <c r="G88" s="34"/>
      <c r="H88" s="34"/>
      <c r="I88" s="34"/>
      <c r="J88" s="46">
        <f t="shared" si="51"/>
        <v>2243.6360000000004</v>
      </c>
      <c r="K88" s="34"/>
      <c r="L88" s="60"/>
      <c r="M88" s="34"/>
      <c r="N88" s="34"/>
      <c r="O88" s="61" t="s">
        <v>134</v>
      </c>
      <c r="P88" s="61" t="s">
        <v>134</v>
      </c>
      <c r="Q88" s="34"/>
      <c r="R88" s="32"/>
      <c r="S88" s="32"/>
      <c r="T88" s="33"/>
      <c r="U88" s="33"/>
      <c r="V88" s="46">
        <f t="shared" si="52"/>
        <v>2243.6360000000004</v>
      </c>
      <c r="W88" s="32">
        <f t="shared" si="61"/>
        <v>0</v>
      </c>
      <c r="X88" s="46">
        <f t="shared" si="62"/>
        <v>2243.6360000000004</v>
      </c>
      <c r="Y88" s="32">
        <f t="shared" si="63"/>
        <v>224.36360000000005</v>
      </c>
      <c r="Z88" s="32">
        <v>10.23</v>
      </c>
      <c r="AA88" s="32" t="str">
        <f t="shared" si="64"/>
        <v>XX</v>
      </c>
      <c r="AB88" s="46" t="e">
        <f t="shared" si="65"/>
        <v>#VALUE!</v>
      </c>
      <c r="AC88" s="50"/>
      <c r="AD88" s="51"/>
      <c r="AE88" s="47">
        <f t="shared" si="66"/>
        <v>-2243.6360000000004</v>
      </c>
      <c r="AF88" s="35">
        <v>56708845865</v>
      </c>
      <c r="AG88" s="35"/>
    </row>
    <row r="89" spans="1:33" s="18" customFormat="1">
      <c r="A89" s="33" t="s">
        <v>38</v>
      </c>
      <c r="B89" s="33" t="s">
        <v>64</v>
      </c>
      <c r="C89" s="33" t="s">
        <v>41</v>
      </c>
      <c r="D89" s="49">
        <v>41493</v>
      </c>
      <c r="E89" s="34">
        <v>739.2</v>
      </c>
      <c r="F89" s="34">
        <f>4377.927+13.099</f>
        <v>4391.0259999999998</v>
      </c>
      <c r="G89" s="34"/>
      <c r="H89" s="34"/>
      <c r="I89" s="34"/>
      <c r="J89" s="46">
        <f t="shared" si="51"/>
        <v>4391.0259999999998</v>
      </c>
      <c r="K89" s="34"/>
      <c r="L89" s="60"/>
      <c r="M89" s="34"/>
      <c r="N89" s="34"/>
      <c r="O89" s="61"/>
      <c r="P89" s="61"/>
      <c r="Q89" s="34"/>
      <c r="R89" s="32"/>
      <c r="S89" s="32"/>
      <c r="T89" s="33"/>
      <c r="U89" s="33"/>
      <c r="V89" s="46">
        <f t="shared" si="52"/>
        <v>4391.0259999999998</v>
      </c>
      <c r="W89" s="32">
        <f t="shared" si="61"/>
        <v>439.1026</v>
      </c>
      <c r="X89" s="46">
        <f t="shared" si="62"/>
        <v>3951.9233999999997</v>
      </c>
      <c r="Y89" s="32">
        <f t="shared" si="63"/>
        <v>0</v>
      </c>
      <c r="Z89" s="32">
        <v>10.23</v>
      </c>
      <c r="AA89" s="32">
        <f t="shared" si="64"/>
        <v>0</v>
      </c>
      <c r="AB89" s="46">
        <f t="shared" si="65"/>
        <v>4401.2559999999994</v>
      </c>
      <c r="AC89" s="50"/>
      <c r="AD89" s="51"/>
      <c r="AE89" s="47">
        <f t="shared" si="66"/>
        <v>-3951.9233999999997</v>
      </c>
      <c r="AF89" s="35">
        <v>56708845879</v>
      </c>
      <c r="AG89" s="35"/>
    </row>
    <row r="90" spans="1:33" s="18" customFormat="1">
      <c r="A90" s="33" t="s">
        <v>40</v>
      </c>
      <c r="B90" s="33" t="s">
        <v>95</v>
      </c>
      <c r="C90" s="33" t="s">
        <v>118</v>
      </c>
      <c r="D90" s="49">
        <v>42493</v>
      </c>
      <c r="E90" s="34">
        <v>506.28</v>
      </c>
      <c r="F90" s="34">
        <f>679.856+2.599</f>
        <v>682.45500000000004</v>
      </c>
      <c r="G90" s="34"/>
      <c r="H90" s="34"/>
      <c r="I90" s="34"/>
      <c r="J90" s="46">
        <f t="shared" si="51"/>
        <v>682.45500000000004</v>
      </c>
      <c r="K90" s="34"/>
      <c r="L90" s="60"/>
      <c r="M90" s="34"/>
      <c r="N90" s="34"/>
      <c r="O90" s="61" t="s">
        <v>134</v>
      </c>
      <c r="P90" s="61" t="s">
        <v>134</v>
      </c>
      <c r="Q90" s="34"/>
      <c r="R90" s="32"/>
      <c r="S90" s="32"/>
      <c r="T90" s="33"/>
      <c r="U90" s="33"/>
      <c r="V90" s="46">
        <f t="shared" si="52"/>
        <v>682.45500000000004</v>
      </c>
      <c r="W90" s="32">
        <f t="shared" si="61"/>
        <v>0</v>
      </c>
      <c r="X90" s="46">
        <f t="shared" si="62"/>
        <v>682.45500000000004</v>
      </c>
      <c r="Y90" s="32">
        <f t="shared" si="63"/>
        <v>68.245500000000007</v>
      </c>
      <c r="Z90" s="32">
        <v>10.23</v>
      </c>
      <c r="AA90" s="32" t="str">
        <f t="shared" si="64"/>
        <v>XX</v>
      </c>
      <c r="AB90" s="46" t="e">
        <f t="shared" si="65"/>
        <v>#VALUE!</v>
      </c>
      <c r="AC90" s="50"/>
      <c r="AD90" s="51"/>
      <c r="AE90" s="47">
        <f t="shared" si="66"/>
        <v>-682.45500000000004</v>
      </c>
      <c r="AF90" s="35">
        <v>56708845882</v>
      </c>
      <c r="AG90" s="35"/>
    </row>
    <row r="91" spans="1:33" s="18" customFormat="1">
      <c r="A91" s="33" t="s">
        <v>38</v>
      </c>
      <c r="B91" s="33" t="s">
        <v>151</v>
      </c>
      <c r="C91" s="33" t="s">
        <v>41</v>
      </c>
      <c r="D91" s="49">
        <v>42716</v>
      </c>
      <c r="E91" s="34">
        <v>1200.01</v>
      </c>
      <c r="F91" s="34">
        <f>4987.658+5.571-461.01</f>
        <v>4532.2190000000001</v>
      </c>
      <c r="G91" s="34"/>
      <c r="H91" s="34"/>
      <c r="I91" s="34"/>
      <c r="J91" s="46">
        <f t="shared" si="51"/>
        <v>4532.2190000000001</v>
      </c>
      <c r="K91" s="34"/>
      <c r="L91" s="60"/>
      <c r="M91" s="34"/>
      <c r="N91" s="34"/>
      <c r="O91" s="61"/>
      <c r="P91" s="61"/>
      <c r="Q91" s="34"/>
      <c r="R91" s="32"/>
      <c r="S91" s="32"/>
      <c r="T91" s="33"/>
      <c r="U91" s="33">
        <v>301.08999999999997</v>
      </c>
      <c r="V91" s="46">
        <f t="shared" si="52"/>
        <v>4231.1289999999999</v>
      </c>
      <c r="W91" s="32">
        <f t="shared" ref="W91" si="67">IF(J91&gt;2250,J91*0.1,0)</f>
        <v>453.22190000000001</v>
      </c>
      <c r="X91" s="46">
        <f t="shared" ref="X91" si="68">+V91-W91</f>
        <v>3777.9070999999999</v>
      </c>
      <c r="Y91" s="32"/>
      <c r="Z91" s="32"/>
      <c r="AA91" s="32">
        <f t="shared" si="64"/>
        <v>0</v>
      </c>
      <c r="AB91" s="46"/>
      <c r="AC91" s="50"/>
      <c r="AD91" s="51"/>
      <c r="AE91" s="47"/>
      <c r="AF91" s="35">
        <v>60589845501</v>
      </c>
      <c r="AG91" s="35"/>
    </row>
    <row r="92" spans="1:33" s="18" customFormat="1">
      <c r="A92" s="33" t="s">
        <v>38</v>
      </c>
      <c r="B92" s="33" t="s">
        <v>156</v>
      </c>
      <c r="C92" s="33" t="s">
        <v>41</v>
      </c>
      <c r="D92" s="49">
        <v>42909</v>
      </c>
      <c r="E92" s="34">
        <v>738.99</v>
      </c>
      <c r="F92" s="34">
        <f>3310.874+5.571</f>
        <v>3316.4449999999997</v>
      </c>
      <c r="G92" s="34"/>
      <c r="H92" s="34"/>
      <c r="I92" s="34"/>
      <c r="J92" s="46">
        <f t="shared" si="51"/>
        <v>3316.4449999999997</v>
      </c>
      <c r="K92" s="34"/>
      <c r="L92" s="60"/>
      <c r="M92" s="34"/>
      <c r="N92" s="34"/>
      <c r="O92" s="61"/>
      <c r="P92" s="61"/>
      <c r="Q92" s="34"/>
      <c r="R92" s="32"/>
      <c r="S92" s="32"/>
      <c r="T92" s="33"/>
      <c r="U92" s="58"/>
      <c r="V92" s="46">
        <f t="shared" si="52"/>
        <v>3316.4449999999997</v>
      </c>
      <c r="W92" s="32"/>
      <c r="X92" s="46"/>
      <c r="Y92" s="32"/>
      <c r="Z92" s="32"/>
      <c r="AA92" s="32"/>
      <c r="AB92" s="46"/>
      <c r="AC92" s="50"/>
      <c r="AD92" s="50"/>
      <c r="AE92" s="47"/>
      <c r="AF92" s="35">
        <v>60592420864</v>
      </c>
      <c r="AG92" s="35"/>
    </row>
    <row r="93" spans="1:33" s="18" customFormat="1">
      <c r="A93" s="33" t="s">
        <v>40</v>
      </c>
      <c r="B93" s="33" t="s">
        <v>56</v>
      </c>
      <c r="C93" s="33" t="s">
        <v>102</v>
      </c>
      <c r="D93" s="49">
        <v>36868</v>
      </c>
      <c r="E93" s="34">
        <v>627.13</v>
      </c>
      <c r="F93" s="34">
        <f>1470.026+7.428</f>
        <v>1477.4540000000002</v>
      </c>
      <c r="G93" s="34"/>
      <c r="H93" s="34">
        <v>1788.93</v>
      </c>
      <c r="I93" s="34"/>
      <c r="J93" s="46">
        <f t="shared" si="51"/>
        <v>3266.384</v>
      </c>
      <c r="K93" s="34"/>
      <c r="L93" s="60"/>
      <c r="M93" s="34"/>
      <c r="N93" s="34"/>
      <c r="O93" s="61" t="s">
        <v>134</v>
      </c>
      <c r="P93" s="61" t="s">
        <v>134</v>
      </c>
      <c r="Q93" s="34"/>
      <c r="R93" s="32"/>
      <c r="S93" s="32"/>
      <c r="T93" s="33"/>
      <c r="U93" s="33"/>
      <c r="V93" s="46">
        <f t="shared" si="52"/>
        <v>3266.384</v>
      </c>
      <c r="W93" s="32">
        <f t="shared" si="61"/>
        <v>326.63840000000005</v>
      </c>
      <c r="X93" s="46">
        <f t="shared" si="62"/>
        <v>2939.7456000000002</v>
      </c>
      <c r="Y93" s="32">
        <f t="shared" si="63"/>
        <v>0</v>
      </c>
      <c r="Z93" s="32">
        <v>10.23</v>
      </c>
      <c r="AA93" s="32" t="str">
        <f t="shared" si="64"/>
        <v>XX</v>
      </c>
      <c r="AB93" s="46" t="e">
        <f t="shared" si="65"/>
        <v>#VALUE!</v>
      </c>
      <c r="AC93" s="50"/>
      <c r="AD93" s="50"/>
      <c r="AE93" s="47">
        <f t="shared" si="66"/>
        <v>-2939.7456000000002</v>
      </c>
      <c r="AF93" s="35">
        <v>56708845911</v>
      </c>
      <c r="AG93" s="35"/>
    </row>
    <row r="94" spans="1:33" s="18" customFormat="1">
      <c r="A94" s="33" t="s">
        <v>40</v>
      </c>
      <c r="B94" s="33" t="s">
        <v>54</v>
      </c>
      <c r="C94" s="33" t="s">
        <v>100</v>
      </c>
      <c r="D94" s="49">
        <v>41949</v>
      </c>
      <c r="E94" s="34">
        <v>560.28</v>
      </c>
      <c r="F94" s="34">
        <f>2029.2+7.428</f>
        <v>2036.6280000000002</v>
      </c>
      <c r="G94" s="34"/>
      <c r="H94" s="34"/>
      <c r="I94" s="34"/>
      <c r="J94" s="46">
        <f t="shared" si="51"/>
        <v>2036.6280000000002</v>
      </c>
      <c r="K94" s="34"/>
      <c r="L94" s="60"/>
      <c r="M94" s="34"/>
      <c r="N94" s="34">
        <v>500</v>
      </c>
      <c r="O94" s="61" t="s">
        <v>134</v>
      </c>
      <c r="P94" s="61" t="s">
        <v>134</v>
      </c>
      <c r="Q94" s="34"/>
      <c r="R94" s="32"/>
      <c r="S94" s="32"/>
      <c r="T94" s="33"/>
      <c r="U94" s="33"/>
      <c r="V94" s="46">
        <f t="shared" si="52"/>
        <v>1536.6280000000002</v>
      </c>
      <c r="W94" s="32">
        <f t="shared" si="61"/>
        <v>0</v>
      </c>
      <c r="X94" s="46">
        <f t="shared" si="62"/>
        <v>1536.6280000000002</v>
      </c>
      <c r="Y94" s="32">
        <f t="shared" si="63"/>
        <v>203.66280000000003</v>
      </c>
      <c r="Z94" s="32">
        <v>10.23</v>
      </c>
      <c r="AA94" s="32" t="str">
        <f t="shared" si="64"/>
        <v>XX</v>
      </c>
      <c r="AB94" s="46" t="e">
        <f t="shared" si="65"/>
        <v>#VALUE!</v>
      </c>
      <c r="AC94" s="50"/>
      <c r="AD94" s="51"/>
      <c r="AE94" s="47">
        <f t="shared" si="66"/>
        <v>-1536.6280000000002</v>
      </c>
      <c r="AF94" s="35">
        <v>56708845925</v>
      </c>
      <c r="AG94" s="33"/>
    </row>
    <row r="95" spans="1:33" s="18" customFormat="1">
      <c r="A95" s="33" t="s">
        <v>38</v>
      </c>
      <c r="B95" s="33" t="s">
        <v>34</v>
      </c>
      <c r="C95" s="33" t="s">
        <v>41</v>
      </c>
      <c r="D95" s="49">
        <v>42129</v>
      </c>
      <c r="E95" s="34">
        <v>739.2</v>
      </c>
      <c r="F95" s="34">
        <f>5106.72+13.099</f>
        <v>5119.8190000000004</v>
      </c>
      <c r="G95" s="34"/>
      <c r="H95" s="34"/>
      <c r="I95" s="34"/>
      <c r="J95" s="46">
        <f t="shared" si="51"/>
        <v>5119.8190000000004</v>
      </c>
      <c r="K95" s="34"/>
      <c r="L95" s="60"/>
      <c r="M95" s="34"/>
      <c r="N95" s="34"/>
      <c r="O95" s="61"/>
      <c r="P95" s="61"/>
      <c r="Q95" s="34"/>
      <c r="R95" s="32"/>
      <c r="S95" s="32"/>
      <c r="T95" s="33"/>
      <c r="U95" s="33">
        <v>1340.34</v>
      </c>
      <c r="V95" s="46">
        <f t="shared" si="52"/>
        <v>3779.4790000000003</v>
      </c>
      <c r="W95" s="32">
        <f t="shared" ref="W95" si="69">IF(J95&gt;2250,J95*0.1,0)</f>
        <v>511.98190000000005</v>
      </c>
      <c r="X95" s="46">
        <f t="shared" ref="X95" si="70">+V95-W95</f>
        <v>3267.4971</v>
      </c>
      <c r="Y95" s="32">
        <f t="shared" si="63"/>
        <v>0</v>
      </c>
      <c r="Z95" s="32">
        <v>10.23</v>
      </c>
      <c r="AA95" s="32">
        <f t="shared" si="64"/>
        <v>0</v>
      </c>
      <c r="AB95" s="46">
        <f t="shared" si="65"/>
        <v>5130.049</v>
      </c>
      <c r="AC95" s="50"/>
      <c r="AD95" s="51"/>
      <c r="AE95" s="47">
        <f t="shared" si="66"/>
        <v>-3267.4971</v>
      </c>
      <c r="AF95" s="35">
        <v>56708845939</v>
      </c>
      <c r="AG95" s="35"/>
    </row>
    <row r="96" spans="1:33" s="18" customFormat="1">
      <c r="A96" s="33" t="s">
        <v>40</v>
      </c>
      <c r="B96" s="33" t="s">
        <v>188</v>
      </c>
      <c r="C96" s="33" t="s">
        <v>189</v>
      </c>
      <c r="D96" s="49">
        <v>43033</v>
      </c>
      <c r="E96" s="34">
        <v>560.28</v>
      </c>
      <c r="F96" s="34">
        <v>304.51</v>
      </c>
      <c r="G96" s="34"/>
      <c r="H96" s="34"/>
      <c r="I96" s="34"/>
      <c r="J96" s="46">
        <f t="shared" si="51"/>
        <v>304.51</v>
      </c>
      <c r="K96" s="34"/>
      <c r="L96" s="60">
        <v>1</v>
      </c>
      <c r="M96" s="34"/>
      <c r="N96" s="34"/>
      <c r="O96" s="61" t="s">
        <v>134</v>
      </c>
      <c r="P96" s="61" t="s">
        <v>134</v>
      </c>
      <c r="Q96" s="34"/>
      <c r="R96" s="32"/>
      <c r="S96" s="32"/>
      <c r="T96" s="33"/>
      <c r="U96" s="33"/>
      <c r="V96" s="46">
        <f t="shared" si="52"/>
        <v>303.51</v>
      </c>
      <c r="W96" s="32"/>
      <c r="X96" s="46"/>
      <c r="Y96" s="32"/>
      <c r="Z96" s="32"/>
      <c r="AA96" s="32"/>
      <c r="AB96" s="46"/>
      <c r="AC96" s="50"/>
      <c r="AD96" s="51"/>
      <c r="AE96" s="47"/>
      <c r="AF96" s="35" t="s">
        <v>150</v>
      </c>
      <c r="AG96" s="35"/>
    </row>
    <row r="97" spans="1:33" s="18" customFormat="1">
      <c r="A97" s="33" t="s">
        <v>40</v>
      </c>
      <c r="B97" s="33" t="s">
        <v>142</v>
      </c>
      <c r="C97" s="33" t="s">
        <v>141</v>
      </c>
      <c r="D97" s="49">
        <v>42912</v>
      </c>
      <c r="E97" s="34">
        <v>627.05999999999995</v>
      </c>
      <c r="F97" s="34">
        <f>1615.028+5.571</f>
        <v>1620.5989999999999</v>
      </c>
      <c r="G97" s="34"/>
      <c r="H97" s="34"/>
      <c r="I97" s="34"/>
      <c r="J97" s="46">
        <f t="shared" si="51"/>
        <v>1620.5989999999999</v>
      </c>
      <c r="K97" s="34"/>
      <c r="L97" s="60"/>
      <c r="M97" s="34"/>
      <c r="N97" s="34"/>
      <c r="O97" s="61"/>
      <c r="P97" s="61"/>
      <c r="Q97" s="34"/>
      <c r="R97" s="32"/>
      <c r="S97" s="32"/>
      <c r="T97" s="33"/>
      <c r="U97" s="33"/>
      <c r="V97" s="46">
        <f t="shared" si="52"/>
        <v>1620.5989999999999</v>
      </c>
      <c r="W97" s="32"/>
      <c r="X97" s="46"/>
      <c r="Y97" s="32"/>
      <c r="Z97" s="32"/>
      <c r="AA97" s="32"/>
      <c r="AB97" s="46"/>
      <c r="AC97" s="50"/>
      <c r="AD97" s="51"/>
      <c r="AE97" s="47"/>
      <c r="AF97" s="35">
        <v>60592585699</v>
      </c>
      <c r="AG97" s="35"/>
    </row>
    <row r="98" spans="1:33" s="18" customFormat="1">
      <c r="A98" s="33" t="s">
        <v>38</v>
      </c>
      <c r="B98" s="33" t="s">
        <v>73</v>
      </c>
      <c r="C98" s="33" t="s">
        <v>41</v>
      </c>
      <c r="D98" s="49">
        <v>42422</v>
      </c>
      <c r="E98" s="34">
        <v>739.2</v>
      </c>
      <c r="F98" s="34">
        <f>4968.557+13.099</f>
        <v>4981.6559999999999</v>
      </c>
      <c r="G98" s="34"/>
      <c r="H98" s="34"/>
      <c r="I98" s="34"/>
      <c r="J98" s="46">
        <f t="shared" si="51"/>
        <v>4981.6559999999999</v>
      </c>
      <c r="K98" s="34"/>
      <c r="L98" s="60"/>
      <c r="M98" s="34"/>
      <c r="N98" s="34"/>
      <c r="O98" s="61"/>
      <c r="P98" s="61"/>
      <c r="Q98" s="34"/>
      <c r="R98" s="32"/>
      <c r="S98" s="32"/>
      <c r="T98" s="33"/>
      <c r="U98" s="33"/>
      <c r="V98" s="46">
        <f t="shared" si="52"/>
        <v>4981.6559999999999</v>
      </c>
      <c r="W98" s="32">
        <f t="shared" ref="W98" si="71">IF(J98&gt;2250,J98*0.1,0)</f>
        <v>498.16560000000004</v>
      </c>
      <c r="X98" s="46">
        <f t="shared" ref="X98" si="72">+V98-W98</f>
        <v>4483.4903999999997</v>
      </c>
      <c r="Y98" s="32">
        <f t="shared" si="63"/>
        <v>0</v>
      </c>
      <c r="Z98" s="32">
        <v>10.23</v>
      </c>
      <c r="AA98" s="32">
        <f t="shared" si="64"/>
        <v>0</v>
      </c>
      <c r="AB98" s="46">
        <f t="shared" si="65"/>
        <v>4991.8859999999995</v>
      </c>
      <c r="AC98" s="50"/>
      <c r="AD98" s="51"/>
      <c r="AE98" s="47">
        <f t="shared" si="66"/>
        <v>-4483.4903999999997</v>
      </c>
      <c r="AF98" s="35">
        <v>56708845942</v>
      </c>
      <c r="AG98" s="35"/>
    </row>
    <row r="99" spans="1:33" s="18" customFormat="1">
      <c r="A99" s="33" t="s">
        <v>40</v>
      </c>
      <c r="B99" s="33" t="s">
        <v>80</v>
      </c>
      <c r="C99" s="33" t="s">
        <v>103</v>
      </c>
      <c r="D99" s="49">
        <v>41227</v>
      </c>
      <c r="E99" s="34">
        <v>627.13</v>
      </c>
      <c r="F99" s="34">
        <f>5203.799+5.571</f>
        <v>5209.37</v>
      </c>
      <c r="G99" s="34"/>
      <c r="H99" s="34"/>
      <c r="I99" s="34"/>
      <c r="J99" s="46">
        <f t="shared" si="51"/>
        <v>5209.37</v>
      </c>
      <c r="K99" s="34"/>
      <c r="L99" s="60"/>
      <c r="M99" s="34"/>
      <c r="N99" s="34">
        <v>200</v>
      </c>
      <c r="O99" s="61" t="s">
        <v>134</v>
      </c>
      <c r="P99" s="61" t="s">
        <v>134</v>
      </c>
      <c r="Q99" s="34"/>
      <c r="R99" s="32"/>
      <c r="S99" s="32"/>
      <c r="T99" s="33"/>
      <c r="U99" s="33">
        <v>1010.83</v>
      </c>
      <c r="V99" s="46">
        <f t="shared" si="52"/>
        <v>3998.54</v>
      </c>
      <c r="W99" s="32">
        <f t="shared" si="61"/>
        <v>520.93700000000001</v>
      </c>
      <c r="X99" s="46">
        <f t="shared" si="62"/>
        <v>3477.6030000000001</v>
      </c>
      <c r="Y99" s="32">
        <f t="shared" si="63"/>
        <v>0</v>
      </c>
      <c r="Z99" s="32">
        <v>10.23</v>
      </c>
      <c r="AA99" s="32" t="str">
        <f t="shared" si="64"/>
        <v>XX</v>
      </c>
      <c r="AB99" s="46" t="e">
        <f t="shared" si="65"/>
        <v>#VALUE!</v>
      </c>
      <c r="AC99" s="50"/>
      <c r="AD99" s="51"/>
      <c r="AE99" s="47">
        <f t="shared" si="66"/>
        <v>-3477.6030000000001</v>
      </c>
      <c r="AF99" s="35">
        <v>56708881946</v>
      </c>
      <c r="AG99" s="35"/>
    </row>
    <row r="100" spans="1:33" s="18" customFormat="1">
      <c r="A100" s="33" t="s">
        <v>38</v>
      </c>
      <c r="B100" s="33" t="s">
        <v>177</v>
      </c>
      <c r="C100" s="33" t="s">
        <v>41</v>
      </c>
      <c r="D100" s="49">
        <v>42907</v>
      </c>
      <c r="E100" s="34">
        <v>738.99</v>
      </c>
      <c r="F100" s="34">
        <f>1432+5.571</f>
        <v>1437.5709999999999</v>
      </c>
      <c r="G100" s="34"/>
      <c r="H100" s="34"/>
      <c r="I100" s="34"/>
      <c r="J100" s="46">
        <f t="shared" si="51"/>
        <v>1437.5709999999999</v>
      </c>
      <c r="K100" s="34"/>
      <c r="L100" s="60"/>
      <c r="M100" s="34"/>
      <c r="N100" s="34"/>
      <c r="O100" s="61"/>
      <c r="P100" s="61"/>
      <c r="Q100" s="34"/>
      <c r="R100" s="32"/>
      <c r="S100" s="32"/>
      <c r="T100" s="33"/>
      <c r="U100" s="33"/>
      <c r="V100" s="46">
        <f t="shared" si="52"/>
        <v>1437.5709999999999</v>
      </c>
      <c r="W100" s="32"/>
      <c r="X100" s="46"/>
      <c r="Y100" s="32"/>
      <c r="Z100" s="32"/>
      <c r="AA100" s="32"/>
      <c r="AB100" s="46"/>
      <c r="AC100" s="50"/>
      <c r="AD100" s="51"/>
      <c r="AE100" s="47"/>
      <c r="AF100" s="35">
        <v>60592492890</v>
      </c>
      <c r="AG100" s="35"/>
    </row>
    <row r="101" spans="1:33" s="18" customFormat="1">
      <c r="A101" s="33" t="s">
        <v>40</v>
      </c>
      <c r="B101" s="33" t="s">
        <v>108</v>
      </c>
      <c r="C101" s="33" t="s">
        <v>170</v>
      </c>
      <c r="D101" s="49">
        <v>42635</v>
      </c>
      <c r="E101" s="34">
        <v>560.28</v>
      </c>
      <c r="F101" s="34">
        <v>1689</v>
      </c>
      <c r="G101" s="34"/>
      <c r="H101" s="34"/>
      <c r="I101" s="34"/>
      <c r="J101" s="46">
        <f t="shared" si="51"/>
        <v>1689</v>
      </c>
      <c r="K101" s="34"/>
      <c r="L101" s="60"/>
      <c r="M101" s="34"/>
      <c r="N101" s="34"/>
      <c r="O101" s="61" t="s">
        <v>134</v>
      </c>
      <c r="P101" s="61" t="s">
        <v>134</v>
      </c>
      <c r="Q101" s="34"/>
      <c r="R101" s="32"/>
      <c r="S101" s="32"/>
      <c r="T101" s="33"/>
      <c r="U101" s="33"/>
      <c r="V101" s="46">
        <f t="shared" si="52"/>
        <v>1689</v>
      </c>
      <c r="W101" s="32">
        <f t="shared" ref="W101" si="73">IF(J101&gt;2250,J101*0.1,0)</f>
        <v>0</v>
      </c>
      <c r="X101" s="46">
        <f t="shared" ref="X101" si="74">+V101-W101</f>
        <v>1689</v>
      </c>
      <c r="Y101" s="32"/>
      <c r="Z101" s="32"/>
      <c r="AA101" s="32"/>
      <c r="AB101" s="46"/>
      <c r="AC101" s="50"/>
      <c r="AD101" s="51"/>
      <c r="AE101" s="47"/>
      <c r="AF101" s="35">
        <v>56708881608</v>
      </c>
      <c r="AG101" s="35"/>
    </row>
    <row r="102" spans="1:33" s="18" customFormat="1">
      <c r="A102" s="33" t="s">
        <v>40</v>
      </c>
      <c r="B102" s="33" t="s">
        <v>81</v>
      </c>
      <c r="C102" s="33" t="s">
        <v>103</v>
      </c>
      <c r="D102" s="49">
        <v>41703</v>
      </c>
      <c r="E102" s="34">
        <v>623.35</v>
      </c>
      <c r="F102" s="34">
        <v>1068.6099999999999</v>
      </c>
      <c r="G102" s="34"/>
      <c r="H102" s="34"/>
      <c r="I102" s="34"/>
      <c r="J102" s="46">
        <f t="shared" si="51"/>
        <v>1068.6099999999999</v>
      </c>
      <c r="K102" s="34"/>
      <c r="L102" s="60"/>
      <c r="M102" s="34"/>
      <c r="N102" s="34"/>
      <c r="O102" s="61" t="s">
        <v>134</v>
      </c>
      <c r="P102" s="61" t="s">
        <v>134</v>
      </c>
      <c r="Q102" s="34"/>
      <c r="R102" s="32"/>
      <c r="S102" s="32"/>
      <c r="T102" s="33"/>
      <c r="U102" s="33"/>
      <c r="V102" s="46">
        <f t="shared" si="52"/>
        <v>1068.6099999999999</v>
      </c>
      <c r="W102" s="32">
        <f t="shared" si="61"/>
        <v>0</v>
      </c>
      <c r="X102" s="46">
        <f t="shared" si="62"/>
        <v>1068.6099999999999</v>
      </c>
      <c r="Y102" s="32">
        <f t="shared" si="63"/>
        <v>106.86099999999999</v>
      </c>
      <c r="Z102" s="32">
        <v>10.23</v>
      </c>
      <c r="AA102" s="32" t="str">
        <f t="shared" si="64"/>
        <v>XX</v>
      </c>
      <c r="AB102" s="46" t="e">
        <f t="shared" si="65"/>
        <v>#VALUE!</v>
      </c>
      <c r="AC102" s="50"/>
      <c r="AD102" s="51"/>
      <c r="AE102" s="47">
        <f t="shared" si="66"/>
        <v>-1068.6099999999999</v>
      </c>
      <c r="AF102" s="35">
        <v>56708845973</v>
      </c>
      <c r="AG102" s="35"/>
    </row>
    <row r="103" spans="1:33" s="18" customFormat="1">
      <c r="A103" s="33" t="s">
        <v>40</v>
      </c>
      <c r="B103" s="33" t="s">
        <v>195</v>
      </c>
      <c r="C103" s="33" t="s">
        <v>192</v>
      </c>
      <c r="D103" s="49">
        <v>43040</v>
      </c>
      <c r="E103" s="34">
        <v>560.28</v>
      </c>
      <c r="F103" s="34">
        <v>395.86</v>
      </c>
      <c r="G103" s="34">
        <v>560.28</v>
      </c>
      <c r="H103" s="34"/>
      <c r="I103" s="34"/>
      <c r="J103" s="46">
        <f t="shared" si="51"/>
        <v>956.14</v>
      </c>
      <c r="K103" s="34"/>
      <c r="L103" s="60"/>
      <c r="M103" s="34"/>
      <c r="N103" s="34"/>
      <c r="O103" s="61" t="s">
        <v>134</v>
      </c>
      <c r="P103" s="61" t="s">
        <v>134</v>
      </c>
      <c r="Q103" s="34"/>
      <c r="R103" s="32"/>
      <c r="S103" s="32"/>
      <c r="T103" s="33"/>
      <c r="U103" s="33"/>
      <c r="V103" s="46">
        <f t="shared" si="52"/>
        <v>956.14</v>
      </c>
      <c r="W103" s="32"/>
      <c r="X103" s="46"/>
      <c r="Y103" s="32"/>
      <c r="Z103" s="32"/>
      <c r="AA103" s="32"/>
      <c r="AB103" s="46"/>
      <c r="AC103" s="50"/>
      <c r="AD103" s="51"/>
      <c r="AE103" s="47"/>
      <c r="AF103" s="35">
        <v>60596755422</v>
      </c>
      <c r="AG103" s="35"/>
    </row>
    <row r="104" spans="1:33" s="18" customFormat="1">
      <c r="A104" s="33" t="s">
        <v>40</v>
      </c>
      <c r="B104" s="33" t="s">
        <v>50</v>
      </c>
      <c r="C104" s="33" t="s">
        <v>103</v>
      </c>
      <c r="D104" s="49">
        <v>41291</v>
      </c>
      <c r="E104" s="34">
        <v>627.13</v>
      </c>
      <c r="F104" s="34">
        <f>3326.268+2.599</f>
        <v>3328.8670000000002</v>
      </c>
      <c r="G104" s="34"/>
      <c r="H104" s="34"/>
      <c r="I104" s="34"/>
      <c r="J104" s="46">
        <f t="shared" si="51"/>
        <v>3328.8670000000002</v>
      </c>
      <c r="K104" s="34"/>
      <c r="L104" s="60"/>
      <c r="M104" s="34"/>
      <c r="N104" s="34">
        <v>200</v>
      </c>
      <c r="O104" s="61" t="s">
        <v>134</v>
      </c>
      <c r="P104" s="61" t="s">
        <v>134</v>
      </c>
      <c r="Q104" s="34"/>
      <c r="R104" s="32"/>
      <c r="S104" s="32"/>
      <c r="T104" s="33"/>
      <c r="U104" s="33"/>
      <c r="V104" s="46">
        <f t="shared" si="52"/>
        <v>3128.8670000000002</v>
      </c>
      <c r="W104" s="32">
        <f t="shared" si="61"/>
        <v>332.88670000000002</v>
      </c>
      <c r="X104" s="46">
        <f t="shared" si="62"/>
        <v>2795.9803000000002</v>
      </c>
      <c r="Y104" s="32">
        <f t="shared" si="63"/>
        <v>0</v>
      </c>
      <c r="Z104" s="32">
        <v>10.23</v>
      </c>
      <c r="AA104" s="32" t="str">
        <f t="shared" si="64"/>
        <v>XX</v>
      </c>
      <c r="AB104" s="46" t="e">
        <f t="shared" si="65"/>
        <v>#VALUE!</v>
      </c>
      <c r="AC104" s="50"/>
      <c r="AD104" s="51"/>
      <c r="AE104" s="47">
        <f t="shared" si="66"/>
        <v>-2795.9803000000002</v>
      </c>
      <c r="AF104" s="35">
        <v>56708881963</v>
      </c>
      <c r="AG104" s="35"/>
    </row>
    <row r="105" spans="1:33" s="18" customFormat="1">
      <c r="A105" s="33" t="s">
        <v>38</v>
      </c>
      <c r="B105" s="33" t="s">
        <v>58</v>
      </c>
      <c r="C105" s="33" t="s">
        <v>41</v>
      </c>
      <c r="D105" s="49">
        <v>41666</v>
      </c>
      <c r="E105" s="34">
        <v>739.2</v>
      </c>
      <c r="F105" s="34">
        <f>3790.813+7.428</f>
        <v>3798.241</v>
      </c>
      <c r="G105" s="34"/>
      <c r="H105" s="34"/>
      <c r="I105" s="34"/>
      <c r="J105" s="46">
        <f t="shared" si="51"/>
        <v>3798.241</v>
      </c>
      <c r="K105" s="34"/>
      <c r="L105" s="60"/>
      <c r="M105" s="34"/>
      <c r="N105" s="34">
        <v>200</v>
      </c>
      <c r="O105" s="61"/>
      <c r="P105" s="61"/>
      <c r="Q105" s="34"/>
      <c r="R105" s="32"/>
      <c r="S105" s="32"/>
      <c r="T105" s="33"/>
      <c r="U105" s="33">
        <v>442.08</v>
      </c>
      <c r="V105" s="46">
        <f t="shared" si="52"/>
        <v>3156.1610000000001</v>
      </c>
      <c r="W105" s="32">
        <f t="shared" si="61"/>
        <v>379.82410000000004</v>
      </c>
      <c r="X105" s="46">
        <f t="shared" si="62"/>
        <v>2776.3369000000002</v>
      </c>
      <c r="Y105" s="32">
        <f t="shared" si="63"/>
        <v>0</v>
      </c>
      <c r="Z105" s="32">
        <v>10.23</v>
      </c>
      <c r="AA105" s="32">
        <f t="shared" si="64"/>
        <v>0</v>
      </c>
      <c r="AB105" s="46">
        <f t="shared" si="65"/>
        <v>3808.471</v>
      </c>
      <c r="AC105" s="50"/>
      <c r="AD105" s="51"/>
      <c r="AE105" s="47">
        <f t="shared" si="66"/>
        <v>-2776.3369000000002</v>
      </c>
      <c r="AF105" s="35">
        <v>56708845990</v>
      </c>
      <c r="AG105" s="35"/>
    </row>
    <row r="106" spans="1:33" s="18" customFormat="1">
      <c r="A106" s="33" t="s">
        <v>38</v>
      </c>
      <c r="B106" s="33" t="s">
        <v>127</v>
      </c>
      <c r="C106" s="33" t="s">
        <v>41</v>
      </c>
      <c r="D106" s="49">
        <v>42809</v>
      </c>
      <c r="E106" s="34">
        <v>560.28</v>
      </c>
      <c r="F106" s="34">
        <f>5532.209+13.099</f>
        <v>5545.308</v>
      </c>
      <c r="G106" s="34"/>
      <c r="H106" s="34"/>
      <c r="I106" s="34"/>
      <c r="J106" s="46">
        <f t="shared" si="51"/>
        <v>5545.308</v>
      </c>
      <c r="K106" s="34"/>
      <c r="L106" s="60"/>
      <c r="M106" s="34"/>
      <c r="N106" s="34"/>
      <c r="O106" s="61"/>
      <c r="P106" s="61"/>
      <c r="Q106" s="34"/>
      <c r="R106" s="32"/>
      <c r="S106" s="32"/>
      <c r="T106" s="33"/>
      <c r="U106" s="33"/>
      <c r="V106" s="46">
        <f t="shared" si="52"/>
        <v>5545.308</v>
      </c>
      <c r="W106" s="32"/>
      <c r="X106" s="46"/>
      <c r="Y106" s="32"/>
      <c r="Z106" s="32"/>
      <c r="AA106" s="32"/>
      <c r="AB106" s="46"/>
      <c r="AC106" s="50"/>
      <c r="AD106" s="51"/>
      <c r="AE106" s="47"/>
      <c r="AF106" s="35">
        <v>60589597089</v>
      </c>
      <c r="AG106" s="35"/>
    </row>
    <row r="107" spans="1:33" s="18" customFormat="1">
      <c r="A107" s="74" t="s">
        <v>38</v>
      </c>
      <c r="B107" s="74" t="s">
        <v>183</v>
      </c>
      <c r="C107" s="74" t="s">
        <v>41</v>
      </c>
      <c r="D107" s="75">
        <v>43052</v>
      </c>
      <c r="E107" s="76">
        <v>638.96</v>
      </c>
      <c r="F107" s="76">
        <f>3312.24+13.099</f>
        <v>3325.3389999999999</v>
      </c>
      <c r="G107" s="76"/>
      <c r="H107" s="76"/>
      <c r="I107" s="76"/>
      <c r="J107" s="46">
        <f t="shared" si="51"/>
        <v>3325.3389999999999</v>
      </c>
      <c r="K107" s="34"/>
      <c r="L107" s="60"/>
      <c r="M107" s="34"/>
      <c r="N107" s="34"/>
      <c r="O107" s="61"/>
      <c r="P107" s="61"/>
      <c r="Q107" s="34"/>
      <c r="R107" s="32"/>
      <c r="S107" s="32"/>
      <c r="T107" s="33"/>
      <c r="U107" s="33"/>
      <c r="V107" s="46"/>
      <c r="W107" s="32"/>
      <c r="X107" s="46"/>
      <c r="Y107" s="32"/>
      <c r="Z107" s="32"/>
      <c r="AA107" s="32"/>
      <c r="AB107" s="46"/>
      <c r="AC107" s="50"/>
      <c r="AD107" s="51"/>
      <c r="AE107" s="47"/>
      <c r="AF107" s="77">
        <v>56714607256</v>
      </c>
      <c r="AG107" s="77"/>
    </row>
    <row r="108" spans="1:33" s="18" customFormat="1">
      <c r="A108" s="33" t="s">
        <v>40</v>
      </c>
      <c r="B108" s="33" t="s">
        <v>119</v>
      </c>
      <c r="C108" s="33" t="s">
        <v>99</v>
      </c>
      <c r="D108" s="49">
        <v>42752</v>
      </c>
      <c r="E108" s="34">
        <v>560.28</v>
      </c>
      <c r="F108" s="34">
        <v>733.89</v>
      </c>
      <c r="G108" s="34"/>
      <c r="H108" s="34"/>
      <c r="I108" s="34"/>
      <c r="J108" s="46">
        <f t="shared" si="51"/>
        <v>733.89</v>
      </c>
      <c r="K108" s="34"/>
      <c r="L108" s="60"/>
      <c r="M108" s="34"/>
      <c r="N108" s="34"/>
      <c r="O108" s="61" t="s">
        <v>134</v>
      </c>
      <c r="P108" s="61" t="s">
        <v>134</v>
      </c>
      <c r="Q108" s="34"/>
      <c r="R108" s="32"/>
      <c r="S108" s="32"/>
      <c r="T108" s="33"/>
      <c r="U108" s="33"/>
      <c r="V108" s="46">
        <f t="shared" si="52"/>
        <v>733.89</v>
      </c>
      <c r="W108" s="32">
        <f t="shared" ref="W108" si="75">IF(J108&gt;2250,J108*0.1,0)</f>
        <v>0</v>
      </c>
      <c r="X108" s="46">
        <f t="shared" ref="X108" si="76">+V108-W108</f>
        <v>733.89</v>
      </c>
      <c r="Y108" s="32"/>
      <c r="Z108" s="32"/>
      <c r="AA108" s="32"/>
      <c r="AB108" s="46"/>
      <c r="AC108" s="50"/>
      <c r="AD108" s="51"/>
      <c r="AE108" s="47"/>
      <c r="AF108" s="35">
        <v>60589634536</v>
      </c>
      <c r="AG108" s="35"/>
    </row>
    <row r="109" spans="1:33" s="18" customFormat="1">
      <c r="A109" s="33" t="s">
        <v>40</v>
      </c>
      <c r="B109" s="33" t="s">
        <v>190</v>
      </c>
      <c r="C109" s="33" t="s">
        <v>189</v>
      </c>
      <c r="D109" s="49">
        <v>43034</v>
      </c>
      <c r="E109" s="34">
        <v>560.28</v>
      </c>
      <c r="F109" s="34">
        <v>1010.6</v>
      </c>
      <c r="G109" s="34"/>
      <c r="H109" s="34"/>
      <c r="I109" s="34"/>
      <c r="J109" s="46">
        <f t="shared" si="51"/>
        <v>1010.6</v>
      </c>
      <c r="K109" s="34"/>
      <c r="L109" s="60"/>
      <c r="M109" s="34"/>
      <c r="N109" s="34"/>
      <c r="O109" s="61" t="s">
        <v>134</v>
      </c>
      <c r="P109" s="61" t="s">
        <v>134</v>
      </c>
      <c r="Q109" s="34"/>
      <c r="R109" s="32"/>
      <c r="S109" s="32"/>
      <c r="T109" s="33"/>
      <c r="U109" s="33"/>
      <c r="V109" s="46"/>
      <c r="W109" s="32"/>
      <c r="X109" s="46"/>
      <c r="Y109" s="32"/>
      <c r="Z109" s="32"/>
      <c r="AA109" s="32"/>
      <c r="AB109" s="46"/>
      <c r="AC109" s="50"/>
      <c r="AD109" s="51"/>
      <c r="AE109" s="47"/>
      <c r="AF109" s="35">
        <v>60596596065</v>
      </c>
      <c r="AG109" s="35"/>
    </row>
    <row r="110" spans="1:33" s="18" customFormat="1">
      <c r="A110" s="33" t="s">
        <v>40</v>
      </c>
      <c r="B110" s="33" t="s">
        <v>98</v>
      </c>
      <c r="C110" s="33" t="s">
        <v>102</v>
      </c>
      <c r="D110" s="49">
        <v>29733</v>
      </c>
      <c r="E110" s="34">
        <v>627.13</v>
      </c>
      <c r="F110" s="34">
        <f>5279.914+3.714</f>
        <v>5283.6279999999997</v>
      </c>
      <c r="G110" s="34"/>
      <c r="H110" s="34"/>
      <c r="I110" s="34"/>
      <c r="J110" s="46">
        <f t="shared" si="51"/>
        <v>5283.6279999999997</v>
      </c>
      <c r="K110" s="34"/>
      <c r="L110" s="60"/>
      <c r="M110" s="34"/>
      <c r="N110" s="34">
        <v>150</v>
      </c>
      <c r="O110" s="61" t="s">
        <v>134</v>
      </c>
      <c r="P110" s="61" t="s">
        <v>134</v>
      </c>
      <c r="Q110" s="34"/>
      <c r="R110" s="32"/>
      <c r="S110" s="32"/>
      <c r="T110" s="33"/>
      <c r="U110" s="33"/>
      <c r="V110" s="46">
        <f t="shared" si="52"/>
        <v>5133.6279999999997</v>
      </c>
      <c r="W110" s="32">
        <f t="shared" si="61"/>
        <v>528.36279999999999</v>
      </c>
      <c r="X110" s="46">
        <f t="shared" si="62"/>
        <v>4605.2651999999998</v>
      </c>
      <c r="Y110" s="32">
        <f t="shared" si="63"/>
        <v>0</v>
      </c>
      <c r="Z110" s="32">
        <v>10.23</v>
      </c>
      <c r="AA110" s="32" t="str">
        <f t="shared" si="64"/>
        <v>XX</v>
      </c>
      <c r="AB110" s="46" t="e">
        <f t="shared" si="65"/>
        <v>#VALUE!</v>
      </c>
      <c r="AC110" s="50"/>
      <c r="AD110" s="51"/>
      <c r="AE110" s="47">
        <f t="shared" si="66"/>
        <v>-4605.2651999999998</v>
      </c>
      <c r="AF110" s="35">
        <v>60589747903</v>
      </c>
      <c r="AG110" s="35"/>
    </row>
    <row r="111" spans="1:33" s="89" customFormat="1">
      <c r="A111" s="78" t="s">
        <v>40</v>
      </c>
      <c r="B111" s="78" t="s">
        <v>191</v>
      </c>
      <c r="C111" s="78" t="s">
        <v>192</v>
      </c>
      <c r="D111" s="79">
        <v>43042</v>
      </c>
      <c r="E111" s="80">
        <v>560.28</v>
      </c>
      <c r="F111" s="80"/>
      <c r="G111" s="80"/>
      <c r="H111" s="80"/>
      <c r="I111" s="80"/>
      <c r="J111" s="81">
        <f t="shared" si="51"/>
        <v>0</v>
      </c>
      <c r="K111" s="80"/>
      <c r="L111" s="82"/>
      <c r="M111" s="80"/>
      <c r="N111" s="80"/>
      <c r="O111" s="83"/>
      <c r="P111" s="83"/>
      <c r="Q111" s="80"/>
      <c r="R111" s="84"/>
      <c r="S111" s="84"/>
      <c r="T111" s="78"/>
      <c r="U111" s="78"/>
      <c r="V111" s="81">
        <f t="shared" si="52"/>
        <v>0</v>
      </c>
      <c r="W111" s="84"/>
      <c r="X111" s="81"/>
      <c r="Y111" s="84"/>
      <c r="Z111" s="84"/>
      <c r="AA111" s="84"/>
      <c r="AB111" s="81"/>
      <c r="AC111" s="85"/>
      <c r="AD111" s="86"/>
      <c r="AE111" s="87"/>
      <c r="AF111" s="88" t="s">
        <v>150</v>
      </c>
      <c r="AG111" s="88"/>
    </row>
    <row r="112" spans="1:33" s="18" customFormat="1">
      <c r="A112" s="33" t="s">
        <v>38</v>
      </c>
      <c r="B112" s="33" t="s">
        <v>179</v>
      </c>
      <c r="C112" s="33" t="s">
        <v>180</v>
      </c>
      <c r="D112" s="49">
        <v>43026</v>
      </c>
      <c r="E112" s="34">
        <v>638.96</v>
      </c>
      <c r="F112" s="34">
        <f>4439.943+7.428</f>
        <v>4447.3710000000001</v>
      </c>
      <c r="G112" s="34"/>
      <c r="H112" s="34"/>
      <c r="I112" s="34"/>
      <c r="J112" s="46">
        <f t="shared" si="51"/>
        <v>4447.3710000000001</v>
      </c>
      <c r="K112" s="34"/>
      <c r="L112" s="60"/>
      <c r="M112" s="34"/>
      <c r="N112" s="34"/>
      <c r="O112" s="61"/>
      <c r="P112" s="61"/>
      <c r="Q112" s="34"/>
      <c r="R112" s="32"/>
      <c r="S112" s="32"/>
      <c r="T112" s="33"/>
      <c r="U112" s="33">
        <v>545.02</v>
      </c>
      <c r="V112" s="46">
        <f t="shared" si="52"/>
        <v>3902.3510000000001</v>
      </c>
      <c r="W112" s="32"/>
      <c r="X112" s="46"/>
      <c r="Y112" s="32"/>
      <c r="Z112" s="32"/>
      <c r="AA112" s="32"/>
      <c r="AB112" s="46"/>
      <c r="AC112" s="50"/>
      <c r="AD112" s="51"/>
      <c r="AE112" s="47"/>
      <c r="AF112" s="35">
        <v>60578682154</v>
      </c>
      <c r="AG112" s="35"/>
    </row>
    <row r="113" spans="1:187" s="18" customFormat="1">
      <c r="A113" s="33" t="s">
        <v>38</v>
      </c>
      <c r="B113" s="33" t="s">
        <v>57</v>
      </c>
      <c r="C113" s="33" t="s">
        <v>41</v>
      </c>
      <c r="D113" s="49">
        <v>41549</v>
      </c>
      <c r="E113" s="34">
        <v>739.2</v>
      </c>
      <c r="F113" s="34">
        <f>5624.405+13.099</f>
        <v>5637.5039999999999</v>
      </c>
      <c r="G113" s="34"/>
      <c r="H113" s="34"/>
      <c r="I113" s="34"/>
      <c r="J113" s="46">
        <f t="shared" si="51"/>
        <v>5637.5039999999999</v>
      </c>
      <c r="K113" s="34"/>
      <c r="L113" s="60"/>
      <c r="M113" s="34"/>
      <c r="N113" s="34">
        <v>500</v>
      </c>
      <c r="O113" s="61"/>
      <c r="P113" s="61"/>
      <c r="Q113" s="34"/>
      <c r="R113" s="32"/>
      <c r="S113" s="32"/>
      <c r="T113" s="33"/>
      <c r="U113" s="33"/>
      <c r="V113" s="46">
        <f t="shared" si="52"/>
        <v>5137.5039999999999</v>
      </c>
      <c r="W113" s="32">
        <f>IF(J113&gt;2250,J113*0.1,0)</f>
        <v>563.75040000000001</v>
      </c>
      <c r="X113" s="46">
        <f>+V113-W113</f>
        <v>4573.7536</v>
      </c>
      <c r="Y113" s="32">
        <f>IF(J113&lt;2250,J113*0.1,0)</f>
        <v>0</v>
      </c>
      <c r="Z113" s="32">
        <v>10.23</v>
      </c>
      <c r="AA113" s="32">
        <f>+O113</f>
        <v>0</v>
      </c>
      <c r="AB113" s="46">
        <f>+J113+Y113+Z113+AA113</f>
        <v>5647.7339999999995</v>
      </c>
      <c r="AC113" s="50"/>
      <c r="AD113" s="51"/>
      <c r="AE113" s="47">
        <f>+AC113+AD113-X113</f>
        <v>-4573.7536</v>
      </c>
      <c r="AF113" s="35">
        <v>56708846050</v>
      </c>
      <c r="AG113" s="35"/>
    </row>
    <row r="114" spans="1:187">
      <c r="A114" s="28"/>
      <c r="B114" s="33"/>
      <c r="C114" s="28"/>
      <c r="D114" s="59"/>
      <c r="E114" s="59"/>
      <c r="F114" s="30"/>
      <c r="G114" s="30"/>
      <c r="H114" s="30"/>
      <c r="I114" s="30"/>
      <c r="J114" s="46">
        <f t="shared" si="51"/>
        <v>0</v>
      </c>
      <c r="K114" s="34"/>
      <c r="L114" s="34"/>
      <c r="M114" s="34"/>
      <c r="N114" s="34"/>
      <c r="O114" s="34"/>
      <c r="P114" s="34"/>
      <c r="Q114" s="34"/>
      <c r="R114" s="32"/>
      <c r="S114" s="32"/>
      <c r="T114" s="32"/>
      <c r="U114" s="32"/>
      <c r="V114" s="46"/>
      <c r="W114" s="32"/>
      <c r="X114" s="46"/>
      <c r="Y114" s="54"/>
      <c r="Z114" s="54"/>
      <c r="AA114" s="54"/>
      <c r="AB114" s="53"/>
      <c r="AC114" s="44"/>
      <c r="AD114" s="44"/>
      <c r="AE114" s="39"/>
      <c r="AF114" s="28"/>
      <c r="AG114" s="2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</row>
    <row r="115" spans="1:187">
      <c r="A115" s="28"/>
      <c r="B115" s="35" t="s">
        <v>122</v>
      </c>
      <c r="C115" s="28"/>
      <c r="D115" s="59"/>
      <c r="E115" s="38">
        <f>SUM(E71:E113)</f>
        <v>27654.629999999997</v>
      </c>
      <c r="F115" s="38">
        <f t="shared" ref="F115:V115" si="77">SUM(F70:F113)</f>
        <v>129987.08399999999</v>
      </c>
      <c r="G115" s="38">
        <f t="shared" si="77"/>
        <v>560.28</v>
      </c>
      <c r="H115" s="38">
        <f t="shared" si="77"/>
        <v>3116.48</v>
      </c>
      <c r="I115" s="38">
        <f t="shared" si="77"/>
        <v>2655.1</v>
      </c>
      <c r="J115" s="38">
        <f t="shared" si="77"/>
        <v>136318.94399999999</v>
      </c>
      <c r="K115" s="38">
        <f t="shared" si="77"/>
        <v>512.5</v>
      </c>
      <c r="L115" s="38">
        <f t="shared" si="77"/>
        <v>2</v>
      </c>
      <c r="M115" s="38">
        <f t="shared" si="77"/>
        <v>0</v>
      </c>
      <c r="N115" s="38">
        <f t="shared" si="77"/>
        <v>4700</v>
      </c>
      <c r="O115" s="38">
        <f t="shared" si="77"/>
        <v>0</v>
      </c>
      <c r="P115" s="38">
        <f t="shared" si="77"/>
        <v>0</v>
      </c>
      <c r="Q115" s="38">
        <f t="shared" si="77"/>
        <v>0</v>
      </c>
      <c r="R115" s="38">
        <f t="shared" si="77"/>
        <v>0</v>
      </c>
      <c r="S115" s="38">
        <f t="shared" si="77"/>
        <v>0</v>
      </c>
      <c r="T115" s="38">
        <f t="shared" si="77"/>
        <v>0</v>
      </c>
      <c r="U115" s="38">
        <f t="shared" si="77"/>
        <v>3639.3599999999997</v>
      </c>
      <c r="V115" s="38">
        <f t="shared" si="77"/>
        <v>123129.14499999997</v>
      </c>
      <c r="W115" s="38">
        <f>SUM(W71:W113)</f>
        <v>8366.9142499999998</v>
      </c>
      <c r="X115" s="38">
        <f>SUM(X71:X113)</f>
        <v>79855.635799999989</v>
      </c>
      <c r="Y115" s="54"/>
      <c r="Z115" s="54"/>
      <c r="AA115" s="54"/>
      <c r="AB115" s="53"/>
      <c r="AC115" s="44"/>
      <c r="AD115" s="44"/>
      <c r="AE115" s="39"/>
      <c r="AF115" s="28"/>
      <c r="AG115" s="2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</row>
    <row r="116" spans="1:187">
      <c r="B116" s="20"/>
      <c r="AB116" s="14" t="e">
        <f>+#REF!*0.16</f>
        <v>#REF!</v>
      </c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</row>
    <row r="117" spans="1:187"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</row>
    <row r="118" spans="1:187"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</row>
    <row r="119" spans="1:187"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</row>
    <row r="120" spans="1:187" ht="23.25">
      <c r="A120" s="102" t="s">
        <v>25</v>
      </c>
      <c r="B120" s="102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</row>
    <row r="121" spans="1:187" s="18" customFormat="1" ht="15.75">
      <c r="A121" s="64" t="s">
        <v>39</v>
      </c>
      <c r="B121" s="64" t="s">
        <v>112</v>
      </c>
      <c r="C121" s="64" t="s">
        <v>43</v>
      </c>
      <c r="D121" s="49">
        <v>42199</v>
      </c>
      <c r="E121" s="34">
        <v>1633</v>
      </c>
      <c r="F121" s="34"/>
      <c r="G121" s="34"/>
      <c r="H121" s="34"/>
      <c r="I121" s="34"/>
      <c r="J121" s="46">
        <f t="shared" ref="J121:J125" si="78">SUM(F121:I121)</f>
        <v>0</v>
      </c>
      <c r="K121" s="34"/>
      <c r="L121" s="60"/>
      <c r="M121" s="34"/>
      <c r="N121" s="34">
        <v>150</v>
      </c>
      <c r="O121" s="61"/>
      <c r="P121" s="61"/>
      <c r="Q121" s="34"/>
      <c r="R121" s="32"/>
      <c r="S121" s="62"/>
      <c r="T121" s="33"/>
      <c r="U121" s="57"/>
      <c r="V121" s="46">
        <f t="shared" ref="V121:V125" si="79">+J121-SUM(K121:U121)</f>
        <v>-150</v>
      </c>
      <c r="W121" s="32">
        <v>0</v>
      </c>
      <c r="X121" s="46">
        <v>-150</v>
      </c>
      <c r="Y121" s="32"/>
      <c r="Z121" s="32"/>
      <c r="AA121" s="32"/>
      <c r="AB121" s="46"/>
      <c r="AC121" s="52"/>
      <c r="AD121" s="50"/>
      <c r="AE121" s="47"/>
      <c r="AF121" s="33">
        <v>60590405464</v>
      </c>
      <c r="AG121" s="65"/>
    </row>
    <row r="122" spans="1:187">
      <c r="A122" s="64" t="s">
        <v>37</v>
      </c>
      <c r="B122" s="64" t="s">
        <v>104</v>
      </c>
      <c r="C122" s="64" t="s">
        <v>43</v>
      </c>
      <c r="D122" s="49">
        <v>34275</v>
      </c>
      <c r="E122" s="34">
        <v>1633</v>
      </c>
      <c r="F122" s="34"/>
      <c r="G122" s="34"/>
      <c r="H122" s="34"/>
      <c r="I122" s="34"/>
      <c r="J122" s="46">
        <f t="shared" si="78"/>
        <v>0</v>
      </c>
      <c r="K122" s="34"/>
      <c r="L122" s="60"/>
      <c r="M122" s="34"/>
      <c r="N122" s="34"/>
      <c r="O122" s="61"/>
      <c r="P122" s="61"/>
      <c r="Q122" s="34"/>
      <c r="R122" s="32"/>
      <c r="S122" s="32"/>
      <c r="T122" s="33"/>
      <c r="U122" s="33"/>
      <c r="V122" s="46">
        <f t="shared" si="79"/>
        <v>0</v>
      </c>
      <c r="W122" s="32">
        <v>0</v>
      </c>
      <c r="X122" s="46">
        <v>0</v>
      </c>
      <c r="Y122" s="54"/>
      <c r="Z122" s="54"/>
      <c r="AA122" s="54"/>
      <c r="AB122" s="53"/>
      <c r="AC122" s="44"/>
      <c r="AD122" s="44"/>
      <c r="AE122" s="39"/>
      <c r="AF122" s="28">
        <v>60590317373</v>
      </c>
      <c r="AG122" s="65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</row>
    <row r="123" spans="1:187">
      <c r="A123" s="64" t="s">
        <v>39</v>
      </c>
      <c r="B123" s="64" t="s">
        <v>120</v>
      </c>
      <c r="C123" s="64" t="s">
        <v>121</v>
      </c>
      <c r="D123" s="49">
        <v>38825</v>
      </c>
      <c r="E123" s="34">
        <v>2100</v>
      </c>
      <c r="F123" s="34"/>
      <c r="G123" s="34"/>
      <c r="H123" s="34"/>
      <c r="I123" s="34"/>
      <c r="J123" s="46">
        <f t="shared" si="78"/>
        <v>0</v>
      </c>
      <c r="K123" s="34"/>
      <c r="L123" s="60"/>
      <c r="M123" s="34"/>
      <c r="N123" s="34"/>
      <c r="O123" s="61"/>
      <c r="P123" s="61"/>
      <c r="Q123" s="34"/>
      <c r="R123" s="32"/>
      <c r="S123" s="32"/>
      <c r="T123" s="33"/>
      <c r="U123" s="33"/>
      <c r="V123" s="46">
        <f t="shared" si="79"/>
        <v>0</v>
      </c>
      <c r="W123" s="32"/>
      <c r="X123" s="46"/>
      <c r="Y123" s="54"/>
      <c r="Z123" s="54"/>
      <c r="AA123" s="54"/>
      <c r="AB123" s="53"/>
      <c r="AC123" s="44"/>
      <c r="AD123" s="44"/>
      <c r="AE123" s="39"/>
      <c r="AF123" s="28">
        <v>56708845376</v>
      </c>
      <c r="AG123" s="65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</row>
    <row r="124" spans="1:187">
      <c r="A124" s="64" t="s">
        <v>37</v>
      </c>
      <c r="B124" s="64" t="s">
        <v>106</v>
      </c>
      <c r="C124" s="64" t="s">
        <v>105</v>
      </c>
      <c r="D124" s="49">
        <v>42809</v>
      </c>
      <c r="E124" s="34">
        <v>937.5</v>
      </c>
      <c r="F124" s="34"/>
      <c r="G124" s="34"/>
      <c r="H124" s="34"/>
      <c r="I124" s="34"/>
      <c r="J124" s="46">
        <f t="shared" si="78"/>
        <v>0</v>
      </c>
      <c r="K124" s="34">
        <v>208.34</v>
      </c>
      <c r="L124" s="60"/>
      <c r="M124" s="34"/>
      <c r="N124" s="34"/>
      <c r="O124" s="61"/>
      <c r="P124" s="61"/>
      <c r="Q124" s="34"/>
      <c r="R124" s="32"/>
      <c r="S124" s="32"/>
      <c r="T124" s="33"/>
      <c r="U124" s="33"/>
      <c r="V124" s="46">
        <f t="shared" si="79"/>
        <v>-208.34</v>
      </c>
      <c r="W124" s="32"/>
      <c r="X124" s="46"/>
      <c r="Y124" s="54"/>
      <c r="Z124" s="54"/>
      <c r="AA124" s="54"/>
      <c r="AB124" s="53"/>
      <c r="AC124" s="44"/>
      <c r="AD124" s="44"/>
      <c r="AE124" s="39"/>
      <c r="AF124" s="28">
        <v>60590314454</v>
      </c>
      <c r="AG124" s="65" t="s">
        <v>201</v>
      </c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</row>
    <row r="125" spans="1:187">
      <c r="A125" s="64" t="s">
        <v>39</v>
      </c>
      <c r="B125" s="64" t="s">
        <v>160</v>
      </c>
      <c r="C125" s="64" t="s">
        <v>161</v>
      </c>
      <c r="D125" s="49">
        <v>40147</v>
      </c>
      <c r="E125" s="34">
        <v>1900</v>
      </c>
      <c r="F125" s="34"/>
      <c r="G125" s="34"/>
      <c r="H125" s="34"/>
      <c r="I125" s="34"/>
      <c r="J125" s="46">
        <f t="shared" si="78"/>
        <v>0</v>
      </c>
      <c r="K125" s="34"/>
      <c r="L125" s="60"/>
      <c r="M125" s="34"/>
      <c r="N125" s="34"/>
      <c r="O125" s="61"/>
      <c r="P125" s="61"/>
      <c r="Q125" s="34"/>
      <c r="R125" s="32"/>
      <c r="S125" s="32"/>
      <c r="T125" s="33"/>
      <c r="U125" s="33"/>
      <c r="V125" s="46">
        <f t="shared" si="79"/>
        <v>0</v>
      </c>
      <c r="W125" s="32"/>
      <c r="X125" s="46"/>
      <c r="Y125" s="54"/>
      <c r="Z125" s="54"/>
      <c r="AA125" s="54"/>
      <c r="AB125" s="53"/>
      <c r="AC125" s="44"/>
      <c r="AD125" s="44"/>
      <c r="AE125" s="39"/>
      <c r="AF125" s="28">
        <v>60590324373</v>
      </c>
      <c r="AG125" s="65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</row>
    <row r="126" spans="1:187"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</row>
    <row r="127" spans="1:187"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</row>
    <row r="128" spans="1:187"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</row>
    <row r="129" spans="1:187">
      <c r="A129" s="19" t="s">
        <v>17</v>
      </c>
      <c r="B129" s="13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</row>
    <row r="130" spans="1:187">
      <c r="A130" s="19" t="s">
        <v>18</v>
      </c>
      <c r="B130" s="13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</row>
    <row r="131" spans="1:187">
      <c r="A131" s="19" t="s">
        <v>19</v>
      </c>
      <c r="B131" s="13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</row>
    <row r="132" spans="1:187">
      <c r="A132" s="19" t="s">
        <v>20</v>
      </c>
      <c r="B132" s="13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</row>
    <row r="133" spans="1:187">
      <c r="A133" s="19" t="s">
        <v>21</v>
      </c>
      <c r="B133" s="13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</row>
    <row r="134" spans="1:187">
      <c r="A134" s="19" t="s">
        <v>22</v>
      </c>
      <c r="B134" s="13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</row>
    <row r="135" spans="1:187"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</row>
    <row r="136" spans="1:187"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</row>
    <row r="138" spans="1:187">
      <c r="B138" s="17"/>
    </row>
    <row r="139" spans="1:187">
      <c r="B139" s="17"/>
    </row>
    <row r="140" spans="1:187">
      <c r="B140" s="17"/>
    </row>
  </sheetData>
  <sheetProtection selectLockedCells="1" selectUnlockedCells="1"/>
  <autoFilter ref="A5:AG64">
    <filterColumn colId="28" showButton="0"/>
    <sortState ref="A8:AH99">
      <sortCondition ref="B5:B99"/>
    </sortState>
  </autoFilter>
  <mergeCells count="33">
    <mergeCell ref="G5:G6"/>
    <mergeCell ref="A120:B120"/>
    <mergeCell ref="F5:F6"/>
    <mergeCell ref="A5:A6"/>
    <mergeCell ref="B5:B6"/>
    <mergeCell ref="C5:C6"/>
    <mergeCell ref="D5:D6"/>
    <mergeCell ref="E5:E6"/>
    <mergeCell ref="S5:S6"/>
    <mergeCell ref="T5:T6"/>
    <mergeCell ref="H5:H6"/>
    <mergeCell ref="I5:I6"/>
    <mergeCell ref="J5:J6"/>
    <mergeCell ref="K5:K6"/>
    <mergeCell ref="N5:N6"/>
    <mergeCell ref="L5:L6"/>
    <mergeCell ref="M5:M6"/>
    <mergeCell ref="AG5:AG6"/>
    <mergeCell ref="A69:B69"/>
    <mergeCell ref="AB5:AB6"/>
    <mergeCell ref="AC5:AD5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Saul Pineda</cp:lastModifiedBy>
  <cp:lastPrinted>2016-02-12T20:59:22Z</cp:lastPrinted>
  <dcterms:created xsi:type="dcterms:W3CDTF">2015-07-23T15:19:36Z</dcterms:created>
  <dcterms:modified xsi:type="dcterms:W3CDTF">2017-11-17T00:56:01Z</dcterms:modified>
</cp:coreProperties>
</file>